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 Advani Realty\Downloads\"/>
    </mc:Choice>
  </mc:AlternateContent>
  <xr:revisionPtr revIDLastSave="0" documentId="13_ncr:1_{4C5F0D36-E8AE-4E6B-984C-5E2E8CF59E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tail LG Floor" sheetId="1" r:id="rId1"/>
    <sheet name="Retail UG Floor" sheetId="2" r:id="rId2"/>
    <sheet name="Retail 1st Floor" sheetId="3" r:id="rId3"/>
    <sheet name="Retail 2nd Floor" sheetId="4" r:id="rId4"/>
    <sheet name="Office 5th Floor " sheetId="5" r:id="rId5"/>
    <sheet name="Office 6th Floor" sheetId="6" r:id="rId6"/>
    <sheet name="Office 7th Floor" sheetId="7" r:id="rId7"/>
    <sheet name="Office 8th Floor" sheetId="8" r:id="rId8"/>
    <sheet name="Office 9th Floor" sheetId="9" r:id="rId9"/>
    <sheet name="Office 10th Floor" sheetId="10" r:id="rId10"/>
    <sheet name="Office 11th Floor" sheetId="11" r:id="rId11"/>
    <sheet name="Updated CRM Sheet" sheetId="12" state="hidden" r:id="rId12"/>
    <sheet name="Booking Cancelled Sheet" sheetId="13" state="hidden" r:id="rId13"/>
    <sheet name="Master ROI Sheet Reliance" sheetId="14" r:id="rId14"/>
  </sheets>
  <definedNames>
    <definedName name="_xlnm._FilterDatabase" localSheetId="6" hidden="1">'Office 7th Floor'!$A$3:$AI$29</definedName>
    <definedName name="_xlnm._FilterDatabase" localSheetId="11" hidden="1">'Updated CRM Sheet'!$A$1:$BC$10</definedName>
    <definedName name="Z_41A8EFA9_0D9F_4D25_B14C_D7994C10AD31_.wvu.FilterData" localSheetId="11" hidden="1">'Updated CRM Sheet'!$A$1:$BC$10</definedName>
    <definedName name="Z_AC2EB4D7_5D35_4F70_86AF_8C6FCD8AAB75_.wvu.FilterData" localSheetId="11" hidden="1">'Updated CRM Sheet'!$A$17:$BC$105</definedName>
    <definedName name="Z_BF376FC4_2325_430A_B7C3_C8D43C8FA5B8_.wvu.FilterData" localSheetId="11" hidden="1">'Updated CRM Sheet'!$A$1:$BC$105</definedName>
  </definedNames>
  <calcPr calcId="181029"/>
  <customWorkbookViews>
    <customWorkbookView name="Filter 1" guid="{AC2EB4D7-5D35-4F70-86AF-8C6FCD8AAB75}" maximized="1" windowWidth="0" windowHeight="0" activeSheetId="0"/>
    <customWorkbookView name="Filter 3" guid="{41A8EFA9-0D9F-4D25-B14C-D7994C10AD31}" maximized="1" windowWidth="0" windowHeight="0" activeSheetId="0"/>
    <customWorkbookView name="Filter 2" guid="{BF376FC4-2325-430A-B7C3-C8D43C8FA5B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8" roundtripDataSignature="AMtx7mh1fhUipRhhTKwqzKArFsB3ekKz9A=="/>
    </ext>
  </extLst>
</workbook>
</file>

<file path=xl/calcChain.xml><?xml version="1.0" encoding="utf-8"?>
<calcChain xmlns="http://schemas.openxmlformats.org/spreadsheetml/2006/main">
  <c r="A43" i="14" l="1"/>
  <c r="A44" i="14" s="1"/>
  <c r="A45" i="14" s="1"/>
  <c r="A41" i="14"/>
  <c r="A42" i="14" s="1"/>
  <c r="A40" i="14"/>
  <c r="H33" i="14"/>
  <c r="K32" i="14" s="1"/>
  <c r="K31" i="14"/>
  <c r="F29" i="14"/>
  <c r="F28" i="14"/>
  <c r="F26" i="14"/>
  <c r="I23" i="14"/>
  <c r="L20" i="14"/>
  <c r="M20" i="14" s="1"/>
  <c r="F17" i="14"/>
  <c r="F16" i="14"/>
  <c r="I12" i="14"/>
  <c r="J11" i="14"/>
  <c r="I11" i="14"/>
  <c r="K9" i="14"/>
  <c r="I9" i="14"/>
  <c r="L8" i="14"/>
  <c r="F8" i="14"/>
  <c r="AK17" i="13"/>
  <c r="AJ17" i="13"/>
  <c r="AH17" i="13"/>
  <c r="Z17" i="13"/>
  <c r="P17" i="13"/>
  <c r="N17" i="13"/>
  <c r="M17" i="13"/>
  <c r="K17" i="13"/>
  <c r="AE16" i="13"/>
  <c r="P16" i="13"/>
  <c r="A16" i="13"/>
  <c r="AR15" i="13"/>
  <c r="AS15" i="13" s="1"/>
  <c r="AO15" i="13"/>
  <c r="AP15" i="13" s="1"/>
  <c r="AL15" i="13"/>
  <c r="AM15" i="13" s="1"/>
  <c r="AI15" i="13"/>
  <c r="AJ15" i="13" s="1"/>
  <c r="P15" i="13"/>
  <c r="A15" i="13"/>
  <c r="AE14" i="13"/>
  <c r="A14" i="13"/>
  <c r="AE13" i="13"/>
  <c r="U13" i="13"/>
  <c r="R13" i="13"/>
  <c r="AE12" i="13"/>
  <c r="AE11" i="13"/>
  <c r="U11" i="13"/>
  <c r="R11" i="13"/>
  <c r="BA10" i="13"/>
  <c r="AE10" i="13"/>
  <c r="BA9" i="13"/>
  <c r="AE9" i="13"/>
  <c r="AB9" i="13"/>
  <c r="AE8" i="13"/>
  <c r="AE6" i="13"/>
  <c r="AB6" i="13"/>
  <c r="R6" i="13"/>
  <c r="U6" i="13" s="1"/>
  <c r="AF5" i="13"/>
  <c r="AE5" i="13"/>
  <c r="AD5" i="13"/>
  <c r="U5" i="13"/>
  <c r="AB5" i="13" s="1"/>
  <c r="R5" i="13"/>
  <c r="AD4" i="13"/>
  <c r="AC4" i="13"/>
  <c r="AB4" i="13"/>
  <c r="S4" i="13"/>
  <c r="AS3" i="13"/>
  <c r="AG3" i="13"/>
  <c r="AD3" i="13"/>
  <c r="AC3" i="13"/>
  <c r="AF3" i="13" s="1"/>
  <c r="AF17" i="13" s="1"/>
  <c r="AB3" i="13"/>
  <c r="AG2" i="13"/>
  <c r="AG17" i="13" s="1"/>
  <c r="AD2" i="13"/>
  <c r="AC2" i="13"/>
  <c r="AB2" i="13"/>
  <c r="AF2" i="13" s="1"/>
  <c r="AO98" i="12"/>
  <c r="AK98" i="12"/>
  <c r="AG98" i="12"/>
  <c r="AC98" i="12"/>
  <c r="Z98" i="12"/>
  <c r="Y98" i="12"/>
  <c r="X98" i="12"/>
  <c r="T98" i="12"/>
  <c r="S98" i="12"/>
  <c r="N98" i="12"/>
  <c r="M98" i="12"/>
  <c r="L98" i="12"/>
  <c r="K98" i="12"/>
  <c r="AF97" i="12"/>
  <c r="Q97" i="12"/>
  <c r="O97" i="12"/>
  <c r="P97" i="12" s="1"/>
  <c r="AF96" i="12"/>
  <c r="O96" i="12"/>
  <c r="P96" i="12" s="1"/>
  <c r="Q96" i="12" s="1"/>
  <c r="P95" i="12"/>
  <c r="Q95" i="12" s="1"/>
  <c r="O95" i="12"/>
  <c r="O94" i="12"/>
  <c r="P94" i="12" s="1"/>
  <c r="Q94" i="12" s="1"/>
  <c r="P93" i="12"/>
  <c r="Q93" i="12" s="1"/>
  <c r="O93" i="12"/>
  <c r="O92" i="12"/>
  <c r="P92" i="12" s="1"/>
  <c r="Q92" i="12" s="1"/>
  <c r="O91" i="12"/>
  <c r="P91" i="12" s="1"/>
  <c r="P90" i="12"/>
  <c r="Q90" i="12" s="1"/>
  <c r="O90" i="12"/>
  <c r="U89" i="12"/>
  <c r="P89" i="12"/>
  <c r="O89" i="12"/>
  <c r="Q89" i="12" s="1"/>
  <c r="U88" i="12"/>
  <c r="P88" i="12"/>
  <c r="Q88" i="12" s="1"/>
  <c r="O88" i="12"/>
  <c r="U87" i="12"/>
  <c r="P87" i="12"/>
  <c r="Q87" i="12" s="1"/>
  <c r="O87" i="12"/>
  <c r="O86" i="12"/>
  <c r="P86" i="12" s="1"/>
  <c r="Q86" i="12" s="1"/>
  <c r="P85" i="12"/>
  <c r="Q85" i="12" s="1"/>
  <c r="O85" i="12"/>
  <c r="O84" i="12"/>
  <c r="P84" i="12" s="1"/>
  <c r="Q84" i="12" s="1"/>
  <c r="O83" i="12"/>
  <c r="P83" i="12" s="1"/>
  <c r="AR82" i="12"/>
  <c r="AS82" i="12" s="1"/>
  <c r="AO82" i="12"/>
  <c r="AP82" i="12" s="1"/>
  <c r="AL82" i="12"/>
  <c r="AM82" i="12" s="1"/>
  <c r="AI82" i="12"/>
  <c r="AJ82" i="12" s="1"/>
  <c r="P82" i="12"/>
  <c r="Q82" i="12" s="1"/>
  <c r="O82" i="12"/>
  <c r="AS81" i="12"/>
  <c r="AR81" i="12"/>
  <c r="AP81" i="12"/>
  <c r="AO81" i="12"/>
  <c r="AM81" i="12"/>
  <c r="AL81" i="12"/>
  <c r="AJ81" i="12"/>
  <c r="AI81" i="12"/>
  <c r="P81" i="12"/>
  <c r="O81" i="12"/>
  <c r="AR80" i="12"/>
  <c r="AS80" i="12" s="1"/>
  <c r="AO80" i="12"/>
  <c r="AP80" i="12" s="1"/>
  <c r="AL80" i="12"/>
  <c r="AM80" i="12" s="1"/>
  <c r="AI80" i="12"/>
  <c r="AJ80" i="12" s="1"/>
  <c r="O80" i="12"/>
  <c r="P80" i="12" s="1"/>
  <c r="AS79" i="12"/>
  <c r="AR79" i="12"/>
  <c r="AP79" i="12"/>
  <c r="AO79" i="12"/>
  <c r="AM79" i="12"/>
  <c r="AL79" i="12"/>
  <c r="AJ79" i="12"/>
  <c r="AI79" i="12"/>
  <c r="P79" i="12"/>
  <c r="O79" i="12"/>
  <c r="AR78" i="12"/>
  <c r="AS78" i="12" s="1"/>
  <c r="AO78" i="12"/>
  <c r="AP78" i="12" s="1"/>
  <c r="AL78" i="12"/>
  <c r="AM78" i="12" s="1"/>
  <c r="AI78" i="12"/>
  <c r="AJ78" i="12" s="1"/>
  <c r="O78" i="12"/>
  <c r="P78" i="12" s="1"/>
  <c r="AS77" i="12"/>
  <c r="AR77" i="12"/>
  <c r="AP77" i="12"/>
  <c r="AO77" i="12"/>
  <c r="AM77" i="12"/>
  <c r="AL77" i="12"/>
  <c r="AJ77" i="12"/>
  <c r="AI77" i="12"/>
  <c r="Q77" i="12"/>
  <c r="O77" i="12"/>
  <c r="P77" i="12" s="1"/>
  <c r="AS76" i="12"/>
  <c r="AR76" i="12"/>
  <c r="AP76" i="12"/>
  <c r="AO76" i="12"/>
  <c r="AM76" i="12"/>
  <c r="AL76" i="12"/>
  <c r="AJ76" i="12"/>
  <c r="AI76" i="12"/>
  <c r="M76" i="12"/>
  <c r="K76" i="12"/>
  <c r="O76" i="12" s="1"/>
  <c r="P76" i="12" s="1"/>
  <c r="Q76" i="12" s="1"/>
  <c r="AS75" i="12"/>
  <c r="AR75" i="12"/>
  <c r="AP75" i="12"/>
  <c r="AO75" i="12"/>
  <c r="AM75" i="12"/>
  <c r="AL75" i="12"/>
  <c r="AJ75" i="12"/>
  <c r="AI75" i="12"/>
  <c r="M75" i="12"/>
  <c r="K75" i="12"/>
  <c r="O75" i="12" s="1"/>
  <c r="P75" i="12" s="1"/>
  <c r="Q75" i="12" s="1"/>
  <c r="AS74" i="12"/>
  <c r="AR74" i="12"/>
  <c r="AP74" i="12"/>
  <c r="AO74" i="12"/>
  <c r="AM74" i="12"/>
  <c r="AL74" i="12"/>
  <c r="AJ74" i="12"/>
  <c r="AI74" i="12"/>
  <c r="Q74" i="12"/>
  <c r="P74" i="12"/>
  <c r="A74" i="12"/>
  <c r="A75" i="12" s="1"/>
  <c r="A76" i="12" s="1"/>
  <c r="A77" i="12" s="1"/>
  <c r="A78" i="12" s="1"/>
  <c r="A79" i="12" s="1"/>
  <c r="A80" i="12" s="1"/>
  <c r="A81" i="12" s="1"/>
  <c r="AR73" i="12"/>
  <c r="AO73" i="12"/>
  <c r="AP73" i="12" s="1"/>
  <c r="AL73" i="12"/>
  <c r="AM73" i="12" s="1"/>
  <c r="AI73" i="12"/>
  <c r="AJ73" i="12" s="1"/>
  <c r="M73" i="12"/>
  <c r="K73" i="12"/>
  <c r="O73" i="12" s="1"/>
  <c r="P73" i="12" s="1"/>
  <c r="AE71" i="12"/>
  <c r="Q71" i="12"/>
  <c r="P71" i="12"/>
  <c r="AE70" i="12"/>
  <c r="Q70" i="12"/>
  <c r="AE69" i="12"/>
  <c r="Q69" i="12"/>
  <c r="AE68" i="12"/>
  <c r="AE67" i="12"/>
  <c r="AE66" i="12"/>
  <c r="AE65" i="12"/>
  <c r="AE64" i="12"/>
  <c r="AE63" i="12"/>
  <c r="AE62" i="12"/>
  <c r="AE61" i="12"/>
  <c r="AE60" i="12"/>
  <c r="AE59" i="12"/>
  <c r="P59" i="12"/>
  <c r="AE58" i="12"/>
  <c r="AE57" i="12"/>
  <c r="AE56" i="12"/>
  <c r="AE55" i="12"/>
  <c r="AE54" i="12"/>
  <c r="A54" i="12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E53" i="12"/>
  <c r="R53" i="12"/>
  <c r="U53" i="12" s="1"/>
  <c r="AE51" i="12"/>
  <c r="U51" i="12"/>
  <c r="R51" i="12"/>
  <c r="AE50" i="12"/>
  <c r="R50" i="12"/>
  <c r="AE49" i="12"/>
  <c r="R49" i="12"/>
  <c r="U49" i="12" s="1"/>
  <c r="BA48" i="12"/>
  <c r="AF48" i="12"/>
  <c r="AE48" i="12"/>
  <c r="AD48" i="12"/>
  <c r="U48" i="12"/>
  <c r="AB48" i="12" s="1"/>
  <c r="R48" i="12"/>
  <c r="AE47" i="12"/>
  <c r="R47" i="12"/>
  <c r="BA46" i="12"/>
  <c r="AE46" i="12"/>
  <c r="U46" i="12"/>
  <c r="R46" i="12"/>
  <c r="AE45" i="12"/>
  <c r="R45" i="12"/>
  <c r="BA44" i="12"/>
  <c r="AF44" i="12"/>
  <c r="AE44" i="12"/>
  <c r="AD44" i="12"/>
  <c r="U44" i="12"/>
  <c r="AB44" i="12" s="1"/>
  <c r="R44" i="12"/>
  <c r="AF43" i="12"/>
  <c r="AE43" i="12"/>
  <c r="AD43" i="12"/>
  <c r="U43" i="12"/>
  <c r="AB43" i="12" s="1"/>
  <c r="R43" i="12"/>
  <c r="AF42" i="12"/>
  <c r="AE42" i="12"/>
  <c r="AD42" i="12"/>
  <c r="U42" i="12"/>
  <c r="AB42" i="12" s="1"/>
  <c r="R42" i="12"/>
  <c r="AF41" i="12"/>
  <c r="AE41" i="12"/>
  <c r="AD41" i="12"/>
  <c r="U41" i="12"/>
  <c r="AB41" i="12" s="1"/>
  <c r="R41" i="12"/>
  <c r="AF40" i="12"/>
  <c r="AE40" i="12"/>
  <c r="AD40" i="12"/>
  <c r="U40" i="12"/>
  <c r="AB40" i="12" s="1"/>
  <c r="R40" i="12"/>
  <c r="AF39" i="12"/>
  <c r="AE39" i="12"/>
  <c r="AD39" i="12"/>
  <c r="U39" i="12"/>
  <c r="AB39" i="12" s="1"/>
  <c r="R39" i="12"/>
  <c r="AM38" i="12"/>
  <c r="AE38" i="12"/>
  <c r="R38" i="12"/>
  <c r="U38" i="12" s="1"/>
  <c r="BA37" i="12"/>
  <c r="AM37" i="12"/>
  <c r="AL37" i="12"/>
  <c r="AF37" i="12"/>
  <c r="AE37" i="12"/>
  <c r="AD37" i="12"/>
  <c r="U37" i="12"/>
  <c r="AB37" i="12" s="1"/>
  <c r="R37" i="12"/>
  <c r="AF36" i="12"/>
  <c r="AE36" i="12"/>
  <c r="AD36" i="12"/>
  <c r="U36" i="12"/>
  <c r="AB36" i="12" s="1"/>
  <c r="R36" i="12"/>
  <c r="AF35" i="12"/>
  <c r="AE35" i="12"/>
  <c r="AD35" i="12"/>
  <c r="U35" i="12"/>
  <c r="AB35" i="12" s="1"/>
  <c r="R35" i="12"/>
  <c r="AE34" i="12"/>
  <c r="R34" i="12"/>
  <c r="BA33" i="12"/>
  <c r="AE33" i="12"/>
  <c r="U33" i="12"/>
  <c r="R33" i="12"/>
  <c r="AE32" i="12"/>
  <c r="R32" i="12"/>
  <c r="BA31" i="12"/>
  <c r="AF31" i="12"/>
  <c r="AE31" i="12"/>
  <c r="AD31" i="12"/>
  <c r="U31" i="12"/>
  <c r="AB31" i="12" s="1"/>
  <c r="R31" i="12"/>
  <c r="AF30" i="12"/>
  <c r="AE30" i="12"/>
  <c r="AD30" i="12"/>
  <c r="U30" i="12"/>
  <c r="AB30" i="12" s="1"/>
  <c r="R30" i="12"/>
  <c r="AF29" i="12"/>
  <c r="AE29" i="12"/>
  <c r="AD29" i="12"/>
  <c r="U29" i="12"/>
  <c r="AB29" i="12" s="1"/>
  <c r="R29" i="12"/>
  <c r="AF28" i="12"/>
  <c r="AE28" i="12"/>
  <c r="AD28" i="12"/>
  <c r="U28" i="12"/>
  <c r="AB28" i="12" s="1"/>
  <c r="R28" i="12"/>
  <c r="AE27" i="12"/>
  <c r="R27" i="12"/>
  <c r="BA26" i="12"/>
  <c r="AE26" i="12"/>
  <c r="U26" i="12"/>
  <c r="R26" i="12"/>
  <c r="AE25" i="12"/>
  <c r="R25" i="12"/>
  <c r="AE24" i="12"/>
  <c r="R24" i="12"/>
  <c r="U24" i="12" s="1"/>
  <c r="AE23" i="12"/>
  <c r="R23" i="12"/>
  <c r="U23" i="12" s="1"/>
  <c r="BA22" i="12"/>
  <c r="AE22" i="12"/>
  <c r="U22" i="12"/>
  <c r="R22" i="12"/>
  <c r="A22" i="12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E21" i="12"/>
  <c r="R21" i="12"/>
  <c r="AE20" i="12"/>
  <c r="R20" i="12"/>
  <c r="U20" i="12" s="1"/>
  <c r="A20" i="12"/>
  <c r="A21" i="12" s="1"/>
  <c r="BA19" i="12"/>
  <c r="AF19" i="12"/>
  <c r="AE19" i="12"/>
  <c r="AD19" i="12"/>
  <c r="U19" i="12"/>
  <c r="R19" i="12"/>
  <c r="AE17" i="12"/>
  <c r="AB17" i="12"/>
  <c r="R17" i="12"/>
  <c r="U17" i="12" s="1"/>
  <c r="BA16" i="12"/>
  <c r="AF16" i="12"/>
  <c r="AE16" i="12"/>
  <c r="AD16" i="12"/>
  <c r="U16" i="12"/>
  <c r="R16" i="12"/>
  <c r="AE15" i="12"/>
  <c r="R15" i="12"/>
  <c r="BA14" i="12"/>
  <c r="AE14" i="12"/>
  <c r="U14" i="12"/>
  <c r="R14" i="12"/>
  <c r="A14" i="12"/>
  <c r="A15" i="12" s="1"/>
  <c r="A16" i="12" s="1"/>
  <c r="A17" i="12" s="1"/>
  <c r="AE13" i="12"/>
  <c r="R13" i="12"/>
  <c r="A13" i="12"/>
  <c r="BA12" i="12"/>
  <c r="AE12" i="12"/>
  <c r="U12" i="12"/>
  <c r="R12" i="12"/>
  <c r="O12" i="12"/>
  <c r="BA10" i="12"/>
  <c r="AE10" i="12"/>
  <c r="U10" i="12"/>
  <c r="AE9" i="12"/>
  <c r="W9" i="12"/>
  <c r="U9" i="12"/>
  <c r="V9" i="12" s="1"/>
  <c r="R9" i="12"/>
  <c r="BA9" i="12" s="1"/>
  <c r="BA8" i="12"/>
  <c r="AE8" i="12"/>
  <c r="W8" i="12"/>
  <c r="U8" i="12"/>
  <c r="V8" i="12" s="1"/>
  <c r="R8" i="12"/>
  <c r="BA7" i="12"/>
  <c r="AE7" i="12"/>
  <c r="V7" i="12"/>
  <c r="U7" i="12"/>
  <c r="W7" i="12" s="1"/>
  <c r="G7" i="12"/>
  <c r="BA6" i="12"/>
  <c r="AE6" i="12"/>
  <c r="R6" i="12"/>
  <c r="U6" i="12" s="1"/>
  <c r="AE5" i="12"/>
  <c r="U5" i="12"/>
  <c r="R5" i="12"/>
  <c r="BA4" i="12"/>
  <c r="AE4" i="12"/>
  <c r="U4" i="12"/>
  <c r="R4" i="12"/>
  <c r="BA3" i="12"/>
  <c r="AE3" i="12"/>
  <c r="U3" i="12"/>
  <c r="R3" i="12"/>
  <c r="AE2" i="12"/>
  <c r="U2" i="12"/>
  <c r="G29" i="11"/>
  <c r="E29" i="11"/>
  <c r="C29" i="11"/>
  <c r="H28" i="11"/>
  <c r="F28" i="11"/>
  <c r="D28" i="11"/>
  <c r="B28" i="11"/>
  <c r="J27" i="11"/>
  <c r="H27" i="11"/>
  <c r="F27" i="11"/>
  <c r="D27" i="11"/>
  <c r="I27" i="11" s="1"/>
  <c r="B27" i="11"/>
  <c r="H26" i="11"/>
  <c r="F26" i="11"/>
  <c r="D26" i="11"/>
  <c r="B26" i="11"/>
  <c r="J25" i="11"/>
  <c r="H25" i="11"/>
  <c r="F25" i="11"/>
  <c r="D25" i="11"/>
  <c r="I25" i="11" s="1"/>
  <c r="B25" i="11"/>
  <c r="H24" i="11"/>
  <c r="F24" i="11"/>
  <c r="D24" i="11"/>
  <c r="B24" i="11"/>
  <c r="J23" i="11"/>
  <c r="H23" i="11"/>
  <c r="F23" i="11"/>
  <c r="D23" i="11"/>
  <c r="I23" i="11" s="1"/>
  <c r="B23" i="11"/>
  <c r="H22" i="11"/>
  <c r="F22" i="11"/>
  <c r="D22" i="11"/>
  <c r="B22" i="11"/>
  <c r="J21" i="11"/>
  <c r="H21" i="11"/>
  <c r="F21" i="11"/>
  <c r="D21" i="11"/>
  <c r="I21" i="11" s="1"/>
  <c r="B21" i="11"/>
  <c r="H20" i="11"/>
  <c r="F20" i="11"/>
  <c r="D20" i="11"/>
  <c r="B20" i="11"/>
  <c r="J19" i="11"/>
  <c r="H19" i="11"/>
  <c r="F19" i="11"/>
  <c r="D19" i="11"/>
  <c r="I19" i="11" s="1"/>
  <c r="B19" i="11"/>
  <c r="H18" i="11"/>
  <c r="F18" i="11"/>
  <c r="D18" i="11"/>
  <c r="B18" i="11"/>
  <c r="J17" i="11"/>
  <c r="H17" i="11"/>
  <c r="F17" i="11"/>
  <c r="D17" i="11"/>
  <c r="I17" i="11" s="1"/>
  <c r="B17" i="11"/>
  <c r="H16" i="11"/>
  <c r="F16" i="11"/>
  <c r="D16" i="11"/>
  <c r="B16" i="11"/>
  <c r="J15" i="11"/>
  <c r="H15" i="11"/>
  <c r="F15" i="11"/>
  <c r="D15" i="11"/>
  <c r="I15" i="11" s="1"/>
  <c r="H14" i="11"/>
  <c r="F14" i="11"/>
  <c r="I14" i="11" s="1"/>
  <c r="D14" i="11"/>
  <c r="J13" i="11"/>
  <c r="H13" i="11"/>
  <c r="F13" i="11"/>
  <c r="D13" i="11"/>
  <c r="I13" i="11" s="1"/>
  <c r="B13" i="11"/>
  <c r="H12" i="11"/>
  <c r="F12" i="11"/>
  <c r="D12" i="11"/>
  <c r="B12" i="11"/>
  <c r="J11" i="11"/>
  <c r="H11" i="11"/>
  <c r="F11" i="11"/>
  <c r="D11" i="11"/>
  <c r="I11" i="11" s="1"/>
  <c r="B11" i="11"/>
  <c r="H10" i="11"/>
  <c r="F10" i="11"/>
  <c r="D10" i="11"/>
  <c r="B10" i="11"/>
  <c r="J9" i="11"/>
  <c r="H9" i="11"/>
  <c r="F9" i="11"/>
  <c r="D9" i="11"/>
  <c r="I9" i="11" s="1"/>
  <c r="B9" i="11"/>
  <c r="H8" i="11"/>
  <c r="F8" i="11"/>
  <c r="D8" i="11"/>
  <c r="B8" i="11"/>
  <c r="J7" i="11"/>
  <c r="H7" i="11"/>
  <c r="F7" i="11"/>
  <c r="D7" i="11"/>
  <c r="I7" i="11" s="1"/>
  <c r="B7" i="11"/>
  <c r="H6" i="11"/>
  <c r="F6" i="11"/>
  <c r="D6" i="11"/>
  <c r="B6" i="11"/>
  <c r="J5" i="11"/>
  <c r="H5" i="11"/>
  <c r="F5" i="11"/>
  <c r="D5" i="11"/>
  <c r="I5" i="11" s="1"/>
  <c r="B5" i="11"/>
  <c r="H4" i="11"/>
  <c r="F4" i="11"/>
  <c r="D4" i="11"/>
  <c r="B4" i="11"/>
  <c r="B29" i="11" s="1"/>
  <c r="G28" i="10"/>
  <c r="E28" i="10"/>
  <c r="C28" i="10"/>
  <c r="H27" i="10"/>
  <c r="F27" i="10"/>
  <c r="I27" i="10" s="1"/>
  <c r="D27" i="10"/>
  <c r="B27" i="10"/>
  <c r="K26" i="10"/>
  <c r="N26" i="10" s="1"/>
  <c r="H26" i="10"/>
  <c r="F26" i="10"/>
  <c r="I26" i="10" s="1"/>
  <c r="D26" i="10"/>
  <c r="J26" i="10" s="1"/>
  <c r="B26" i="10"/>
  <c r="H25" i="10"/>
  <c r="F25" i="10"/>
  <c r="I25" i="10" s="1"/>
  <c r="D25" i="10"/>
  <c r="B25" i="10"/>
  <c r="H24" i="10"/>
  <c r="F24" i="10"/>
  <c r="I24" i="10" s="1"/>
  <c r="D24" i="10"/>
  <c r="J24" i="10" s="1"/>
  <c r="B24" i="10"/>
  <c r="H23" i="10"/>
  <c r="F23" i="10"/>
  <c r="I23" i="10" s="1"/>
  <c r="D23" i="10"/>
  <c r="B23" i="10"/>
  <c r="K22" i="10"/>
  <c r="N22" i="10" s="1"/>
  <c r="H22" i="10"/>
  <c r="F22" i="10"/>
  <c r="I22" i="10" s="1"/>
  <c r="D22" i="10"/>
  <c r="J22" i="10" s="1"/>
  <c r="B22" i="10"/>
  <c r="H21" i="10"/>
  <c r="F21" i="10"/>
  <c r="I21" i="10" s="1"/>
  <c r="D21" i="10"/>
  <c r="B21" i="10"/>
  <c r="H20" i="10"/>
  <c r="F20" i="10"/>
  <c r="I20" i="10" s="1"/>
  <c r="D20" i="10"/>
  <c r="J20" i="10" s="1"/>
  <c r="B20" i="10"/>
  <c r="H19" i="10"/>
  <c r="F19" i="10"/>
  <c r="I19" i="10" s="1"/>
  <c r="D19" i="10"/>
  <c r="B19" i="10"/>
  <c r="K18" i="10"/>
  <c r="N18" i="10" s="1"/>
  <c r="H18" i="10"/>
  <c r="F18" i="10"/>
  <c r="I18" i="10" s="1"/>
  <c r="D18" i="10"/>
  <c r="J18" i="10" s="1"/>
  <c r="B18" i="10"/>
  <c r="H17" i="10"/>
  <c r="F17" i="10"/>
  <c r="I17" i="10" s="1"/>
  <c r="D17" i="10"/>
  <c r="B17" i="10"/>
  <c r="H16" i="10"/>
  <c r="F16" i="10"/>
  <c r="I16" i="10" s="1"/>
  <c r="D16" i="10"/>
  <c r="J16" i="10" s="1"/>
  <c r="B16" i="10"/>
  <c r="H15" i="10"/>
  <c r="F15" i="10"/>
  <c r="I15" i="10" s="1"/>
  <c r="D15" i="10"/>
  <c r="J14" i="10"/>
  <c r="H14" i="10"/>
  <c r="H28" i="10" s="1"/>
  <c r="F14" i="10"/>
  <c r="D14" i="10"/>
  <c r="I14" i="10" s="1"/>
  <c r="H13" i="10"/>
  <c r="F13" i="10"/>
  <c r="I13" i="10" s="1"/>
  <c r="D13" i="10"/>
  <c r="B13" i="10"/>
  <c r="K12" i="10"/>
  <c r="N12" i="10" s="1"/>
  <c r="H12" i="10"/>
  <c r="F12" i="10"/>
  <c r="I12" i="10" s="1"/>
  <c r="D12" i="10"/>
  <c r="J12" i="10" s="1"/>
  <c r="B12" i="10"/>
  <c r="H11" i="10"/>
  <c r="F11" i="10"/>
  <c r="I11" i="10" s="1"/>
  <c r="D11" i="10"/>
  <c r="B11" i="10"/>
  <c r="H10" i="10"/>
  <c r="F10" i="10"/>
  <c r="I10" i="10" s="1"/>
  <c r="D10" i="10"/>
  <c r="J10" i="10" s="1"/>
  <c r="B10" i="10"/>
  <c r="H9" i="10"/>
  <c r="F9" i="10"/>
  <c r="I9" i="10" s="1"/>
  <c r="D9" i="10"/>
  <c r="B9" i="10"/>
  <c r="K8" i="10"/>
  <c r="N8" i="10" s="1"/>
  <c r="H8" i="10"/>
  <c r="F8" i="10"/>
  <c r="I8" i="10" s="1"/>
  <c r="D8" i="10"/>
  <c r="J8" i="10" s="1"/>
  <c r="B8" i="10"/>
  <c r="H7" i="10"/>
  <c r="F7" i="10"/>
  <c r="I7" i="10" s="1"/>
  <c r="D7" i="10"/>
  <c r="B7" i="10"/>
  <c r="H6" i="10"/>
  <c r="F6" i="10"/>
  <c r="I6" i="10" s="1"/>
  <c r="D6" i="10"/>
  <c r="J6" i="10" s="1"/>
  <c r="B6" i="10"/>
  <c r="H5" i="10"/>
  <c r="F5" i="10"/>
  <c r="I5" i="10" s="1"/>
  <c r="D5" i="10"/>
  <c r="B5" i="10"/>
  <c r="K4" i="10"/>
  <c r="N4" i="10" s="1"/>
  <c r="H4" i="10"/>
  <c r="F4" i="10"/>
  <c r="F28" i="10" s="1"/>
  <c r="D4" i="10"/>
  <c r="J4" i="10" s="1"/>
  <c r="B4" i="10"/>
  <c r="B28" i="10" s="1"/>
  <c r="G29" i="9"/>
  <c r="E29" i="9"/>
  <c r="C29" i="9"/>
  <c r="J28" i="9"/>
  <c r="H28" i="9"/>
  <c r="F28" i="9"/>
  <c r="D28" i="9"/>
  <c r="I28" i="9" s="1"/>
  <c r="B28" i="9"/>
  <c r="H27" i="9"/>
  <c r="F27" i="9"/>
  <c r="D27" i="9"/>
  <c r="B27" i="9"/>
  <c r="J26" i="9"/>
  <c r="H26" i="9"/>
  <c r="F26" i="9"/>
  <c r="D26" i="9"/>
  <c r="I26" i="9" s="1"/>
  <c r="B26" i="9"/>
  <c r="H25" i="9"/>
  <c r="F25" i="9"/>
  <c r="D25" i="9"/>
  <c r="B25" i="9"/>
  <c r="J24" i="9"/>
  <c r="H24" i="9"/>
  <c r="F24" i="9"/>
  <c r="D24" i="9"/>
  <c r="I24" i="9" s="1"/>
  <c r="B24" i="9"/>
  <c r="H23" i="9"/>
  <c r="F23" i="9"/>
  <c r="D23" i="9"/>
  <c r="B23" i="9"/>
  <c r="J22" i="9"/>
  <c r="H22" i="9"/>
  <c r="F22" i="9"/>
  <c r="D22" i="9"/>
  <c r="I22" i="9" s="1"/>
  <c r="B22" i="9"/>
  <c r="H21" i="9"/>
  <c r="F21" i="9"/>
  <c r="D21" i="9"/>
  <c r="B21" i="9"/>
  <c r="J20" i="9"/>
  <c r="H20" i="9"/>
  <c r="F20" i="9"/>
  <c r="D20" i="9"/>
  <c r="I20" i="9" s="1"/>
  <c r="B20" i="9"/>
  <c r="H19" i="9"/>
  <c r="F19" i="9"/>
  <c r="D19" i="9"/>
  <c r="B19" i="9"/>
  <c r="J18" i="9"/>
  <c r="H18" i="9"/>
  <c r="F18" i="9"/>
  <c r="D18" i="9"/>
  <c r="I18" i="9" s="1"/>
  <c r="B18" i="9"/>
  <c r="H17" i="9"/>
  <c r="F17" i="9"/>
  <c r="D17" i="9"/>
  <c r="B17" i="9"/>
  <c r="J16" i="9"/>
  <c r="H16" i="9"/>
  <c r="F16" i="9"/>
  <c r="D16" i="9"/>
  <c r="I16" i="9" s="1"/>
  <c r="B16" i="9"/>
  <c r="H15" i="9"/>
  <c r="F15" i="9"/>
  <c r="D15" i="9"/>
  <c r="K14" i="9"/>
  <c r="N14" i="9" s="1"/>
  <c r="H14" i="9"/>
  <c r="F14" i="9"/>
  <c r="I14" i="9" s="1"/>
  <c r="D14" i="9"/>
  <c r="J14" i="9" s="1"/>
  <c r="H13" i="9"/>
  <c r="F13" i="9"/>
  <c r="D13" i="9"/>
  <c r="B13" i="9"/>
  <c r="J12" i="9"/>
  <c r="H12" i="9"/>
  <c r="F12" i="9"/>
  <c r="D12" i="9"/>
  <c r="I12" i="9" s="1"/>
  <c r="B12" i="9"/>
  <c r="H11" i="9"/>
  <c r="F11" i="9"/>
  <c r="D11" i="9"/>
  <c r="B11" i="9"/>
  <c r="J10" i="9"/>
  <c r="H10" i="9"/>
  <c r="F10" i="9"/>
  <c r="D10" i="9"/>
  <c r="I10" i="9" s="1"/>
  <c r="B10" i="9"/>
  <c r="H9" i="9"/>
  <c r="F9" i="9"/>
  <c r="D9" i="9"/>
  <c r="B9" i="9"/>
  <c r="J8" i="9"/>
  <c r="H8" i="9"/>
  <c r="F8" i="9"/>
  <c r="D8" i="9"/>
  <c r="I8" i="9" s="1"/>
  <c r="B8" i="9"/>
  <c r="H7" i="9"/>
  <c r="F7" i="9"/>
  <c r="D7" i="9"/>
  <c r="B7" i="9"/>
  <c r="J6" i="9"/>
  <c r="H6" i="9"/>
  <c r="F6" i="9"/>
  <c r="D6" i="9"/>
  <c r="I6" i="9" s="1"/>
  <c r="B6" i="9"/>
  <c r="H5" i="9"/>
  <c r="F5" i="9"/>
  <c r="D5" i="9"/>
  <c r="B5" i="9"/>
  <c r="J4" i="9"/>
  <c r="H4" i="9"/>
  <c r="F4" i="9"/>
  <c r="F29" i="9" s="1"/>
  <c r="D4" i="9"/>
  <c r="B4" i="9"/>
  <c r="B29" i="9" s="1"/>
  <c r="G29" i="8"/>
  <c r="E29" i="8"/>
  <c r="C29" i="8"/>
  <c r="H28" i="8"/>
  <c r="F28" i="8"/>
  <c r="I28" i="8" s="1"/>
  <c r="D28" i="8"/>
  <c r="J28" i="8" s="1"/>
  <c r="B28" i="8"/>
  <c r="H27" i="8"/>
  <c r="F27" i="8"/>
  <c r="I27" i="8" s="1"/>
  <c r="D27" i="8"/>
  <c r="B27" i="8"/>
  <c r="K26" i="8"/>
  <c r="N26" i="8" s="1"/>
  <c r="H26" i="8"/>
  <c r="F26" i="8"/>
  <c r="I26" i="8" s="1"/>
  <c r="D26" i="8"/>
  <c r="J26" i="8" s="1"/>
  <c r="B26" i="8"/>
  <c r="H25" i="8"/>
  <c r="F25" i="8"/>
  <c r="I25" i="8" s="1"/>
  <c r="D25" i="8"/>
  <c r="B25" i="8"/>
  <c r="H24" i="8"/>
  <c r="F24" i="8"/>
  <c r="I24" i="8" s="1"/>
  <c r="D24" i="8"/>
  <c r="J24" i="8" s="1"/>
  <c r="B24" i="8"/>
  <c r="H23" i="8"/>
  <c r="F23" i="8"/>
  <c r="I23" i="8" s="1"/>
  <c r="D23" i="8"/>
  <c r="B23" i="8"/>
  <c r="K22" i="8"/>
  <c r="N22" i="8" s="1"/>
  <c r="H22" i="8"/>
  <c r="F22" i="8"/>
  <c r="I22" i="8" s="1"/>
  <c r="D22" i="8"/>
  <c r="J22" i="8" s="1"/>
  <c r="B22" i="8"/>
  <c r="H21" i="8"/>
  <c r="F21" i="8"/>
  <c r="I21" i="8" s="1"/>
  <c r="D21" i="8"/>
  <c r="B21" i="8"/>
  <c r="H20" i="8"/>
  <c r="F20" i="8"/>
  <c r="I20" i="8" s="1"/>
  <c r="D20" i="8"/>
  <c r="J20" i="8" s="1"/>
  <c r="B20" i="8"/>
  <c r="H19" i="8"/>
  <c r="F19" i="8"/>
  <c r="I19" i="8" s="1"/>
  <c r="D19" i="8"/>
  <c r="B19" i="8"/>
  <c r="K18" i="8"/>
  <c r="N18" i="8" s="1"/>
  <c r="H18" i="8"/>
  <c r="F18" i="8"/>
  <c r="I18" i="8" s="1"/>
  <c r="D18" i="8"/>
  <c r="J18" i="8" s="1"/>
  <c r="B18" i="8"/>
  <c r="H17" i="8"/>
  <c r="F17" i="8"/>
  <c r="I17" i="8" s="1"/>
  <c r="D17" i="8"/>
  <c r="B17" i="8"/>
  <c r="H16" i="8"/>
  <c r="F16" i="8"/>
  <c r="I16" i="8" s="1"/>
  <c r="D16" i="8"/>
  <c r="J16" i="8" s="1"/>
  <c r="B16" i="8"/>
  <c r="H15" i="8"/>
  <c r="F15" i="8"/>
  <c r="I15" i="8" s="1"/>
  <c r="D15" i="8"/>
  <c r="B15" i="8"/>
  <c r="K14" i="8"/>
  <c r="N14" i="8" s="1"/>
  <c r="H14" i="8"/>
  <c r="F14" i="8"/>
  <c r="I14" i="8" s="1"/>
  <c r="D14" i="8"/>
  <c r="J14" i="8" s="1"/>
  <c r="B14" i="8"/>
  <c r="H13" i="8"/>
  <c r="F13" i="8"/>
  <c r="I13" i="8" s="1"/>
  <c r="D13" i="8"/>
  <c r="B13" i="8"/>
  <c r="H12" i="8"/>
  <c r="F12" i="8"/>
  <c r="I12" i="8" s="1"/>
  <c r="D12" i="8"/>
  <c r="J12" i="8" s="1"/>
  <c r="B12" i="8"/>
  <c r="H11" i="8"/>
  <c r="F11" i="8"/>
  <c r="I11" i="8" s="1"/>
  <c r="D11" i="8"/>
  <c r="B11" i="8"/>
  <c r="K10" i="8"/>
  <c r="N10" i="8" s="1"/>
  <c r="H10" i="8"/>
  <c r="F10" i="8"/>
  <c r="I10" i="8" s="1"/>
  <c r="D10" i="8"/>
  <c r="J10" i="8" s="1"/>
  <c r="B10" i="8"/>
  <c r="H9" i="8"/>
  <c r="F9" i="8"/>
  <c r="F29" i="8" s="1"/>
  <c r="D9" i="8"/>
  <c r="B9" i="8"/>
  <c r="B29" i="8" s="1"/>
  <c r="H8" i="8"/>
  <c r="F8" i="8"/>
  <c r="I8" i="8" s="1"/>
  <c r="D8" i="8"/>
  <c r="J8" i="8" s="1"/>
  <c r="B8" i="8"/>
  <c r="H7" i="8"/>
  <c r="F7" i="8"/>
  <c r="I7" i="8" s="1"/>
  <c r="D7" i="8"/>
  <c r="B7" i="8"/>
  <c r="H6" i="8"/>
  <c r="F6" i="8"/>
  <c r="D6" i="8"/>
  <c r="I6" i="8" s="1"/>
  <c r="B6" i="8"/>
  <c r="J5" i="8"/>
  <c r="H5" i="8"/>
  <c r="F5" i="8"/>
  <c r="D5" i="8"/>
  <c r="I5" i="8" s="1"/>
  <c r="B5" i="8"/>
  <c r="H4" i="8"/>
  <c r="H29" i="8" s="1"/>
  <c r="F4" i="8"/>
  <c r="D4" i="8"/>
  <c r="I4" i="8" s="1"/>
  <c r="B4" i="8"/>
  <c r="G29" i="7"/>
  <c r="F29" i="7"/>
  <c r="E29" i="7"/>
  <c r="C29" i="7"/>
  <c r="H28" i="7"/>
  <c r="F28" i="7"/>
  <c r="I28" i="7" s="1"/>
  <c r="D28" i="7"/>
  <c r="B28" i="7"/>
  <c r="H27" i="7"/>
  <c r="F27" i="7"/>
  <c r="I27" i="7" s="1"/>
  <c r="D27" i="7"/>
  <c r="J27" i="7" s="1"/>
  <c r="R27" i="7" s="1"/>
  <c r="B27" i="7"/>
  <c r="H26" i="7"/>
  <c r="F26" i="7"/>
  <c r="I26" i="7" s="1"/>
  <c r="D26" i="7"/>
  <c r="B26" i="7"/>
  <c r="H25" i="7"/>
  <c r="F25" i="7"/>
  <c r="I25" i="7" s="1"/>
  <c r="D25" i="7"/>
  <c r="J25" i="7" s="1"/>
  <c r="B25" i="7"/>
  <c r="H24" i="7"/>
  <c r="F24" i="7"/>
  <c r="I24" i="7" s="1"/>
  <c r="D24" i="7"/>
  <c r="B24" i="7"/>
  <c r="H23" i="7"/>
  <c r="F23" i="7"/>
  <c r="I23" i="7" s="1"/>
  <c r="D23" i="7"/>
  <c r="J23" i="7" s="1"/>
  <c r="R23" i="7" s="1"/>
  <c r="B23" i="7"/>
  <c r="H22" i="7"/>
  <c r="F22" i="7"/>
  <c r="I22" i="7" s="1"/>
  <c r="D22" i="7"/>
  <c r="B22" i="7"/>
  <c r="H21" i="7"/>
  <c r="F21" i="7"/>
  <c r="I21" i="7" s="1"/>
  <c r="D21" i="7"/>
  <c r="J21" i="7" s="1"/>
  <c r="R21" i="7" s="1"/>
  <c r="B21" i="7"/>
  <c r="H20" i="7"/>
  <c r="F20" i="7"/>
  <c r="I20" i="7" s="1"/>
  <c r="D20" i="7"/>
  <c r="B20" i="7"/>
  <c r="H19" i="7"/>
  <c r="F19" i="7"/>
  <c r="I19" i="7" s="1"/>
  <c r="D19" i="7"/>
  <c r="J19" i="7" s="1"/>
  <c r="R19" i="7" s="1"/>
  <c r="B19" i="7"/>
  <c r="H18" i="7"/>
  <c r="F18" i="7"/>
  <c r="I18" i="7" s="1"/>
  <c r="D18" i="7"/>
  <c r="B18" i="7"/>
  <c r="H17" i="7"/>
  <c r="F17" i="7"/>
  <c r="I17" i="7" s="1"/>
  <c r="D17" i="7"/>
  <c r="J17" i="7" s="1"/>
  <c r="R17" i="7" s="1"/>
  <c r="B17" i="7"/>
  <c r="H16" i="7"/>
  <c r="F16" i="7"/>
  <c r="I16" i="7" s="1"/>
  <c r="D16" i="7"/>
  <c r="B16" i="7"/>
  <c r="H15" i="7"/>
  <c r="F15" i="7"/>
  <c r="I15" i="7" s="1"/>
  <c r="D15" i="7"/>
  <c r="J15" i="7" s="1"/>
  <c r="R15" i="7" s="1"/>
  <c r="H14" i="7"/>
  <c r="H29" i="7" s="1"/>
  <c r="F14" i="7"/>
  <c r="D14" i="7"/>
  <c r="I14" i="7" s="1"/>
  <c r="H13" i="7"/>
  <c r="F13" i="7"/>
  <c r="I13" i="7" s="1"/>
  <c r="D13" i="7"/>
  <c r="J13" i="7" s="1"/>
  <c r="R13" i="7" s="1"/>
  <c r="B13" i="7"/>
  <c r="H12" i="7"/>
  <c r="F12" i="7"/>
  <c r="I12" i="7" s="1"/>
  <c r="D12" i="7"/>
  <c r="B12" i="7"/>
  <c r="H11" i="7"/>
  <c r="F11" i="7"/>
  <c r="I11" i="7" s="1"/>
  <c r="D11" i="7"/>
  <c r="J11" i="7" s="1"/>
  <c r="R11" i="7" s="1"/>
  <c r="B11" i="7"/>
  <c r="H10" i="7"/>
  <c r="F10" i="7"/>
  <c r="I10" i="7" s="1"/>
  <c r="D10" i="7"/>
  <c r="B10" i="7"/>
  <c r="H9" i="7"/>
  <c r="F9" i="7"/>
  <c r="I9" i="7" s="1"/>
  <c r="D9" i="7"/>
  <c r="J9" i="7" s="1"/>
  <c r="R9" i="7" s="1"/>
  <c r="B9" i="7"/>
  <c r="H8" i="7"/>
  <c r="F8" i="7"/>
  <c r="I8" i="7" s="1"/>
  <c r="D8" i="7"/>
  <c r="B8" i="7"/>
  <c r="H7" i="7"/>
  <c r="F7" i="7"/>
  <c r="I7" i="7" s="1"/>
  <c r="D7" i="7"/>
  <c r="J7" i="7" s="1"/>
  <c r="R7" i="7" s="1"/>
  <c r="B7" i="7"/>
  <c r="H6" i="7"/>
  <c r="F6" i="7"/>
  <c r="I6" i="7" s="1"/>
  <c r="D6" i="7"/>
  <c r="B6" i="7"/>
  <c r="H5" i="7"/>
  <c r="F5" i="7"/>
  <c r="I5" i="7" s="1"/>
  <c r="D5" i="7"/>
  <c r="J5" i="7" s="1"/>
  <c r="R5" i="7" s="1"/>
  <c r="B5" i="7"/>
  <c r="H4" i="7"/>
  <c r="F4" i="7"/>
  <c r="I4" i="7" s="1"/>
  <c r="I29" i="7" s="1"/>
  <c r="D4" i="7"/>
  <c r="B4" i="7"/>
  <c r="B29" i="7" s="1"/>
  <c r="H29" i="6"/>
  <c r="E29" i="6"/>
  <c r="C29" i="6"/>
  <c r="G28" i="6"/>
  <c r="F28" i="6"/>
  <c r="I28" i="6" s="1"/>
  <c r="D28" i="6"/>
  <c r="J28" i="6" s="1"/>
  <c r="R28" i="6" s="1"/>
  <c r="B28" i="6"/>
  <c r="G27" i="6"/>
  <c r="F27" i="6"/>
  <c r="I27" i="6" s="1"/>
  <c r="D27" i="6"/>
  <c r="B27" i="6"/>
  <c r="G26" i="6"/>
  <c r="F26" i="6"/>
  <c r="I26" i="6" s="1"/>
  <c r="D26" i="6"/>
  <c r="J26" i="6" s="1"/>
  <c r="R26" i="6" s="1"/>
  <c r="B26" i="6"/>
  <c r="G25" i="6"/>
  <c r="F25" i="6"/>
  <c r="I25" i="6" s="1"/>
  <c r="D25" i="6"/>
  <c r="B25" i="6"/>
  <c r="G24" i="6"/>
  <c r="F24" i="6"/>
  <c r="I24" i="6" s="1"/>
  <c r="D24" i="6"/>
  <c r="J24" i="6" s="1"/>
  <c r="R24" i="6" s="1"/>
  <c r="B24" i="6"/>
  <c r="G23" i="6"/>
  <c r="F23" i="6"/>
  <c r="I23" i="6" s="1"/>
  <c r="D23" i="6"/>
  <c r="B23" i="6"/>
  <c r="G22" i="6"/>
  <c r="F22" i="6"/>
  <c r="I22" i="6" s="1"/>
  <c r="D22" i="6"/>
  <c r="J22" i="6" s="1"/>
  <c r="R22" i="6" s="1"/>
  <c r="B22" i="6"/>
  <c r="G21" i="6"/>
  <c r="F21" i="6"/>
  <c r="I21" i="6" s="1"/>
  <c r="D21" i="6"/>
  <c r="B21" i="6"/>
  <c r="G20" i="6"/>
  <c r="F20" i="6"/>
  <c r="I20" i="6" s="1"/>
  <c r="D20" i="6"/>
  <c r="J20" i="6" s="1"/>
  <c r="R20" i="6" s="1"/>
  <c r="B20" i="6"/>
  <c r="G19" i="6"/>
  <c r="F19" i="6"/>
  <c r="I19" i="6" s="1"/>
  <c r="D19" i="6"/>
  <c r="B19" i="6"/>
  <c r="G18" i="6"/>
  <c r="F18" i="6"/>
  <c r="I18" i="6" s="1"/>
  <c r="D18" i="6"/>
  <c r="J18" i="6" s="1"/>
  <c r="R18" i="6" s="1"/>
  <c r="B18" i="6"/>
  <c r="G17" i="6"/>
  <c r="F17" i="6"/>
  <c r="I17" i="6" s="1"/>
  <c r="D17" i="6"/>
  <c r="B17" i="6"/>
  <c r="G16" i="6"/>
  <c r="F16" i="6"/>
  <c r="I16" i="6" s="1"/>
  <c r="D16" i="6"/>
  <c r="J16" i="6" s="1"/>
  <c r="R16" i="6" s="1"/>
  <c r="G15" i="6"/>
  <c r="F15" i="6"/>
  <c r="D15" i="6"/>
  <c r="I15" i="6" s="1"/>
  <c r="G14" i="6"/>
  <c r="F14" i="6"/>
  <c r="I14" i="6" s="1"/>
  <c r="D14" i="6"/>
  <c r="J14" i="6" s="1"/>
  <c r="R14" i="6" s="1"/>
  <c r="B14" i="6"/>
  <c r="G13" i="6"/>
  <c r="F13" i="6"/>
  <c r="I13" i="6" s="1"/>
  <c r="D13" i="6"/>
  <c r="B13" i="6"/>
  <c r="G12" i="6"/>
  <c r="F12" i="6"/>
  <c r="I12" i="6" s="1"/>
  <c r="D12" i="6"/>
  <c r="J12" i="6" s="1"/>
  <c r="R12" i="6" s="1"/>
  <c r="B12" i="6"/>
  <c r="G11" i="6"/>
  <c r="F11" i="6"/>
  <c r="I11" i="6" s="1"/>
  <c r="D11" i="6"/>
  <c r="B11" i="6"/>
  <c r="G10" i="6"/>
  <c r="F10" i="6"/>
  <c r="I10" i="6" s="1"/>
  <c r="D10" i="6"/>
  <c r="J10" i="6" s="1"/>
  <c r="R10" i="6" s="1"/>
  <c r="B10" i="6"/>
  <c r="G9" i="6"/>
  <c r="F9" i="6"/>
  <c r="I9" i="6" s="1"/>
  <c r="D9" i="6"/>
  <c r="B9" i="6"/>
  <c r="G8" i="6"/>
  <c r="F8" i="6"/>
  <c r="I8" i="6" s="1"/>
  <c r="D8" i="6"/>
  <c r="J8" i="6" s="1"/>
  <c r="R8" i="6" s="1"/>
  <c r="B8" i="6"/>
  <c r="G7" i="6"/>
  <c r="F7" i="6"/>
  <c r="I7" i="6" s="1"/>
  <c r="D7" i="6"/>
  <c r="B7" i="6"/>
  <c r="G6" i="6"/>
  <c r="F6" i="6"/>
  <c r="I6" i="6" s="1"/>
  <c r="D6" i="6"/>
  <c r="J6" i="6" s="1"/>
  <c r="R6" i="6" s="1"/>
  <c r="B6" i="6"/>
  <c r="G5" i="6"/>
  <c r="F5" i="6"/>
  <c r="F29" i="6" s="1"/>
  <c r="D5" i="6"/>
  <c r="B5" i="6"/>
  <c r="B29" i="6" s="1"/>
  <c r="G4" i="6"/>
  <c r="G29" i="6" s="1"/>
  <c r="F4" i="6"/>
  <c r="I4" i="6" s="1"/>
  <c r="D4" i="6"/>
  <c r="J4" i="6" s="1"/>
  <c r="R4" i="6" s="1"/>
  <c r="B4" i="6"/>
  <c r="G30" i="5"/>
  <c r="E30" i="5"/>
  <c r="C30" i="5"/>
  <c r="H29" i="5"/>
  <c r="F29" i="5"/>
  <c r="D29" i="5"/>
  <c r="I29" i="5" s="1"/>
  <c r="B29" i="5"/>
  <c r="H28" i="5"/>
  <c r="F28" i="5"/>
  <c r="J28" i="5" s="1"/>
  <c r="D28" i="5"/>
  <c r="B28" i="5"/>
  <c r="H27" i="5"/>
  <c r="F27" i="5"/>
  <c r="D27" i="5"/>
  <c r="B27" i="5"/>
  <c r="H26" i="5"/>
  <c r="F26" i="5"/>
  <c r="D26" i="5"/>
  <c r="I26" i="5" s="1"/>
  <c r="B26" i="5"/>
  <c r="H25" i="5"/>
  <c r="F25" i="5"/>
  <c r="D25" i="5"/>
  <c r="I25" i="5" s="1"/>
  <c r="B25" i="5"/>
  <c r="H24" i="5"/>
  <c r="F24" i="5"/>
  <c r="J24" i="5" s="1"/>
  <c r="D24" i="5"/>
  <c r="B24" i="5"/>
  <c r="H23" i="5"/>
  <c r="F23" i="5"/>
  <c r="D23" i="5"/>
  <c r="B23" i="5"/>
  <c r="H22" i="5"/>
  <c r="F22" i="5"/>
  <c r="D22" i="5"/>
  <c r="I22" i="5" s="1"/>
  <c r="B22" i="5"/>
  <c r="H21" i="5"/>
  <c r="F21" i="5"/>
  <c r="D21" i="5"/>
  <c r="I21" i="5" s="1"/>
  <c r="B21" i="5"/>
  <c r="H20" i="5"/>
  <c r="F20" i="5"/>
  <c r="J20" i="5" s="1"/>
  <c r="D20" i="5"/>
  <c r="B20" i="5"/>
  <c r="H19" i="5"/>
  <c r="F19" i="5"/>
  <c r="D19" i="5"/>
  <c r="B19" i="5"/>
  <c r="H18" i="5"/>
  <c r="F18" i="5"/>
  <c r="D18" i="5"/>
  <c r="I18" i="5" s="1"/>
  <c r="B18" i="5"/>
  <c r="H17" i="5"/>
  <c r="F17" i="5"/>
  <c r="D17" i="5"/>
  <c r="I17" i="5" s="1"/>
  <c r="B17" i="5"/>
  <c r="H16" i="5"/>
  <c r="F16" i="5"/>
  <c r="J16" i="5" s="1"/>
  <c r="D16" i="5"/>
  <c r="H15" i="5"/>
  <c r="F15" i="5"/>
  <c r="D15" i="5"/>
  <c r="H14" i="5"/>
  <c r="F14" i="5"/>
  <c r="D14" i="5"/>
  <c r="I14" i="5" s="1"/>
  <c r="B14" i="5"/>
  <c r="H13" i="5"/>
  <c r="F13" i="5"/>
  <c r="D13" i="5"/>
  <c r="I13" i="5" s="1"/>
  <c r="B13" i="5"/>
  <c r="H12" i="5"/>
  <c r="F12" i="5"/>
  <c r="J12" i="5" s="1"/>
  <c r="D12" i="5"/>
  <c r="B12" i="5"/>
  <c r="H11" i="5"/>
  <c r="F11" i="5"/>
  <c r="D11" i="5"/>
  <c r="B11" i="5"/>
  <c r="H10" i="5"/>
  <c r="F10" i="5"/>
  <c r="D10" i="5"/>
  <c r="I10" i="5" s="1"/>
  <c r="B10" i="5"/>
  <c r="H9" i="5"/>
  <c r="F9" i="5"/>
  <c r="D9" i="5"/>
  <c r="I9" i="5" s="1"/>
  <c r="B9" i="5"/>
  <c r="H8" i="5"/>
  <c r="F8" i="5"/>
  <c r="J8" i="5" s="1"/>
  <c r="D8" i="5"/>
  <c r="B8" i="5"/>
  <c r="H7" i="5"/>
  <c r="F7" i="5"/>
  <c r="D7" i="5"/>
  <c r="B7" i="5"/>
  <c r="H6" i="5"/>
  <c r="F6" i="5"/>
  <c r="D6" i="5"/>
  <c r="I6" i="5" s="1"/>
  <c r="B6" i="5"/>
  <c r="H5" i="5"/>
  <c r="F5" i="5"/>
  <c r="D5" i="5"/>
  <c r="I5" i="5" s="1"/>
  <c r="B5" i="5"/>
  <c r="H4" i="5"/>
  <c r="F4" i="5"/>
  <c r="F30" i="5" s="1"/>
  <c r="D4" i="5"/>
  <c r="B4" i="5"/>
  <c r="B30" i="5" s="1"/>
  <c r="C33" i="4"/>
  <c r="F32" i="4"/>
  <c r="H32" i="4" s="1"/>
  <c r="D32" i="4"/>
  <c r="H31" i="4"/>
  <c r="F31" i="4"/>
  <c r="D31" i="4"/>
  <c r="G31" i="4" s="1"/>
  <c r="B31" i="4"/>
  <c r="F30" i="4"/>
  <c r="D30" i="4"/>
  <c r="H30" i="4" s="1"/>
  <c r="P30" i="4" s="1"/>
  <c r="B30" i="4"/>
  <c r="H29" i="4"/>
  <c r="F29" i="4"/>
  <c r="D29" i="4"/>
  <c r="G29" i="4" s="1"/>
  <c r="B29" i="4"/>
  <c r="F28" i="4"/>
  <c r="D28" i="4"/>
  <c r="H28" i="4" s="1"/>
  <c r="P28" i="4" s="1"/>
  <c r="B28" i="4"/>
  <c r="H27" i="4"/>
  <c r="F27" i="4"/>
  <c r="D27" i="4"/>
  <c r="G27" i="4" s="1"/>
  <c r="B27" i="4"/>
  <c r="F26" i="4"/>
  <c r="D26" i="4"/>
  <c r="H26" i="4" s="1"/>
  <c r="P26" i="4" s="1"/>
  <c r="B26" i="4"/>
  <c r="H25" i="4"/>
  <c r="F25" i="4"/>
  <c r="D25" i="4"/>
  <c r="G25" i="4" s="1"/>
  <c r="B25" i="4"/>
  <c r="F24" i="4"/>
  <c r="D24" i="4"/>
  <c r="H24" i="4" s="1"/>
  <c r="P24" i="4" s="1"/>
  <c r="B24" i="4"/>
  <c r="H23" i="4"/>
  <c r="F23" i="4"/>
  <c r="D23" i="4"/>
  <c r="G23" i="4" s="1"/>
  <c r="B23" i="4"/>
  <c r="F22" i="4"/>
  <c r="D22" i="4"/>
  <c r="H22" i="4" s="1"/>
  <c r="P22" i="4" s="1"/>
  <c r="B22" i="4"/>
  <c r="H21" i="4"/>
  <c r="F21" i="4"/>
  <c r="D21" i="4"/>
  <c r="G21" i="4" s="1"/>
  <c r="B21" i="4"/>
  <c r="F20" i="4"/>
  <c r="D20" i="4"/>
  <c r="H20" i="4" s="1"/>
  <c r="P20" i="4" s="1"/>
  <c r="B20" i="4"/>
  <c r="H19" i="4"/>
  <c r="F19" i="4"/>
  <c r="D19" i="4"/>
  <c r="G19" i="4" s="1"/>
  <c r="B19" i="4"/>
  <c r="F18" i="4"/>
  <c r="D18" i="4"/>
  <c r="H18" i="4" s="1"/>
  <c r="P18" i="4" s="1"/>
  <c r="B18" i="4"/>
  <c r="H17" i="4"/>
  <c r="F17" i="4"/>
  <c r="D17" i="4"/>
  <c r="G17" i="4" s="1"/>
  <c r="B17" i="4"/>
  <c r="F16" i="4"/>
  <c r="D16" i="4"/>
  <c r="H16" i="4" s="1"/>
  <c r="P16" i="4" s="1"/>
  <c r="B16" i="4"/>
  <c r="H15" i="4"/>
  <c r="F15" i="4"/>
  <c r="D15" i="4"/>
  <c r="G15" i="4" s="1"/>
  <c r="B15" i="4"/>
  <c r="F14" i="4"/>
  <c r="D14" i="4"/>
  <c r="H14" i="4" s="1"/>
  <c r="P14" i="4" s="1"/>
  <c r="B14" i="4"/>
  <c r="H13" i="4"/>
  <c r="F13" i="4"/>
  <c r="D13" i="4"/>
  <c r="G13" i="4" s="1"/>
  <c r="B13" i="4"/>
  <c r="F12" i="4"/>
  <c r="D12" i="4"/>
  <c r="H12" i="4" s="1"/>
  <c r="P12" i="4" s="1"/>
  <c r="B12" i="4"/>
  <c r="H11" i="4"/>
  <c r="F11" i="4"/>
  <c r="D11" i="4"/>
  <c r="G11" i="4" s="1"/>
  <c r="B11" i="4"/>
  <c r="F10" i="4"/>
  <c r="D10" i="4"/>
  <c r="H10" i="4" s="1"/>
  <c r="P10" i="4" s="1"/>
  <c r="B10" i="4"/>
  <c r="H9" i="4"/>
  <c r="F9" i="4"/>
  <c r="D9" i="4"/>
  <c r="G9" i="4" s="1"/>
  <c r="B9" i="4"/>
  <c r="F8" i="4"/>
  <c r="D8" i="4"/>
  <c r="H8" i="4" s="1"/>
  <c r="P8" i="4" s="1"/>
  <c r="B8" i="4"/>
  <c r="H7" i="4"/>
  <c r="F7" i="4"/>
  <c r="D7" i="4"/>
  <c r="G7" i="4" s="1"/>
  <c r="B7" i="4"/>
  <c r="F6" i="4"/>
  <c r="D6" i="4"/>
  <c r="H6" i="4" s="1"/>
  <c r="P6" i="4" s="1"/>
  <c r="B6" i="4"/>
  <c r="H5" i="4"/>
  <c r="F5" i="4"/>
  <c r="D5" i="4"/>
  <c r="G5" i="4" s="1"/>
  <c r="B5" i="4"/>
  <c r="F4" i="4"/>
  <c r="D4" i="4"/>
  <c r="H4" i="4" s="1"/>
  <c r="B4" i="4"/>
  <c r="C30" i="3"/>
  <c r="O29" i="3"/>
  <c r="I29" i="3"/>
  <c r="L29" i="3" s="1"/>
  <c r="F29" i="3"/>
  <c r="D29" i="3"/>
  <c r="H29" i="3" s="1"/>
  <c r="P29" i="3" s="1"/>
  <c r="F28" i="3"/>
  <c r="D28" i="3"/>
  <c r="H28" i="3" s="1"/>
  <c r="P28" i="3" s="1"/>
  <c r="B28" i="3"/>
  <c r="H27" i="3"/>
  <c r="F27" i="3"/>
  <c r="D27" i="3"/>
  <c r="G27" i="3" s="1"/>
  <c r="B27" i="3"/>
  <c r="F26" i="3"/>
  <c r="D26" i="3"/>
  <c r="H26" i="3" s="1"/>
  <c r="P26" i="3" s="1"/>
  <c r="B26" i="3"/>
  <c r="H25" i="3"/>
  <c r="F25" i="3"/>
  <c r="D25" i="3"/>
  <c r="G25" i="3" s="1"/>
  <c r="B25" i="3"/>
  <c r="F24" i="3"/>
  <c r="D24" i="3"/>
  <c r="H24" i="3" s="1"/>
  <c r="P24" i="3" s="1"/>
  <c r="B24" i="3"/>
  <c r="H23" i="3"/>
  <c r="F23" i="3"/>
  <c r="D23" i="3"/>
  <c r="G23" i="3" s="1"/>
  <c r="B23" i="3"/>
  <c r="F22" i="3"/>
  <c r="D22" i="3"/>
  <c r="H22" i="3" s="1"/>
  <c r="P22" i="3" s="1"/>
  <c r="B22" i="3"/>
  <c r="H21" i="3"/>
  <c r="F21" i="3"/>
  <c r="D21" i="3"/>
  <c r="G21" i="3" s="1"/>
  <c r="B21" i="3"/>
  <c r="F20" i="3"/>
  <c r="D20" i="3"/>
  <c r="H20" i="3" s="1"/>
  <c r="P20" i="3" s="1"/>
  <c r="B20" i="3"/>
  <c r="H19" i="3"/>
  <c r="F19" i="3"/>
  <c r="D19" i="3"/>
  <c r="G19" i="3" s="1"/>
  <c r="B19" i="3"/>
  <c r="F18" i="3"/>
  <c r="D18" i="3"/>
  <c r="H18" i="3" s="1"/>
  <c r="P18" i="3" s="1"/>
  <c r="B18" i="3"/>
  <c r="H17" i="3"/>
  <c r="F17" i="3"/>
  <c r="D17" i="3"/>
  <c r="G17" i="3" s="1"/>
  <c r="B17" i="3"/>
  <c r="F16" i="3"/>
  <c r="D16" i="3"/>
  <c r="H16" i="3" s="1"/>
  <c r="P16" i="3" s="1"/>
  <c r="B16" i="3"/>
  <c r="H15" i="3"/>
  <c r="F15" i="3"/>
  <c r="D15" i="3"/>
  <c r="G15" i="3" s="1"/>
  <c r="B15" i="3"/>
  <c r="F14" i="3"/>
  <c r="D14" i="3"/>
  <c r="H14" i="3" s="1"/>
  <c r="P14" i="3" s="1"/>
  <c r="B14" i="3"/>
  <c r="H13" i="3"/>
  <c r="F13" i="3"/>
  <c r="D13" i="3"/>
  <c r="G13" i="3" s="1"/>
  <c r="B13" i="3"/>
  <c r="F12" i="3"/>
  <c r="D12" i="3"/>
  <c r="H12" i="3" s="1"/>
  <c r="P12" i="3" s="1"/>
  <c r="B12" i="3"/>
  <c r="H11" i="3"/>
  <c r="F11" i="3"/>
  <c r="D11" i="3"/>
  <c r="G11" i="3" s="1"/>
  <c r="B11" i="3"/>
  <c r="F10" i="3"/>
  <c r="D10" i="3"/>
  <c r="H10" i="3" s="1"/>
  <c r="P10" i="3" s="1"/>
  <c r="B10" i="3"/>
  <c r="H9" i="3"/>
  <c r="F9" i="3"/>
  <c r="D9" i="3"/>
  <c r="G9" i="3" s="1"/>
  <c r="B9" i="3"/>
  <c r="F8" i="3"/>
  <c r="D8" i="3"/>
  <c r="H8" i="3" s="1"/>
  <c r="P8" i="3" s="1"/>
  <c r="B8" i="3"/>
  <c r="H7" i="3"/>
  <c r="F7" i="3"/>
  <c r="D7" i="3"/>
  <c r="G7" i="3" s="1"/>
  <c r="B7" i="3"/>
  <c r="F6" i="3"/>
  <c r="D6" i="3"/>
  <c r="H6" i="3" s="1"/>
  <c r="P6" i="3" s="1"/>
  <c r="B6" i="3"/>
  <c r="H5" i="3"/>
  <c r="F5" i="3"/>
  <c r="F30" i="3" s="1"/>
  <c r="D5" i="3"/>
  <c r="G5" i="3" s="1"/>
  <c r="B5" i="3"/>
  <c r="F4" i="3"/>
  <c r="D4" i="3"/>
  <c r="B4" i="3"/>
  <c r="C27" i="2"/>
  <c r="F26" i="2"/>
  <c r="D26" i="2"/>
  <c r="H26" i="2" s="1"/>
  <c r="P26" i="2" s="1"/>
  <c r="B26" i="2"/>
  <c r="H25" i="2"/>
  <c r="F25" i="2"/>
  <c r="D25" i="2"/>
  <c r="G25" i="2" s="1"/>
  <c r="B25" i="2"/>
  <c r="F24" i="2"/>
  <c r="D24" i="2"/>
  <c r="H24" i="2" s="1"/>
  <c r="P24" i="2" s="1"/>
  <c r="O23" i="2"/>
  <c r="V23" i="2" s="1"/>
  <c r="I23" i="2"/>
  <c r="L23" i="2" s="1"/>
  <c r="F23" i="2"/>
  <c r="D23" i="2"/>
  <c r="H23" i="2" s="1"/>
  <c r="P23" i="2" s="1"/>
  <c r="F22" i="2"/>
  <c r="D22" i="2"/>
  <c r="H22" i="2" s="1"/>
  <c r="P22" i="2" s="1"/>
  <c r="O21" i="2"/>
  <c r="I21" i="2"/>
  <c r="L21" i="2" s="1"/>
  <c r="F21" i="2"/>
  <c r="D21" i="2"/>
  <c r="H21" i="2" s="1"/>
  <c r="P21" i="2" s="1"/>
  <c r="B21" i="2"/>
  <c r="F20" i="2"/>
  <c r="H20" i="2" s="1"/>
  <c r="D20" i="2"/>
  <c r="H19" i="2"/>
  <c r="F19" i="2"/>
  <c r="D19" i="2"/>
  <c r="G19" i="2" s="1"/>
  <c r="B19" i="2"/>
  <c r="F18" i="2"/>
  <c r="D18" i="2"/>
  <c r="H18" i="2" s="1"/>
  <c r="B18" i="2"/>
  <c r="F17" i="2"/>
  <c r="H17" i="2" s="1"/>
  <c r="D17" i="2"/>
  <c r="G17" i="2" s="1"/>
  <c r="F16" i="2"/>
  <c r="H16" i="2" s="1"/>
  <c r="D16" i="2"/>
  <c r="G16" i="2" s="1"/>
  <c r="B16" i="2"/>
  <c r="F15" i="2"/>
  <c r="D15" i="2"/>
  <c r="H15" i="2" s="1"/>
  <c r="B15" i="2"/>
  <c r="F14" i="2"/>
  <c r="H14" i="2" s="1"/>
  <c r="D14" i="2"/>
  <c r="G14" i="2" s="1"/>
  <c r="B14" i="2"/>
  <c r="F13" i="2"/>
  <c r="D13" i="2"/>
  <c r="H13" i="2" s="1"/>
  <c r="B13" i="2"/>
  <c r="F12" i="2"/>
  <c r="H12" i="2" s="1"/>
  <c r="D12" i="2"/>
  <c r="G12" i="2" s="1"/>
  <c r="B12" i="2"/>
  <c r="F11" i="2"/>
  <c r="D11" i="2"/>
  <c r="H11" i="2" s="1"/>
  <c r="G10" i="2"/>
  <c r="D10" i="2"/>
  <c r="H10" i="2" s="1"/>
  <c r="B10" i="2"/>
  <c r="F9" i="2"/>
  <c r="D9" i="2"/>
  <c r="H9" i="2" s="1"/>
  <c r="B9" i="2"/>
  <c r="F8" i="2"/>
  <c r="H8" i="2" s="1"/>
  <c r="D8" i="2"/>
  <c r="G8" i="2" s="1"/>
  <c r="F7" i="2"/>
  <c r="H7" i="2" s="1"/>
  <c r="D7" i="2"/>
  <c r="G7" i="2" s="1"/>
  <c r="F6" i="2"/>
  <c r="H6" i="2" s="1"/>
  <c r="D6" i="2"/>
  <c r="G6" i="2" s="1"/>
  <c r="F5" i="2"/>
  <c r="F27" i="2" s="1"/>
  <c r="D5" i="2"/>
  <c r="G5" i="2" s="1"/>
  <c r="B5" i="2"/>
  <c r="F4" i="2"/>
  <c r="D4" i="2"/>
  <c r="D27" i="2" s="1"/>
  <c r="B4" i="2"/>
  <c r="F31" i="1"/>
  <c r="E31" i="1"/>
  <c r="C31" i="1"/>
  <c r="D30" i="1"/>
  <c r="G30" i="1" s="1"/>
  <c r="G29" i="1"/>
  <c r="D29" i="1"/>
  <c r="H29" i="1" s="1"/>
  <c r="B29" i="1"/>
  <c r="G28" i="1"/>
  <c r="D28" i="1"/>
  <c r="H28" i="1" s="1"/>
  <c r="B28" i="1"/>
  <c r="G27" i="1"/>
  <c r="D27" i="1"/>
  <c r="H27" i="1" s="1"/>
  <c r="B27" i="1"/>
  <c r="G26" i="1"/>
  <c r="D26" i="1"/>
  <c r="H26" i="1" s="1"/>
  <c r="D25" i="1"/>
  <c r="G25" i="1" s="1"/>
  <c r="D24" i="1"/>
  <c r="G24" i="1" s="1"/>
  <c r="B24" i="1"/>
  <c r="D23" i="1"/>
  <c r="G23" i="1" s="1"/>
  <c r="B23" i="1"/>
  <c r="D22" i="1"/>
  <c r="G22" i="1" s="1"/>
  <c r="B22" i="1"/>
  <c r="D21" i="1"/>
  <c r="G21" i="1" s="1"/>
  <c r="B21" i="1"/>
  <c r="D20" i="1"/>
  <c r="G20" i="1" s="1"/>
  <c r="B20" i="1"/>
  <c r="D19" i="1"/>
  <c r="G19" i="1" s="1"/>
  <c r="B19" i="1"/>
  <c r="D18" i="1"/>
  <c r="G18" i="1" s="1"/>
  <c r="B18" i="1"/>
  <c r="D17" i="1"/>
  <c r="G17" i="1" s="1"/>
  <c r="B17" i="1"/>
  <c r="D16" i="1"/>
  <c r="G16" i="1" s="1"/>
  <c r="B16" i="1"/>
  <c r="D15" i="1"/>
  <c r="G15" i="1" s="1"/>
  <c r="B15" i="1"/>
  <c r="D14" i="1"/>
  <c r="G14" i="1" s="1"/>
  <c r="B14" i="1"/>
  <c r="D13" i="1"/>
  <c r="G13" i="1" s="1"/>
  <c r="B13" i="1"/>
  <c r="D12" i="1"/>
  <c r="G12" i="1" s="1"/>
  <c r="G11" i="1"/>
  <c r="D11" i="1"/>
  <c r="H11" i="1" s="1"/>
  <c r="D10" i="1"/>
  <c r="G10" i="1" s="1"/>
  <c r="B10" i="1"/>
  <c r="D9" i="1"/>
  <c r="G9" i="1" s="1"/>
  <c r="G8" i="1"/>
  <c r="D8" i="1"/>
  <c r="H8" i="1" s="1"/>
  <c r="D7" i="1"/>
  <c r="G7" i="1" s="1"/>
  <c r="B7" i="1"/>
  <c r="D6" i="1"/>
  <c r="G6" i="1" s="1"/>
  <c r="B6" i="1"/>
  <c r="D5" i="1"/>
  <c r="G5" i="1" s="1"/>
  <c r="B5" i="1"/>
  <c r="G4" i="1"/>
  <c r="G31" i="1" s="1"/>
  <c r="D4" i="1"/>
  <c r="H4" i="1" s="1"/>
  <c r="B4" i="1"/>
  <c r="J4" i="5" l="1"/>
  <c r="J6" i="5"/>
  <c r="S6" i="5" s="1"/>
  <c r="I7" i="5"/>
  <c r="I8" i="5"/>
  <c r="J10" i="5"/>
  <c r="I11" i="5"/>
  <c r="I12" i="5"/>
  <c r="J14" i="5"/>
  <c r="S14" i="5" s="1"/>
  <c r="I15" i="5"/>
  <c r="I16" i="5"/>
  <c r="J18" i="5"/>
  <c r="I19" i="5"/>
  <c r="I20" i="5"/>
  <c r="J22" i="5"/>
  <c r="S22" i="5" s="1"/>
  <c r="I23" i="5"/>
  <c r="I24" i="5"/>
  <c r="J26" i="5"/>
  <c r="I27" i="5"/>
  <c r="I28" i="5"/>
  <c r="P11" i="1"/>
  <c r="Q11" i="1"/>
  <c r="O11" i="1"/>
  <c r="V11" i="1" s="1"/>
  <c r="I11" i="1"/>
  <c r="L11" i="1" s="1"/>
  <c r="P26" i="1"/>
  <c r="Q26" i="1"/>
  <c r="O26" i="1"/>
  <c r="V26" i="1" s="1"/>
  <c r="I26" i="1"/>
  <c r="L26" i="1" s="1"/>
  <c r="P28" i="1"/>
  <c r="Q28" i="1"/>
  <c r="O28" i="1"/>
  <c r="V28" i="1" s="1"/>
  <c r="I28" i="1"/>
  <c r="L28" i="1" s="1"/>
  <c r="Q6" i="2"/>
  <c r="O6" i="2"/>
  <c r="I6" i="2"/>
  <c r="L6" i="2" s="1"/>
  <c r="P6" i="2"/>
  <c r="Q7" i="2"/>
  <c r="O7" i="2"/>
  <c r="I7" i="2"/>
  <c r="L7" i="2" s="1"/>
  <c r="P7" i="2"/>
  <c r="Q8" i="2"/>
  <c r="O8" i="2"/>
  <c r="I8" i="2"/>
  <c r="L8" i="2" s="1"/>
  <c r="P8" i="2"/>
  <c r="Q20" i="2"/>
  <c r="O20" i="2"/>
  <c r="I20" i="2"/>
  <c r="L20" i="2" s="1"/>
  <c r="P20" i="2"/>
  <c r="Q4" i="1"/>
  <c r="O4" i="1"/>
  <c r="K4" i="1"/>
  <c r="P4" i="1"/>
  <c r="I4" i="1"/>
  <c r="P8" i="1"/>
  <c r="Q8" i="1"/>
  <c r="O8" i="1"/>
  <c r="V8" i="1" s="1"/>
  <c r="I8" i="1"/>
  <c r="L8" i="1" s="1"/>
  <c r="P27" i="1"/>
  <c r="Q27" i="1"/>
  <c r="O27" i="1"/>
  <c r="V27" i="1" s="1"/>
  <c r="I27" i="1"/>
  <c r="L27" i="1" s="1"/>
  <c r="P29" i="1"/>
  <c r="Q29" i="1"/>
  <c r="O29" i="1"/>
  <c r="V29" i="1" s="1"/>
  <c r="I29" i="1"/>
  <c r="L29" i="1" s="1"/>
  <c r="P10" i="2"/>
  <c r="Q10" i="2"/>
  <c r="O10" i="2"/>
  <c r="V10" i="2" s="1"/>
  <c r="I10" i="2"/>
  <c r="L10" i="2" s="1"/>
  <c r="P11" i="2"/>
  <c r="Q11" i="2"/>
  <c r="O11" i="2"/>
  <c r="V11" i="2" s="1"/>
  <c r="I11" i="2"/>
  <c r="L11" i="2" s="1"/>
  <c r="Q12" i="2"/>
  <c r="O12" i="2"/>
  <c r="I12" i="2"/>
  <c r="L12" i="2" s="1"/>
  <c r="P12" i="2"/>
  <c r="P13" i="2"/>
  <c r="Q13" i="2"/>
  <c r="O13" i="2"/>
  <c r="V13" i="2" s="1"/>
  <c r="I13" i="2"/>
  <c r="L13" i="2" s="1"/>
  <c r="Q14" i="2"/>
  <c r="O14" i="2"/>
  <c r="I14" i="2"/>
  <c r="L14" i="2" s="1"/>
  <c r="P14" i="2"/>
  <c r="P15" i="2"/>
  <c r="Q15" i="2"/>
  <c r="O15" i="2"/>
  <c r="V15" i="2" s="1"/>
  <c r="I15" i="2"/>
  <c r="L15" i="2" s="1"/>
  <c r="Q16" i="2"/>
  <c r="O16" i="2"/>
  <c r="I16" i="2"/>
  <c r="L16" i="2" s="1"/>
  <c r="P16" i="2"/>
  <c r="Q17" i="2"/>
  <c r="O17" i="2"/>
  <c r="I17" i="2"/>
  <c r="L17" i="2" s="1"/>
  <c r="P17" i="2"/>
  <c r="P18" i="2"/>
  <c r="Q18" i="2"/>
  <c r="O18" i="2"/>
  <c r="V18" i="2" s="1"/>
  <c r="I18" i="2"/>
  <c r="L18" i="2" s="1"/>
  <c r="Q32" i="4"/>
  <c r="O32" i="4"/>
  <c r="I32" i="4"/>
  <c r="L32" i="4" s="1"/>
  <c r="P32" i="4"/>
  <c r="P9" i="2"/>
  <c r="Q9" i="2"/>
  <c r="O9" i="2"/>
  <c r="V9" i="2" s="1"/>
  <c r="I9" i="2"/>
  <c r="L9" i="2" s="1"/>
  <c r="H5" i="1"/>
  <c r="H6" i="1"/>
  <c r="H7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0" i="1"/>
  <c r="D31" i="1"/>
  <c r="G4" i="2"/>
  <c r="H5" i="2"/>
  <c r="G9" i="2"/>
  <c r="G11" i="2"/>
  <c r="G13" i="2"/>
  <c r="G15" i="2"/>
  <c r="G18" i="2"/>
  <c r="Q19" i="2"/>
  <c r="O19" i="2"/>
  <c r="I19" i="2"/>
  <c r="L19" i="2" s="1"/>
  <c r="N21" i="2"/>
  <c r="G22" i="2"/>
  <c r="Q22" i="2"/>
  <c r="G24" i="2"/>
  <c r="Q24" i="2"/>
  <c r="Q25" i="2"/>
  <c r="O25" i="2"/>
  <c r="I25" i="2"/>
  <c r="L25" i="2" s="1"/>
  <c r="G26" i="2"/>
  <c r="Q26" i="2"/>
  <c r="Q5" i="3"/>
  <c r="O5" i="3"/>
  <c r="I5" i="3"/>
  <c r="L5" i="3" s="1"/>
  <c r="G6" i="3"/>
  <c r="Q6" i="3"/>
  <c r="Q7" i="3"/>
  <c r="O7" i="3"/>
  <c r="V7" i="3" s="1"/>
  <c r="I7" i="3"/>
  <c r="L7" i="3" s="1"/>
  <c r="G8" i="3"/>
  <c r="Q8" i="3"/>
  <c r="Q9" i="3"/>
  <c r="O9" i="3"/>
  <c r="I9" i="3"/>
  <c r="L9" i="3" s="1"/>
  <c r="G10" i="3"/>
  <c r="Q10" i="3"/>
  <c r="Q11" i="3"/>
  <c r="O11" i="3"/>
  <c r="V11" i="3" s="1"/>
  <c r="I11" i="3"/>
  <c r="L11" i="3" s="1"/>
  <c r="G12" i="3"/>
  <c r="Q12" i="3"/>
  <c r="Q13" i="3"/>
  <c r="O13" i="3"/>
  <c r="I13" i="3"/>
  <c r="L13" i="3" s="1"/>
  <c r="G14" i="3"/>
  <c r="Q14" i="3"/>
  <c r="Q15" i="3"/>
  <c r="O15" i="3"/>
  <c r="V15" i="3" s="1"/>
  <c r="I15" i="3"/>
  <c r="L15" i="3" s="1"/>
  <c r="G16" i="3"/>
  <c r="Q16" i="3"/>
  <c r="Q17" i="3"/>
  <c r="O17" i="3"/>
  <c r="I17" i="3"/>
  <c r="L17" i="3" s="1"/>
  <c r="G18" i="3"/>
  <c r="Q18" i="3"/>
  <c r="Q19" i="3"/>
  <c r="O19" i="3"/>
  <c r="V19" i="3" s="1"/>
  <c r="I19" i="3"/>
  <c r="L19" i="3" s="1"/>
  <c r="G20" i="3"/>
  <c r="Q20" i="3"/>
  <c r="Q21" i="3"/>
  <c r="O21" i="3"/>
  <c r="I21" i="3"/>
  <c r="L21" i="3" s="1"/>
  <c r="G22" i="3"/>
  <c r="Q22" i="3"/>
  <c r="Q23" i="3"/>
  <c r="O23" i="3"/>
  <c r="V23" i="3" s="1"/>
  <c r="I23" i="3"/>
  <c r="L23" i="3" s="1"/>
  <c r="G24" i="3"/>
  <c r="Q24" i="3"/>
  <c r="Q25" i="3"/>
  <c r="O25" i="3"/>
  <c r="I25" i="3"/>
  <c r="L25" i="3" s="1"/>
  <c r="G26" i="3"/>
  <c r="Q26" i="3"/>
  <c r="Q27" i="3"/>
  <c r="O27" i="3"/>
  <c r="V27" i="3" s="1"/>
  <c r="I27" i="3"/>
  <c r="L27" i="3" s="1"/>
  <c r="G28" i="3"/>
  <c r="Q28" i="3"/>
  <c r="N29" i="3"/>
  <c r="H33" i="4"/>
  <c r="P4" i="4"/>
  <c r="G4" i="4"/>
  <c r="Q4" i="4"/>
  <c r="Q5" i="4"/>
  <c r="O5" i="4"/>
  <c r="I5" i="4"/>
  <c r="L5" i="4" s="1"/>
  <c r="G6" i="4"/>
  <c r="Q6" i="4"/>
  <c r="Q7" i="4"/>
  <c r="O7" i="4"/>
  <c r="V7" i="4" s="1"/>
  <c r="I7" i="4"/>
  <c r="L7" i="4" s="1"/>
  <c r="G8" i="4"/>
  <c r="Q8" i="4"/>
  <c r="Q9" i="4"/>
  <c r="O9" i="4"/>
  <c r="I9" i="4"/>
  <c r="L9" i="4" s="1"/>
  <c r="G10" i="4"/>
  <c r="Q10" i="4"/>
  <c r="Q11" i="4"/>
  <c r="O11" i="4"/>
  <c r="V11" i="4" s="1"/>
  <c r="I11" i="4"/>
  <c r="L11" i="4" s="1"/>
  <c r="G12" i="4"/>
  <c r="Q12" i="4"/>
  <c r="Q13" i="4"/>
  <c r="O13" i="4"/>
  <c r="I13" i="4"/>
  <c r="L13" i="4" s="1"/>
  <c r="G14" i="4"/>
  <c r="Q14" i="4"/>
  <c r="Q15" i="4"/>
  <c r="O15" i="4"/>
  <c r="V15" i="4" s="1"/>
  <c r="I15" i="4"/>
  <c r="L15" i="4" s="1"/>
  <c r="G16" i="4"/>
  <c r="Q16" i="4"/>
  <c r="Q17" i="4"/>
  <c r="O17" i="4"/>
  <c r="I17" i="4"/>
  <c r="L17" i="4" s="1"/>
  <c r="G18" i="4"/>
  <c r="Q18" i="4"/>
  <c r="Q19" i="4"/>
  <c r="O19" i="4"/>
  <c r="V19" i="4" s="1"/>
  <c r="I19" i="4"/>
  <c r="L19" i="4" s="1"/>
  <c r="G20" i="4"/>
  <c r="Q20" i="4"/>
  <c r="Q21" i="4"/>
  <c r="O21" i="4"/>
  <c r="I21" i="4"/>
  <c r="L21" i="4" s="1"/>
  <c r="G22" i="4"/>
  <c r="Q22" i="4"/>
  <c r="Q23" i="4"/>
  <c r="O23" i="4"/>
  <c r="V23" i="4" s="1"/>
  <c r="I23" i="4"/>
  <c r="L23" i="4" s="1"/>
  <c r="G24" i="4"/>
  <c r="Q24" i="4"/>
  <c r="Q25" i="4"/>
  <c r="O25" i="4"/>
  <c r="I25" i="4"/>
  <c r="L25" i="4" s="1"/>
  <c r="G26" i="4"/>
  <c r="Q26" i="4"/>
  <c r="Q27" i="4"/>
  <c r="O27" i="4"/>
  <c r="V27" i="4" s="1"/>
  <c r="I27" i="4"/>
  <c r="L27" i="4" s="1"/>
  <c r="G28" i="4"/>
  <c r="Q28" i="4"/>
  <c r="Q29" i="4"/>
  <c r="O29" i="4"/>
  <c r="I29" i="4"/>
  <c r="L29" i="4" s="1"/>
  <c r="G30" i="4"/>
  <c r="Q30" i="4"/>
  <c r="Q31" i="4"/>
  <c r="O31" i="4"/>
  <c r="V31" i="4" s="1"/>
  <c r="I31" i="4"/>
  <c r="L31" i="4" s="1"/>
  <c r="S4" i="5"/>
  <c r="Q4" i="5"/>
  <c r="K4" i="5"/>
  <c r="N4" i="5" s="1"/>
  <c r="Q6" i="5"/>
  <c r="S8" i="5"/>
  <c r="Q8" i="5"/>
  <c r="K8" i="5"/>
  <c r="N8" i="5" s="1"/>
  <c r="S10" i="5"/>
  <c r="Q10" i="5"/>
  <c r="K10" i="5"/>
  <c r="N10" i="5" s="1"/>
  <c r="S12" i="5"/>
  <c r="Q12" i="5"/>
  <c r="K12" i="5"/>
  <c r="N12" i="5" s="1"/>
  <c r="Q14" i="5"/>
  <c r="S16" i="5"/>
  <c r="Q16" i="5"/>
  <c r="K16" i="5"/>
  <c r="N16" i="5" s="1"/>
  <c r="S18" i="5"/>
  <c r="Q18" i="5"/>
  <c r="K18" i="5"/>
  <c r="N18" i="5" s="1"/>
  <c r="S20" i="5"/>
  <c r="Q20" i="5"/>
  <c r="K20" i="5"/>
  <c r="N20" i="5" s="1"/>
  <c r="Q22" i="5"/>
  <c r="S24" i="5"/>
  <c r="Q24" i="5"/>
  <c r="K24" i="5"/>
  <c r="N24" i="5" s="1"/>
  <c r="S26" i="5"/>
  <c r="Q26" i="5"/>
  <c r="K26" i="5"/>
  <c r="N26" i="5" s="1"/>
  <c r="S28" i="5"/>
  <c r="Q28" i="5"/>
  <c r="K28" i="5"/>
  <c r="N28" i="5" s="1"/>
  <c r="K4" i="6"/>
  <c r="N4" i="6" s="1"/>
  <c r="Q4" i="6"/>
  <c r="W4" i="6" s="1"/>
  <c r="I5" i="6"/>
  <c r="I29" i="6" s="1"/>
  <c r="K6" i="6"/>
  <c r="N6" i="6" s="1"/>
  <c r="Q6" i="6"/>
  <c r="W6" i="6" s="1"/>
  <c r="K8" i="6"/>
  <c r="N8" i="6" s="1"/>
  <c r="Q8" i="6"/>
  <c r="W8" i="6" s="1"/>
  <c r="K10" i="6"/>
  <c r="N10" i="6" s="1"/>
  <c r="Q10" i="6"/>
  <c r="W10" i="6" s="1"/>
  <c r="K12" i="6"/>
  <c r="N12" i="6" s="1"/>
  <c r="Q12" i="6"/>
  <c r="W12" i="6" s="1"/>
  <c r="K14" i="6"/>
  <c r="N14" i="6" s="1"/>
  <c r="Q14" i="6"/>
  <c r="W14" i="6" s="1"/>
  <c r="K16" i="6"/>
  <c r="N16" i="6" s="1"/>
  <c r="Q16" i="6"/>
  <c r="W16" i="6" s="1"/>
  <c r="K18" i="6"/>
  <c r="N18" i="6" s="1"/>
  <c r="Q18" i="6"/>
  <c r="W18" i="6" s="1"/>
  <c r="K20" i="6"/>
  <c r="N20" i="6" s="1"/>
  <c r="Q20" i="6"/>
  <c r="W20" i="6" s="1"/>
  <c r="K22" i="6"/>
  <c r="N22" i="6" s="1"/>
  <c r="Q22" i="6"/>
  <c r="W22" i="6" s="1"/>
  <c r="K24" i="6"/>
  <c r="N24" i="6" s="1"/>
  <c r="Q24" i="6"/>
  <c r="W24" i="6" s="1"/>
  <c r="K26" i="6"/>
  <c r="N26" i="6" s="1"/>
  <c r="Q26" i="6"/>
  <c r="W26" i="6" s="1"/>
  <c r="K28" i="6"/>
  <c r="N28" i="6" s="1"/>
  <c r="Q28" i="6"/>
  <c r="W28" i="6" s="1"/>
  <c r="D29" i="6"/>
  <c r="J29" i="6"/>
  <c r="K5" i="7"/>
  <c r="N5" i="7" s="1"/>
  <c r="Q5" i="7"/>
  <c r="W5" i="7" s="1"/>
  <c r="K7" i="7"/>
  <c r="N7" i="7" s="1"/>
  <c r="Q7" i="7"/>
  <c r="W7" i="7" s="1"/>
  <c r="K9" i="7"/>
  <c r="N9" i="7" s="1"/>
  <c r="Q9" i="7"/>
  <c r="W9" i="7" s="1"/>
  <c r="K11" i="7"/>
  <c r="N11" i="7" s="1"/>
  <c r="Q11" i="7"/>
  <c r="W11" i="7" s="1"/>
  <c r="K13" i="7"/>
  <c r="N13" i="7" s="1"/>
  <c r="Q13" i="7"/>
  <c r="W13" i="7" s="1"/>
  <c r="K15" i="7"/>
  <c r="N15" i="7" s="1"/>
  <c r="Q15" i="7"/>
  <c r="W15" i="7" s="1"/>
  <c r="K17" i="7"/>
  <c r="N17" i="7" s="1"/>
  <c r="Q17" i="7"/>
  <c r="W17" i="7" s="1"/>
  <c r="K19" i="7"/>
  <c r="N19" i="7" s="1"/>
  <c r="Q19" i="7"/>
  <c r="W19" i="7" s="1"/>
  <c r="K21" i="7"/>
  <c r="N21" i="7" s="1"/>
  <c r="Q21" i="7"/>
  <c r="W21" i="7" s="1"/>
  <c r="K23" i="7"/>
  <c r="N23" i="7" s="1"/>
  <c r="Q23" i="7"/>
  <c r="W23" i="7" s="1"/>
  <c r="R25" i="7"/>
  <c r="K25" i="7"/>
  <c r="N25" i="7" s="1"/>
  <c r="Q25" i="7"/>
  <c r="W25" i="7" s="1"/>
  <c r="K27" i="7"/>
  <c r="N27" i="7" s="1"/>
  <c r="Q27" i="7"/>
  <c r="W27" i="7" s="1"/>
  <c r="S5" i="8"/>
  <c r="Q5" i="8"/>
  <c r="K5" i="8"/>
  <c r="N5" i="8" s="1"/>
  <c r="R8" i="8"/>
  <c r="S8" i="8"/>
  <c r="Q8" i="8"/>
  <c r="W8" i="8" s="1"/>
  <c r="I9" i="8"/>
  <c r="I29" i="8" s="1"/>
  <c r="O10" i="8"/>
  <c r="P10" i="8" s="1"/>
  <c r="R12" i="8"/>
  <c r="S12" i="8"/>
  <c r="Q12" i="8"/>
  <c r="W12" i="8" s="1"/>
  <c r="P14" i="8"/>
  <c r="O14" i="8"/>
  <c r="R16" i="8"/>
  <c r="S16" i="8"/>
  <c r="Q16" i="8"/>
  <c r="W16" i="8" s="1"/>
  <c r="O18" i="8"/>
  <c r="P18" i="8" s="1"/>
  <c r="R20" i="8"/>
  <c r="S20" i="8"/>
  <c r="Q20" i="8"/>
  <c r="W20" i="8" s="1"/>
  <c r="P22" i="8"/>
  <c r="O22" i="8"/>
  <c r="R24" i="8"/>
  <c r="S24" i="8"/>
  <c r="Q24" i="8"/>
  <c r="W24" i="8" s="1"/>
  <c r="O26" i="8"/>
  <c r="P26" i="8" s="1"/>
  <c r="R28" i="8"/>
  <c r="S28" i="8"/>
  <c r="Q28" i="8"/>
  <c r="W28" i="8" s="1"/>
  <c r="D29" i="8"/>
  <c r="S4" i="9"/>
  <c r="Q4" i="9"/>
  <c r="K4" i="9"/>
  <c r="N4" i="9" s="1"/>
  <c r="R4" i="9"/>
  <c r="I7" i="9"/>
  <c r="J7" i="9"/>
  <c r="S8" i="9"/>
  <c r="Q8" i="9"/>
  <c r="K8" i="9"/>
  <c r="N8" i="9" s="1"/>
  <c r="R8" i="9"/>
  <c r="I11" i="9"/>
  <c r="J11" i="9"/>
  <c r="S12" i="9"/>
  <c r="Q12" i="9"/>
  <c r="K12" i="9"/>
  <c r="N12" i="9" s="1"/>
  <c r="R12" i="9"/>
  <c r="P14" i="9"/>
  <c r="O14" i="9"/>
  <c r="I17" i="9"/>
  <c r="J17" i="9"/>
  <c r="S18" i="9"/>
  <c r="Q18" i="9"/>
  <c r="K18" i="9"/>
  <c r="N18" i="9" s="1"/>
  <c r="R18" i="9"/>
  <c r="I21" i="9"/>
  <c r="J21" i="9"/>
  <c r="S22" i="9"/>
  <c r="Q22" i="9"/>
  <c r="K22" i="9"/>
  <c r="N22" i="9" s="1"/>
  <c r="R22" i="9"/>
  <c r="I25" i="9"/>
  <c r="J25" i="9"/>
  <c r="S26" i="9"/>
  <c r="Q26" i="9"/>
  <c r="K26" i="9"/>
  <c r="N26" i="9" s="1"/>
  <c r="R26" i="9"/>
  <c r="P4" i="10"/>
  <c r="O4" i="10"/>
  <c r="R6" i="10"/>
  <c r="S6" i="10"/>
  <c r="Q6" i="10"/>
  <c r="W6" i="10" s="1"/>
  <c r="O8" i="10"/>
  <c r="P8" i="10" s="1"/>
  <c r="R10" i="10"/>
  <c r="S10" i="10"/>
  <c r="Q10" i="10"/>
  <c r="W10" i="10" s="1"/>
  <c r="P12" i="10"/>
  <c r="O12" i="10"/>
  <c r="S14" i="10"/>
  <c r="Q14" i="10"/>
  <c r="K14" i="10"/>
  <c r="N14" i="10" s="1"/>
  <c r="R14" i="10"/>
  <c r="R16" i="10"/>
  <c r="S16" i="10"/>
  <c r="Q16" i="10"/>
  <c r="W16" i="10" s="1"/>
  <c r="O18" i="10"/>
  <c r="P18" i="10" s="1"/>
  <c r="R20" i="10"/>
  <c r="S20" i="10"/>
  <c r="Q20" i="10"/>
  <c r="W20" i="10" s="1"/>
  <c r="P22" i="10"/>
  <c r="O22" i="10"/>
  <c r="R24" i="10"/>
  <c r="S24" i="10"/>
  <c r="Q24" i="10"/>
  <c r="W24" i="10" s="1"/>
  <c r="O26" i="10"/>
  <c r="P26" i="10" s="1"/>
  <c r="I6" i="11"/>
  <c r="J6" i="11"/>
  <c r="Q98" i="12"/>
  <c r="H4" i="2"/>
  <c r="P19" i="2"/>
  <c r="G20" i="2"/>
  <c r="G21" i="2"/>
  <c r="M21" i="2"/>
  <c r="Q21" i="2"/>
  <c r="V21" i="2" s="1"/>
  <c r="I22" i="2"/>
  <c r="L22" i="2" s="1"/>
  <c r="O22" i="2"/>
  <c r="V22" i="2" s="1"/>
  <c r="G23" i="2"/>
  <c r="M23" i="2"/>
  <c r="N23" i="2" s="1"/>
  <c r="Q23" i="2"/>
  <c r="I24" i="2"/>
  <c r="L24" i="2" s="1"/>
  <c r="O24" i="2"/>
  <c r="P25" i="2"/>
  <c r="I26" i="2"/>
  <c r="L26" i="2" s="1"/>
  <c r="O26" i="2"/>
  <c r="V26" i="2" s="1"/>
  <c r="D30" i="3"/>
  <c r="H4" i="3"/>
  <c r="G4" i="3"/>
  <c r="P5" i="3"/>
  <c r="I6" i="3"/>
  <c r="L6" i="3" s="1"/>
  <c r="O6" i="3"/>
  <c r="V6" i="3" s="1"/>
  <c r="P7" i="3"/>
  <c r="I8" i="3"/>
  <c r="L8" i="3" s="1"/>
  <c r="O8" i="3"/>
  <c r="V8" i="3" s="1"/>
  <c r="P9" i="3"/>
  <c r="I10" i="3"/>
  <c r="L10" i="3" s="1"/>
  <c r="O10" i="3"/>
  <c r="V10" i="3" s="1"/>
  <c r="P11" i="3"/>
  <c r="I12" i="3"/>
  <c r="L12" i="3" s="1"/>
  <c r="O12" i="3"/>
  <c r="V12" i="3" s="1"/>
  <c r="P13" i="3"/>
  <c r="I14" i="3"/>
  <c r="L14" i="3" s="1"/>
  <c r="O14" i="3"/>
  <c r="V14" i="3" s="1"/>
  <c r="P15" i="3"/>
  <c r="I16" i="3"/>
  <c r="L16" i="3" s="1"/>
  <c r="O16" i="3"/>
  <c r="V16" i="3" s="1"/>
  <c r="P17" i="3"/>
  <c r="I18" i="3"/>
  <c r="L18" i="3" s="1"/>
  <c r="O18" i="3"/>
  <c r="V18" i="3" s="1"/>
  <c r="P19" i="3"/>
  <c r="I20" i="3"/>
  <c r="L20" i="3" s="1"/>
  <c r="O20" i="3"/>
  <c r="V20" i="3" s="1"/>
  <c r="P21" i="3"/>
  <c r="I22" i="3"/>
  <c r="L22" i="3" s="1"/>
  <c r="O22" i="3"/>
  <c r="V22" i="3" s="1"/>
  <c r="P23" i="3"/>
  <c r="I24" i="3"/>
  <c r="L24" i="3" s="1"/>
  <c r="O24" i="3"/>
  <c r="V24" i="3" s="1"/>
  <c r="P25" i="3"/>
  <c r="I26" i="3"/>
  <c r="L26" i="3" s="1"/>
  <c r="O26" i="3"/>
  <c r="V26" i="3" s="1"/>
  <c r="P27" i="3"/>
  <c r="I28" i="3"/>
  <c r="L28" i="3" s="1"/>
  <c r="O28" i="3"/>
  <c r="V28" i="3" s="1"/>
  <c r="G29" i="3"/>
  <c r="M29" i="3"/>
  <c r="Q29" i="3"/>
  <c r="V29" i="3" s="1"/>
  <c r="F33" i="4"/>
  <c r="I4" i="4"/>
  <c r="L4" i="4" s="1"/>
  <c r="O4" i="4"/>
  <c r="V4" i="4" s="1"/>
  <c r="P5" i="4"/>
  <c r="I6" i="4"/>
  <c r="L6" i="4" s="1"/>
  <c r="O6" i="4"/>
  <c r="V6" i="4" s="1"/>
  <c r="P7" i="4"/>
  <c r="I8" i="4"/>
  <c r="L8" i="4" s="1"/>
  <c r="O8" i="4"/>
  <c r="V8" i="4" s="1"/>
  <c r="P9" i="4"/>
  <c r="I10" i="4"/>
  <c r="L10" i="4" s="1"/>
  <c r="O10" i="4"/>
  <c r="V10" i="4" s="1"/>
  <c r="P11" i="4"/>
  <c r="I12" i="4"/>
  <c r="L12" i="4" s="1"/>
  <c r="O12" i="4"/>
  <c r="V12" i="4" s="1"/>
  <c r="P13" i="4"/>
  <c r="I14" i="4"/>
  <c r="L14" i="4" s="1"/>
  <c r="O14" i="4"/>
  <c r="V14" i="4" s="1"/>
  <c r="P15" i="4"/>
  <c r="I16" i="4"/>
  <c r="L16" i="4" s="1"/>
  <c r="O16" i="4"/>
  <c r="V16" i="4" s="1"/>
  <c r="P17" i="4"/>
  <c r="I18" i="4"/>
  <c r="L18" i="4" s="1"/>
  <c r="O18" i="4"/>
  <c r="V18" i="4" s="1"/>
  <c r="P19" i="4"/>
  <c r="I20" i="4"/>
  <c r="L20" i="4" s="1"/>
  <c r="O20" i="4"/>
  <c r="V20" i="4" s="1"/>
  <c r="P21" i="4"/>
  <c r="I22" i="4"/>
  <c r="L22" i="4" s="1"/>
  <c r="O22" i="4"/>
  <c r="V22" i="4" s="1"/>
  <c r="P23" i="4"/>
  <c r="I24" i="4"/>
  <c r="L24" i="4" s="1"/>
  <c r="O24" i="4"/>
  <c r="V24" i="4" s="1"/>
  <c r="P25" i="4"/>
  <c r="I26" i="4"/>
  <c r="L26" i="4" s="1"/>
  <c r="O26" i="4"/>
  <c r="V26" i="4" s="1"/>
  <c r="P27" i="4"/>
  <c r="I28" i="4"/>
  <c r="L28" i="4" s="1"/>
  <c r="O28" i="4"/>
  <c r="V28" i="4" s="1"/>
  <c r="P29" i="4"/>
  <c r="I30" i="4"/>
  <c r="L30" i="4" s="1"/>
  <c r="O30" i="4"/>
  <c r="V30" i="4" s="1"/>
  <c r="P31" i="4"/>
  <c r="G32" i="4"/>
  <c r="D33" i="4"/>
  <c r="G35" i="4"/>
  <c r="D30" i="5"/>
  <c r="I4" i="5"/>
  <c r="H30" i="5"/>
  <c r="R4" i="5"/>
  <c r="J5" i="5"/>
  <c r="J30" i="5" s="1"/>
  <c r="J7" i="5"/>
  <c r="R8" i="5"/>
  <c r="J9" i="5"/>
  <c r="R10" i="5"/>
  <c r="J11" i="5"/>
  <c r="R12" i="5"/>
  <c r="J13" i="5"/>
  <c r="J15" i="5"/>
  <c r="R16" i="5"/>
  <c r="J17" i="5"/>
  <c r="R18" i="5"/>
  <c r="J19" i="5"/>
  <c r="R20" i="5"/>
  <c r="J21" i="5"/>
  <c r="J23" i="5"/>
  <c r="R24" i="5"/>
  <c r="J25" i="5"/>
  <c r="R26" i="5"/>
  <c r="J27" i="5"/>
  <c r="R28" i="5"/>
  <c r="J29" i="5"/>
  <c r="S4" i="6"/>
  <c r="J5" i="6"/>
  <c r="S6" i="6"/>
  <c r="J7" i="6"/>
  <c r="S8" i="6"/>
  <c r="J9" i="6"/>
  <c r="S10" i="6"/>
  <c r="J11" i="6"/>
  <c r="S12" i="6"/>
  <c r="J13" i="6"/>
  <c r="S14" i="6"/>
  <c r="J15" i="6"/>
  <c r="S16" i="6"/>
  <c r="J17" i="6"/>
  <c r="S18" i="6"/>
  <c r="J19" i="6"/>
  <c r="S20" i="6"/>
  <c r="J21" i="6"/>
  <c r="S22" i="6"/>
  <c r="J23" i="6"/>
  <c r="S24" i="6"/>
  <c r="J25" i="6"/>
  <c r="S26" i="6"/>
  <c r="J27" i="6"/>
  <c r="S28" i="6"/>
  <c r="J4" i="7"/>
  <c r="S5" i="7"/>
  <c r="J6" i="7"/>
  <c r="S7" i="7"/>
  <c r="J8" i="7"/>
  <c r="S9" i="7"/>
  <c r="J10" i="7"/>
  <c r="S11" i="7"/>
  <c r="J12" i="7"/>
  <c r="S13" i="7"/>
  <c r="J14" i="7"/>
  <c r="S15" i="7"/>
  <c r="J16" i="7"/>
  <c r="S17" i="7"/>
  <c r="J18" i="7"/>
  <c r="S19" i="7"/>
  <c r="J20" i="7"/>
  <c r="S21" i="7"/>
  <c r="J22" i="7"/>
  <c r="S23" i="7"/>
  <c r="J24" i="7"/>
  <c r="S25" i="7"/>
  <c r="J26" i="7"/>
  <c r="S27" i="7"/>
  <c r="J28" i="7"/>
  <c r="D29" i="7"/>
  <c r="J4" i="8"/>
  <c r="R5" i="8"/>
  <c r="J6" i="8"/>
  <c r="K8" i="8"/>
  <c r="N8" i="8" s="1"/>
  <c r="R10" i="8"/>
  <c r="S10" i="8"/>
  <c r="Q10" i="8"/>
  <c r="W10" i="8" s="1"/>
  <c r="K12" i="8"/>
  <c r="N12" i="8" s="1"/>
  <c r="R14" i="8"/>
  <c r="S14" i="8"/>
  <c r="Q14" i="8"/>
  <c r="W14" i="8" s="1"/>
  <c r="K16" i="8"/>
  <c r="N16" i="8" s="1"/>
  <c r="R18" i="8"/>
  <c r="S18" i="8"/>
  <c r="Q18" i="8"/>
  <c r="W18" i="8" s="1"/>
  <c r="K20" i="8"/>
  <c r="N20" i="8" s="1"/>
  <c r="R22" i="8"/>
  <c r="S22" i="8"/>
  <c r="Q22" i="8"/>
  <c r="W22" i="8" s="1"/>
  <c r="K24" i="8"/>
  <c r="N24" i="8" s="1"/>
  <c r="R26" i="8"/>
  <c r="S26" i="8"/>
  <c r="Q26" i="8"/>
  <c r="W26" i="8" s="1"/>
  <c r="K28" i="8"/>
  <c r="N28" i="8" s="1"/>
  <c r="I5" i="9"/>
  <c r="J5" i="9"/>
  <c r="S6" i="9"/>
  <c r="Q6" i="9"/>
  <c r="K6" i="9"/>
  <c r="N6" i="9" s="1"/>
  <c r="R6" i="9"/>
  <c r="I9" i="9"/>
  <c r="J9" i="9"/>
  <c r="S10" i="9"/>
  <c r="Q10" i="9"/>
  <c r="K10" i="9"/>
  <c r="N10" i="9" s="1"/>
  <c r="R10" i="9"/>
  <c r="I13" i="9"/>
  <c r="J13" i="9"/>
  <c r="R14" i="9"/>
  <c r="S14" i="9"/>
  <c r="Q14" i="9"/>
  <c r="W14" i="9" s="1"/>
  <c r="I15" i="9"/>
  <c r="J15" i="9"/>
  <c r="S16" i="9"/>
  <c r="Q16" i="9"/>
  <c r="K16" i="9"/>
  <c r="N16" i="9" s="1"/>
  <c r="R16" i="9"/>
  <c r="I19" i="9"/>
  <c r="J19" i="9"/>
  <c r="S20" i="9"/>
  <c r="Q20" i="9"/>
  <c r="K20" i="9"/>
  <c r="N20" i="9" s="1"/>
  <c r="R20" i="9"/>
  <c r="I23" i="9"/>
  <c r="J23" i="9"/>
  <c r="S24" i="9"/>
  <c r="Q24" i="9"/>
  <c r="K24" i="9"/>
  <c r="N24" i="9" s="1"/>
  <c r="R24" i="9"/>
  <c r="I27" i="9"/>
  <c r="J27" i="9"/>
  <c r="S28" i="9"/>
  <c r="Q28" i="9"/>
  <c r="K28" i="9"/>
  <c r="N28" i="9" s="1"/>
  <c r="R28" i="9"/>
  <c r="J32" i="9"/>
  <c r="R4" i="10"/>
  <c r="S4" i="10"/>
  <c r="Q4" i="10"/>
  <c r="W4" i="10" s="1"/>
  <c r="K6" i="10"/>
  <c r="N6" i="10" s="1"/>
  <c r="R8" i="10"/>
  <c r="S8" i="10"/>
  <c r="Q8" i="10"/>
  <c r="W8" i="10" s="1"/>
  <c r="K10" i="10"/>
  <c r="N10" i="10" s="1"/>
  <c r="R12" i="10"/>
  <c r="S12" i="10"/>
  <c r="Q12" i="10"/>
  <c r="W12" i="10" s="1"/>
  <c r="K16" i="10"/>
  <c r="N16" i="10" s="1"/>
  <c r="R18" i="10"/>
  <c r="S18" i="10"/>
  <c r="Q18" i="10"/>
  <c r="W18" i="10" s="1"/>
  <c r="K20" i="10"/>
  <c r="N20" i="10" s="1"/>
  <c r="R22" i="10"/>
  <c r="S22" i="10"/>
  <c r="Q22" i="10"/>
  <c r="W22" i="10" s="1"/>
  <c r="K24" i="10"/>
  <c r="N24" i="10" s="1"/>
  <c r="R26" i="10"/>
  <c r="S26" i="10"/>
  <c r="Q26" i="10"/>
  <c r="W26" i="10" s="1"/>
  <c r="D29" i="11"/>
  <c r="I4" i="11"/>
  <c r="I29" i="11" s="1"/>
  <c r="J4" i="11"/>
  <c r="H29" i="11"/>
  <c r="S5" i="11"/>
  <c r="Q5" i="11"/>
  <c r="K5" i="11"/>
  <c r="N5" i="11" s="1"/>
  <c r="R5" i="11"/>
  <c r="I8" i="11"/>
  <c r="J8" i="11"/>
  <c r="S9" i="11"/>
  <c r="Q9" i="11"/>
  <c r="K9" i="11"/>
  <c r="N9" i="11" s="1"/>
  <c r="R9" i="11"/>
  <c r="I12" i="11"/>
  <c r="J12" i="11"/>
  <c r="S13" i="11"/>
  <c r="Q13" i="11"/>
  <c r="K13" i="11"/>
  <c r="N13" i="11" s="1"/>
  <c r="R13" i="11"/>
  <c r="S15" i="11"/>
  <c r="Q15" i="11"/>
  <c r="K15" i="11"/>
  <c r="N15" i="11" s="1"/>
  <c r="R15" i="11"/>
  <c r="I18" i="11"/>
  <c r="J18" i="11"/>
  <c r="S19" i="11"/>
  <c r="Q19" i="11"/>
  <c r="K19" i="11"/>
  <c r="N19" i="11" s="1"/>
  <c r="R19" i="11"/>
  <c r="I22" i="11"/>
  <c r="J22" i="11"/>
  <c r="S23" i="11"/>
  <c r="Q23" i="11"/>
  <c r="K23" i="11"/>
  <c r="N23" i="11" s="1"/>
  <c r="R23" i="11"/>
  <c r="I26" i="11"/>
  <c r="J26" i="11"/>
  <c r="S27" i="11"/>
  <c r="Q27" i="11"/>
  <c r="K27" i="11"/>
  <c r="N27" i="11" s="1"/>
  <c r="R27" i="11"/>
  <c r="V10" i="12"/>
  <c r="W10" i="12"/>
  <c r="O98" i="12"/>
  <c r="AL12" i="12"/>
  <c r="AB12" i="12"/>
  <c r="AF12" i="12"/>
  <c r="AD12" i="12"/>
  <c r="AI12" i="12"/>
  <c r="AL22" i="12"/>
  <c r="AB22" i="12"/>
  <c r="AF22" i="12"/>
  <c r="AD22" i="12"/>
  <c r="AI22" i="12"/>
  <c r="AF23" i="12"/>
  <c r="AD23" i="12"/>
  <c r="AB23" i="12"/>
  <c r="AH23" i="12" s="1"/>
  <c r="AF24" i="12"/>
  <c r="AD24" i="12"/>
  <c r="AB24" i="12"/>
  <c r="BA25" i="12"/>
  <c r="U25" i="12"/>
  <c r="AB11" i="13"/>
  <c r="AF11" i="13"/>
  <c r="AD11" i="13"/>
  <c r="AB13" i="13"/>
  <c r="AF13" i="13"/>
  <c r="AD13" i="13"/>
  <c r="J7" i="8"/>
  <c r="J9" i="8"/>
  <c r="J11" i="8"/>
  <c r="J13" i="8"/>
  <c r="J15" i="8"/>
  <c r="J17" i="8"/>
  <c r="J19" i="8"/>
  <c r="J21" i="8"/>
  <c r="J23" i="8"/>
  <c r="J25" i="8"/>
  <c r="J27" i="8"/>
  <c r="D29" i="9"/>
  <c r="I4" i="9"/>
  <c r="H29" i="9"/>
  <c r="I4" i="10"/>
  <c r="I28" i="10" s="1"/>
  <c r="J5" i="10"/>
  <c r="J7" i="10"/>
  <c r="J9" i="10"/>
  <c r="J11" i="10"/>
  <c r="J13" i="10"/>
  <c r="J15" i="10"/>
  <c r="J17" i="10"/>
  <c r="J19" i="10"/>
  <c r="J21" i="10"/>
  <c r="J23" i="10"/>
  <c r="J25" i="10"/>
  <c r="J27" i="10"/>
  <c r="D28" i="10"/>
  <c r="S7" i="11"/>
  <c r="Q7" i="11"/>
  <c r="K7" i="11"/>
  <c r="N7" i="11" s="1"/>
  <c r="R7" i="11"/>
  <c r="I10" i="11"/>
  <c r="J10" i="11"/>
  <c r="S11" i="11"/>
  <c r="Q11" i="11"/>
  <c r="K11" i="11"/>
  <c r="N11" i="11" s="1"/>
  <c r="R11" i="11"/>
  <c r="I16" i="11"/>
  <c r="J16" i="11"/>
  <c r="S17" i="11"/>
  <c r="Q17" i="11"/>
  <c r="K17" i="11"/>
  <c r="N17" i="11" s="1"/>
  <c r="R17" i="11"/>
  <c r="I20" i="11"/>
  <c r="J20" i="11"/>
  <c r="S21" i="11"/>
  <c r="Q21" i="11"/>
  <c r="K21" i="11"/>
  <c r="N21" i="11" s="1"/>
  <c r="R21" i="11"/>
  <c r="I24" i="11"/>
  <c r="J24" i="11"/>
  <c r="S25" i="11"/>
  <c r="Q25" i="11"/>
  <c r="K25" i="11"/>
  <c r="N25" i="11" s="1"/>
  <c r="R25" i="11"/>
  <c r="I28" i="11"/>
  <c r="J28" i="11"/>
  <c r="V2" i="12"/>
  <c r="W2" i="12"/>
  <c r="V3" i="12"/>
  <c r="W3" i="12" s="1"/>
  <c r="V4" i="12"/>
  <c r="W4" i="12" s="1"/>
  <c r="V5" i="12"/>
  <c r="W5" i="12" s="1"/>
  <c r="W6" i="12"/>
  <c r="V6" i="12"/>
  <c r="AI7" i="12"/>
  <c r="AF7" i="12"/>
  <c r="AD7" i="12"/>
  <c r="AB7" i="12"/>
  <c r="AL8" i="12"/>
  <c r="AB8" i="12"/>
  <c r="AF8" i="12"/>
  <c r="AD8" i="12"/>
  <c r="AI8" i="12"/>
  <c r="AL9" i="12"/>
  <c r="AB9" i="12"/>
  <c r="AM9" i="12"/>
  <c r="AF9" i="12"/>
  <c r="AD9" i="12"/>
  <c r="AI9" i="12"/>
  <c r="AL14" i="12"/>
  <c r="AB14" i="12"/>
  <c r="AF14" i="12"/>
  <c r="AD14" i="12"/>
  <c r="AI14" i="12"/>
  <c r="BA15" i="12"/>
  <c r="U15" i="12"/>
  <c r="AL20" i="12"/>
  <c r="AF20" i="12"/>
  <c r="AD20" i="12"/>
  <c r="AB20" i="12"/>
  <c r="BA20" i="12"/>
  <c r="AF38" i="12"/>
  <c r="AD38" i="12"/>
  <c r="AB38" i="12"/>
  <c r="BA45" i="12"/>
  <c r="U45" i="12"/>
  <c r="AB46" i="12"/>
  <c r="AF46" i="12"/>
  <c r="AD46" i="12"/>
  <c r="F29" i="11"/>
  <c r="J14" i="11"/>
  <c r="BA13" i="12"/>
  <c r="U13" i="12"/>
  <c r="AL16" i="12"/>
  <c r="AB16" i="12"/>
  <c r="AH16" i="12" s="1"/>
  <c r="AI16" i="12"/>
  <c r="AI17" i="12"/>
  <c r="AF17" i="12"/>
  <c r="AD17" i="12"/>
  <c r="AH17" i="12" s="1"/>
  <c r="BA17" i="12"/>
  <c r="AL19" i="12"/>
  <c r="AB19" i="12"/>
  <c r="AH19" i="12" s="1"/>
  <c r="AI19" i="12"/>
  <c r="BA21" i="12"/>
  <c r="U21" i="12"/>
  <c r="AB26" i="12"/>
  <c r="AF26" i="12"/>
  <c r="AD26" i="12"/>
  <c r="BA32" i="12"/>
  <c r="U32" i="12"/>
  <c r="AB33" i="12"/>
  <c r="AF33" i="12"/>
  <c r="AD33" i="12"/>
  <c r="AF49" i="12"/>
  <c r="AD49" i="12"/>
  <c r="AB49" i="12"/>
  <c r="AH49" i="12" s="1"/>
  <c r="BA50" i="12"/>
  <c r="U50" i="12"/>
  <c r="AB51" i="12"/>
  <c r="AF51" i="12"/>
  <c r="AD51" i="12"/>
  <c r="AF53" i="12"/>
  <c r="AD53" i="12"/>
  <c r="AB53" i="12"/>
  <c r="AH53" i="12" s="1"/>
  <c r="P98" i="12"/>
  <c r="AJ98" i="12"/>
  <c r="AP98" i="12"/>
  <c r="AE98" i="12"/>
  <c r="R98" i="12"/>
  <c r="BA27" i="12"/>
  <c r="U27" i="12"/>
  <c r="AH28" i="12"/>
  <c r="AH29" i="12"/>
  <c r="AH30" i="12"/>
  <c r="AH31" i="12"/>
  <c r="BA34" i="12"/>
  <c r="U34" i="12"/>
  <c r="AH35" i="12"/>
  <c r="AH36" i="12"/>
  <c r="AH37" i="12"/>
  <c r="AH39" i="12"/>
  <c r="AH40" i="12"/>
  <c r="AH41" i="12"/>
  <c r="AH42" i="12"/>
  <c r="AH43" i="12"/>
  <c r="AH44" i="12"/>
  <c r="BA47" i="12"/>
  <c r="U47" i="12"/>
  <c r="AH48" i="12"/>
  <c r="AR98" i="12"/>
  <c r="AS73" i="12"/>
  <c r="AS98" i="12" s="1"/>
  <c r="J12" i="14"/>
  <c r="K11" i="14"/>
  <c r="AH5" i="13"/>
  <c r="AF6" i="13"/>
  <c r="AH6" i="13" s="1"/>
  <c r="AD6" i="13"/>
  <c r="L9" i="14"/>
  <c r="M8" i="14"/>
  <c r="M21" i="14"/>
  <c r="N20" i="14"/>
  <c r="L21" i="14"/>
  <c r="K21" i="14"/>
  <c r="I21" i="14"/>
  <c r="F13" i="14"/>
  <c r="F12" i="14"/>
  <c r="J9" i="14"/>
  <c r="J21" i="14"/>
  <c r="I24" i="14"/>
  <c r="J23" i="14"/>
  <c r="R22" i="5" l="1"/>
  <c r="R14" i="5"/>
  <c r="R6" i="5"/>
  <c r="I30" i="5"/>
  <c r="K22" i="5"/>
  <c r="N22" i="5" s="1"/>
  <c r="K14" i="5"/>
  <c r="N14" i="5" s="1"/>
  <c r="O14" i="5" s="1"/>
  <c r="P14" i="5" s="1"/>
  <c r="K6" i="5"/>
  <c r="N6" i="5" s="1"/>
  <c r="AH46" i="12"/>
  <c r="AH14" i="12"/>
  <c r="AH9" i="12"/>
  <c r="AI6" i="12"/>
  <c r="AF6" i="12"/>
  <c r="AD6" i="12"/>
  <c r="AL6" i="12"/>
  <c r="AB6" i="12"/>
  <c r="AH6" i="12" s="1"/>
  <c r="AL4" i="12"/>
  <c r="AB4" i="12"/>
  <c r="AI4" i="12"/>
  <c r="AF4" i="12"/>
  <c r="AD4" i="12"/>
  <c r="O28" i="9"/>
  <c r="P28" i="9" s="1"/>
  <c r="O24" i="9"/>
  <c r="P24" i="9" s="1"/>
  <c r="O20" i="9"/>
  <c r="P20" i="9" s="1"/>
  <c r="O16" i="9"/>
  <c r="P16" i="9" s="1"/>
  <c r="S13" i="9"/>
  <c r="Q13" i="9"/>
  <c r="K13" i="9"/>
  <c r="N13" i="9" s="1"/>
  <c r="R13" i="9"/>
  <c r="W10" i="9"/>
  <c r="S9" i="9"/>
  <c r="Q9" i="9"/>
  <c r="K9" i="9"/>
  <c r="N9" i="9" s="1"/>
  <c r="R9" i="9"/>
  <c r="W6" i="9"/>
  <c r="S5" i="9"/>
  <c r="Q5" i="9"/>
  <c r="K5" i="9"/>
  <c r="N5" i="9" s="1"/>
  <c r="R5" i="9"/>
  <c r="J29" i="9"/>
  <c r="J33" i="9" s="1"/>
  <c r="O28" i="8"/>
  <c r="P28" i="8" s="1"/>
  <c r="O24" i="8"/>
  <c r="P24" i="8" s="1"/>
  <c r="O20" i="8"/>
  <c r="P20" i="8" s="1"/>
  <c r="O16" i="8"/>
  <c r="P16" i="8" s="1"/>
  <c r="O12" i="8"/>
  <c r="P12" i="8" s="1"/>
  <c r="O8" i="8"/>
  <c r="P8" i="8" s="1"/>
  <c r="M28" i="4"/>
  <c r="N28" i="4" s="1"/>
  <c r="M24" i="4"/>
  <c r="N24" i="4" s="1"/>
  <c r="M20" i="4"/>
  <c r="N20" i="4" s="1"/>
  <c r="M16" i="4"/>
  <c r="N16" i="4" s="1"/>
  <c r="M12" i="4"/>
  <c r="N12" i="4" s="1"/>
  <c r="M8" i="4"/>
  <c r="N8" i="4" s="1"/>
  <c r="M4" i="4"/>
  <c r="N4" i="4" s="1"/>
  <c r="M28" i="3"/>
  <c r="N28" i="3" s="1"/>
  <c r="M24" i="3"/>
  <c r="N24" i="3" s="1"/>
  <c r="M20" i="3"/>
  <c r="N20" i="3" s="1"/>
  <c r="M16" i="3"/>
  <c r="N16" i="3" s="1"/>
  <c r="M12" i="3"/>
  <c r="N12" i="3" s="1"/>
  <c r="M8" i="3"/>
  <c r="N8" i="3" s="1"/>
  <c r="P4" i="3"/>
  <c r="Q4" i="3"/>
  <c r="H30" i="3"/>
  <c r="O4" i="3"/>
  <c r="I4" i="3"/>
  <c r="L4" i="3" s="1"/>
  <c r="S23" i="2"/>
  <c r="W23" i="2"/>
  <c r="U23" i="2"/>
  <c r="T18" i="10"/>
  <c r="X18" i="10"/>
  <c r="V18" i="10"/>
  <c r="T18" i="8"/>
  <c r="X18" i="8"/>
  <c r="V18" i="8"/>
  <c r="J24" i="14"/>
  <c r="K23" i="14"/>
  <c r="K12" i="14"/>
  <c r="L11" i="14"/>
  <c r="AF47" i="12"/>
  <c r="AD47" i="12"/>
  <c r="AB47" i="12"/>
  <c r="AH47" i="12" s="1"/>
  <c r="AF50" i="12"/>
  <c r="AD50" i="12"/>
  <c r="AB50" i="12"/>
  <c r="AF32" i="12"/>
  <c r="AD32" i="12"/>
  <c r="AB32" i="12"/>
  <c r="AH32" i="12" s="1"/>
  <c r="AH26" i="12"/>
  <c r="BA5" i="12"/>
  <c r="AB5" i="12"/>
  <c r="AI5" i="12"/>
  <c r="AF5" i="12"/>
  <c r="AD5" i="12"/>
  <c r="AL3" i="12"/>
  <c r="AB3" i="12"/>
  <c r="AI3" i="12"/>
  <c r="AF3" i="12"/>
  <c r="AD3" i="12"/>
  <c r="U98" i="12"/>
  <c r="S28" i="11"/>
  <c r="Q28" i="11"/>
  <c r="K28" i="11"/>
  <c r="N28" i="11" s="1"/>
  <c r="R28" i="11"/>
  <c r="W25" i="11"/>
  <c r="S24" i="11"/>
  <c r="Q24" i="11"/>
  <c r="K24" i="11"/>
  <c r="N24" i="11" s="1"/>
  <c r="R24" i="11"/>
  <c r="W21" i="11"/>
  <c r="S20" i="11"/>
  <c r="Q20" i="11"/>
  <c r="K20" i="11"/>
  <c r="N20" i="11" s="1"/>
  <c r="R20" i="11"/>
  <c r="W17" i="11"/>
  <c r="S16" i="11"/>
  <c r="Q16" i="11"/>
  <c r="K16" i="11"/>
  <c r="N16" i="11" s="1"/>
  <c r="R16" i="11"/>
  <c r="W11" i="11"/>
  <c r="S10" i="11"/>
  <c r="Q10" i="11"/>
  <c r="K10" i="11"/>
  <c r="N10" i="11" s="1"/>
  <c r="R10" i="11"/>
  <c r="W7" i="11"/>
  <c r="R25" i="10"/>
  <c r="Q25" i="10"/>
  <c r="K25" i="10"/>
  <c r="N25" i="10" s="1"/>
  <c r="S25" i="10"/>
  <c r="J31" i="10"/>
  <c r="R21" i="10"/>
  <c r="Q21" i="10"/>
  <c r="W21" i="10" s="1"/>
  <c r="K21" i="10"/>
  <c r="N21" i="10" s="1"/>
  <c r="S21" i="10"/>
  <c r="R17" i="10"/>
  <c r="Q17" i="10"/>
  <c r="W17" i="10" s="1"/>
  <c r="K17" i="10"/>
  <c r="N17" i="10" s="1"/>
  <c r="S17" i="10"/>
  <c r="R13" i="10"/>
  <c r="Q13" i="10"/>
  <c r="W13" i="10" s="1"/>
  <c r="K13" i="10"/>
  <c r="N13" i="10" s="1"/>
  <c r="S13" i="10"/>
  <c r="R9" i="10"/>
  <c r="Q9" i="10"/>
  <c r="W9" i="10" s="1"/>
  <c r="K9" i="10"/>
  <c r="N9" i="10" s="1"/>
  <c r="S9" i="10"/>
  <c r="R5" i="10"/>
  <c r="Q5" i="10"/>
  <c r="W5" i="10" s="1"/>
  <c r="K5" i="10"/>
  <c r="N5" i="10" s="1"/>
  <c r="S5" i="10"/>
  <c r="J28" i="10"/>
  <c r="J31" i="8"/>
  <c r="R25" i="8"/>
  <c r="Q25" i="8"/>
  <c r="W25" i="8" s="1"/>
  <c r="K25" i="8"/>
  <c r="N25" i="8" s="1"/>
  <c r="S25" i="8"/>
  <c r="R21" i="8"/>
  <c r="Q21" i="8"/>
  <c r="W21" i="8" s="1"/>
  <c r="K21" i="8"/>
  <c r="N21" i="8" s="1"/>
  <c r="S21" i="8"/>
  <c r="R17" i="8"/>
  <c r="Q17" i="8"/>
  <c r="W17" i="8" s="1"/>
  <c r="K17" i="8"/>
  <c r="N17" i="8" s="1"/>
  <c r="S17" i="8"/>
  <c r="R13" i="8"/>
  <c r="Q13" i="8"/>
  <c r="W13" i="8" s="1"/>
  <c r="K13" i="8"/>
  <c r="N13" i="8" s="1"/>
  <c r="S13" i="8"/>
  <c r="R9" i="8"/>
  <c r="Q9" i="8"/>
  <c r="W9" i="8" s="1"/>
  <c r="K9" i="8"/>
  <c r="N9" i="8" s="1"/>
  <c r="S9" i="8"/>
  <c r="AH11" i="13"/>
  <c r="AH22" i="12"/>
  <c r="AL10" i="12"/>
  <c r="AB10" i="12"/>
  <c r="AI10" i="12"/>
  <c r="AF10" i="12"/>
  <c r="AD10" i="12"/>
  <c r="AM10" i="12"/>
  <c r="W27" i="11"/>
  <c r="S26" i="11"/>
  <c r="Q26" i="11"/>
  <c r="K26" i="11"/>
  <c r="N26" i="11" s="1"/>
  <c r="R26" i="11"/>
  <c r="W23" i="11"/>
  <c r="S22" i="11"/>
  <c r="Q22" i="11"/>
  <c r="K22" i="11"/>
  <c r="N22" i="11" s="1"/>
  <c r="R22" i="11"/>
  <c r="W19" i="11"/>
  <c r="S18" i="11"/>
  <c r="Q18" i="11"/>
  <c r="K18" i="11"/>
  <c r="N18" i="11" s="1"/>
  <c r="R18" i="11"/>
  <c r="W15" i="11"/>
  <c r="W13" i="11"/>
  <c r="S12" i="11"/>
  <c r="Q12" i="11"/>
  <c r="K12" i="11"/>
  <c r="N12" i="11" s="1"/>
  <c r="R12" i="11"/>
  <c r="W9" i="11"/>
  <c r="S8" i="11"/>
  <c r="Q8" i="11"/>
  <c r="K8" i="11"/>
  <c r="N8" i="11" s="1"/>
  <c r="R8" i="11"/>
  <c r="W5" i="11"/>
  <c r="T26" i="10"/>
  <c r="X26" i="10"/>
  <c r="V26" i="10"/>
  <c r="T8" i="10"/>
  <c r="X8" i="10"/>
  <c r="V8" i="10"/>
  <c r="T26" i="8"/>
  <c r="X26" i="8"/>
  <c r="V26" i="8"/>
  <c r="T10" i="8"/>
  <c r="X10" i="8"/>
  <c r="V10" i="8"/>
  <c r="N24" i="2"/>
  <c r="M24" i="2"/>
  <c r="S6" i="11"/>
  <c r="Q6" i="11"/>
  <c r="K6" i="11"/>
  <c r="N6" i="11" s="1"/>
  <c r="R6" i="11"/>
  <c r="T22" i="10"/>
  <c r="X22" i="10"/>
  <c r="V22" i="10"/>
  <c r="O14" i="10"/>
  <c r="P14" i="10"/>
  <c r="T12" i="10"/>
  <c r="X12" i="10"/>
  <c r="V12" i="10"/>
  <c r="T4" i="10"/>
  <c r="X4" i="10"/>
  <c r="V4" i="10"/>
  <c r="O26" i="9"/>
  <c r="P26" i="9" s="1"/>
  <c r="O22" i="9"/>
  <c r="P22" i="9" s="1"/>
  <c r="O18" i="9"/>
  <c r="P18" i="9" s="1"/>
  <c r="T14" i="9"/>
  <c r="X14" i="9"/>
  <c r="V14" i="9"/>
  <c r="O12" i="9"/>
  <c r="P12" i="9"/>
  <c r="O8" i="9"/>
  <c r="P8" i="9"/>
  <c r="O4" i="9"/>
  <c r="P4" i="9"/>
  <c r="T22" i="8"/>
  <c r="X22" i="8"/>
  <c r="V22" i="8"/>
  <c r="T14" i="8"/>
  <c r="X14" i="8"/>
  <c r="V14" i="8"/>
  <c r="O5" i="8"/>
  <c r="P5" i="8"/>
  <c r="O4" i="6"/>
  <c r="P4" i="6" s="1"/>
  <c r="W28" i="5"/>
  <c r="O26" i="5"/>
  <c r="P26" i="5" s="1"/>
  <c r="W24" i="5"/>
  <c r="O22" i="5"/>
  <c r="P22" i="5" s="1"/>
  <c r="W20" i="5"/>
  <c r="O18" i="5"/>
  <c r="P18" i="5" s="1"/>
  <c r="W16" i="5"/>
  <c r="W12" i="5"/>
  <c r="O10" i="5"/>
  <c r="P10" i="5" s="1"/>
  <c r="W8" i="5"/>
  <c r="O6" i="5"/>
  <c r="P6" i="5" s="1"/>
  <c r="W4" i="5"/>
  <c r="M29" i="4"/>
  <c r="N29" i="4" s="1"/>
  <c r="M25" i="4"/>
  <c r="N25" i="4" s="1"/>
  <c r="M21" i="4"/>
  <c r="N21" i="4" s="1"/>
  <c r="M17" i="4"/>
  <c r="N17" i="4" s="1"/>
  <c r="M13" i="4"/>
  <c r="N13" i="4" s="1"/>
  <c r="M9" i="4"/>
  <c r="N9" i="4" s="1"/>
  <c r="M5" i="4"/>
  <c r="N5" i="4" s="1"/>
  <c r="G33" i="4"/>
  <c r="S29" i="3"/>
  <c r="W29" i="3"/>
  <c r="U29" i="3"/>
  <c r="M25" i="3"/>
  <c r="N25" i="3" s="1"/>
  <c r="M21" i="3"/>
  <c r="N21" i="3" s="1"/>
  <c r="M17" i="3"/>
  <c r="N17" i="3" s="1"/>
  <c r="M13" i="3"/>
  <c r="N13" i="3" s="1"/>
  <c r="M9" i="3"/>
  <c r="N9" i="3" s="1"/>
  <c r="M5" i="3"/>
  <c r="N5" i="3" s="1"/>
  <c r="V25" i="2"/>
  <c r="S21" i="2"/>
  <c r="W21" i="2"/>
  <c r="U21" i="2"/>
  <c r="V19" i="2"/>
  <c r="G27" i="2"/>
  <c r="Q30" i="1"/>
  <c r="O30" i="1"/>
  <c r="I30" i="1"/>
  <c r="L30" i="1" s="1"/>
  <c r="P30" i="1"/>
  <c r="P24" i="1"/>
  <c r="I24" i="1"/>
  <c r="Q24" i="1"/>
  <c r="O24" i="1"/>
  <c r="K24" i="1"/>
  <c r="Q22" i="1"/>
  <c r="O22" i="1"/>
  <c r="I22" i="1"/>
  <c r="L22" i="1" s="1"/>
  <c r="P22" i="1"/>
  <c r="Q20" i="1"/>
  <c r="O20" i="1"/>
  <c r="I20" i="1"/>
  <c r="L20" i="1" s="1"/>
  <c r="P20" i="1"/>
  <c r="Q18" i="1"/>
  <c r="O18" i="1"/>
  <c r="I18" i="1"/>
  <c r="L18" i="1" s="1"/>
  <c r="P18" i="1"/>
  <c r="Q16" i="1"/>
  <c r="O16" i="1"/>
  <c r="I16" i="1"/>
  <c r="L16" i="1" s="1"/>
  <c r="P16" i="1"/>
  <c r="Q14" i="1"/>
  <c r="O14" i="1"/>
  <c r="I14" i="1"/>
  <c r="L14" i="1" s="1"/>
  <c r="P14" i="1"/>
  <c r="Q12" i="1"/>
  <c r="O12" i="1"/>
  <c r="I12" i="1"/>
  <c r="L12" i="1" s="1"/>
  <c r="P12" i="1"/>
  <c r="Q9" i="1"/>
  <c r="O9" i="1"/>
  <c r="I9" i="1"/>
  <c r="L9" i="1" s="1"/>
  <c r="P9" i="1"/>
  <c r="Q6" i="1"/>
  <c r="O6" i="1"/>
  <c r="I6" i="1"/>
  <c r="L6" i="1" s="1"/>
  <c r="P6" i="1"/>
  <c r="I32" i="6"/>
  <c r="M32" i="4"/>
  <c r="N32" i="4" s="1"/>
  <c r="M17" i="2"/>
  <c r="N17" i="2" s="1"/>
  <c r="M16" i="2"/>
  <c r="N16" i="2" s="1"/>
  <c r="M14" i="2"/>
  <c r="N14" i="2" s="1"/>
  <c r="M12" i="2"/>
  <c r="N12" i="2" s="1"/>
  <c r="F20" i="14"/>
  <c r="F19" i="14"/>
  <c r="F21" i="14"/>
  <c r="F15" i="14"/>
  <c r="F18" i="14" s="1"/>
  <c r="O20" i="14"/>
  <c r="N21" i="14"/>
  <c r="M9" i="14"/>
  <c r="N8" i="14"/>
  <c r="AF34" i="12"/>
  <c r="AD34" i="12"/>
  <c r="AB34" i="12"/>
  <c r="AH34" i="12" s="1"/>
  <c r="AF27" i="12"/>
  <c r="AD27" i="12"/>
  <c r="AB27" i="12"/>
  <c r="AH51" i="12"/>
  <c r="AH33" i="12"/>
  <c r="AI21" i="12"/>
  <c r="AF21" i="12"/>
  <c r="AD21" i="12"/>
  <c r="AL21" i="12"/>
  <c r="AB21" i="12"/>
  <c r="AH21" i="12" s="1"/>
  <c r="AI13" i="12"/>
  <c r="AF13" i="12"/>
  <c r="AD13" i="12"/>
  <c r="AL13" i="12"/>
  <c r="AB13" i="12"/>
  <c r="R14" i="11"/>
  <c r="Q14" i="11"/>
  <c r="K14" i="11"/>
  <c r="N14" i="11" s="1"/>
  <c r="S14" i="11"/>
  <c r="AF45" i="12"/>
  <c r="AD45" i="12"/>
  <c r="AB45" i="12"/>
  <c r="AH45" i="12" s="1"/>
  <c r="AH38" i="12"/>
  <c r="AH20" i="12"/>
  <c r="AI15" i="12"/>
  <c r="AF15" i="12"/>
  <c r="AD15" i="12"/>
  <c r="AB15" i="12"/>
  <c r="AH15" i="12" s="1"/>
  <c r="AL15" i="12"/>
  <c r="AM98" i="12"/>
  <c r="AH8" i="12"/>
  <c r="AH7" i="12"/>
  <c r="W98" i="12"/>
  <c r="AL2" i="12"/>
  <c r="AL98" i="12" s="1"/>
  <c r="AB2" i="12"/>
  <c r="AI2" i="12"/>
  <c r="AI98" i="12" s="1"/>
  <c r="BA2" i="12"/>
  <c r="AF2" i="12"/>
  <c r="AF98" i="12" s="1"/>
  <c r="AD2" i="12"/>
  <c r="V98" i="12"/>
  <c r="O25" i="11"/>
  <c r="P25" i="11"/>
  <c r="O21" i="11"/>
  <c r="P21" i="11"/>
  <c r="O17" i="11"/>
  <c r="P17" i="11"/>
  <c r="O11" i="11"/>
  <c r="P11" i="11"/>
  <c r="O7" i="11"/>
  <c r="P7" i="11"/>
  <c r="R27" i="10"/>
  <c r="Q27" i="10"/>
  <c r="W27" i="10" s="1"/>
  <c r="K27" i="10"/>
  <c r="N27" i="10" s="1"/>
  <c r="S27" i="10"/>
  <c r="R23" i="10"/>
  <c r="Q23" i="10"/>
  <c r="W23" i="10" s="1"/>
  <c r="K23" i="10"/>
  <c r="N23" i="10" s="1"/>
  <c r="S23" i="10"/>
  <c r="R19" i="10"/>
  <c r="Q19" i="10"/>
  <c r="W19" i="10" s="1"/>
  <c r="K19" i="10"/>
  <c r="N19" i="10" s="1"/>
  <c r="S19" i="10"/>
  <c r="R15" i="10"/>
  <c r="Q15" i="10"/>
  <c r="W15" i="10" s="1"/>
  <c r="K15" i="10"/>
  <c r="N15" i="10" s="1"/>
  <c r="S15" i="10"/>
  <c r="R11" i="10"/>
  <c r="Q11" i="10"/>
  <c r="W11" i="10" s="1"/>
  <c r="K11" i="10"/>
  <c r="N11" i="10" s="1"/>
  <c r="S11" i="10"/>
  <c r="R7" i="10"/>
  <c r="Q7" i="10"/>
  <c r="W7" i="10" s="1"/>
  <c r="K7" i="10"/>
  <c r="N7" i="10" s="1"/>
  <c r="S7" i="10"/>
  <c r="I29" i="9"/>
  <c r="R27" i="8"/>
  <c r="Q27" i="8"/>
  <c r="K27" i="8"/>
  <c r="N27" i="8" s="1"/>
  <c r="S27" i="8"/>
  <c r="R23" i="8"/>
  <c r="Q23" i="8"/>
  <c r="K23" i="8"/>
  <c r="N23" i="8" s="1"/>
  <c r="S23" i="8"/>
  <c r="R19" i="8"/>
  <c r="Q19" i="8"/>
  <c r="K19" i="8"/>
  <c r="N19" i="8" s="1"/>
  <c r="S19" i="8"/>
  <c r="R15" i="8"/>
  <c r="Q15" i="8"/>
  <c r="K15" i="8"/>
  <c r="N15" i="8" s="1"/>
  <c r="S15" i="8"/>
  <c r="R11" i="8"/>
  <c r="Q11" i="8"/>
  <c r="K11" i="8"/>
  <c r="N11" i="8" s="1"/>
  <c r="S11" i="8"/>
  <c r="R7" i="8"/>
  <c r="Q7" i="8"/>
  <c r="K7" i="8"/>
  <c r="N7" i="8" s="1"/>
  <c r="S7" i="8"/>
  <c r="AH13" i="13"/>
  <c r="AF25" i="12"/>
  <c r="AD25" i="12"/>
  <c r="AB25" i="12"/>
  <c r="AH24" i="12"/>
  <c r="AH12" i="12"/>
  <c r="O27" i="11"/>
  <c r="P27" i="11" s="1"/>
  <c r="O23" i="11"/>
  <c r="P23" i="11" s="1"/>
  <c r="O19" i="11"/>
  <c r="P19" i="11" s="1"/>
  <c r="O15" i="11"/>
  <c r="P15" i="11" s="1"/>
  <c r="O13" i="11"/>
  <c r="P13" i="11" s="1"/>
  <c r="O9" i="11"/>
  <c r="P9" i="11" s="1"/>
  <c r="O5" i="11"/>
  <c r="P5" i="11" s="1"/>
  <c r="J29" i="11"/>
  <c r="J33" i="11" s="1"/>
  <c r="J32" i="11"/>
  <c r="S4" i="11"/>
  <c r="Q4" i="11"/>
  <c r="K4" i="11"/>
  <c r="N4" i="11" s="1"/>
  <c r="R4" i="11"/>
  <c r="P24" i="10"/>
  <c r="O24" i="10"/>
  <c r="P20" i="10"/>
  <c r="O20" i="10"/>
  <c r="P16" i="10"/>
  <c r="O16" i="10"/>
  <c r="P10" i="10"/>
  <c r="O10" i="10"/>
  <c r="P6" i="10"/>
  <c r="O6" i="10"/>
  <c r="W28" i="9"/>
  <c r="S27" i="9"/>
  <c r="Q27" i="9"/>
  <c r="K27" i="9"/>
  <c r="N27" i="9" s="1"/>
  <c r="R27" i="9"/>
  <c r="W24" i="9"/>
  <c r="S23" i="9"/>
  <c r="Q23" i="9"/>
  <c r="K23" i="9"/>
  <c r="N23" i="9" s="1"/>
  <c r="R23" i="9"/>
  <c r="W20" i="9"/>
  <c r="S19" i="9"/>
  <c r="Q19" i="9"/>
  <c r="K19" i="9"/>
  <c r="N19" i="9" s="1"/>
  <c r="R19" i="9"/>
  <c r="W16" i="9"/>
  <c r="S15" i="9"/>
  <c r="Q15" i="9"/>
  <c r="K15" i="9"/>
  <c r="N15" i="9" s="1"/>
  <c r="R15" i="9"/>
  <c r="O10" i="9"/>
  <c r="P10" i="9" s="1"/>
  <c r="O6" i="9"/>
  <c r="P6" i="9" s="1"/>
  <c r="S6" i="8"/>
  <c r="Q6" i="8"/>
  <c r="K6" i="8"/>
  <c r="N6" i="8" s="1"/>
  <c r="R6" i="8"/>
  <c r="J29" i="8"/>
  <c r="J32" i="8" s="1"/>
  <c r="S4" i="8"/>
  <c r="Q4" i="8"/>
  <c r="K4" i="8"/>
  <c r="N4" i="8" s="1"/>
  <c r="R4" i="8"/>
  <c r="R28" i="7"/>
  <c r="Q28" i="7"/>
  <c r="W28" i="7" s="1"/>
  <c r="K28" i="7"/>
  <c r="N28" i="7" s="1"/>
  <c r="S28" i="7"/>
  <c r="R26" i="7"/>
  <c r="Q26" i="7"/>
  <c r="W26" i="7" s="1"/>
  <c r="K26" i="7"/>
  <c r="N26" i="7" s="1"/>
  <c r="S26" i="7"/>
  <c r="R24" i="7"/>
  <c r="Q24" i="7"/>
  <c r="W24" i="7" s="1"/>
  <c r="K24" i="7"/>
  <c r="N24" i="7" s="1"/>
  <c r="S24" i="7"/>
  <c r="R22" i="7"/>
  <c r="Q22" i="7"/>
  <c r="W22" i="7" s="1"/>
  <c r="K22" i="7"/>
  <c r="N22" i="7" s="1"/>
  <c r="S22" i="7"/>
  <c r="R20" i="7"/>
  <c r="Q20" i="7"/>
  <c r="W20" i="7" s="1"/>
  <c r="K20" i="7"/>
  <c r="N20" i="7" s="1"/>
  <c r="S20" i="7"/>
  <c r="R18" i="7"/>
  <c r="Q18" i="7"/>
  <c r="W18" i="7" s="1"/>
  <c r="K18" i="7"/>
  <c r="N18" i="7" s="1"/>
  <c r="S18" i="7"/>
  <c r="R16" i="7"/>
  <c r="Q16" i="7"/>
  <c r="W16" i="7" s="1"/>
  <c r="K16" i="7"/>
  <c r="N16" i="7" s="1"/>
  <c r="S16" i="7"/>
  <c r="S14" i="7"/>
  <c r="Q14" i="7"/>
  <c r="K14" i="7"/>
  <c r="N14" i="7" s="1"/>
  <c r="R14" i="7"/>
  <c r="R12" i="7"/>
  <c r="Q12" i="7"/>
  <c r="W12" i="7" s="1"/>
  <c r="K12" i="7"/>
  <c r="N12" i="7" s="1"/>
  <c r="S12" i="7"/>
  <c r="R10" i="7"/>
  <c r="Q10" i="7"/>
  <c r="W10" i="7" s="1"/>
  <c r="K10" i="7"/>
  <c r="N10" i="7" s="1"/>
  <c r="S10" i="7"/>
  <c r="R8" i="7"/>
  <c r="Q8" i="7"/>
  <c r="W8" i="7" s="1"/>
  <c r="K8" i="7"/>
  <c r="N8" i="7" s="1"/>
  <c r="S8" i="7"/>
  <c r="R6" i="7"/>
  <c r="Q6" i="7"/>
  <c r="W6" i="7" s="1"/>
  <c r="K6" i="7"/>
  <c r="N6" i="7" s="1"/>
  <c r="S6" i="7"/>
  <c r="R4" i="7"/>
  <c r="Q4" i="7"/>
  <c r="W4" i="7" s="1"/>
  <c r="K4" i="7"/>
  <c r="N4" i="7" s="1"/>
  <c r="J29" i="7"/>
  <c r="S4" i="7"/>
  <c r="R27" i="6"/>
  <c r="Q27" i="6"/>
  <c r="K27" i="6"/>
  <c r="N27" i="6" s="1"/>
  <c r="S27" i="6"/>
  <c r="R25" i="6"/>
  <c r="Q25" i="6"/>
  <c r="K25" i="6"/>
  <c r="N25" i="6" s="1"/>
  <c r="S25" i="6"/>
  <c r="R23" i="6"/>
  <c r="Q23" i="6"/>
  <c r="K23" i="6"/>
  <c r="N23" i="6" s="1"/>
  <c r="S23" i="6"/>
  <c r="R21" i="6"/>
  <c r="Q21" i="6"/>
  <c r="K21" i="6"/>
  <c r="N21" i="6" s="1"/>
  <c r="S21" i="6"/>
  <c r="R19" i="6"/>
  <c r="Q19" i="6"/>
  <c r="K19" i="6"/>
  <c r="N19" i="6" s="1"/>
  <c r="S19" i="6"/>
  <c r="R17" i="6"/>
  <c r="Q17" i="6"/>
  <c r="K17" i="6"/>
  <c r="N17" i="6" s="1"/>
  <c r="S17" i="6"/>
  <c r="S15" i="6"/>
  <c r="Q15" i="6"/>
  <c r="K15" i="6"/>
  <c r="N15" i="6" s="1"/>
  <c r="R15" i="6"/>
  <c r="R13" i="6"/>
  <c r="Q13" i="6"/>
  <c r="K13" i="6"/>
  <c r="N13" i="6" s="1"/>
  <c r="S13" i="6"/>
  <c r="R11" i="6"/>
  <c r="Q11" i="6"/>
  <c r="K11" i="6"/>
  <c r="N11" i="6" s="1"/>
  <c r="S11" i="6"/>
  <c r="R9" i="6"/>
  <c r="Q9" i="6"/>
  <c r="K9" i="6"/>
  <c r="N9" i="6" s="1"/>
  <c r="S9" i="6"/>
  <c r="R7" i="6"/>
  <c r="Q7" i="6"/>
  <c r="K7" i="6"/>
  <c r="N7" i="6" s="1"/>
  <c r="S7" i="6"/>
  <c r="R5" i="6"/>
  <c r="Q5" i="6"/>
  <c r="K5" i="6"/>
  <c r="N5" i="6" s="1"/>
  <c r="S5" i="6"/>
  <c r="S29" i="5"/>
  <c r="Q29" i="5"/>
  <c r="K29" i="5"/>
  <c r="N29" i="5" s="1"/>
  <c r="R29" i="5"/>
  <c r="S27" i="5"/>
  <c r="Q27" i="5"/>
  <c r="K27" i="5"/>
  <c r="N27" i="5" s="1"/>
  <c r="R27" i="5"/>
  <c r="S25" i="5"/>
  <c r="Q25" i="5"/>
  <c r="K25" i="5"/>
  <c r="N25" i="5" s="1"/>
  <c r="R25" i="5"/>
  <c r="S23" i="5"/>
  <c r="Q23" i="5"/>
  <c r="K23" i="5"/>
  <c r="N23" i="5" s="1"/>
  <c r="R23" i="5"/>
  <c r="S21" i="5"/>
  <c r="Q21" i="5"/>
  <c r="K21" i="5"/>
  <c r="N21" i="5" s="1"/>
  <c r="R21" i="5"/>
  <c r="S19" i="5"/>
  <c r="Q19" i="5"/>
  <c r="K19" i="5"/>
  <c r="N19" i="5" s="1"/>
  <c r="R19" i="5"/>
  <c r="S17" i="5"/>
  <c r="Q17" i="5"/>
  <c r="K17" i="5"/>
  <c r="N17" i="5" s="1"/>
  <c r="R17" i="5"/>
  <c r="R15" i="5"/>
  <c r="Q15" i="5"/>
  <c r="K15" i="5"/>
  <c r="N15" i="5" s="1"/>
  <c r="S15" i="5"/>
  <c r="S13" i="5"/>
  <c r="Q13" i="5"/>
  <c r="K13" i="5"/>
  <c r="N13" i="5" s="1"/>
  <c r="R13" i="5"/>
  <c r="S11" i="5"/>
  <c r="Q11" i="5"/>
  <c r="K11" i="5"/>
  <c r="N11" i="5" s="1"/>
  <c r="R11" i="5"/>
  <c r="S9" i="5"/>
  <c r="Q9" i="5"/>
  <c r="K9" i="5"/>
  <c r="N9" i="5" s="1"/>
  <c r="R9" i="5"/>
  <c r="S7" i="5"/>
  <c r="Q7" i="5"/>
  <c r="K7" i="5"/>
  <c r="N7" i="5" s="1"/>
  <c r="R7" i="5"/>
  <c r="S5" i="5"/>
  <c r="Q5" i="5"/>
  <c r="K5" i="5"/>
  <c r="N5" i="5" s="1"/>
  <c r="R5" i="5"/>
  <c r="N30" i="4"/>
  <c r="M30" i="4"/>
  <c r="N26" i="4"/>
  <c r="M26" i="4"/>
  <c r="N22" i="4"/>
  <c r="M22" i="4"/>
  <c r="N18" i="4"/>
  <c r="M18" i="4"/>
  <c r="N14" i="4"/>
  <c r="M14" i="4"/>
  <c r="N10" i="4"/>
  <c r="M10" i="4"/>
  <c r="N6" i="4"/>
  <c r="M6" i="4"/>
  <c r="N26" i="3"/>
  <c r="M26" i="3"/>
  <c r="N22" i="3"/>
  <c r="M22" i="3"/>
  <c r="N18" i="3"/>
  <c r="M18" i="3"/>
  <c r="N14" i="3"/>
  <c r="M14" i="3"/>
  <c r="N10" i="3"/>
  <c r="M10" i="3"/>
  <c r="N6" i="3"/>
  <c r="M6" i="3"/>
  <c r="G30" i="3"/>
  <c r="M26" i="2"/>
  <c r="N26" i="2" s="1"/>
  <c r="V24" i="2"/>
  <c r="N22" i="2"/>
  <c r="M22" i="2"/>
  <c r="H27" i="2"/>
  <c r="P4" i="2"/>
  <c r="Q4" i="2"/>
  <c r="O4" i="2"/>
  <c r="I4" i="2"/>
  <c r="L4" i="2" s="1"/>
  <c r="W14" i="10"/>
  <c r="W26" i="9"/>
  <c r="S25" i="9"/>
  <c r="Q25" i="9"/>
  <c r="K25" i="9"/>
  <c r="N25" i="9" s="1"/>
  <c r="R25" i="9"/>
  <c r="W22" i="9"/>
  <c r="S21" i="9"/>
  <c r="Q21" i="9"/>
  <c r="K21" i="9"/>
  <c r="N21" i="9" s="1"/>
  <c r="R21" i="9"/>
  <c r="W18" i="9"/>
  <c r="S17" i="9"/>
  <c r="Q17" i="9"/>
  <c r="K17" i="9"/>
  <c r="N17" i="9" s="1"/>
  <c r="R17" i="9"/>
  <c r="W12" i="9"/>
  <c r="S11" i="9"/>
  <c r="Q11" i="9"/>
  <c r="K11" i="9"/>
  <c r="N11" i="9" s="1"/>
  <c r="R11" i="9"/>
  <c r="W8" i="9"/>
  <c r="S7" i="9"/>
  <c r="Q7" i="9"/>
  <c r="K7" i="9"/>
  <c r="N7" i="9" s="1"/>
  <c r="R7" i="9"/>
  <c r="W4" i="9"/>
  <c r="W5" i="8"/>
  <c r="O27" i="7"/>
  <c r="P27" i="7" s="1"/>
  <c r="O25" i="7"/>
  <c r="P25" i="7" s="1"/>
  <c r="J31" i="7"/>
  <c r="P23" i="7"/>
  <c r="O23" i="7"/>
  <c r="P21" i="7"/>
  <c r="O21" i="7"/>
  <c r="P19" i="7"/>
  <c r="O19" i="7"/>
  <c r="P17" i="7"/>
  <c r="O17" i="7"/>
  <c r="P15" i="7"/>
  <c r="O15" i="7"/>
  <c r="P13" i="7"/>
  <c r="O13" i="7"/>
  <c r="P11" i="7"/>
  <c r="O11" i="7"/>
  <c r="P9" i="7"/>
  <c r="O9" i="7"/>
  <c r="P7" i="7"/>
  <c r="O7" i="7"/>
  <c r="P5" i="7"/>
  <c r="O5" i="7"/>
  <c r="P28" i="6"/>
  <c r="O28" i="6"/>
  <c r="P26" i="6"/>
  <c r="O26" i="6"/>
  <c r="P24" i="6"/>
  <c r="O24" i="6"/>
  <c r="P22" i="6"/>
  <c r="O22" i="6"/>
  <c r="P20" i="6"/>
  <c r="O20" i="6"/>
  <c r="P18" i="6"/>
  <c r="O18" i="6"/>
  <c r="P16" i="6"/>
  <c r="O16" i="6"/>
  <c r="P14" i="6"/>
  <c r="O14" i="6"/>
  <c r="P12" i="6"/>
  <c r="O12" i="6"/>
  <c r="P10" i="6"/>
  <c r="O10" i="6"/>
  <c r="P8" i="6"/>
  <c r="O8" i="6"/>
  <c r="P6" i="6"/>
  <c r="O6" i="6"/>
  <c r="O28" i="5"/>
  <c r="P28" i="5" s="1"/>
  <c r="W26" i="5"/>
  <c r="O24" i="5"/>
  <c r="P24" i="5"/>
  <c r="W22" i="5"/>
  <c r="O20" i="5"/>
  <c r="P20" i="5" s="1"/>
  <c r="W18" i="5"/>
  <c r="O16" i="5"/>
  <c r="P16" i="5" s="1"/>
  <c r="W14" i="5"/>
  <c r="O12" i="5"/>
  <c r="P12" i="5" s="1"/>
  <c r="W10" i="5"/>
  <c r="O8" i="5"/>
  <c r="P8" i="5"/>
  <c r="W6" i="5"/>
  <c r="O4" i="5"/>
  <c r="P4" i="5" s="1"/>
  <c r="M31" i="4"/>
  <c r="N31" i="4" s="1"/>
  <c r="V29" i="4"/>
  <c r="M27" i="4"/>
  <c r="N27" i="4"/>
  <c r="V25" i="4"/>
  <c r="M23" i="4"/>
  <c r="N23" i="4" s="1"/>
  <c r="V21" i="4"/>
  <c r="M19" i="4"/>
  <c r="N19" i="4"/>
  <c r="V17" i="4"/>
  <c r="M15" i="4"/>
  <c r="N15" i="4" s="1"/>
  <c r="V13" i="4"/>
  <c r="M11" i="4"/>
  <c r="N11" i="4"/>
  <c r="V9" i="4"/>
  <c r="M7" i="4"/>
  <c r="N7" i="4" s="1"/>
  <c r="V5" i="4"/>
  <c r="M27" i="3"/>
  <c r="N27" i="3"/>
  <c r="V25" i="3"/>
  <c r="M23" i="3"/>
  <c r="N23" i="3" s="1"/>
  <c r="V21" i="3"/>
  <c r="M19" i="3"/>
  <c r="N19" i="3"/>
  <c r="V17" i="3"/>
  <c r="M15" i="3"/>
  <c r="N15" i="3" s="1"/>
  <c r="V13" i="3"/>
  <c r="M11" i="3"/>
  <c r="N11" i="3"/>
  <c r="V9" i="3"/>
  <c r="M7" i="3"/>
  <c r="N7" i="3" s="1"/>
  <c r="V5" i="3"/>
  <c r="M25" i="2"/>
  <c r="N25" i="2"/>
  <c r="M19" i="2"/>
  <c r="N19" i="2"/>
  <c r="Q5" i="2"/>
  <c r="O5" i="2"/>
  <c r="I5" i="2"/>
  <c r="L5" i="2" s="1"/>
  <c r="P5" i="2"/>
  <c r="Q25" i="1"/>
  <c r="O25" i="1"/>
  <c r="I25" i="1"/>
  <c r="L25" i="1" s="1"/>
  <c r="P25" i="1"/>
  <c r="Q23" i="1"/>
  <c r="O23" i="1"/>
  <c r="V23" i="1" s="1"/>
  <c r="I23" i="1"/>
  <c r="L23" i="1" s="1"/>
  <c r="P23" i="1"/>
  <c r="Q21" i="1"/>
  <c r="O21" i="1"/>
  <c r="I21" i="1"/>
  <c r="L21" i="1" s="1"/>
  <c r="P21" i="1"/>
  <c r="Q19" i="1"/>
  <c r="O19" i="1"/>
  <c r="I19" i="1"/>
  <c r="L19" i="1" s="1"/>
  <c r="P19" i="1"/>
  <c r="Q17" i="1"/>
  <c r="O17" i="1"/>
  <c r="V17" i="1" s="1"/>
  <c r="I17" i="1"/>
  <c r="L17" i="1" s="1"/>
  <c r="P17" i="1"/>
  <c r="Q15" i="1"/>
  <c r="O15" i="1"/>
  <c r="I15" i="1"/>
  <c r="L15" i="1" s="1"/>
  <c r="P15" i="1"/>
  <c r="Q13" i="1"/>
  <c r="O13" i="1"/>
  <c r="I13" i="1"/>
  <c r="L13" i="1" s="1"/>
  <c r="P13" i="1"/>
  <c r="Q10" i="1"/>
  <c r="O10" i="1"/>
  <c r="I10" i="1"/>
  <c r="L10" i="1" s="1"/>
  <c r="P10" i="1"/>
  <c r="Q7" i="1"/>
  <c r="O7" i="1"/>
  <c r="V7" i="1" s="1"/>
  <c r="I7" i="1"/>
  <c r="L7" i="1" s="1"/>
  <c r="P7" i="1"/>
  <c r="Q5" i="1"/>
  <c r="O5" i="1"/>
  <c r="I5" i="1"/>
  <c r="L5" i="1" s="1"/>
  <c r="P5" i="1"/>
  <c r="M9" i="2"/>
  <c r="N9" i="2" s="1"/>
  <c r="V32" i="4"/>
  <c r="N18" i="2"/>
  <c r="M18" i="2"/>
  <c r="V17" i="2"/>
  <c r="V16" i="2"/>
  <c r="N15" i="2"/>
  <c r="M15" i="2"/>
  <c r="V14" i="2"/>
  <c r="M13" i="2"/>
  <c r="N13" i="2" s="1"/>
  <c r="V12" i="2"/>
  <c r="N11" i="2"/>
  <c r="M11" i="2"/>
  <c r="N10" i="2"/>
  <c r="M10" i="2"/>
  <c r="N29" i="1"/>
  <c r="M29" i="1"/>
  <c r="N27" i="1"/>
  <c r="M27" i="1"/>
  <c r="N8" i="1"/>
  <c r="M8" i="1"/>
  <c r="L4" i="1"/>
  <c r="H31" i="1"/>
  <c r="V4" i="1"/>
  <c r="V20" i="2"/>
  <c r="V8" i="2"/>
  <c r="V7" i="2"/>
  <c r="V6" i="2"/>
  <c r="M28" i="1"/>
  <c r="N28" i="1" s="1"/>
  <c r="M26" i="1"/>
  <c r="N26" i="1" s="1"/>
  <c r="M11" i="1"/>
  <c r="N11" i="1" s="1"/>
  <c r="M20" i="2"/>
  <c r="N20" i="2"/>
  <c r="M8" i="2"/>
  <c r="N8" i="2"/>
  <c r="M7" i="2"/>
  <c r="N7" i="2"/>
  <c r="M6" i="2"/>
  <c r="N6" i="2"/>
  <c r="S26" i="1" l="1"/>
  <c r="W26" i="1"/>
  <c r="U26" i="1"/>
  <c r="S13" i="2"/>
  <c r="W13" i="2"/>
  <c r="U13" i="2"/>
  <c r="W7" i="4"/>
  <c r="U7" i="4"/>
  <c r="S7" i="4"/>
  <c r="Y7" i="4" s="1"/>
  <c r="W23" i="4"/>
  <c r="U23" i="4"/>
  <c r="S23" i="4"/>
  <c r="X4" i="5"/>
  <c r="V4" i="5"/>
  <c r="T4" i="5"/>
  <c r="T27" i="7"/>
  <c r="X27" i="7"/>
  <c r="V27" i="7"/>
  <c r="S11" i="1"/>
  <c r="W11" i="1"/>
  <c r="U11" i="1"/>
  <c r="S28" i="1"/>
  <c r="W28" i="1"/>
  <c r="U28" i="1"/>
  <c r="S9" i="2"/>
  <c r="W9" i="2"/>
  <c r="U9" i="2"/>
  <c r="W7" i="3"/>
  <c r="U7" i="3"/>
  <c r="S7" i="3"/>
  <c r="Y7" i="3" s="1"/>
  <c r="W23" i="3"/>
  <c r="U23" i="3"/>
  <c r="S23" i="3"/>
  <c r="W15" i="4"/>
  <c r="U15" i="4"/>
  <c r="S15" i="4"/>
  <c r="Y15" i="4" s="1"/>
  <c r="W31" i="4"/>
  <c r="U31" i="4"/>
  <c r="S31" i="4"/>
  <c r="X12" i="5"/>
  <c r="V12" i="5"/>
  <c r="T12" i="5"/>
  <c r="Z12" i="5" s="1"/>
  <c r="X28" i="5"/>
  <c r="V28" i="5"/>
  <c r="T28" i="5"/>
  <c r="T25" i="7"/>
  <c r="X25" i="7"/>
  <c r="V25" i="7"/>
  <c r="S26" i="2"/>
  <c r="U26" i="2"/>
  <c r="W26" i="2"/>
  <c r="X6" i="9"/>
  <c r="V6" i="9"/>
  <c r="T6" i="9"/>
  <c r="Z6" i="9" s="1"/>
  <c r="X5" i="11"/>
  <c r="V5" i="11"/>
  <c r="T5" i="11"/>
  <c r="X13" i="11"/>
  <c r="V13" i="11"/>
  <c r="T13" i="11"/>
  <c r="Z13" i="11" s="1"/>
  <c r="X19" i="11"/>
  <c r="V19" i="11"/>
  <c r="T19" i="11"/>
  <c r="X27" i="11"/>
  <c r="V27" i="11"/>
  <c r="T27" i="11"/>
  <c r="Z27" i="11" s="1"/>
  <c r="W14" i="2"/>
  <c r="U14" i="2"/>
  <c r="S14" i="2"/>
  <c r="W17" i="2"/>
  <c r="U17" i="2"/>
  <c r="S17" i="2"/>
  <c r="Y17" i="2" s="1"/>
  <c r="W5" i="3"/>
  <c r="U5" i="3"/>
  <c r="S5" i="3"/>
  <c r="W13" i="3"/>
  <c r="U13" i="3"/>
  <c r="S13" i="3"/>
  <c r="Y13" i="3" s="1"/>
  <c r="W21" i="3"/>
  <c r="U21" i="3"/>
  <c r="S21" i="3"/>
  <c r="W5" i="4"/>
  <c r="U5" i="4"/>
  <c r="S5" i="4"/>
  <c r="Y5" i="4" s="1"/>
  <c r="W13" i="4"/>
  <c r="U13" i="4"/>
  <c r="S13" i="4"/>
  <c r="W21" i="4"/>
  <c r="U21" i="4"/>
  <c r="S21" i="4"/>
  <c r="Y21" i="4" s="1"/>
  <c r="W29" i="4"/>
  <c r="U29" i="4"/>
  <c r="S29" i="4"/>
  <c r="X18" i="5"/>
  <c r="V18" i="5"/>
  <c r="T18" i="5"/>
  <c r="Z18" i="5" s="1"/>
  <c r="X22" i="9"/>
  <c r="V22" i="9"/>
  <c r="T22" i="9"/>
  <c r="S12" i="3"/>
  <c r="U12" i="3"/>
  <c r="W12" i="3"/>
  <c r="S20" i="3"/>
  <c r="U20" i="3"/>
  <c r="W20" i="3"/>
  <c r="S28" i="3"/>
  <c r="U28" i="3"/>
  <c r="W28" i="3"/>
  <c r="S8" i="4"/>
  <c r="U8" i="4"/>
  <c r="W8" i="4"/>
  <c r="S16" i="4"/>
  <c r="U16" i="4"/>
  <c r="W16" i="4"/>
  <c r="S24" i="4"/>
  <c r="U24" i="4"/>
  <c r="W24" i="4"/>
  <c r="T8" i="8"/>
  <c r="X8" i="8"/>
  <c r="V8" i="8"/>
  <c r="T16" i="8"/>
  <c r="X16" i="8"/>
  <c r="V16" i="8"/>
  <c r="T24" i="8"/>
  <c r="X24" i="8"/>
  <c r="V24" i="8"/>
  <c r="X20" i="9"/>
  <c r="V20" i="9"/>
  <c r="T20" i="9"/>
  <c r="X28" i="9"/>
  <c r="V28" i="9"/>
  <c r="T28" i="9"/>
  <c r="Z28" i="9" s="1"/>
  <c r="W15" i="3"/>
  <c r="U15" i="3"/>
  <c r="S15" i="3"/>
  <c r="X20" i="5"/>
  <c r="V20" i="5"/>
  <c r="T20" i="5"/>
  <c r="Z20" i="5" s="1"/>
  <c r="X10" i="9"/>
  <c r="V10" i="9"/>
  <c r="T10" i="9"/>
  <c r="X9" i="11"/>
  <c r="V9" i="11"/>
  <c r="T9" i="11"/>
  <c r="Z9" i="11" s="1"/>
  <c r="X15" i="11"/>
  <c r="V15" i="11"/>
  <c r="T15" i="11"/>
  <c r="X23" i="11"/>
  <c r="V23" i="11"/>
  <c r="T23" i="11"/>
  <c r="Z23" i="11" s="1"/>
  <c r="W12" i="2"/>
  <c r="U12" i="2"/>
  <c r="S12" i="2"/>
  <c r="W16" i="2"/>
  <c r="U16" i="2"/>
  <c r="S16" i="2"/>
  <c r="Y16" i="2" s="1"/>
  <c r="W32" i="4"/>
  <c r="U32" i="4"/>
  <c r="S32" i="4"/>
  <c r="W9" i="3"/>
  <c r="U9" i="3"/>
  <c r="S9" i="3"/>
  <c r="Y9" i="3" s="1"/>
  <c r="W17" i="3"/>
  <c r="U17" i="3"/>
  <c r="S17" i="3"/>
  <c r="W25" i="3"/>
  <c r="U25" i="3"/>
  <c r="S25" i="3"/>
  <c r="Y25" i="3" s="1"/>
  <c r="W9" i="4"/>
  <c r="U9" i="4"/>
  <c r="S9" i="4"/>
  <c r="W17" i="4"/>
  <c r="U17" i="4"/>
  <c r="S17" i="4"/>
  <c r="Y17" i="4" s="1"/>
  <c r="W25" i="4"/>
  <c r="U25" i="4"/>
  <c r="S25" i="4"/>
  <c r="X10" i="5"/>
  <c r="V10" i="5"/>
  <c r="T10" i="5"/>
  <c r="Z10" i="5" s="1"/>
  <c r="X26" i="5"/>
  <c r="V26" i="5"/>
  <c r="T26" i="5"/>
  <c r="T4" i="6"/>
  <c r="X4" i="6"/>
  <c r="V4" i="6"/>
  <c r="X18" i="9"/>
  <c r="V18" i="9"/>
  <c r="T18" i="9"/>
  <c r="Z18" i="9" s="1"/>
  <c r="X26" i="9"/>
  <c r="V26" i="9"/>
  <c r="T26" i="9"/>
  <c r="S8" i="3"/>
  <c r="U8" i="3"/>
  <c r="W8" i="3"/>
  <c r="S16" i="3"/>
  <c r="U16" i="3"/>
  <c r="W16" i="3"/>
  <c r="S24" i="3"/>
  <c r="U24" i="3"/>
  <c r="W24" i="3"/>
  <c r="S4" i="4"/>
  <c r="U4" i="4"/>
  <c r="W4" i="4"/>
  <c r="S12" i="4"/>
  <c r="U12" i="4"/>
  <c r="W12" i="4"/>
  <c r="S20" i="4"/>
  <c r="U20" i="4"/>
  <c r="W20" i="4"/>
  <c r="S28" i="4"/>
  <c r="U28" i="4"/>
  <c r="W28" i="4"/>
  <c r="T12" i="8"/>
  <c r="X12" i="8"/>
  <c r="V12" i="8"/>
  <c r="T20" i="8"/>
  <c r="X20" i="8"/>
  <c r="V20" i="8"/>
  <c r="T28" i="8"/>
  <c r="X28" i="8"/>
  <c r="V28" i="8"/>
  <c r="X16" i="9"/>
  <c r="V16" i="9"/>
  <c r="T16" i="9"/>
  <c r="Z16" i="9" s="1"/>
  <c r="X24" i="9"/>
  <c r="V24" i="9"/>
  <c r="T24" i="9"/>
  <c r="W6" i="2"/>
  <c r="U6" i="2"/>
  <c r="S6" i="2"/>
  <c r="Y6" i="2" s="1"/>
  <c r="W8" i="2"/>
  <c r="U8" i="2"/>
  <c r="S8" i="2"/>
  <c r="S8" i="1"/>
  <c r="W8" i="1"/>
  <c r="U8" i="1"/>
  <c r="S29" i="1"/>
  <c r="W29" i="1"/>
  <c r="U29" i="1"/>
  <c r="S11" i="2"/>
  <c r="W11" i="2"/>
  <c r="U11" i="2"/>
  <c r="S15" i="2"/>
  <c r="W15" i="2"/>
  <c r="U15" i="2"/>
  <c r="S18" i="2"/>
  <c r="W18" i="2"/>
  <c r="U18" i="2"/>
  <c r="X16" i="5"/>
  <c r="V16" i="5"/>
  <c r="T16" i="5"/>
  <c r="T6" i="6"/>
  <c r="X6" i="6"/>
  <c r="V6" i="6"/>
  <c r="T10" i="6"/>
  <c r="X10" i="6"/>
  <c r="V10" i="6"/>
  <c r="T14" i="6"/>
  <c r="X14" i="6"/>
  <c r="V14" i="6"/>
  <c r="T16" i="6"/>
  <c r="X16" i="6"/>
  <c r="V16" i="6"/>
  <c r="T20" i="6"/>
  <c r="X20" i="6"/>
  <c r="V20" i="6"/>
  <c r="T22" i="6"/>
  <c r="X22" i="6"/>
  <c r="V22" i="6"/>
  <c r="T24" i="6"/>
  <c r="X24" i="6"/>
  <c r="V24" i="6"/>
  <c r="T26" i="6"/>
  <c r="X26" i="6"/>
  <c r="V26" i="6"/>
  <c r="T28" i="6"/>
  <c r="X28" i="6"/>
  <c r="V28" i="6"/>
  <c r="T5" i="7"/>
  <c r="X5" i="7"/>
  <c r="V5" i="7"/>
  <c r="T7" i="7"/>
  <c r="X7" i="7"/>
  <c r="V7" i="7"/>
  <c r="T11" i="7"/>
  <c r="X11" i="7"/>
  <c r="V11" i="7"/>
  <c r="T13" i="7"/>
  <c r="X13" i="7"/>
  <c r="V13" i="7"/>
  <c r="T15" i="7"/>
  <c r="X15" i="7"/>
  <c r="V15" i="7"/>
  <c r="T17" i="7"/>
  <c r="X17" i="7"/>
  <c r="V17" i="7"/>
  <c r="T19" i="7"/>
  <c r="X19" i="7"/>
  <c r="V19" i="7"/>
  <c r="T21" i="7"/>
  <c r="X21" i="7"/>
  <c r="V21" i="7"/>
  <c r="T23" i="7"/>
  <c r="X23" i="7"/>
  <c r="V23" i="7"/>
  <c r="W7" i="9"/>
  <c r="O11" i="9"/>
  <c r="P11" i="9"/>
  <c r="W17" i="9"/>
  <c r="O21" i="9"/>
  <c r="P21" i="9" s="1"/>
  <c r="W25" i="9"/>
  <c r="M4" i="2"/>
  <c r="N4" i="2" s="1"/>
  <c r="S22" i="2"/>
  <c r="U22" i="2"/>
  <c r="W22" i="2"/>
  <c r="S6" i="3"/>
  <c r="U6" i="3"/>
  <c r="W6" i="3"/>
  <c r="S10" i="3"/>
  <c r="U10" i="3"/>
  <c r="W10" i="3"/>
  <c r="S14" i="3"/>
  <c r="U14" i="3"/>
  <c r="W14" i="3"/>
  <c r="S18" i="3"/>
  <c r="U18" i="3"/>
  <c r="W18" i="3"/>
  <c r="S22" i="3"/>
  <c r="U22" i="3"/>
  <c r="W22" i="3"/>
  <c r="S26" i="3"/>
  <c r="U26" i="3"/>
  <c r="W26" i="3"/>
  <c r="S6" i="4"/>
  <c r="U6" i="4"/>
  <c r="W6" i="4"/>
  <c r="S10" i="4"/>
  <c r="U10" i="4"/>
  <c r="W10" i="4"/>
  <c r="S14" i="4"/>
  <c r="U14" i="4"/>
  <c r="W14" i="4"/>
  <c r="S18" i="4"/>
  <c r="U18" i="4"/>
  <c r="W18" i="4"/>
  <c r="S22" i="4"/>
  <c r="U22" i="4"/>
  <c r="W22" i="4"/>
  <c r="S26" i="4"/>
  <c r="U26" i="4"/>
  <c r="W26" i="4"/>
  <c r="S30" i="4"/>
  <c r="U30" i="4"/>
  <c r="W30" i="4"/>
  <c r="O5" i="5"/>
  <c r="P5" i="5" s="1"/>
  <c r="O7" i="5"/>
  <c r="P7" i="5" s="1"/>
  <c r="O9" i="5"/>
  <c r="P9" i="5" s="1"/>
  <c r="O11" i="5"/>
  <c r="P11" i="5" s="1"/>
  <c r="O13" i="5"/>
  <c r="P13" i="5" s="1"/>
  <c r="O15" i="5"/>
  <c r="P15" i="5" s="1"/>
  <c r="O17" i="5"/>
  <c r="P17" i="5"/>
  <c r="O19" i="5"/>
  <c r="P19" i="5"/>
  <c r="O21" i="5"/>
  <c r="P21" i="5"/>
  <c r="O23" i="5"/>
  <c r="P23" i="5"/>
  <c r="O25" i="5"/>
  <c r="P25" i="5"/>
  <c r="O27" i="5"/>
  <c r="P27" i="5"/>
  <c r="O29" i="5"/>
  <c r="P29" i="5"/>
  <c r="O5" i="6"/>
  <c r="P5" i="6" s="1"/>
  <c r="O7" i="6"/>
  <c r="P7" i="6" s="1"/>
  <c r="O9" i="6"/>
  <c r="P9" i="6" s="1"/>
  <c r="O11" i="6"/>
  <c r="P11" i="6" s="1"/>
  <c r="O13" i="6"/>
  <c r="P13" i="6" s="1"/>
  <c r="O15" i="6"/>
  <c r="P15" i="6"/>
  <c r="O17" i="6"/>
  <c r="P17" i="6" s="1"/>
  <c r="O19" i="6"/>
  <c r="P19" i="6" s="1"/>
  <c r="O21" i="6"/>
  <c r="P21" i="6" s="1"/>
  <c r="O23" i="6"/>
  <c r="P23" i="6" s="1"/>
  <c r="O25" i="6"/>
  <c r="P25" i="6" s="1"/>
  <c r="O27" i="6"/>
  <c r="P27" i="6" s="1"/>
  <c r="J33" i="7"/>
  <c r="W14" i="7"/>
  <c r="W4" i="8"/>
  <c r="O6" i="8"/>
  <c r="P6" i="8" s="1"/>
  <c r="O15" i="9"/>
  <c r="P15" i="9" s="1"/>
  <c r="W19" i="9"/>
  <c r="O23" i="9"/>
  <c r="P23" i="9"/>
  <c r="W27" i="9"/>
  <c r="T6" i="10"/>
  <c r="X6" i="10"/>
  <c r="V6" i="10"/>
  <c r="T10" i="10"/>
  <c r="X10" i="10"/>
  <c r="V10" i="10"/>
  <c r="T16" i="10"/>
  <c r="X16" i="10"/>
  <c r="V16" i="10"/>
  <c r="T20" i="10"/>
  <c r="X20" i="10"/>
  <c r="V20" i="10"/>
  <c r="T24" i="10"/>
  <c r="X24" i="10"/>
  <c r="V24" i="10"/>
  <c r="O4" i="11"/>
  <c r="P4" i="11"/>
  <c r="O7" i="8"/>
  <c r="P7" i="8" s="1"/>
  <c r="O11" i="8"/>
  <c r="P11" i="8" s="1"/>
  <c r="O15" i="8"/>
  <c r="P15" i="8" s="1"/>
  <c r="O19" i="8"/>
  <c r="P19" i="8" s="1"/>
  <c r="O23" i="8"/>
  <c r="P23" i="8" s="1"/>
  <c r="O27" i="8"/>
  <c r="P27" i="8" s="1"/>
  <c r="X7" i="11"/>
  <c r="V7" i="11"/>
  <c r="T7" i="11"/>
  <c r="X11" i="11"/>
  <c r="V11" i="11"/>
  <c r="T11" i="11"/>
  <c r="Z11" i="11" s="1"/>
  <c r="X17" i="11"/>
  <c r="V17" i="11"/>
  <c r="T17" i="11"/>
  <c r="X21" i="11"/>
  <c r="V21" i="11"/>
  <c r="T21" i="11"/>
  <c r="Z21" i="11" s="1"/>
  <c r="X25" i="11"/>
  <c r="V25" i="11"/>
  <c r="T25" i="11"/>
  <c r="P14" i="11"/>
  <c r="O14" i="11"/>
  <c r="N9" i="14"/>
  <c r="O8" i="14"/>
  <c r="V6" i="1"/>
  <c r="V9" i="1"/>
  <c r="V12" i="1"/>
  <c r="V14" i="1"/>
  <c r="V16" i="1"/>
  <c r="V18" i="1"/>
  <c r="V20" i="1"/>
  <c r="V22" i="1"/>
  <c r="M30" i="1"/>
  <c r="N30" i="1"/>
  <c r="X6" i="5"/>
  <c r="V6" i="5"/>
  <c r="T6" i="5"/>
  <c r="X14" i="5"/>
  <c r="V14" i="5"/>
  <c r="T14" i="5"/>
  <c r="Z14" i="5" s="1"/>
  <c r="X22" i="5"/>
  <c r="V22" i="5"/>
  <c r="T22" i="5"/>
  <c r="X5" i="8"/>
  <c r="V5" i="8"/>
  <c r="T5" i="8"/>
  <c r="Z5" i="8" s="1"/>
  <c r="Z14" i="8"/>
  <c r="X4" i="9"/>
  <c r="V4" i="9"/>
  <c r="T4" i="9"/>
  <c r="X8" i="9"/>
  <c r="V8" i="9"/>
  <c r="T8" i="9"/>
  <c r="Z8" i="9" s="1"/>
  <c r="X12" i="9"/>
  <c r="V12" i="9"/>
  <c r="T12" i="9"/>
  <c r="Z14" i="9"/>
  <c r="X14" i="10"/>
  <c r="V14" i="10"/>
  <c r="T14" i="10"/>
  <c r="Z22" i="10"/>
  <c r="O6" i="11"/>
  <c r="P6" i="11"/>
  <c r="S24" i="2"/>
  <c r="U24" i="2"/>
  <c r="W24" i="2"/>
  <c r="Z26" i="8"/>
  <c r="Z26" i="10"/>
  <c r="W8" i="11"/>
  <c r="O12" i="11"/>
  <c r="P12" i="11"/>
  <c r="O18" i="11"/>
  <c r="P18" i="11"/>
  <c r="W22" i="11"/>
  <c r="O26" i="11"/>
  <c r="P26" i="11" s="1"/>
  <c r="AH10" i="12"/>
  <c r="O25" i="10"/>
  <c r="P25" i="10" s="1"/>
  <c r="W10" i="11"/>
  <c r="O16" i="11"/>
  <c r="P16" i="11" s="1"/>
  <c r="W20" i="11"/>
  <c r="O24" i="11"/>
  <c r="P24" i="11"/>
  <c r="W28" i="11"/>
  <c r="AH3" i="12"/>
  <c r="Z18" i="10"/>
  <c r="N4" i="3"/>
  <c r="M4" i="3"/>
  <c r="W5" i="9"/>
  <c r="O9" i="9"/>
  <c r="P9" i="9"/>
  <c r="W13" i="9"/>
  <c r="W7" i="2"/>
  <c r="U7" i="2"/>
  <c r="S7" i="2"/>
  <c r="Y7" i="2" s="1"/>
  <c r="W20" i="2"/>
  <c r="U20" i="2"/>
  <c r="S20" i="2"/>
  <c r="M4" i="1"/>
  <c r="N4" i="1" s="1"/>
  <c r="S27" i="1"/>
  <c r="W27" i="1"/>
  <c r="U27" i="1"/>
  <c r="S10" i="2"/>
  <c r="W10" i="2"/>
  <c r="U10" i="2"/>
  <c r="V5" i="1"/>
  <c r="V10" i="1"/>
  <c r="V13" i="1"/>
  <c r="V15" i="1"/>
  <c r="V19" i="1"/>
  <c r="V21" i="1"/>
  <c r="V25" i="1"/>
  <c r="W19" i="2"/>
  <c r="U19" i="2"/>
  <c r="S19" i="2"/>
  <c r="W25" i="2"/>
  <c r="U25" i="2"/>
  <c r="S25" i="2"/>
  <c r="Y25" i="2" s="1"/>
  <c r="W11" i="3"/>
  <c r="U11" i="3"/>
  <c r="S11" i="3"/>
  <c r="W19" i="3"/>
  <c r="U19" i="3"/>
  <c r="S19" i="3"/>
  <c r="Y19" i="3" s="1"/>
  <c r="W27" i="3"/>
  <c r="U27" i="3"/>
  <c r="S27" i="3"/>
  <c r="W11" i="4"/>
  <c r="U11" i="4"/>
  <c r="S11" i="4"/>
  <c r="Y11" i="4" s="1"/>
  <c r="W19" i="4"/>
  <c r="U19" i="4"/>
  <c r="S19" i="4"/>
  <c r="W27" i="4"/>
  <c r="U27" i="4"/>
  <c r="S27" i="4"/>
  <c r="Y27" i="4" s="1"/>
  <c r="X8" i="5"/>
  <c r="V8" i="5"/>
  <c r="T8" i="5"/>
  <c r="X24" i="5"/>
  <c r="V24" i="5"/>
  <c r="T24" i="5"/>
  <c r="T8" i="6"/>
  <c r="X8" i="6"/>
  <c r="V8" i="6"/>
  <c r="T12" i="6"/>
  <c r="X12" i="6"/>
  <c r="V12" i="6"/>
  <c r="T18" i="6"/>
  <c r="X18" i="6"/>
  <c r="V18" i="6"/>
  <c r="T9" i="7"/>
  <c r="X9" i="7"/>
  <c r="V9" i="7"/>
  <c r="M5" i="1"/>
  <c r="N5" i="1"/>
  <c r="M7" i="1"/>
  <c r="N7" i="1"/>
  <c r="M10" i="1"/>
  <c r="N10" i="1"/>
  <c r="M13" i="1"/>
  <c r="N13" i="1"/>
  <c r="M15" i="1"/>
  <c r="N15" i="1"/>
  <c r="M17" i="1"/>
  <c r="N17" i="1"/>
  <c r="M19" i="1"/>
  <c r="N19" i="1"/>
  <c r="M21" i="1"/>
  <c r="N21" i="1"/>
  <c r="M23" i="1"/>
  <c r="N23" i="1"/>
  <c r="M25" i="1"/>
  <c r="N25" i="1"/>
  <c r="M5" i="2"/>
  <c r="N5" i="2"/>
  <c r="O7" i="9"/>
  <c r="P7" i="9"/>
  <c r="W11" i="9"/>
  <c r="O17" i="9"/>
  <c r="P17" i="9" s="1"/>
  <c r="W21" i="9"/>
  <c r="O25" i="9"/>
  <c r="P25" i="9"/>
  <c r="W5" i="5"/>
  <c r="W7" i="5"/>
  <c r="W9" i="5"/>
  <c r="W11" i="5"/>
  <c r="W13" i="5"/>
  <c r="W15" i="5"/>
  <c r="W17" i="5"/>
  <c r="W19" i="5"/>
  <c r="W21" i="5"/>
  <c r="W23" i="5"/>
  <c r="W25" i="5"/>
  <c r="W27" i="5"/>
  <c r="W29" i="5"/>
  <c r="W5" i="6"/>
  <c r="W7" i="6"/>
  <c r="W9" i="6"/>
  <c r="W11" i="6"/>
  <c r="W13" i="6"/>
  <c r="W15" i="6"/>
  <c r="W17" i="6"/>
  <c r="W19" i="6"/>
  <c r="W21" i="6"/>
  <c r="W23" i="6"/>
  <c r="W25" i="6"/>
  <c r="W27" i="6"/>
  <c r="P4" i="7"/>
  <c r="O4" i="7"/>
  <c r="P6" i="7"/>
  <c r="O6" i="7"/>
  <c r="P8" i="7"/>
  <c r="O8" i="7"/>
  <c r="P10" i="7"/>
  <c r="O10" i="7"/>
  <c r="P12" i="7"/>
  <c r="O12" i="7"/>
  <c r="O14" i="7"/>
  <c r="P14" i="7" s="1"/>
  <c r="P16" i="7"/>
  <c r="O16" i="7"/>
  <c r="P18" i="7"/>
  <c r="O18" i="7"/>
  <c r="P20" i="7"/>
  <c r="O20" i="7"/>
  <c r="P22" i="7"/>
  <c r="O22" i="7"/>
  <c r="P24" i="7"/>
  <c r="O24" i="7"/>
  <c r="P26" i="7"/>
  <c r="O26" i="7"/>
  <c r="P28" i="7"/>
  <c r="O28" i="7"/>
  <c r="O4" i="8"/>
  <c r="P4" i="8" s="1"/>
  <c r="W6" i="8"/>
  <c r="W15" i="9"/>
  <c r="O19" i="9"/>
  <c r="P19" i="9" s="1"/>
  <c r="W23" i="9"/>
  <c r="O27" i="9"/>
  <c r="P27" i="9"/>
  <c r="W4" i="11"/>
  <c r="AH25" i="12"/>
  <c r="W7" i="8"/>
  <c r="W11" i="8"/>
  <c r="W15" i="8"/>
  <c r="W19" i="8"/>
  <c r="W23" i="8"/>
  <c r="W27" i="8"/>
  <c r="O7" i="10"/>
  <c r="P7" i="10" s="1"/>
  <c r="O11" i="10"/>
  <c r="P11" i="10" s="1"/>
  <c r="O15" i="10"/>
  <c r="P15" i="10" s="1"/>
  <c r="O19" i="10"/>
  <c r="P19" i="10" s="1"/>
  <c r="O23" i="10"/>
  <c r="P23" i="10" s="1"/>
  <c r="O27" i="10"/>
  <c r="P27" i="10" s="1"/>
  <c r="AD98" i="12"/>
  <c r="AB98" i="12"/>
  <c r="AH2" i="12"/>
  <c r="W14" i="11"/>
  <c r="AH13" i="12"/>
  <c r="AH27" i="12"/>
  <c r="O21" i="14"/>
  <c r="P20" i="14"/>
  <c r="E43" i="14"/>
  <c r="F43" i="14" s="1"/>
  <c r="E41" i="14"/>
  <c r="F41" i="14" s="1"/>
  <c r="E38" i="14"/>
  <c r="F38" i="14" s="1"/>
  <c r="E37" i="14"/>
  <c r="F37" i="14" s="1"/>
  <c r="E36" i="14"/>
  <c r="F36" i="14" s="1"/>
  <c r="E35" i="14"/>
  <c r="F35" i="14" s="1"/>
  <c r="E34" i="14"/>
  <c r="F27" i="14"/>
  <c r="F23" i="14"/>
  <c r="E42" i="14"/>
  <c r="F42" i="14" s="1"/>
  <c r="E44" i="14"/>
  <c r="F44" i="14" s="1"/>
  <c r="E40" i="14"/>
  <c r="F40" i="14" s="1"/>
  <c r="E45" i="14"/>
  <c r="F45" i="14" s="1"/>
  <c r="F22" i="14"/>
  <c r="M6" i="1"/>
  <c r="N6" i="1" s="1"/>
  <c r="M9" i="1"/>
  <c r="N9" i="1" s="1"/>
  <c r="M12" i="1"/>
  <c r="N12" i="1" s="1"/>
  <c r="M14" i="1"/>
  <c r="N14" i="1" s="1"/>
  <c r="M16" i="1"/>
  <c r="N16" i="1" s="1"/>
  <c r="M18" i="1"/>
  <c r="N18" i="1" s="1"/>
  <c r="M20" i="1"/>
  <c r="N20" i="1" s="1"/>
  <c r="M22" i="1"/>
  <c r="N22" i="1" s="1"/>
  <c r="V24" i="1"/>
  <c r="L24" i="1"/>
  <c r="V30" i="1"/>
  <c r="Y21" i="2"/>
  <c r="Y29" i="3"/>
  <c r="Z22" i="8"/>
  <c r="Z4" i="10"/>
  <c r="Z12" i="10"/>
  <c r="W6" i="11"/>
  <c r="Z10" i="8"/>
  <c r="Z8" i="10"/>
  <c r="O8" i="11"/>
  <c r="P8" i="11"/>
  <c r="W12" i="11"/>
  <c r="W18" i="11"/>
  <c r="O22" i="11"/>
  <c r="P22" i="11"/>
  <c r="W26" i="11"/>
  <c r="P9" i="8"/>
  <c r="O9" i="8"/>
  <c r="P13" i="8"/>
  <c r="O13" i="8"/>
  <c r="P17" i="8"/>
  <c r="O17" i="8"/>
  <c r="P21" i="8"/>
  <c r="O21" i="8"/>
  <c r="P25" i="8"/>
  <c r="O25" i="8"/>
  <c r="J32" i="10"/>
  <c r="O5" i="10"/>
  <c r="P5" i="10" s="1"/>
  <c r="O9" i="10"/>
  <c r="P9" i="10" s="1"/>
  <c r="O13" i="10"/>
  <c r="P13" i="10" s="1"/>
  <c r="O17" i="10"/>
  <c r="P17" i="10" s="1"/>
  <c r="O21" i="10"/>
  <c r="P21" i="10" s="1"/>
  <c r="W25" i="10"/>
  <c r="O10" i="11"/>
  <c r="P10" i="11" s="1"/>
  <c r="W16" i="11"/>
  <c r="O20" i="11"/>
  <c r="P20" i="11"/>
  <c r="W24" i="11"/>
  <c r="O28" i="11"/>
  <c r="P28" i="11" s="1"/>
  <c r="AH5" i="12"/>
  <c r="AH50" i="12"/>
  <c r="L12" i="14"/>
  <c r="M11" i="14"/>
  <c r="K24" i="14"/>
  <c r="K25" i="14" s="1"/>
  <c r="L23" i="14"/>
  <c r="Z18" i="8"/>
  <c r="Y23" i="2"/>
  <c r="O5" i="9"/>
  <c r="P5" i="9" s="1"/>
  <c r="W9" i="9"/>
  <c r="O13" i="9"/>
  <c r="P13" i="9"/>
  <c r="AH4" i="12"/>
  <c r="Z24" i="5" l="1"/>
  <c r="X5" i="9"/>
  <c r="V5" i="9"/>
  <c r="T5" i="9"/>
  <c r="Z5" i="9" s="1"/>
  <c r="P29" i="9"/>
  <c r="X10" i="11"/>
  <c r="V10" i="11"/>
  <c r="T10" i="11"/>
  <c r="Z10" i="11" s="1"/>
  <c r="T21" i="10"/>
  <c r="V21" i="10"/>
  <c r="X21" i="10"/>
  <c r="T13" i="10"/>
  <c r="V13" i="10"/>
  <c r="X13" i="10"/>
  <c r="W18" i="1"/>
  <c r="U18" i="1"/>
  <c r="S18" i="1"/>
  <c r="W9" i="1"/>
  <c r="U9" i="1"/>
  <c r="S9" i="1"/>
  <c r="Y9" i="1" s="1"/>
  <c r="T27" i="10"/>
  <c r="V27" i="10"/>
  <c r="X27" i="10"/>
  <c r="T19" i="10"/>
  <c r="V19" i="10"/>
  <c r="X19" i="10"/>
  <c r="P29" i="8"/>
  <c r="X4" i="8"/>
  <c r="V4" i="8"/>
  <c r="T4" i="8"/>
  <c r="Z4" i="8" s="1"/>
  <c r="X17" i="9"/>
  <c r="V17" i="9"/>
  <c r="T17" i="9"/>
  <c r="X28" i="11"/>
  <c r="V28" i="11"/>
  <c r="T28" i="11"/>
  <c r="Z28" i="11" s="1"/>
  <c r="T17" i="10"/>
  <c r="V17" i="10"/>
  <c r="X17" i="10"/>
  <c r="T9" i="10"/>
  <c r="V9" i="10"/>
  <c r="X9" i="10"/>
  <c r="W20" i="1"/>
  <c r="U20" i="1"/>
  <c r="S20" i="1"/>
  <c r="W16" i="1"/>
  <c r="U16" i="1"/>
  <c r="S16" i="1"/>
  <c r="Y16" i="1" s="1"/>
  <c r="W12" i="1"/>
  <c r="U12" i="1"/>
  <c r="S12" i="1"/>
  <c r="W6" i="1"/>
  <c r="U6" i="1"/>
  <c r="S6" i="1"/>
  <c r="Y6" i="1" s="1"/>
  <c r="T23" i="10"/>
  <c r="V23" i="10"/>
  <c r="X23" i="10"/>
  <c r="T15" i="10"/>
  <c r="V15" i="10"/>
  <c r="X15" i="10"/>
  <c r="T7" i="10"/>
  <c r="V7" i="10"/>
  <c r="X7" i="10"/>
  <c r="X19" i="9"/>
  <c r="V19" i="9"/>
  <c r="T19" i="9"/>
  <c r="Z19" i="9" s="1"/>
  <c r="X14" i="7"/>
  <c r="V14" i="7"/>
  <c r="T14" i="7"/>
  <c r="W4" i="1"/>
  <c r="U4" i="1"/>
  <c r="S4" i="1"/>
  <c r="Y4" i="1" s="1"/>
  <c r="T23" i="8"/>
  <c r="V23" i="8"/>
  <c r="X23" i="8"/>
  <c r="T15" i="8"/>
  <c r="V15" i="8"/>
  <c r="X15" i="8"/>
  <c r="T7" i="8"/>
  <c r="V7" i="8"/>
  <c r="X7" i="8"/>
  <c r="X15" i="9"/>
  <c r="V15" i="9"/>
  <c r="T15" i="9"/>
  <c r="Z15" i="9" s="1"/>
  <c r="T25" i="6"/>
  <c r="V25" i="6"/>
  <c r="X25" i="6"/>
  <c r="T21" i="6"/>
  <c r="V21" i="6"/>
  <c r="X21" i="6"/>
  <c r="T17" i="6"/>
  <c r="V17" i="6"/>
  <c r="X17" i="6"/>
  <c r="T11" i="6"/>
  <c r="V11" i="6"/>
  <c r="X11" i="6"/>
  <c r="T7" i="6"/>
  <c r="V7" i="6"/>
  <c r="X7" i="6"/>
  <c r="T15" i="5"/>
  <c r="V15" i="5"/>
  <c r="X15" i="5"/>
  <c r="T5" i="10"/>
  <c r="V5" i="10"/>
  <c r="X5" i="10"/>
  <c r="P28" i="10"/>
  <c r="W22" i="1"/>
  <c r="U22" i="1"/>
  <c r="S22" i="1"/>
  <c r="W14" i="1"/>
  <c r="U14" i="1"/>
  <c r="S14" i="1"/>
  <c r="Y14" i="1" s="1"/>
  <c r="T11" i="10"/>
  <c r="V11" i="10"/>
  <c r="X11" i="10"/>
  <c r="X16" i="11"/>
  <c r="V16" i="11"/>
  <c r="T16" i="11"/>
  <c r="Z16" i="11" s="1"/>
  <c r="T25" i="10"/>
  <c r="V25" i="10"/>
  <c r="X25" i="10"/>
  <c r="X26" i="11"/>
  <c r="V26" i="11"/>
  <c r="T26" i="11"/>
  <c r="Z26" i="11" s="1"/>
  <c r="T27" i="8"/>
  <c r="V27" i="8"/>
  <c r="X27" i="8"/>
  <c r="T19" i="8"/>
  <c r="V19" i="8"/>
  <c r="X19" i="8"/>
  <c r="T11" i="8"/>
  <c r="V11" i="8"/>
  <c r="X11" i="8"/>
  <c r="X6" i="8"/>
  <c r="V6" i="8"/>
  <c r="T6" i="8"/>
  <c r="Z6" i="8" s="1"/>
  <c r="T27" i="6"/>
  <c r="V27" i="6"/>
  <c r="X27" i="6"/>
  <c r="T23" i="6"/>
  <c r="V23" i="6"/>
  <c r="X23" i="6"/>
  <c r="T19" i="6"/>
  <c r="V19" i="6"/>
  <c r="X19" i="6"/>
  <c r="T13" i="6"/>
  <c r="V13" i="6"/>
  <c r="X13" i="6"/>
  <c r="T9" i="6"/>
  <c r="V9" i="6"/>
  <c r="X9" i="6"/>
  <c r="T5" i="6"/>
  <c r="V5" i="6"/>
  <c r="X5" i="6"/>
  <c r="P29" i="6"/>
  <c r="S4" i="2"/>
  <c r="W4" i="2"/>
  <c r="X21" i="9"/>
  <c r="V21" i="9"/>
  <c r="T21" i="9"/>
  <c r="Z21" i="9" s="1"/>
  <c r="X13" i="9"/>
  <c r="V13" i="9"/>
  <c r="T13" i="9"/>
  <c r="X20" i="11"/>
  <c r="V20" i="11"/>
  <c r="T20" i="11"/>
  <c r="T21" i="8"/>
  <c r="V21" i="8"/>
  <c r="X21" i="8"/>
  <c r="T17" i="8"/>
  <c r="V17" i="8"/>
  <c r="X17" i="8"/>
  <c r="T9" i="8"/>
  <c r="V9" i="8"/>
  <c r="X9" i="8"/>
  <c r="X22" i="11"/>
  <c r="V22" i="11"/>
  <c r="T22" i="11"/>
  <c r="X8" i="11"/>
  <c r="V8" i="11"/>
  <c r="T8" i="11"/>
  <c r="Z8" i="11" s="1"/>
  <c r="J22" i="14"/>
  <c r="L22" i="14"/>
  <c r="I22" i="14"/>
  <c r="M22" i="14"/>
  <c r="I25" i="14"/>
  <c r="K22" i="14"/>
  <c r="M23" i="14"/>
  <c r="L24" i="14"/>
  <c r="L25" i="14" s="1"/>
  <c r="M12" i="14"/>
  <c r="N11" i="14"/>
  <c r="M24" i="1"/>
  <c r="N24" i="1" s="1"/>
  <c r="G47" i="14"/>
  <c r="F30" i="14"/>
  <c r="F31" i="14" s="1"/>
  <c r="Q20" i="14"/>
  <c r="P21" i="14"/>
  <c r="P22" i="14" s="1"/>
  <c r="AH98" i="12"/>
  <c r="Z18" i="6"/>
  <c r="Z8" i="6"/>
  <c r="Z8" i="5"/>
  <c r="Y19" i="4"/>
  <c r="Y27" i="3"/>
  <c r="Y11" i="3"/>
  <c r="Y19" i="2"/>
  <c r="Y10" i="2"/>
  <c r="Y20" i="2"/>
  <c r="Y24" i="2"/>
  <c r="Z14" i="10"/>
  <c r="Z12" i="9"/>
  <c r="Z4" i="9"/>
  <c r="Z22" i="5"/>
  <c r="Z6" i="5"/>
  <c r="P8" i="14"/>
  <c r="O9" i="14"/>
  <c r="O10" i="14" s="1"/>
  <c r="Z25" i="11"/>
  <c r="Z17" i="11"/>
  <c r="Z7" i="11"/>
  <c r="Z20" i="10"/>
  <c r="Z10" i="10"/>
  <c r="Y26" i="4"/>
  <c r="Y18" i="4"/>
  <c r="Y10" i="4"/>
  <c r="Y26" i="3"/>
  <c r="Y18" i="3"/>
  <c r="Y10" i="3"/>
  <c r="Y22" i="2"/>
  <c r="Z23" i="7"/>
  <c r="Z19" i="7"/>
  <c r="Z15" i="7"/>
  <c r="Z11" i="7"/>
  <c r="Z5" i="7"/>
  <c r="Z26" i="6"/>
  <c r="Z22" i="6"/>
  <c r="Z16" i="6"/>
  <c r="Z10" i="6"/>
  <c r="Z16" i="5"/>
  <c r="Y15" i="2"/>
  <c r="Y29" i="1"/>
  <c r="Y8" i="2"/>
  <c r="Z24" i="9"/>
  <c r="Z28" i="8"/>
  <c r="Z12" i="8"/>
  <c r="Y20" i="4"/>
  <c r="Y4" i="4"/>
  <c r="Y16" i="3"/>
  <c r="Z26" i="9"/>
  <c r="Z4" i="6"/>
  <c r="Z26" i="5"/>
  <c r="Y25" i="4"/>
  <c r="Y9" i="4"/>
  <c r="Y17" i="3"/>
  <c r="Y32" i="4"/>
  <c r="Y12" i="2"/>
  <c r="Z15" i="11"/>
  <c r="Z10" i="9"/>
  <c r="Y15" i="3"/>
  <c r="Z20" i="9"/>
  <c r="Z16" i="8"/>
  <c r="Y24" i="4"/>
  <c r="Y8" i="4"/>
  <c r="Y20" i="3"/>
  <c r="Z22" i="9"/>
  <c r="Y29" i="4"/>
  <c r="Y13" i="4"/>
  <c r="Y21" i="3"/>
  <c r="Y5" i="3"/>
  <c r="Y14" i="2"/>
  <c r="Z19" i="11"/>
  <c r="Z5" i="11"/>
  <c r="Y26" i="2"/>
  <c r="Z28" i="5"/>
  <c r="Y31" i="4"/>
  <c r="Y23" i="3"/>
  <c r="Y9" i="2"/>
  <c r="Y11" i="1"/>
  <c r="Z4" i="5"/>
  <c r="Y23" i="4"/>
  <c r="Y13" i="2"/>
  <c r="T25" i="8"/>
  <c r="V25" i="8"/>
  <c r="X25" i="8"/>
  <c r="T13" i="8"/>
  <c r="V13" i="8"/>
  <c r="X13" i="8"/>
  <c r="E46" i="14"/>
  <c r="F34" i="14"/>
  <c r="F46" i="14" s="1"/>
  <c r="O22" i="14"/>
  <c r="X27" i="9"/>
  <c r="V27" i="9"/>
  <c r="T27" i="9"/>
  <c r="T28" i="7"/>
  <c r="V28" i="7"/>
  <c r="X28" i="7"/>
  <c r="T26" i="7"/>
  <c r="V26" i="7"/>
  <c r="X26" i="7"/>
  <c r="T24" i="7"/>
  <c r="V24" i="7"/>
  <c r="X24" i="7"/>
  <c r="T22" i="7"/>
  <c r="V22" i="7"/>
  <c r="X22" i="7"/>
  <c r="T20" i="7"/>
  <c r="V20" i="7"/>
  <c r="X20" i="7"/>
  <c r="T18" i="7"/>
  <c r="V18" i="7"/>
  <c r="X18" i="7"/>
  <c r="T16" i="7"/>
  <c r="V16" i="7"/>
  <c r="X16" i="7"/>
  <c r="T12" i="7"/>
  <c r="V12" i="7"/>
  <c r="X12" i="7"/>
  <c r="T10" i="7"/>
  <c r="V10" i="7"/>
  <c r="X10" i="7"/>
  <c r="T8" i="7"/>
  <c r="V8" i="7"/>
  <c r="X8" i="7"/>
  <c r="T6" i="7"/>
  <c r="V6" i="7"/>
  <c r="X6" i="7"/>
  <c r="P29" i="7"/>
  <c r="T4" i="7"/>
  <c r="V4" i="7"/>
  <c r="X4" i="7"/>
  <c r="X25" i="9"/>
  <c r="V25" i="9"/>
  <c r="T25" i="9"/>
  <c r="X7" i="9"/>
  <c r="V7" i="9"/>
  <c r="T7" i="9"/>
  <c r="Z7" i="9" s="1"/>
  <c r="W5" i="2"/>
  <c r="S5" i="2"/>
  <c r="Y5" i="2" s="1"/>
  <c r="W25" i="1"/>
  <c r="U25" i="1"/>
  <c r="S25" i="1"/>
  <c r="W23" i="1"/>
  <c r="U23" i="1"/>
  <c r="S23" i="1"/>
  <c r="Y23" i="1" s="1"/>
  <c r="W21" i="1"/>
  <c r="U21" i="1"/>
  <c r="S21" i="1"/>
  <c r="W19" i="1"/>
  <c r="U19" i="1"/>
  <c r="S19" i="1"/>
  <c r="Y19" i="1" s="1"/>
  <c r="W17" i="1"/>
  <c r="U17" i="1"/>
  <c r="S17" i="1"/>
  <c r="W15" i="1"/>
  <c r="U15" i="1"/>
  <c r="S15" i="1"/>
  <c r="Y15" i="1" s="1"/>
  <c r="W13" i="1"/>
  <c r="U13" i="1"/>
  <c r="S13" i="1"/>
  <c r="W10" i="1"/>
  <c r="U10" i="1"/>
  <c r="S10" i="1"/>
  <c r="Y10" i="1" s="1"/>
  <c r="W7" i="1"/>
  <c r="U7" i="1"/>
  <c r="S7" i="1"/>
  <c r="W5" i="1"/>
  <c r="U5" i="1"/>
  <c r="S5" i="1"/>
  <c r="Y5" i="1" s="1"/>
  <c r="Z9" i="7"/>
  <c r="Z12" i="6"/>
  <c r="Y27" i="1"/>
  <c r="X9" i="9"/>
  <c r="V9" i="9"/>
  <c r="T9" i="9"/>
  <c r="Z9" i="9" s="1"/>
  <c r="S4" i="3"/>
  <c r="W4" i="3"/>
  <c r="J25" i="14"/>
  <c r="X24" i="11"/>
  <c r="V24" i="11"/>
  <c r="T24" i="11"/>
  <c r="Z24" i="11" s="1"/>
  <c r="X18" i="11"/>
  <c r="V18" i="11"/>
  <c r="T18" i="11"/>
  <c r="X12" i="11"/>
  <c r="V12" i="11"/>
  <c r="T12" i="11"/>
  <c r="Z12" i="11" s="1"/>
  <c r="X6" i="11"/>
  <c r="V6" i="11"/>
  <c r="T6" i="11"/>
  <c r="W30" i="1"/>
  <c r="U30" i="1"/>
  <c r="S30" i="1"/>
  <c r="Y30" i="1" s="1"/>
  <c r="N22" i="14"/>
  <c r="N10" i="14"/>
  <c r="T14" i="11"/>
  <c r="V14" i="11"/>
  <c r="X14" i="11"/>
  <c r="X4" i="11"/>
  <c r="V4" i="11"/>
  <c r="T4" i="11"/>
  <c r="Z4" i="11" s="1"/>
  <c r="P29" i="11"/>
  <c r="Z24" i="10"/>
  <c r="Z16" i="10"/>
  <c r="Z6" i="10"/>
  <c r="X23" i="9"/>
  <c r="V23" i="9"/>
  <c r="T23" i="9"/>
  <c r="X15" i="6"/>
  <c r="V15" i="6"/>
  <c r="T15" i="6"/>
  <c r="Z15" i="6" s="1"/>
  <c r="X29" i="5"/>
  <c r="V29" i="5"/>
  <c r="T29" i="5"/>
  <c r="X27" i="5"/>
  <c r="V27" i="5"/>
  <c r="T27" i="5"/>
  <c r="X25" i="5"/>
  <c r="V25" i="5"/>
  <c r="T25" i="5"/>
  <c r="X23" i="5"/>
  <c r="V23" i="5"/>
  <c r="T23" i="5"/>
  <c r="X21" i="5"/>
  <c r="V21" i="5"/>
  <c r="T21" i="5"/>
  <c r="X19" i="5"/>
  <c r="V19" i="5"/>
  <c r="T19" i="5"/>
  <c r="X17" i="5"/>
  <c r="V17" i="5"/>
  <c r="T17" i="5"/>
  <c r="X13" i="5"/>
  <c r="V13" i="5"/>
  <c r="T13" i="5"/>
  <c r="X11" i="5"/>
  <c r="V11" i="5"/>
  <c r="T11" i="5"/>
  <c r="X9" i="5"/>
  <c r="V9" i="5"/>
  <c r="T9" i="5"/>
  <c r="X7" i="5"/>
  <c r="V7" i="5"/>
  <c r="T7" i="5"/>
  <c r="X5" i="5"/>
  <c r="V5" i="5"/>
  <c r="T5" i="5"/>
  <c r="Y30" i="4"/>
  <c r="Y22" i="4"/>
  <c r="Y14" i="4"/>
  <c r="Y6" i="4"/>
  <c r="Y22" i="3"/>
  <c r="Y14" i="3"/>
  <c r="Y6" i="3"/>
  <c r="X11" i="9"/>
  <c r="V11" i="9"/>
  <c r="T11" i="9"/>
  <c r="Z11" i="9" s="1"/>
  <c r="Z21" i="7"/>
  <c r="Z17" i="7"/>
  <c r="Z13" i="7"/>
  <c r="Z7" i="7"/>
  <c r="Z28" i="6"/>
  <c r="Z24" i="6"/>
  <c r="Z20" i="6"/>
  <c r="Z14" i="6"/>
  <c r="Z6" i="6"/>
  <c r="Y18" i="2"/>
  <c r="Y11" i="2"/>
  <c r="Y8" i="1"/>
  <c r="Z20" i="8"/>
  <c r="Y28" i="4"/>
  <c r="Y12" i="4"/>
  <c r="Y24" i="3"/>
  <c r="Y8" i="3"/>
  <c r="Z24" i="8"/>
  <c r="Z8" i="8"/>
  <c r="Y16" i="4"/>
  <c r="Y28" i="3"/>
  <c r="Y12" i="3"/>
  <c r="Z25" i="7"/>
  <c r="Y28" i="1"/>
  <c r="Z27" i="7"/>
  <c r="P30" i="5"/>
  <c r="Y26" i="1"/>
  <c r="Y4" i="2" l="1"/>
  <c r="Z5" i="5"/>
  <c r="Z9" i="5"/>
  <c r="Z13" i="5"/>
  <c r="Z19" i="5"/>
  <c r="Z23" i="5"/>
  <c r="Z27" i="5"/>
  <c r="S24" i="1"/>
  <c r="W24" i="1"/>
  <c r="U24" i="1"/>
  <c r="Z7" i="5"/>
  <c r="Z11" i="5"/>
  <c r="Z17" i="5"/>
  <c r="Z21" i="5"/>
  <c r="Z25" i="5"/>
  <c r="Z29" i="5"/>
  <c r="Z23" i="9"/>
  <c r="Z14" i="11"/>
  <c r="Z6" i="11"/>
  <c r="Z18" i="11"/>
  <c r="Y4" i="3"/>
  <c r="Y7" i="1"/>
  <c r="Y13" i="1"/>
  <c r="Y17" i="1"/>
  <c r="Y21" i="1"/>
  <c r="Y25" i="1"/>
  <c r="Z25" i="9"/>
  <c r="Z8" i="7"/>
  <c r="Z12" i="7"/>
  <c r="Z18" i="7"/>
  <c r="Z22" i="7"/>
  <c r="Z26" i="7"/>
  <c r="Z27" i="9"/>
  <c r="G46" i="14"/>
  <c r="Z25" i="8"/>
  <c r="P9" i="14"/>
  <c r="P10" i="14" s="1"/>
  <c r="Q8" i="14"/>
  <c r="Q21" i="14"/>
  <c r="Q22" i="14" s="1"/>
  <c r="R20" i="14"/>
  <c r="M13" i="14"/>
  <c r="M24" i="14"/>
  <c r="M25" i="14" s="1"/>
  <c r="N23" i="14"/>
  <c r="Z22" i="11"/>
  <c r="Z17" i="8"/>
  <c r="Z20" i="11"/>
  <c r="Z13" i="9"/>
  <c r="Z9" i="6"/>
  <c r="Z19" i="6"/>
  <c r="Z27" i="6"/>
  <c r="Z11" i="8"/>
  <c r="Z27" i="8"/>
  <c r="Z25" i="10"/>
  <c r="Z11" i="10"/>
  <c r="Y22" i="1"/>
  <c r="Z5" i="10"/>
  <c r="Z7" i="6"/>
  <c r="Z17" i="6"/>
  <c r="Z25" i="6"/>
  <c r="Z7" i="8"/>
  <c r="Z23" i="8"/>
  <c r="Z14" i="7"/>
  <c r="Z7" i="10"/>
  <c r="Z23" i="10"/>
  <c r="Y12" i="1"/>
  <c r="Y20" i="1"/>
  <c r="Z17" i="10"/>
  <c r="Z17" i="9"/>
  <c r="Z29" i="9" s="1"/>
  <c r="Z27" i="10"/>
  <c r="Y18" i="1"/>
  <c r="Z21" i="10"/>
  <c r="Z29" i="11"/>
  <c r="Z4" i="7"/>
  <c r="Z6" i="7"/>
  <c r="Z10" i="7"/>
  <c r="Z16" i="7"/>
  <c r="Z20" i="7"/>
  <c r="Z24" i="7"/>
  <c r="Z28" i="7"/>
  <c r="Z13" i="8"/>
  <c r="I13" i="14"/>
  <c r="K10" i="14"/>
  <c r="I10" i="14"/>
  <c r="L10" i="14"/>
  <c r="J10" i="14"/>
  <c r="J13" i="14"/>
  <c r="K13" i="14"/>
  <c r="M10" i="14"/>
  <c r="N12" i="14"/>
  <c r="N13" i="14" s="1"/>
  <c r="O11" i="14"/>
  <c r="Z9" i="8"/>
  <c r="Z21" i="8"/>
  <c r="L13" i="14"/>
  <c r="Z5" i="6"/>
  <c r="Z13" i="6"/>
  <c r="Z23" i="6"/>
  <c r="Z19" i="8"/>
  <c r="Z15" i="5"/>
  <c r="Z11" i="6"/>
  <c r="Z21" i="6"/>
  <c r="Z15" i="8"/>
  <c r="Z29" i="8" s="1"/>
  <c r="Z15" i="10"/>
  <c r="Z9" i="10"/>
  <c r="Z19" i="10"/>
  <c r="Z13" i="10"/>
  <c r="Z29" i="6" l="1"/>
  <c r="Z30" i="5"/>
  <c r="Z29" i="7"/>
  <c r="N24" i="14"/>
  <c r="N25" i="14" s="1"/>
  <c r="O23" i="14"/>
  <c r="O12" i="14"/>
  <c r="O13" i="14" s="1"/>
  <c r="P11" i="14"/>
  <c r="Z28" i="10"/>
  <c r="S20" i="14"/>
  <c r="R21" i="14"/>
  <c r="R22" i="14" s="1"/>
  <c r="Q9" i="14"/>
  <c r="Q10" i="14" s="1"/>
  <c r="R8" i="14"/>
  <c r="Y24" i="1"/>
  <c r="R9" i="14" l="1"/>
  <c r="R10" i="14" s="1"/>
  <c r="S8" i="14"/>
  <c r="S21" i="14"/>
  <c r="S22" i="14" s="1"/>
  <c r="T20" i="14"/>
  <c r="P12" i="14"/>
  <c r="P13" i="14" s="1"/>
  <c r="Q11" i="14"/>
  <c r="O24" i="14"/>
  <c r="O25" i="14" s="1"/>
  <c r="P23" i="14"/>
  <c r="Q23" i="14" l="1"/>
  <c r="P24" i="14"/>
  <c r="P25" i="14" s="1"/>
  <c r="Q12" i="14"/>
  <c r="Q13" i="14" s="1"/>
  <c r="R11" i="14"/>
  <c r="U20" i="14"/>
  <c r="T21" i="14"/>
  <c r="T22" i="14" s="1"/>
  <c r="T8" i="14"/>
  <c r="S9" i="14"/>
  <c r="S10" i="14" s="1"/>
  <c r="R12" i="14" l="1"/>
  <c r="R13" i="14" s="1"/>
  <c r="S11" i="14"/>
  <c r="T9" i="14"/>
  <c r="T10" i="14" s="1"/>
  <c r="U8" i="14"/>
  <c r="U21" i="14"/>
  <c r="U22" i="14" s="1"/>
  <c r="V20" i="14"/>
  <c r="Q24" i="14"/>
  <c r="Q25" i="14" s="1"/>
  <c r="R23" i="14"/>
  <c r="R24" i="14" l="1"/>
  <c r="R25" i="14" s="1"/>
  <c r="S23" i="14"/>
  <c r="W20" i="14"/>
  <c r="W21" i="14" s="1"/>
  <c r="W22" i="14" s="1"/>
  <c r="H22" i="14" s="1"/>
  <c r="V21" i="14"/>
  <c r="V22" i="14" s="1"/>
  <c r="U9" i="14"/>
  <c r="U10" i="14" s="1"/>
  <c r="V8" i="14"/>
  <c r="T11" i="14"/>
  <c r="S12" i="14"/>
  <c r="S13" i="14" s="1"/>
  <c r="T12" i="14" l="1"/>
  <c r="T13" i="14" s="1"/>
  <c r="U11" i="14"/>
  <c r="V9" i="14"/>
  <c r="V10" i="14" s="1"/>
  <c r="W8" i="14"/>
  <c r="W9" i="14" s="1"/>
  <c r="W10" i="14" s="1"/>
  <c r="H10" i="14" s="1"/>
  <c r="S24" i="14"/>
  <c r="S25" i="14" s="1"/>
  <c r="T23" i="14"/>
  <c r="U23" i="14" l="1"/>
  <c r="T24" i="14"/>
  <c r="T25" i="14" s="1"/>
  <c r="V11" i="14"/>
  <c r="U12" i="14"/>
  <c r="U13" i="14" s="1"/>
  <c r="V12" i="14" l="1"/>
  <c r="V13" i="14" s="1"/>
  <c r="W11" i="14"/>
  <c r="W12" i="14" s="1"/>
  <c r="W13" i="14" s="1"/>
  <c r="H13" i="14" s="1"/>
  <c r="U24" i="14"/>
  <c r="U25" i="14" s="1"/>
  <c r="V23" i="14"/>
  <c r="V24" i="14" l="1"/>
  <c r="V25" i="14" s="1"/>
  <c r="W23" i="14"/>
  <c r="W24" i="14" s="1"/>
  <c r="W25" i="14" s="1"/>
  <c r="H25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ID#AAAAXBkY2XU
Mohnish Advani    (2022-03-21 12:27:19)
please revise
------
ID#AAAAXBkY2Xg
Swati Pardeshi    (2022-03-21 12:35:26)
not doing changes as of now as we are awaiting area from the architect &amp; there will be major difference in the area due to washroom.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fEoAxkUNdugF9L92PiCkkN6chs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5" authorId="0" shapeId="0" xr:uid="{00000000-0006-0000-0C00-000001000000}">
      <text>
        <r>
          <rPr>
            <sz val="10"/>
            <color rgb="FF000000"/>
            <rFont val="Arial"/>
            <scheme val="minor"/>
          </rPr>
          <t>======
ID#AAAATC5Iezk
    (2021-12-11 12:25:05)
please delete this
	-Mohnish Advani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vCyCxT5juqXMs3qbdIkyfOIupsQ=="/>
    </ext>
  </extLst>
</comments>
</file>

<file path=xl/sharedStrings.xml><?xml version="1.0" encoding="utf-8"?>
<sst xmlns="http://schemas.openxmlformats.org/spreadsheetml/2006/main" count="3525" uniqueCount="1156">
  <si>
    <t xml:space="preserve"> </t>
  </si>
  <si>
    <t>Rate Stack bike parking</t>
  </si>
  <si>
    <t>Rate per sq ft</t>
  </si>
  <si>
    <t>SHOP</t>
  </si>
  <si>
    <t>Total Area(SQM)</t>
  </si>
  <si>
    <t>Shop Area(SQM)</t>
  </si>
  <si>
    <t>SHOP AREA(SFT)</t>
  </si>
  <si>
    <t>Sitout Area(Sq.Mt.) @ 50% Loading</t>
  </si>
  <si>
    <t>Sitout Area(Sq.Ft.) @ 50% Loading</t>
  </si>
  <si>
    <t>TOTAL(SFT)</t>
  </si>
  <si>
    <t>SALEABLE</t>
  </si>
  <si>
    <t>Basic Value</t>
  </si>
  <si>
    <t>Covered Car Parking Charges</t>
  </si>
  <si>
    <t>Bike Parking</t>
  </si>
  <si>
    <t>Agreement Value</t>
  </si>
  <si>
    <t>Agreement Value After APD</t>
  </si>
  <si>
    <t>Gen Set</t>
  </si>
  <si>
    <t>MSEB</t>
  </si>
  <si>
    <t>Share Money</t>
  </si>
  <si>
    <t>Agreement Value + Other Charges</t>
  </si>
  <si>
    <t>Registration Charges</t>
  </si>
  <si>
    <t>GST on Agreement Value</t>
  </si>
  <si>
    <t>GST on other Charges</t>
  </si>
  <si>
    <t>Stamp Duty</t>
  </si>
  <si>
    <t>Legal</t>
  </si>
  <si>
    <t>Total Value</t>
  </si>
  <si>
    <t>Client Name</t>
  </si>
  <si>
    <t>Client Location</t>
  </si>
  <si>
    <t>Source</t>
  </si>
  <si>
    <t xml:space="preserve">Rate/sq ft </t>
  </si>
  <si>
    <t>4 Wheeler Parking Number</t>
  </si>
  <si>
    <t>2 Wheeler Parking Number</t>
  </si>
  <si>
    <t>Parking Type for 4 Wheeler</t>
  </si>
  <si>
    <t>Parking Type for 2 Wheeler</t>
  </si>
  <si>
    <t>Place</t>
  </si>
  <si>
    <t>SHOP-1</t>
  </si>
  <si>
    <t>Mr. Kantawala</t>
  </si>
  <si>
    <t>Pune</t>
  </si>
  <si>
    <t>Land Owner</t>
  </si>
  <si>
    <t>185 &amp;186</t>
  </si>
  <si>
    <t>Single</t>
  </si>
  <si>
    <t>Basement1</t>
  </si>
  <si>
    <t>SHOP-2</t>
  </si>
  <si>
    <t>19 &amp; 20</t>
  </si>
  <si>
    <t>94&amp; 95</t>
  </si>
  <si>
    <t>Stack</t>
  </si>
  <si>
    <t>Basement 2</t>
  </si>
  <si>
    <t>SHOP-3</t>
  </si>
  <si>
    <t>97 &amp; 98</t>
  </si>
  <si>
    <t>96 &amp; 97</t>
  </si>
  <si>
    <t>Dependable</t>
  </si>
  <si>
    <t>Basement 1 &amp; 2</t>
  </si>
  <si>
    <t>SHOP-4</t>
  </si>
  <si>
    <t>128&amp; 131</t>
  </si>
  <si>
    <t>98 &amp; 99</t>
  </si>
  <si>
    <t>SHOP-5</t>
  </si>
  <si>
    <t>21 &amp; 22</t>
  </si>
  <si>
    <t>100 &amp; 101</t>
  </si>
  <si>
    <t>SHOP-5A</t>
  </si>
  <si>
    <t>LG Level</t>
  </si>
  <si>
    <t>SHOP-6</t>
  </si>
  <si>
    <t>Amol Ganuwala</t>
  </si>
  <si>
    <t>SHOP-7</t>
  </si>
  <si>
    <t>Dr. Sanjay Pathare</t>
  </si>
  <si>
    <t>104 &amp; 105</t>
  </si>
  <si>
    <t>Puzzle</t>
  </si>
  <si>
    <t>3rd flr  &amp; basement2</t>
  </si>
  <si>
    <t>SHOP-7A</t>
  </si>
  <si>
    <t>14,15</t>
  </si>
  <si>
    <t>SHOP-8</t>
  </si>
  <si>
    <t>Vrushali Patil</t>
  </si>
  <si>
    <t>Corazon Homes</t>
  </si>
  <si>
    <t>SHOP-9</t>
  </si>
  <si>
    <t>Parvesh Prasad</t>
  </si>
  <si>
    <t xml:space="preserve">Vighnaharta Properties </t>
  </si>
  <si>
    <t>SHOP-10</t>
  </si>
  <si>
    <t>Sonia Belgaokar</t>
  </si>
  <si>
    <t>Aamir Khan</t>
  </si>
  <si>
    <t>SHOP-11</t>
  </si>
  <si>
    <t>Gaurav Pandey</t>
  </si>
  <si>
    <t>N5 Realtors</t>
  </si>
  <si>
    <t>SHOP-12</t>
  </si>
  <si>
    <t>Mohshin Shaikh</t>
  </si>
  <si>
    <t>Facebook</t>
  </si>
  <si>
    <t>Basement 1</t>
  </si>
  <si>
    <t>SHOP-13</t>
  </si>
  <si>
    <t>Sravani Tammana</t>
  </si>
  <si>
    <t>Google</t>
  </si>
  <si>
    <t>SHOP-14</t>
  </si>
  <si>
    <t>Shashank Gaikwad</t>
  </si>
  <si>
    <t>SHOP-15</t>
  </si>
  <si>
    <t>Mustafa Khokar</t>
  </si>
  <si>
    <t>Kuwait</t>
  </si>
  <si>
    <t>Moashk Investments</t>
  </si>
  <si>
    <t>3&amp; 4</t>
  </si>
  <si>
    <t>SHOP-16</t>
  </si>
  <si>
    <t>Shravan Vardaraj</t>
  </si>
  <si>
    <t>Hoarding</t>
  </si>
  <si>
    <t>5 &amp; 6</t>
  </si>
  <si>
    <t>RESTAU-17</t>
  </si>
  <si>
    <t>Ms Reshma Sadashiv Deokar</t>
  </si>
  <si>
    <t>Excelsior Realty</t>
  </si>
  <si>
    <t>RESTAU-18</t>
  </si>
  <si>
    <t xml:space="preserve">Suresh Mehta </t>
  </si>
  <si>
    <t>Barter</t>
  </si>
  <si>
    <t>103 &amp; 104</t>
  </si>
  <si>
    <t>34,35 &amp; 36</t>
  </si>
  <si>
    <t>Basement 2 &amp;1</t>
  </si>
  <si>
    <t>RESTAU-19</t>
  </si>
  <si>
    <t>Dr Anita Gavali</t>
  </si>
  <si>
    <t>Aspire Assets</t>
  </si>
  <si>
    <t>RESTAU-20</t>
  </si>
  <si>
    <t>106 &amp; 107</t>
  </si>
  <si>
    <t>RESTAU-20A</t>
  </si>
  <si>
    <t>16,17</t>
  </si>
  <si>
    <t>RESTAU-21</t>
  </si>
  <si>
    <t>Mr. Sunil Kumar Singh</t>
  </si>
  <si>
    <t>Patna</t>
  </si>
  <si>
    <t>Sanket Chanvan (360 Realtors</t>
  </si>
  <si>
    <t>RESTAU-22</t>
  </si>
  <si>
    <t>Mr. Nunna</t>
  </si>
  <si>
    <t>US</t>
  </si>
  <si>
    <t>Ref : Shiva Kumar</t>
  </si>
  <si>
    <t>526, 527 &amp; 528</t>
  </si>
  <si>
    <t>RESTAU-23</t>
  </si>
  <si>
    <t>108 &amp; 109</t>
  </si>
  <si>
    <t>RESTAU-23A</t>
  </si>
  <si>
    <t>23, 24</t>
  </si>
  <si>
    <t>ok</t>
  </si>
  <si>
    <t>TOTAL SQM</t>
  </si>
  <si>
    <t>SHOP AREA( SQM)</t>
  </si>
  <si>
    <t>LOFT AREA</t>
  </si>
  <si>
    <t>SHOP-101</t>
  </si>
  <si>
    <t>Reliance Mart</t>
  </si>
  <si>
    <t>On Lease</t>
  </si>
  <si>
    <t>39,40 &amp;47</t>
  </si>
  <si>
    <t>1stack &amp; Single</t>
  </si>
  <si>
    <t>9 Stack &amp; 1 single  37 to 55</t>
  </si>
  <si>
    <t>9 Stack  &amp; 1 single</t>
  </si>
  <si>
    <t>SHOP-102</t>
  </si>
  <si>
    <t>41,42 &amp;48</t>
  </si>
  <si>
    <t>8 Stack 56 to 71</t>
  </si>
  <si>
    <t>8 Stack</t>
  </si>
  <si>
    <t>Pankaj Kharche</t>
  </si>
  <si>
    <t>CP - Excelsior Realty</t>
  </si>
  <si>
    <t>99 &amp; 100</t>
  </si>
  <si>
    <t>single</t>
  </si>
  <si>
    <t>Chetan Gaikwad</t>
  </si>
  <si>
    <t>CP - N5 (Nikhil)</t>
  </si>
  <si>
    <t xml:space="preserve">Smita Jawalkar </t>
  </si>
  <si>
    <t>CP-Nimbleland</t>
  </si>
  <si>
    <t>Niranjan Fargade</t>
  </si>
  <si>
    <t>7 &amp; 8</t>
  </si>
  <si>
    <t>Parking not taken</t>
  </si>
  <si>
    <t>Shanti Chouksey</t>
  </si>
  <si>
    <t>Krishna Pandey</t>
  </si>
  <si>
    <t>CP - Makan Hunt</t>
  </si>
  <si>
    <t>Namrata Shantanu Pande</t>
  </si>
  <si>
    <t>9 &amp; 10</t>
  </si>
  <si>
    <t>Chandrakant Ganjayla</t>
  </si>
  <si>
    <t>Direct</t>
  </si>
  <si>
    <t>11 &amp; 12</t>
  </si>
  <si>
    <t>110 &amp; 111</t>
  </si>
  <si>
    <t>Prithvi Javahar</t>
  </si>
  <si>
    <t>13 &amp; 14</t>
  </si>
  <si>
    <t>Girish Karachiwala</t>
  </si>
  <si>
    <t>SHOP-19</t>
  </si>
  <si>
    <t>Mr. Prasad Balasani &amp; Mrs. Geetha Madhuri Aily</t>
  </si>
  <si>
    <t>Hydrabad</t>
  </si>
  <si>
    <t>Ref. by Sravani Tammana(LG-13)</t>
  </si>
  <si>
    <t>105 &amp;106</t>
  </si>
  <si>
    <t>2 Single</t>
  </si>
  <si>
    <t>171 &amp; 172</t>
  </si>
  <si>
    <t>SHOP-22</t>
  </si>
  <si>
    <t>Anish Balasaheb Patil</t>
  </si>
  <si>
    <t xml:space="preserve">Pune </t>
  </si>
  <si>
    <t>Ref. by Hemlata Salunkhe (First flr. - 6)</t>
  </si>
  <si>
    <t>107 &amp;108</t>
  </si>
  <si>
    <t>RESTAU/Shop 23</t>
  </si>
  <si>
    <t>Mukul Sinha</t>
  </si>
  <si>
    <t>CP - Anupam Gadodia</t>
  </si>
  <si>
    <t>117 &amp;118</t>
  </si>
  <si>
    <t>RESTAU/Shop 24</t>
  </si>
  <si>
    <t xml:space="preserve">This area given by Mr. Varadrajan on Date :17 march 2020,Actual area with sanctionyet to come  </t>
  </si>
  <si>
    <t>173 &amp; 174</t>
  </si>
  <si>
    <t>RESTAU/Shop 24 A</t>
  </si>
  <si>
    <t>26,27</t>
  </si>
  <si>
    <t>RESTAU/Shop 25</t>
  </si>
  <si>
    <t xml:space="preserve">This area given by Mr. Varadrajan on Date :17 march 2020,Actual area yet to come  </t>
  </si>
  <si>
    <t>Atul Bobate</t>
  </si>
  <si>
    <t>CP - Nestrov Consulting</t>
  </si>
  <si>
    <t>169 &amp; 170</t>
  </si>
  <si>
    <t>RESTAU/Shop 26</t>
  </si>
  <si>
    <t>RESTAU/Shop 27</t>
  </si>
  <si>
    <t xml:space="preserve">  </t>
  </si>
  <si>
    <t>Yogesh Madanlal Pipada</t>
  </si>
  <si>
    <t>159 &amp; 160</t>
  </si>
  <si>
    <t>P29 office rate</t>
  </si>
  <si>
    <t>SHOPS/OFFICES</t>
  </si>
  <si>
    <t>SHOP AREA(SQM)</t>
  </si>
  <si>
    <t>Balcony(Sq.Mt.)</t>
  </si>
  <si>
    <t>Balcony(Sq.Ft.)</t>
  </si>
  <si>
    <t>43,44</t>
  </si>
  <si>
    <t>1Stack</t>
  </si>
  <si>
    <t>6 Stack  72 to 83</t>
  </si>
  <si>
    <t xml:space="preserve">Stack </t>
  </si>
  <si>
    <t>Bharati Gundecha</t>
  </si>
  <si>
    <t>45,46</t>
  </si>
  <si>
    <t>1stack</t>
  </si>
  <si>
    <t>4 stack 84 to 91</t>
  </si>
  <si>
    <t>SHOP-06</t>
  </si>
  <si>
    <t>Hemlata Salunkhe</t>
  </si>
  <si>
    <t>SHOP-07</t>
  </si>
  <si>
    <t>Anish Philip</t>
  </si>
  <si>
    <t>David (Property Chef)</t>
  </si>
  <si>
    <t xml:space="preserve">1 &amp; 2 </t>
  </si>
  <si>
    <t xml:space="preserve">145 &amp; 146 </t>
  </si>
  <si>
    <t>SHOP-08</t>
  </si>
  <si>
    <t>Suhas Thokal</t>
  </si>
  <si>
    <t>Site Branding</t>
  </si>
  <si>
    <t>SHOP-09</t>
  </si>
  <si>
    <t>Gitanjali Vikas Baviskar</t>
  </si>
  <si>
    <t>Laxmikant(360 Realtors)</t>
  </si>
  <si>
    <t>Siraj Sadak Ali Khandwala</t>
  </si>
  <si>
    <t>Mufaddal Properties - Mr. Taher Tailor</t>
  </si>
  <si>
    <t>Archana Kharat</t>
  </si>
  <si>
    <t>109 &amp; 110</t>
  </si>
  <si>
    <t>Ramzan Sayyad</t>
  </si>
  <si>
    <t>Shrigonda</t>
  </si>
  <si>
    <t>24 Properties - Pravin</t>
  </si>
  <si>
    <t>Khansab Sayed</t>
  </si>
  <si>
    <t>Asif Aziz Shaikh</t>
  </si>
  <si>
    <t>Anupam - Dream Homes</t>
  </si>
  <si>
    <t>Mr Rohitash Singh</t>
  </si>
  <si>
    <t>SHOP-17</t>
  </si>
  <si>
    <t>Sunita Shrivastava</t>
  </si>
  <si>
    <t>Red Bricks(Rakesh Kumar)</t>
  </si>
  <si>
    <t>111 &amp; 112</t>
  </si>
  <si>
    <t>SHOP-18</t>
  </si>
  <si>
    <t>Kumari Khushboo Singh</t>
  </si>
  <si>
    <t>Online</t>
  </si>
  <si>
    <t>Shivraj Patil</t>
  </si>
  <si>
    <t>Infinite Homes(Ankush &amp; Vikas)</t>
  </si>
  <si>
    <t>SHOP-20</t>
  </si>
  <si>
    <t>Ravindra kumar basant Barsaiya</t>
  </si>
  <si>
    <t>Aryan Realty - Saurav</t>
  </si>
  <si>
    <t>15 &amp; 16</t>
  </si>
  <si>
    <t>SHOP-21</t>
  </si>
  <si>
    <t>Bhushan Shimpi</t>
  </si>
  <si>
    <t>Refrence Shashikant Shimpi</t>
  </si>
  <si>
    <t>Vaishali Shashikant Shimpi</t>
  </si>
  <si>
    <t>SHOP-23</t>
  </si>
  <si>
    <t>Mrs. Suman Singh</t>
  </si>
  <si>
    <t>Restaurant-24</t>
  </si>
  <si>
    <t>Ritesh Hiremath</t>
  </si>
  <si>
    <t>U.S.</t>
  </si>
  <si>
    <t>Restaurant-25</t>
  </si>
  <si>
    <t>Jagdish Hiremath</t>
  </si>
  <si>
    <t>SHOP-26</t>
  </si>
  <si>
    <t>Abhishek Kumar Singh</t>
  </si>
  <si>
    <t>Restaurant-27</t>
  </si>
  <si>
    <t>Ujjwal Lanjewar</t>
  </si>
  <si>
    <t>All Media (Prashanta Das)</t>
  </si>
  <si>
    <t>Restaurant-28</t>
  </si>
  <si>
    <t>Arwa Mohammed Rizvi</t>
  </si>
  <si>
    <t>P.OFFICE-29</t>
  </si>
  <si>
    <t>319 to 322</t>
  </si>
  <si>
    <t>Basement1 &amp; 3rd flr</t>
  </si>
  <si>
    <t>P 29 Office Rate</t>
  </si>
  <si>
    <t>Balcony(SQM.)</t>
  </si>
  <si>
    <t>SHOP-01</t>
  </si>
  <si>
    <t>247 &amp; 248</t>
  </si>
  <si>
    <t>209 to 218</t>
  </si>
  <si>
    <t>1 Stack</t>
  </si>
  <si>
    <t>5 stack</t>
  </si>
  <si>
    <t>3rd floor</t>
  </si>
  <si>
    <t>SHOP-02</t>
  </si>
  <si>
    <t>249 &amp; 250</t>
  </si>
  <si>
    <t>219 to 228</t>
  </si>
  <si>
    <t>SHOP-03</t>
  </si>
  <si>
    <t>251 &amp; 251</t>
  </si>
  <si>
    <t>229 to 238</t>
  </si>
  <si>
    <t>SHOP-04</t>
  </si>
  <si>
    <t>23 &amp; 24</t>
  </si>
  <si>
    <t>239 to 248</t>
  </si>
  <si>
    <t>Basement 2 &amp; 3 rd floor</t>
  </si>
  <si>
    <t>SHOP-05</t>
  </si>
  <si>
    <t>25 &amp; 26</t>
  </si>
  <si>
    <t>249 to 258</t>
  </si>
  <si>
    <t>Akshay Gosavi</t>
  </si>
  <si>
    <t>Kumbra Realtors</t>
  </si>
  <si>
    <t>17 &amp; 18</t>
  </si>
  <si>
    <t>Basement 2 &amp; 1</t>
  </si>
  <si>
    <t>Madhurima Majumdar</t>
  </si>
  <si>
    <t>113 &amp; 114</t>
  </si>
  <si>
    <t>120 &amp; 121</t>
  </si>
  <si>
    <t>Anit Ankur</t>
  </si>
  <si>
    <t>Corazon</t>
  </si>
  <si>
    <t>Vinita Ankur</t>
  </si>
  <si>
    <t>Namrata Tripathi</t>
  </si>
  <si>
    <t>Dr Afraj Tamboli</t>
  </si>
  <si>
    <t>Google Search</t>
  </si>
  <si>
    <t>115 &amp; 116</t>
  </si>
  <si>
    <t>Mr. Rushikesh B Unhale</t>
  </si>
  <si>
    <t>Sham Raut</t>
  </si>
  <si>
    <t>Dr.Mukesh Thube &amp; Mrs. Swati Mukund</t>
  </si>
  <si>
    <t>Shirur</t>
  </si>
  <si>
    <t>All Media</t>
  </si>
  <si>
    <t>Rajesh Kumar</t>
  </si>
  <si>
    <t>Vijay Enterprises</t>
  </si>
  <si>
    <t>Ashish Kumar Nyati</t>
  </si>
  <si>
    <t>Ganesh Ahirrao</t>
  </si>
  <si>
    <t>Squaryards (Sujit Chavan)</t>
  </si>
  <si>
    <t>101 &amp; 102</t>
  </si>
  <si>
    <t>Santosh Awasthi</t>
  </si>
  <si>
    <t>Aryan realty (Akansha Kuamri)</t>
  </si>
  <si>
    <t>Yogesh Waghmare</t>
  </si>
  <si>
    <t>Shree Properties - Sanjay</t>
  </si>
  <si>
    <t>Piyush Sahu</t>
  </si>
  <si>
    <t>30:70 Scheme</t>
  </si>
  <si>
    <t>Kavita Awasthi</t>
  </si>
  <si>
    <t>Dharmesh Kumar Soni</t>
  </si>
  <si>
    <t>Website</t>
  </si>
  <si>
    <t>129 &amp; 130</t>
  </si>
  <si>
    <t>Rajkumar Hanumantrao Kasture</t>
  </si>
  <si>
    <t>126 &amp; 127</t>
  </si>
  <si>
    <t>Mr Amit Prakash Ambre</t>
  </si>
  <si>
    <t>Ref : Ujjwal Lanjewar</t>
  </si>
  <si>
    <t>Saurav Kumar</t>
  </si>
  <si>
    <t>Mr Chetan Kamble &amp; Mrs. Shilpa Kamble</t>
  </si>
  <si>
    <t>Zarin Rehan Sayed</t>
  </si>
  <si>
    <t>Enayat Hariyani</t>
  </si>
  <si>
    <t>Vishal Khosla</t>
  </si>
  <si>
    <t>323 to 326</t>
  </si>
  <si>
    <t>2Stack</t>
  </si>
  <si>
    <t>Basement 1 &amp; 3rd Floor</t>
  </si>
  <si>
    <t>OFFICES</t>
  </si>
  <si>
    <t>Area(SQM)</t>
  </si>
  <si>
    <t>AREA(SFT)</t>
  </si>
  <si>
    <t>Balcony(SQM)</t>
  </si>
  <si>
    <t>BALCONY (SFT)</t>
  </si>
  <si>
    <t>TERRACE (SQM)50%</t>
  </si>
  <si>
    <t>TERRACE (SFT)50%</t>
  </si>
  <si>
    <t>OFFICE-01</t>
  </si>
  <si>
    <t>Infonyx India Pvt. Ltd. 
(Sucheta Nerurkar)</t>
  </si>
  <si>
    <t>Ruby Realty</t>
  </si>
  <si>
    <t>55 to 58</t>
  </si>
  <si>
    <t>196 to 204</t>
  </si>
  <si>
    <t>4 Stack &amp; 1 single</t>
  </si>
  <si>
    <t>3rd Floor</t>
  </si>
  <si>
    <t>OFFICE-02</t>
  </si>
  <si>
    <t>Magicflare Software Services LLP</t>
  </si>
  <si>
    <t>27 &amp; 28</t>
  </si>
  <si>
    <t>269 to 272</t>
  </si>
  <si>
    <t>2 Stack</t>
  </si>
  <si>
    <t>OFFICE-03</t>
  </si>
  <si>
    <t>29 &amp; 30</t>
  </si>
  <si>
    <t>273 to 276</t>
  </si>
  <si>
    <t>Basement 2  &amp; 3rd floor</t>
  </si>
  <si>
    <t>OFFICE-04</t>
  </si>
  <si>
    <t xml:space="preserve">santosh pawar </t>
  </si>
  <si>
    <t>49, 50</t>
  </si>
  <si>
    <t>261 to 264</t>
  </si>
  <si>
    <t>OFFICE-05</t>
  </si>
  <si>
    <t>132&amp;133</t>
  </si>
  <si>
    <t>277 to 280</t>
  </si>
  <si>
    <t>Basement 1 &amp; 3rd flor</t>
  </si>
  <si>
    <t>OFFICE-06</t>
  </si>
  <si>
    <t>134 &amp; 135</t>
  </si>
  <si>
    <t>281 to 284</t>
  </si>
  <si>
    <t>OFFICE-07</t>
  </si>
  <si>
    <t>285 to 288</t>
  </si>
  <si>
    <t>OFFICE-08</t>
  </si>
  <si>
    <t>291 &amp; 292</t>
  </si>
  <si>
    <t>OFFICE-09</t>
  </si>
  <si>
    <t>136 &amp; 137</t>
  </si>
  <si>
    <t>293 to 296</t>
  </si>
  <si>
    <t>OFFICE-10</t>
  </si>
  <si>
    <t>138 &amp;139</t>
  </si>
  <si>
    <t>297 to 300</t>
  </si>
  <si>
    <t>OFFICE-11</t>
  </si>
  <si>
    <t>Sameer Kavale</t>
  </si>
  <si>
    <t>Management</t>
  </si>
  <si>
    <t>205 &amp; 206</t>
  </si>
  <si>
    <t>OFFICE-12(Premium Office)</t>
  </si>
  <si>
    <t>140 &amp; 141</t>
  </si>
  <si>
    <t>321 To 324</t>
  </si>
  <si>
    <t>OFFICE-13</t>
  </si>
  <si>
    <t>325 to 328</t>
  </si>
  <si>
    <t>OFFICE-14</t>
  </si>
  <si>
    <t>Chandrakant Ganjalya</t>
  </si>
  <si>
    <t>221 to 224</t>
  </si>
  <si>
    <t>265 to 268</t>
  </si>
  <si>
    <t>3rd flr</t>
  </si>
  <si>
    <t>OFFICE-15</t>
  </si>
  <si>
    <t>OFFICE-16</t>
  </si>
  <si>
    <t>Indicate Exim Pvt Ltd</t>
  </si>
  <si>
    <t>FB</t>
  </si>
  <si>
    <t>51, 52</t>
  </si>
  <si>
    <t>18 to 22</t>
  </si>
  <si>
    <t>Basement 2  &amp; LG level</t>
  </si>
  <si>
    <t>OFFICE-17</t>
  </si>
  <si>
    <t>OFFICE-18</t>
  </si>
  <si>
    <t>Management Hold</t>
  </si>
  <si>
    <t xml:space="preserve">For Progressive  </t>
  </si>
  <si>
    <t>142 &amp; 143</t>
  </si>
  <si>
    <t>329 to 332</t>
  </si>
  <si>
    <t>Basement 1 &amp; 3 rd Floor</t>
  </si>
  <si>
    <t>OFFICE-19</t>
  </si>
  <si>
    <t>144 &amp; 145</t>
  </si>
  <si>
    <t>333 to 336</t>
  </si>
  <si>
    <t>OFFICE-20</t>
  </si>
  <si>
    <t>301 &amp; 302</t>
  </si>
  <si>
    <t>OFFICE-21</t>
  </si>
  <si>
    <t>303 &amp; 304</t>
  </si>
  <si>
    <t>OFFICE-22</t>
  </si>
  <si>
    <t>305 &amp; 306</t>
  </si>
  <si>
    <t>OFFICE-23</t>
  </si>
  <si>
    <t>337 &amp; 338</t>
  </si>
  <si>
    <t>OFFICE-24</t>
  </si>
  <si>
    <t>339 &amp; 340</t>
  </si>
  <si>
    <t>OFFICE-25</t>
  </si>
  <si>
    <t>341 &amp; 342</t>
  </si>
  <si>
    <t>OFFICE-26</t>
  </si>
  <si>
    <t>BCCL</t>
  </si>
  <si>
    <t>343 to 344</t>
  </si>
  <si>
    <t>allotmenmt done for singal sold stack</t>
  </si>
  <si>
    <t>Enclosed Balcony(SQM)</t>
  </si>
  <si>
    <t>146 &amp; 147</t>
  </si>
  <si>
    <t>347 to 350</t>
  </si>
  <si>
    <t xml:space="preserve">Dependable </t>
  </si>
  <si>
    <t>148 &amp; 149</t>
  </si>
  <si>
    <t>351 to 354</t>
  </si>
  <si>
    <t>31, 32</t>
  </si>
  <si>
    <t>355 to 358</t>
  </si>
  <si>
    <t>Ashish Glazium</t>
  </si>
  <si>
    <t>261 to 266</t>
  </si>
  <si>
    <t>308 to 316</t>
  </si>
  <si>
    <t>3 Stack</t>
  </si>
  <si>
    <t>5 Stack</t>
  </si>
  <si>
    <t>Pracheet Ingawale</t>
  </si>
  <si>
    <t>257 to 260</t>
  </si>
  <si>
    <t>182 to 187</t>
  </si>
  <si>
    <t>2 stack</t>
  </si>
  <si>
    <t>150, 151</t>
  </si>
  <si>
    <t>207 to 210</t>
  </si>
  <si>
    <t>Basement 1 &amp; 3rd flr</t>
  </si>
  <si>
    <t>Bhor</t>
  </si>
  <si>
    <t>53, 54</t>
  </si>
  <si>
    <t>180 &amp; 181</t>
  </si>
  <si>
    <t>Basement 2 &amp; 3rd flr</t>
  </si>
  <si>
    <t>Bhor - HOLD</t>
  </si>
  <si>
    <t>361 &amp; 362</t>
  </si>
  <si>
    <t>Basement 1 &amp; 4th Floor</t>
  </si>
  <si>
    <t>Priti, Priyesh &amp; Pooja</t>
  </si>
  <si>
    <t>363 &amp; 364</t>
  </si>
  <si>
    <t>3rd Floor &amp; 4th Flr</t>
  </si>
  <si>
    <t>365 &amp; 366</t>
  </si>
  <si>
    <t>Tushar Munshi</t>
  </si>
  <si>
    <t>59, 60</t>
  </si>
  <si>
    <t>319 &amp; 320</t>
  </si>
  <si>
    <t>367 &amp; 368</t>
  </si>
  <si>
    <t>3rd Floor &amp; 4th Floor</t>
  </si>
  <si>
    <t>Marquis Advt.</t>
  </si>
  <si>
    <t>61, 62</t>
  </si>
  <si>
    <t>191 &amp; 192</t>
  </si>
  <si>
    <t>Basement 2  &amp; 3rd flr</t>
  </si>
  <si>
    <t>Pradip Shukla</t>
  </si>
  <si>
    <t>63, 64</t>
  </si>
  <si>
    <t>289 &amp; 290</t>
  </si>
  <si>
    <t xml:space="preserve">Ashish Khandelwal </t>
  </si>
  <si>
    <t xml:space="preserve">No Parking </t>
  </si>
  <si>
    <t>317 &amp; 318</t>
  </si>
  <si>
    <t>Sachin Wagh</t>
  </si>
  <si>
    <t>371 &amp; 372</t>
  </si>
  <si>
    <t>3rd Floor &amp; 4th floor</t>
  </si>
  <si>
    <t>373 &amp; 374</t>
  </si>
  <si>
    <t>1 stack</t>
  </si>
  <si>
    <t>Basement 1 &amp; 4th flr</t>
  </si>
  <si>
    <t>152 &amp; 153</t>
  </si>
  <si>
    <t>375 &amp; 376</t>
  </si>
  <si>
    <t xml:space="preserve"> Enclosed Balcony(SQM)</t>
  </si>
  <si>
    <t>33, 34</t>
  </si>
  <si>
    <t>377 to 380</t>
  </si>
  <si>
    <t>Basement 2 &amp; 4th Floor</t>
  </si>
  <si>
    <t>35, 36</t>
  </si>
  <si>
    <t>381 to 384</t>
  </si>
  <si>
    <t>Not Yet Sanctioned</t>
  </si>
  <si>
    <t>37, 38</t>
  </si>
  <si>
    <t>385 to 388</t>
  </si>
  <si>
    <t>65, 66</t>
  </si>
  <si>
    <t>389 to 392</t>
  </si>
  <si>
    <t>393, 394</t>
  </si>
  <si>
    <t>395, 396</t>
  </si>
  <si>
    <t>397, 398</t>
  </si>
  <si>
    <t>399, 400</t>
  </si>
  <si>
    <t>401, 402</t>
  </si>
  <si>
    <t>403, 404</t>
  </si>
  <si>
    <t>OFFICE-11 (Premium Office)</t>
  </si>
  <si>
    <t>405 to 408</t>
  </si>
  <si>
    <t>OFFICE-12</t>
  </si>
  <si>
    <t>67, 68</t>
  </si>
  <si>
    <t>409 to 412</t>
  </si>
  <si>
    <t>413, 414</t>
  </si>
  <si>
    <t>415, 416</t>
  </si>
  <si>
    <t>417, 418</t>
  </si>
  <si>
    <t>419, 420</t>
  </si>
  <si>
    <t>421, 422</t>
  </si>
  <si>
    <t>423 to 426</t>
  </si>
  <si>
    <t>427 , 428</t>
  </si>
  <si>
    <t>429, 430</t>
  </si>
  <si>
    <t>431, 432</t>
  </si>
  <si>
    <t>433, 434</t>
  </si>
  <si>
    <t>435, 436</t>
  </si>
  <si>
    <t>437, 438</t>
  </si>
  <si>
    <t>439, 440</t>
  </si>
  <si>
    <t>Sanctioned</t>
  </si>
  <si>
    <t>Not Sanctioned</t>
  </si>
  <si>
    <t>69, 70</t>
  </si>
  <si>
    <t>441 to 444</t>
  </si>
  <si>
    <t>71, 72</t>
  </si>
  <si>
    <t>445 to 448</t>
  </si>
  <si>
    <t>73, 74</t>
  </si>
  <si>
    <t>449 to 452</t>
  </si>
  <si>
    <t>75, 76</t>
  </si>
  <si>
    <t>453 to 456</t>
  </si>
  <si>
    <t>457, 458</t>
  </si>
  <si>
    <t>459, 460</t>
  </si>
  <si>
    <t>461, 462</t>
  </si>
  <si>
    <t>463, 464</t>
  </si>
  <si>
    <t>465, 466</t>
  </si>
  <si>
    <t>467, 468</t>
  </si>
  <si>
    <t>OFFICE-11(Premium Office)</t>
  </si>
  <si>
    <t>469 to 472</t>
  </si>
  <si>
    <t>77, 78</t>
  </si>
  <si>
    <t>473 to 476</t>
  </si>
  <si>
    <t>477, 478</t>
  </si>
  <si>
    <t>479, 480</t>
  </si>
  <si>
    <t>3rd Floor &amp;4th Floor</t>
  </si>
  <si>
    <t>481, 482</t>
  </si>
  <si>
    <t>483, 484</t>
  </si>
  <si>
    <t>485, 486</t>
  </si>
  <si>
    <t>487, 488</t>
  </si>
  <si>
    <t>489, 490</t>
  </si>
  <si>
    <t>491, 492</t>
  </si>
  <si>
    <t>493, 494</t>
  </si>
  <si>
    <t>495, 496</t>
  </si>
  <si>
    <t>497, 498</t>
  </si>
  <si>
    <t>499, 500</t>
  </si>
  <si>
    <t>501, 502</t>
  </si>
  <si>
    <t>79, 80</t>
  </si>
  <si>
    <t>503 to 506</t>
  </si>
  <si>
    <t>81, 82</t>
  </si>
  <si>
    <t>507 to 510</t>
  </si>
  <si>
    <t>83, 84</t>
  </si>
  <si>
    <t>511 to 514</t>
  </si>
  <si>
    <t>85, 86</t>
  </si>
  <si>
    <t>515 to 518</t>
  </si>
  <si>
    <t>519, 520</t>
  </si>
  <si>
    <t>521, 522</t>
  </si>
  <si>
    <t>523, 524</t>
  </si>
  <si>
    <t>525, 530</t>
  </si>
  <si>
    <t>531, 532</t>
  </si>
  <si>
    <t>533, 534</t>
  </si>
  <si>
    <t>535 to 538</t>
  </si>
  <si>
    <t>87, 88</t>
  </si>
  <si>
    <t>539 to 542</t>
  </si>
  <si>
    <t>543, 544</t>
  </si>
  <si>
    <t>545, 546</t>
  </si>
  <si>
    <t>547, 548</t>
  </si>
  <si>
    <t>549, 550</t>
  </si>
  <si>
    <t>551, 552</t>
  </si>
  <si>
    <t>553 to 556</t>
  </si>
  <si>
    <t>557, 558</t>
  </si>
  <si>
    <t>559, 560</t>
  </si>
  <si>
    <t>561, 562</t>
  </si>
  <si>
    <t>563, 564</t>
  </si>
  <si>
    <t>565, 566</t>
  </si>
  <si>
    <t>567, 568</t>
  </si>
  <si>
    <t>569, 570</t>
  </si>
  <si>
    <t>Rate per bike parking</t>
  </si>
  <si>
    <t>89, 90</t>
  </si>
  <si>
    <t>571 to 574</t>
  </si>
  <si>
    <t>91, 92</t>
  </si>
  <si>
    <t>575 to 578</t>
  </si>
  <si>
    <t>93, 94</t>
  </si>
  <si>
    <t>579 to 582</t>
  </si>
  <si>
    <t>253, 254</t>
  </si>
  <si>
    <t>583 to 586</t>
  </si>
  <si>
    <t>587, 588</t>
  </si>
  <si>
    <t>589, 590</t>
  </si>
  <si>
    <t>591, 592</t>
  </si>
  <si>
    <t>593, 594</t>
  </si>
  <si>
    <t>595, 596</t>
  </si>
  <si>
    <t>597, 598</t>
  </si>
  <si>
    <t>599 to 602</t>
  </si>
  <si>
    <t>255, 256</t>
  </si>
  <si>
    <t>603 to 606</t>
  </si>
  <si>
    <t>607, 608</t>
  </si>
  <si>
    <t>609, 610</t>
  </si>
  <si>
    <t>611, 612</t>
  </si>
  <si>
    <t>613, 614</t>
  </si>
  <si>
    <t>615, 616</t>
  </si>
  <si>
    <t>617, 618</t>
  </si>
  <si>
    <t>619, 620</t>
  </si>
  <si>
    <t>621, 622</t>
  </si>
  <si>
    <t>623, 624</t>
  </si>
  <si>
    <t>625, 626</t>
  </si>
  <si>
    <t>4th Floor</t>
  </si>
  <si>
    <t>627, 628</t>
  </si>
  <si>
    <t>629, 630</t>
  </si>
  <si>
    <t>267, 268</t>
  </si>
  <si>
    <t>631 to 634</t>
  </si>
  <si>
    <t>269, 270</t>
  </si>
  <si>
    <t>635 to 638</t>
  </si>
  <si>
    <t>274, 275</t>
  </si>
  <si>
    <t>639 to 642</t>
  </si>
  <si>
    <t>154, 155</t>
  </si>
  <si>
    <t>643 to 646</t>
  </si>
  <si>
    <t>647, 648</t>
  </si>
  <si>
    <t>649, 650</t>
  </si>
  <si>
    <t>651, 652</t>
  </si>
  <si>
    <t>653, 654</t>
  </si>
  <si>
    <t>655, 656</t>
  </si>
  <si>
    <t>657, 658</t>
  </si>
  <si>
    <t>659 to 662</t>
  </si>
  <si>
    <t>197, 198</t>
  </si>
  <si>
    <t>663 to 666</t>
  </si>
  <si>
    <t>667, 668</t>
  </si>
  <si>
    <t>669, 670</t>
  </si>
  <si>
    <t>671, 672</t>
  </si>
  <si>
    <t>673, 674</t>
  </si>
  <si>
    <t>675 to 678</t>
  </si>
  <si>
    <t>294 , 295</t>
  </si>
  <si>
    <t>679 to 682</t>
  </si>
  <si>
    <t>683, 684</t>
  </si>
  <si>
    <t>685, 686</t>
  </si>
  <si>
    <t>687, 688</t>
  </si>
  <si>
    <t>689, 690</t>
  </si>
  <si>
    <t>691, 692</t>
  </si>
  <si>
    <t>693, 694</t>
  </si>
  <si>
    <t>695, 696</t>
  </si>
  <si>
    <t>Date of booking</t>
  </si>
  <si>
    <t xml:space="preserve">Date of Agreement </t>
  </si>
  <si>
    <t>Agreement Status</t>
  </si>
  <si>
    <t>Contact Number</t>
  </si>
  <si>
    <t>Floor</t>
  </si>
  <si>
    <t xml:space="preserve">Shop Number
</t>
  </si>
  <si>
    <t>SQM</t>
  </si>
  <si>
    <t>Balcony</t>
  </si>
  <si>
    <t>LOFT(SFT)</t>
  </si>
  <si>
    <t>Terrace (SFT)</t>
  </si>
  <si>
    <t>Covered Parking</t>
  </si>
  <si>
    <t>Antiprofiteering Discount
(APD)
4% on GST</t>
  </si>
  <si>
    <t>Leagal charges at Agrt. Ragi</t>
  </si>
  <si>
    <t>9% payment</t>
  </si>
  <si>
    <t>GST on 9%</t>
  </si>
  <si>
    <t>Expected Date of 9%amt</t>
  </si>
  <si>
    <t>21% Payment</t>
  </si>
  <si>
    <t>GST on 21%</t>
  </si>
  <si>
    <t>Expected Date of 21% amt</t>
  </si>
  <si>
    <t>15%Payment</t>
  </si>
  <si>
    <t>GST 0n15%</t>
  </si>
  <si>
    <t>Expected Date of 15% amt</t>
  </si>
  <si>
    <t>5%Payment</t>
  </si>
  <si>
    <t>GST on 5%</t>
  </si>
  <si>
    <t>Expected Date of 5% amt</t>
  </si>
  <si>
    <t>Cheque / RTGS</t>
  </si>
  <si>
    <t>E mail ID</t>
  </si>
  <si>
    <t>Booking Done By</t>
  </si>
  <si>
    <t>Brokerage(%)</t>
  </si>
  <si>
    <t>Scheme</t>
  </si>
  <si>
    <t>Brokerage Amount</t>
  </si>
  <si>
    <t>Brokerage Paid / Unpaid Status</t>
  </si>
  <si>
    <t>Remark</t>
  </si>
  <si>
    <t>27/05/2019</t>
  </si>
  <si>
    <t xml:space="preserve">Agreement Done </t>
  </si>
  <si>
    <t>1st</t>
  </si>
  <si>
    <t>Recd.(50%)</t>
  </si>
  <si>
    <t>Cheque</t>
  </si>
  <si>
    <t>philip.anish@gmail.com</t>
  </si>
  <si>
    <t>Chandrashekhar</t>
  </si>
  <si>
    <t>David (property Chef)</t>
  </si>
  <si>
    <t>IPhone7</t>
  </si>
  <si>
    <t>Paid</t>
  </si>
  <si>
    <t xml:space="preserve">AGREEMENT DONE </t>
  </si>
  <si>
    <t>28/05/2019</t>
  </si>
  <si>
    <t>Recd.</t>
  </si>
  <si>
    <t>bavishkar.vikas@gmail.com</t>
  </si>
  <si>
    <t>N/A</t>
  </si>
  <si>
    <t>shashikantshimpi@gmail.com</t>
  </si>
  <si>
    <t>29/05/2019</t>
  </si>
  <si>
    <t>27/06/2019</t>
  </si>
  <si>
    <t>Anita Belgaokar</t>
  </si>
  <si>
    <t>LG</t>
  </si>
  <si>
    <t>Recd.(41%)</t>
  </si>
  <si>
    <t>RTGS</t>
  </si>
  <si>
    <t>soniabelgaokar@gmail.com</t>
  </si>
  <si>
    <t>CP Aamir Khan</t>
  </si>
  <si>
    <t>25/07/2019</t>
  </si>
  <si>
    <t>Singapore</t>
  </si>
  <si>
    <t>Ref. Shashikant Shimpi</t>
  </si>
  <si>
    <t>Pending</t>
  </si>
  <si>
    <t>14/06/2019</t>
  </si>
  <si>
    <t xml:space="preserve">Siraj Sadak Ali Khandwala </t>
  </si>
  <si>
    <t>Rs. 2lac in sep 19</t>
  </si>
  <si>
    <t>Payment Shedule discuss at the time of booking</t>
  </si>
  <si>
    <t>24/06/2019</t>
  </si>
  <si>
    <t>31/08/2019</t>
  </si>
  <si>
    <t>Vrushali Madhavrao Patil</t>
  </si>
  <si>
    <t xml:space="preserve">Kharadi </t>
  </si>
  <si>
    <t>vrushpatil.capri20@gmail.com</t>
  </si>
  <si>
    <t>Neha(Corazon Homes)</t>
  </si>
  <si>
    <t>Brokerage Paid(Iphone Pending)</t>
  </si>
  <si>
    <t>25/06/2019</t>
  </si>
  <si>
    <t>21/01/2020</t>
  </si>
  <si>
    <t>Suhas Janardhan Thokal</t>
  </si>
  <si>
    <t>Ramwadi nagar rd.</t>
  </si>
  <si>
    <t>suhasthokal02@gmail.com</t>
  </si>
  <si>
    <t xml:space="preserve">Site Branding </t>
  </si>
  <si>
    <t>18/07/2019</t>
  </si>
  <si>
    <t>20/08/2019</t>
  </si>
  <si>
    <t>Mustfa Khokhar</t>
  </si>
  <si>
    <t>mustafaskhokhar@gmail.com</t>
  </si>
  <si>
    <t>Moshk Investment - Mr.Najmuddin(Kuwait)</t>
  </si>
  <si>
    <t>30/07/2019</t>
  </si>
  <si>
    <t>Sandeep Sagar</t>
  </si>
  <si>
    <t>Bihar</t>
  </si>
  <si>
    <t>sandeepsagar18.extc@gmail.com</t>
  </si>
  <si>
    <t>2nd</t>
  </si>
  <si>
    <t>20/10/2019</t>
  </si>
  <si>
    <t>nams.me@gmail.com</t>
  </si>
  <si>
    <t>Vinit Vijay</t>
  </si>
  <si>
    <t>anit_ankur@yahoo.co.in</t>
  </si>
  <si>
    <t>13/08/2019</t>
  </si>
  <si>
    <t>vinita.mlzshzb@gmail.com</t>
  </si>
  <si>
    <t>14/08/2019</t>
  </si>
  <si>
    <t>26/09/2019</t>
  </si>
  <si>
    <t>28/08/2019</t>
  </si>
  <si>
    <t>patilshi14@gmail.com</t>
  </si>
  <si>
    <t>18/08/2019</t>
  </si>
  <si>
    <t>26/06/2020</t>
  </si>
  <si>
    <t>on or before 5sep</t>
  </si>
  <si>
    <t>parveshprasad@gmail.com</t>
  </si>
  <si>
    <t>Vighnaharta Properties</t>
  </si>
  <si>
    <t>Rs. 100000/-Recd. on 19Aug2019, 50%amt. expected on or before 5th sep 2019</t>
  </si>
  <si>
    <t>24/08/2019</t>
  </si>
  <si>
    <t>Menka Kumari</t>
  </si>
  <si>
    <t>01 Nov.2019</t>
  </si>
  <si>
    <t>menka0497@gmail.com</t>
  </si>
  <si>
    <t>30/08/2019</t>
  </si>
  <si>
    <t>30/10/2019</t>
  </si>
  <si>
    <t>thube49@gmail.com</t>
  </si>
  <si>
    <t>22/09/2019</t>
  </si>
  <si>
    <t>sumansuryavanshi@yahoo.com</t>
  </si>
  <si>
    <t>360 Realtors</t>
  </si>
  <si>
    <t>LG(RESTAU)</t>
  </si>
  <si>
    <t>mmiwmworks@yahoo.com</t>
  </si>
  <si>
    <t>15/10/2019</t>
  </si>
  <si>
    <t>2693403/-</t>
  </si>
  <si>
    <t>Recd</t>
  </si>
  <si>
    <t>Recd. 60% + GST (12/09/19)</t>
  </si>
  <si>
    <t>gaikwad.shashank@gmail.com</t>
  </si>
  <si>
    <t>NA</t>
  </si>
  <si>
    <t>14/09/2019</t>
  </si>
  <si>
    <t>1216001/-</t>
  </si>
  <si>
    <t>Recd. 39% + GST (14/09/19)</t>
  </si>
  <si>
    <t>21/09/2019</t>
  </si>
  <si>
    <t>Yogesh Vilas Waghmare</t>
  </si>
  <si>
    <t>yogesh_0505@yahoo.co.in</t>
  </si>
  <si>
    <t>Sanjay Chavan(CP)</t>
  </si>
  <si>
    <t>30/09/2019</t>
  </si>
  <si>
    <t xml:space="preserve">Asif Aziz Shaikh </t>
  </si>
  <si>
    <t>-</t>
  </si>
  <si>
    <t>Anupam Gadodia</t>
  </si>
  <si>
    <t>29/11/2019</t>
  </si>
  <si>
    <t>sravu.tammana@gmail.com</t>
  </si>
  <si>
    <t>Rs. 1lacs recd.remaining on or before 15NOV</t>
  </si>
  <si>
    <t>on or before 30 NOV</t>
  </si>
  <si>
    <t>sn.dharmesh@gmail.com</t>
  </si>
  <si>
    <t>21/11/2019</t>
  </si>
  <si>
    <t>Madhurima Majumder</t>
  </si>
  <si>
    <t>smariner@rediffmail.com</t>
  </si>
  <si>
    <t>Mr. Gurucharndas Nunna &amp; Nanda Kumar</t>
  </si>
  <si>
    <t>Andhra Pradesh</t>
  </si>
  <si>
    <t xml:space="preserve"> 971567335879/971562133024</t>
  </si>
  <si>
    <t>26/11/2019</t>
  </si>
  <si>
    <t>on or before 20 DEC</t>
  </si>
  <si>
    <t>nunnacharan@gmail.com</t>
  </si>
  <si>
    <t xml:space="preserve">Khansab Sayyad </t>
  </si>
  <si>
    <t>2,70,698</t>
  </si>
  <si>
    <t>9,32,403</t>
  </si>
  <si>
    <t>1,11,888</t>
  </si>
  <si>
    <t>RecdRs.4,96,818 and bal will expected on or before 15/01/2019</t>
  </si>
  <si>
    <t>tausifsayyad24@gmail.com</t>
  </si>
  <si>
    <t>24 Realtors</t>
  </si>
  <si>
    <t>Ramjan Tolas Sayyad</t>
  </si>
  <si>
    <t>6,59,585</t>
  </si>
  <si>
    <t>sayyadsir21@gmail.com</t>
  </si>
  <si>
    <t>20/01/2020</t>
  </si>
  <si>
    <t>UG</t>
  </si>
  <si>
    <t>4,99,950</t>
  </si>
  <si>
    <t>22,77,550</t>
  </si>
  <si>
    <t>2,73,306</t>
  </si>
  <si>
    <t>30/12/2019</t>
  </si>
  <si>
    <t>gaikwad.chetan00@gmail.com</t>
  </si>
  <si>
    <t>Nikhil Khairmode</t>
  </si>
  <si>
    <t>26/12/2019</t>
  </si>
  <si>
    <t>21/12/2020</t>
  </si>
  <si>
    <t>pc.sureshmehta@gmail.com</t>
  </si>
  <si>
    <t>BARTER</t>
  </si>
  <si>
    <t>6th</t>
  </si>
  <si>
    <t>20/02/2020</t>
  </si>
  <si>
    <t>Prasad Goud Balasani</t>
  </si>
  <si>
    <t>2/5/2020(31% Amt)</t>
  </si>
  <si>
    <t>balasaniprasad@gmail.com</t>
  </si>
  <si>
    <t>Sravani Tammana (LG13)</t>
  </si>
  <si>
    <t>14/01/2020</t>
  </si>
  <si>
    <t>28/02/2020</t>
  </si>
  <si>
    <t>Afraj Ramjan Tamboli</t>
  </si>
  <si>
    <t>7,36,050</t>
  </si>
  <si>
    <t>tamboliafraj@gmail.com</t>
  </si>
  <si>
    <t>Agreement Done</t>
  </si>
  <si>
    <t>15/01/2020</t>
  </si>
  <si>
    <t xml:space="preserve">Abhishek Kumar Singh </t>
  </si>
  <si>
    <t>36%recd</t>
  </si>
  <si>
    <t>abhishek1merchant@yahoo.co.in</t>
  </si>
  <si>
    <t>singhkhushboonn@gmail.com</t>
  </si>
  <si>
    <t>17/01/2020</t>
  </si>
  <si>
    <t xml:space="preserve">Hemlata Chandrakant Salunkhe </t>
  </si>
  <si>
    <t>rahul3559@gmail.com</t>
  </si>
  <si>
    <t>Moha Vaibhav Nalawade and Anish Patil</t>
  </si>
  <si>
    <t>moha.patil429@gmail.com , anishpatil1392@gmail.com</t>
  </si>
  <si>
    <t>Hemlata Salunkhe(6-first floor)</t>
  </si>
  <si>
    <t>18/01/2020</t>
  </si>
  <si>
    <t>23/02/2020</t>
  </si>
  <si>
    <t xml:space="preserve">Chetan Kamble </t>
  </si>
  <si>
    <t>chetankamble2003@yahoo.com</t>
  </si>
  <si>
    <t>Krishna Kumar Pandey</t>
  </si>
  <si>
    <t>564267(10%)</t>
  </si>
  <si>
    <t>krishna.pandey77@gmail.com</t>
  </si>
  <si>
    <t>Makan Hunt</t>
  </si>
  <si>
    <t>19/01/2020</t>
  </si>
  <si>
    <t>Infonyx India Pvt. Ltd. (Sucheta Nerurkar)</t>
  </si>
  <si>
    <t>5th</t>
  </si>
  <si>
    <t>sucheta.nerurkar@infonyx.com.au</t>
  </si>
  <si>
    <t>25/01/2020</t>
  </si>
  <si>
    <t>18/03/2020</t>
  </si>
  <si>
    <t>Smita Virat Jawalkar</t>
  </si>
  <si>
    <t>metri.smita@gmail.com</t>
  </si>
  <si>
    <t>Nimbleland Infracon LLP (Sandeep Pate)</t>
  </si>
  <si>
    <t>27/02/2020</t>
  </si>
  <si>
    <t>mailkharatarchana@gmail.com</t>
  </si>
  <si>
    <t>30/01/2020</t>
  </si>
  <si>
    <t xml:space="preserve">Rushikesh B. Unhale </t>
  </si>
  <si>
    <t>rbunhale@gmail.com</t>
  </si>
  <si>
    <t>Sham Mhasku Raut</t>
  </si>
  <si>
    <t>Rajkaumar Hanumantrao Kasture</t>
  </si>
  <si>
    <t>26 feb(PDC with us)</t>
  </si>
  <si>
    <t>14/02/2020</t>
  </si>
  <si>
    <t>gauravpandey.tct@gmail.com</t>
  </si>
  <si>
    <t>Nitin Deshpande</t>
  </si>
  <si>
    <t>N5(Nikhil Khairmode)</t>
  </si>
  <si>
    <t>19/02/2020</t>
  </si>
  <si>
    <t>Indicate Exim Pvt. Ltd.</t>
  </si>
  <si>
    <t>9765133669 / 9403135492</t>
  </si>
  <si>
    <t>10% (10 March)</t>
  </si>
  <si>
    <t>10%(30March)</t>
  </si>
  <si>
    <t>indicateexim@gmail.com</t>
  </si>
  <si>
    <t>Lockdown booking</t>
  </si>
  <si>
    <t>26/04/2020</t>
  </si>
  <si>
    <t>18/01/2021</t>
  </si>
  <si>
    <t>piyushasahu@gmail.com</t>
  </si>
  <si>
    <t>New booking</t>
  </si>
  <si>
    <t>21/10/2020</t>
  </si>
  <si>
    <t>Mohsin Shaikh</t>
  </si>
  <si>
    <t>dr.mohsins3@gmail.com</t>
  </si>
  <si>
    <t>21/08/2020</t>
  </si>
  <si>
    <t>pwkharche@gmail.com</t>
  </si>
  <si>
    <t>20/09/2020</t>
  </si>
  <si>
    <t>18/12/2020</t>
  </si>
  <si>
    <t>Pradip Prabhakar Shukla</t>
  </si>
  <si>
    <t>Cheque recd</t>
  </si>
  <si>
    <t>pradip.shukla90@gmail.com</t>
  </si>
  <si>
    <t>Direct Sale</t>
  </si>
  <si>
    <t>24/09/2020</t>
  </si>
  <si>
    <t>23/12/2020</t>
  </si>
  <si>
    <t>barsaiyaravindra@gmail.com</t>
  </si>
  <si>
    <t>Arayan Realty (Saurav)</t>
  </si>
  <si>
    <t>25/09/2020</t>
  </si>
  <si>
    <t>Indicate Exim Pvt.Ltd</t>
  </si>
  <si>
    <t>17/10/2020</t>
  </si>
  <si>
    <t>Atul suresh Bobade</t>
  </si>
  <si>
    <t>UG Rest</t>
  </si>
  <si>
    <t>atul.bobade@gmail.com</t>
  </si>
  <si>
    <t>nestrov consulting Pvt.Ltd(Khushboo Gawali)</t>
  </si>
  <si>
    <t>31/10/2020</t>
  </si>
  <si>
    <t>inmishrar@gmail.com</t>
  </si>
  <si>
    <t>ganesh.ahirrao@gmail.com</t>
  </si>
  <si>
    <t>santosh.awasthi123@gmail.com</t>
  </si>
  <si>
    <t>26/02/2021</t>
  </si>
  <si>
    <t>khosla.vishal@gmail.com</t>
  </si>
  <si>
    <t>13/12/2020</t>
  </si>
  <si>
    <t>Ashishkumar Nyati</t>
  </si>
  <si>
    <t>nyatiashish10@gmail.com</t>
  </si>
  <si>
    <t>16/12/2020</t>
  </si>
  <si>
    <t>rmsayed1@gmail.com</t>
  </si>
  <si>
    <t>17/12/2020</t>
  </si>
  <si>
    <t>Shravan Shankar Vardraj</t>
  </si>
  <si>
    <t>shravan.vardaraj@gmail.com</t>
  </si>
  <si>
    <t>20/12/2020</t>
  </si>
  <si>
    <t>26/03/21</t>
  </si>
  <si>
    <t>replytosaurav@gmail.com</t>
  </si>
  <si>
    <t>25/12/2020</t>
  </si>
  <si>
    <t>17/2/2021</t>
  </si>
  <si>
    <t>Jagdish Rajendra Hiramath</t>
  </si>
  <si>
    <t>32,77,500</t>
  </si>
  <si>
    <t>jagdish.fsae@gmail.com</t>
  </si>
  <si>
    <t>Aryan realty (Saurav)</t>
  </si>
  <si>
    <t>riteshhiremath@gmail.com</t>
  </si>
  <si>
    <t>13/01/2021</t>
  </si>
  <si>
    <t>Mohammad Rizvi</t>
  </si>
  <si>
    <t>arwarizvi@gmail.com</t>
  </si>
  <si>
    <t>20/01/2021</t>
  </si>
  <si>
    <t>ujjwalpl@gmail.com</t>
  </si>
  <si>
    <t>All Media (Prashanta)</t>
  </si>
  <si>
    <t>25/02/2021</t>
  </si>
  <si>
    <t>31/03/2021</t>
  </si>
  <si>
    <t>Sunita Chandrkant Ganjayla</t>
  </si>
  <si>
    <t>cganjayla@gmail.com</t>
  </si>
  <si>
    <t>22/03/2021</t>
  </si>
  <si>
    <t>pipadayogesh459@email.com</t>
  </si>
  <si>
    <t>24/03/2021</t>
  </si>
  <si>
    <t>kgirish@gmail.com/ vrudhi.gk@gmail.com</t>
  </si>
  <si>
    <t>15/03/2021</t>
  </si>
  <si>
    <t>Prithvi Jawahar</t>
  </si>
  <si>
    <t>prithsjay@gmail.com</t>
  </si>
  <si>
    <t>18/03/2021</t>
  </si>
  <si>
    <t>26/03/2021</t>
  </si>
  <si>
    <t>mukulsinha@yahoo.com</t>
  </si>
  <si>
    <t>Anupam</t>
  </si>
  <si>
    <t>23/03/2021</t>
  </si>
  <si>
    <t>Anita Shreemant Gavali</t>
  </si>
  <si>
    <t>dranita.gavali@gmail.com</t>
  </si>
  <si>
    <t>27/03/2021</t>
  </si>
  <si>
    <t>Amit Prakash Ambre</t>
  </si>
  <si>
    <t>30,56,000</t>
  </si>
  <si>
    <t>ambre.amit@gmail.com</t>
  </si>
  <si>
    <t>Referral Ujjwal Lanjewar</t>
  </si>
  <si>
    <t>Reshma Deokar</t>
  </si>
  <si>
    <t>63,70,650</t>
  </si>
  <si>
    <t>7,64,478</t>
  </si>
  <si>
    <t>deokar.reshma@gmail.com</t>
  </si>
  <si>
    <t>Rohitash Singh</t>
  </si>
  <si>
    <t>15/07/2021</t>
  </si>
  <si>
    <t>9970523480 / 7057893681</t>
  </si>
  <si>
    <t>pandeshantanu@hotmail.com</t>
  </si>
  <si>
    <t>16/06/2021</t>
  </si>
  <si>
    <t>Ashish Kailash Khandelwal</t>
  </si>
  <si>
    <t>41,30,508</t>
  </si>
  <si>
    <t>1,59,863</t>
  </si>
  <si>
    <t>1,27,890</t>
  </si>
  <si>
    <t>45,14,179</t>
  </si>
  <si>
    <t>5,41,702</t>
  </si>
  <si>
    <t>2,47,900</t>
  </si>
  <si>
    <t>53,39,781</t>
  </si>
  <si>
    <t>ashish.redair@gmail.com</t>
  </si>
  <si>
    <t>28/7/2021</t>
  </si>
  <si>
    <t>30/08/2021</t>
  </si>
  <si>
    <t>Santosh Powar</t>
  </si>
  <si>
    <t>sntshpowar1@gmail.com</t>
  </si>
  <si>
    <t>Seema</t>
  </si>
  <si>
    <t>niranjanfargade@gmail.com</t>
  </si>
  <si>
    <t>Old Data</t>
  </si>
  <si>
    <t>Sanjay Bhor</t>
  </si>
  <si>
    <t>bhorelectricals@gmail.com</t>
  </si>
  <si>
    <t>19/09/2021</t>
  </si>
  <si>
    <t>jhamamta@gmail.com</t>
  </si>
  <si>
    <t>Kumra Realtors</t>
  </si>
  <si>
    <t>Marquis Advt- Rahul Kadam</t>
  </si>
  <si>
    <t>Shikha</t>
  </si>
  <si>
    <t>16/08/2021</t>
  </si>
  <si>
    <t>18/01/2022</t>
  </si>
  <si>
    <t xml:space="preserve">aadeshgundecha123@gmail.com </t>
  </si>
  <si>
    <t>Glen CP</t>
  </si>
  <si>
    <t>21/10/2021</t>
  </si>
  <si>
    <t>Glazium Facades Pvt. Ltd.</t>
  </si>
  <si>
    <t>4,5,6,7,8,9</t>
  </si>
  <si>
    <t>ashish@glazium.in</t>
  </si>
  <si>
    <t>30/10/2021</t>
  </si>
  <si>
    <t>14 &amp; 15</t>
  </si>
  <si>
    <t>27/11/2021</t>
  </si>
  <si>
    <t>amolganuwala@gmail.com</t>
  </si>
  <si>
    <t>sachin.wagh2005@gmail.com</t>
  </si>
  <si>
    <t xml:space="preserve">Aryan Realty </t>
  </si>
  <si>
    <t xml:space="preserve">Pracheet Ingawake </t>
  </si>
  <si>
    <t>10 &amp; 11</t>
  </si>
  <si>
    <t>pracheet@ipccpune.com</t>
  </si>
  <si>
    <t>13/12/2021</t>
  </si>
  <si>
    <t>pranab.sharma@timesgroup.com</t>
  </si>
  <si>
    <t>7030718014/9766931353</t>
  </si>
  <si>
    <t>shantichouksey@gmail.com</t>
  </si>
  <si>
    <t>Wasim</t>
  </si>
  <si>
    <t>director@conair.co.in</t>
  </si>
  <si>
    <t xml:space="preserve">Varun Sir </t>
  </si>
  <si>
    <t xml:space="preserve"> Total</t>
  </si>
  <si>
    <t xml:space="preserve">Sr.No.   </t>
  </si>
  <si>
    <t>24/07/2019</t>
  </si>
  <si>
    <t>Booking canceled</t>
  </si>
  <si>
    <t>Archana Yadav</t>
  </si>
  <si>
    <t>Moshi Pradhikaran</t>
  </si>
  <si>
    <t>dyadavus@gmail.com</t>
  </si>
  <si>
    <t>Shree Properties(Prashant Lande)</t>
  </si>
  <si>
    <t>BOOKING CANCELED .</t>
  </si>
  <si>
    <t>Suyog Bhise</t>
  </si>
  <si>
    <t>21/8/2019</t>
  </si>
  <si>
    <t>8/9/2019(41%)</t>
  </si>
  <si>
    <t>suyog.bhise@gmail.com</t>
  </si>
  <si>
    <t>BOOKING CANCELED</t>
  </si>
  <si>
    <t>Nitin Sant</t>
  </si>
  <si>
    <t>nitin_sant@yahoo.co.in</t>
  </si>
  <si>
    <t xml:space="preserve">CANCELED </t>
  </si>
  <si>
    <t>18/04/2020</t>
  </si>
  <si>
    <t>Ashok Jha</t>
  </si>
  <si>
    <t>400280  (10%)</t>
  </si>
  <si>
    <t>13/05/2020</t>
  </si>
  <si>
    <t xml:space="preserve">Ashish Roy </t>
  </si>
  <si>
    <t xml:space="preserve">5th </t>
  </si>
  <si>
    <t>Life Space Properties</t>
  </si>
  <si>
    <t>31/08/2020</t>
  </si>
  <si>
    <t>Amarjeet Salunkhe</t>
  </si>
  <si>
    <t>Magic bricks</t>
  </si>
  <si>
    <t>20/07/2020</t>
  </si>
  <si>
    <t>Abhijit Kadam</t>
  </si>
  <si>
    <t>abhijieetrkadam@gmail.com</t>
  </si>
  <si>
    <t>14/05/2020</t>
  </si>
  <si>
    <t>Kiran Jadhav</t>
  </si>
  <si>
    <t>kiran.jadhav@sumanservices.com</t>
  </si>
  <si>
    <t>Anirudha Nakwa</t>
  </si>
  <si>
    <t>aniruddhanakwa@gmail.com</t>
  </si>
  <si>
    <t>Horizon Properties (Chandrakant )</t>
  </si>
  <si>
    <t xml:space="preserve">New booking </t>
  </si>
  <si>
    <t>Priyanka Vishal Dedge</t>
  </si>
  <si>
    <t>priyankavdedge09@gmail.com</t>
  </si>
  <si>
    <t>Chandan Nilange</t>
  </si>
  <si>
    <t>chandan.nilange@gmail.com</t>
  </si>
  <si>
    <t>24/02/2020</t>
  </si>
  <si>
    <t>James Aruldas Silvai</t>
  </si>
  <si>
    <t>jamessilvai1506@gmail.com</t>
  </si>
  <si>
    <t>Saket Kumar</t>
  </si>
  <si>
    <t>saketk86@gmail.com</t>
  </si>
  <si>
    <t>Milind Ram Dalvi &amp; Sachin Ram Dalvi</t>
  </si>
  <si>
    <t>Aryan Realty</t>
  </si>
  <si>
    <t>20/02/2021</t>
  </si>
  <si>
    <t>Nikhil Kundlik Tope</t>
  </si>
  <si>
    <t>canonikphotostudio@gmail.com</t>
  </si>
  <si>
    <t>Cost Sheet &amp; Payment Schedule</t>
  </si>
  <si>
    <t>ROI Sheet</t>
  </si>
  <si>
    <t>The Platinum Towers</t>
  </si>
  <si>
    <t>Date of Booking</t>
  </si>
  <si>
    <t>ROI Based On Total Cost Including Government Taxes</t>
  </si>
  <si>
    <t>Name</t>
  </si>
  <si>
    <t>Unit &amp; Floor No</t>
  </si>
  <si>
    <t>Floor- UG and 1st</t>
  </si>
  <si>
    <t>Sq.Mtr</t>
  </si>
  <si>
    <t>Sq.Ft</t>
  </si>
  <si>
    <t>Particulars</t>
  </si>
  <si>
    <t>Expected Average ROI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</si>
  <si>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</si>
  <si>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</si>
  <si>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</si>
  <si>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</si>
  <si>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</si>
  <si>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</si>
  <si>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</si>
  <si>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</si>
  <si>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</si>
  <si>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</si>
  <si>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</si>
  <si>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</si>
  <si>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</si>
  <si>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</si>
  <si>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Year15</t>
  </si>
  <si>
    <t>Unit Details</t>
  </si>
  <si>
    <t>(a) Carpet Area</t>
  </si>
  <si>
    <t>Minimum Rental Guarantee/Sq.Ft. On Carpet</t>
  </si>
  <si>
    <t>(b) Enclosed Balcony</t>
  </si>
  <si>
    <t>Annual Rental Amount</t>
  </si>
  <si>
    <t>(c) Loft</t>
  </si>
  <si>
    <t>ROI on Minimum Rental Guarantee (%)</t>
  </si>
  <si>
    <t>(d) Terrace</t>
  </si>
  <si>
    <t>Extected Revenue/Annual</t>
  </si>
  <si>
    <t>Total Carpet Area</t>
  </si>
  <si>
    <t>Revenue Share @ 3%/Annual</t>
  </si>
  <si>
    <t>Salable Area In Sq. Feet</t>
  </si>
  <si>
    <t>Expected ROI on Revenue Sharing (%)</t>
  </si>
  <si>
    <t>Rate Per Sq. Ft.</t>
  </si>
  <si>
    <t>Please Note: They are giving minimum rental guarantee and revenue sharing, which ever is higher.</t>
  </si>
  <si>
    <t>Consideration Value</t>
  </si>
  <si>
    <t>Car Parking Charges (5 stack or 10 single)</t>
  </si>
  <si>
    <t>Bike Parking Charges (28 stack or 56 single scooter)</t>
  </si>
  <si>
    <t>Agreement Cost</t>
  </si>
  <si>
    <t>ROI Based On Total Cost Excluding Government Taxes</t>
  </si>
  <si>
    <t>Other Contributions</t>
  </si>
  <si>
    <t>DG Backup Charges (Rs 250 psf on saleable)</t>
  </si>
  <si>
    <t>MSEB charges (Rs 200 psf on saleable)</t>
  </si>
  <si>
    <t>Share Money, Society Formation, Water Connection, Fire Fighting System &amp; Other Miscellanious Charges (Rs 150 psf on saleable)</t>
  </si>
  <si>
    <t>Other charges</t>
  </si>
  <si>
    <t>Total Cost Of Unit Excluding Govt. Taxes</t>
  </si>
  <si>
    <t>Goods &amp; Service Tax</t>
  </si>
  <si>
    <t>Central GST @ 9% of 2/3rd of Net Consideration ( as currently applicable )</t>
  </si>
  <si>
    <t>State GST @ 9% of 2/3rd of Net Consideration ( as currently applicable )</t>
  </si>
  <si>
    <t>Total GST</t>
  </si>
  <si>
    <t>Stamp Duty &amp; Registration Charges</t>
  </si>
  <si>
    <t>Stamp Duty @ 6%</t>
  </si>
  <si>
    <t>Legal Charges ( Paid by Customer at the time of Registration )</t>
  </si>
  <si>
    <t>Total Stamp Duty &amp; Registration Charges</t>
  </si>
  <si>
    <t>sq ft</t>
  </si>
  <si>
    <t>Quoted price on saleable area</t>
  </si>
  <si>
    <t>Total Cost including Govt. Taxes</t>
  </si>
  <si>
    <t>UG carpet area</t>
  </si>
  <si>
    <t>Payment Schedule</t>
  </si>
  <si>
    <t>1st floor carpet area</t>
  </si>
  <si>
    <t>Sr No</t>
  </si>
  <si>
    <t>Stages of Construction</t>
  </si>
  <si>
    <t>% on A.V.</t>
  </si>
  <si>
    <t>Amount (Rs.)</t>
  </si>
  <si>
    <t>GST</t>
  </si>
  <si>
    <t>Total carpet</t>
  </si>
  <si>
    <t>9% at the time of Booking ( Token Amount )</t>
  </si>
  <si>
    <t>21% within 30 days from the date of registration of this agreement+legal</t>
  </si>
  <si>
    <t>15% On Completion of Plinth.</t>
  </si>
  <si>
    <t>15% On Completion of podium and stilt slab</t>
  </si>
  <si>
    <t>10% On Completion of 2nd Floor Slab</t>
  </si>
  <si>
    <t>5% On Completion of the walls, internal plaster, floorings, doors and windows</t>
  </si>
  <si>
    <t>5% on completion of the Sanitary fittings, staircases, lift wells, lobbies upto the floor level</t>
  </si>
  <si>
    <t>5% on completion of the external plumbing, external plaster, elevation, terraces with waterproofing, of the building or wing</t>
  </si>
  <si>
    <t>10% on completion of the lifts, water pumps, electrical fittings, electro, mechanical and environment requirements, entrance lobby/s, plinth protection, paving of areas appertain of the building or wing</t>
  </si>
  <si>
    <t>5% of the total consideration against and at the time of handing over of the possession</t>
  </si>
  <si>
    <t>DG Backup, MSEB Charges, Share Money, Society Formation, Water Connection, Fire Fighting System &amp; Other Miscllenious Charges on Possession</t>
  </si>
  <si>
    <t>Total Cost Of Unit</t>
  </si>
  <si>
    <t>Please Note:</t>
  </si>
  <si>
    <t>a) Date of Registration (On or Before .................................................)</t>
  </si>
  <si>
    <t>b) MSEB Charges, DG Backup Charges &amp; Corpus fund will be collected at the time of possession.</t>
  </si>
  <si>
    <t>c) Carpet area may change based on the new carpet area calculation as per RERA</t>
  </si>
  <si>
    <t>d) Government charges / taxes are subject to change &amp; would be applicable on actual</t>
  </si>
  <si>
    <t>e) Any new born taxes &amp; existing taxes will be paid by customers.</t>
  </si>
  <si>
    <t>f) The consideration of the unit has been arrived after adjusting the Input Tax Credit Benefit under GST</t>
  </si>
  <si>
    <t>g) Rates &amp; availability of flats is subject to change without prior notice till booking</t>
  </si>
  <si>
    <t>h) No modifications allowed in the unit</t>
  </si>
  <si>
    <t>i) 1% TDS is required to be deducted by the property buyers wherein property value is more than or equal to 50 Lakhs</t>
  </si>
  <si>
    <t>j) This is purely tentative Costing of the apartments and does not commit any availability</t>
  </si>
  <si>
    <t>k) MAHARERA REGISTRATION NO: P52100019881 available on the website https://maharera.mahaonline.gov.in under registered projects</t>
  </si>
  <si>
    <t>l) Maintainence charges Rs. .............../- + GST ( as applicable rate ) will be paid by customer from earlier of handover of possession or occupation certificate.</t>
  </si>
  <si>
    <t>For Avishkar Arista Developers LLP</t>
  </si>
  <si>
    <t>Customer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</si>
</sst>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[$₹]#,##0"/>
    <numFmt numFmtId="165" formatCode="m\,\ d"/>
    <numFmt numFmtId="166" formatCode="[$₹]#,##0.00"/>
    <numFmt numFmtId="167" formatCode="mm/dd/yyyy"/>
    <numFmt numFmtId="168" formatCode="dmmm"/>
    <numFmt numFmtId="169" formatCode="0.0%"/>
    <numFmt numFmtId="170" formatCode="d\ mmm"/>
    <numFmt numFmtId="171" formatCode="d\ mmmm"/>
    <numFmt numFmtId="172" formatCode="m/d/yyyy"/>
  </numFmts>
  <fonts count="34" x14ac:knownFonts="1">
    <font>
      <sz val="10"/>
      <color rgb="FF000000"/>
      <name val="Arial"/>
      <scheme val="minor"/>
    </font>
    <font>
      <b/>
      <sz val="9"/>
      <color rgb="FF000000"/>
      <name val="Calibri"/>
    </font>
    <font>
      <sz val="9"/>
      <color rgb="FF000000"/>
      <name val="Calibri"/>
    </font>
    <font>
      <sz val="9"/>
      <color theme="1"/>
      <name val="Calibri"/>
    </font>
    <font>
      <b/>
      <sz val="9"/>
      <color theme="1"/>
      <name val="Calibri"/>
    </font>
    <font>
      <sz val="10"/>
      <name val="Arial"/>
    </font>
    <font>
      <b/>
      <sz val="8"/>
      <color rgb="FF000000"/>
      <name val="Calibri"/>
    </font>
    <font>
      <b/>
      <sz val="9"/>
      <color rgb="FFFF0000"/>
      <name val="Calibri"/>
    </font>
    <font>
      <sz val="10"/>
      <color theme="1"/>
      <name val="Arial"/>
      <scheme val="minor"/>
    </font>
    <font>
      <sz val="10"/>
      <color rgb="FF000000"/>
      <name val="Arial"/>
    </font>
    <font>
      <sz val="9"/>
      <color rgb="FF000000"/>
      <name val="Roboto"/>
    </font>
    <font>
      <b/>
      <sz val="10"/>
      <color rgb="FF000000"/>
      <name val="Arial"/>
    </font>
    <font>
      <sz val="8"/>
      <color theme="1"/>
      <name val="Calibri"/>
    </font>
    <font>
      <b/>
      <sz val="8"/>
      <color theme="1"/>
      <name val="Calibri"/>
    </font>
    <font>
      <b/>
      <sz val="8"/>
      <color rgb="FF222222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8"/>
      <color theme="1"/>
      <name val="Roboto"/>
    </font>
    <font>
      <b/>
      <sz val="12"/>
      <color theme="1"/>
      <name val="Calibri"/>
    </font>
    <font>
      <b/>
      <sz val="10"/>
      <color theme="1"/>
      <name val="Calibri"/>
    </font>
    <font>
      <sz val="10"/>
      <color theme="1"/>
      <name val="Arial"/>
    </font>
    <font>
      <sz val="8"/>
      <color theme="1"/>
      <name val="Arial"/>
      <scheme val="minor"/>
    </font>
    <font>
      <b/>
      <sz val="10"/>
      <color rgb="FF000000"/>
      <name val="Calibri"/>
    </font>
    <font>
      <sz val="10"/>
      <color theme="1"/>
      <name val="Arial"/>
    </font>
    <font>
      <sz val="12"/>
      <color rgb="FF000000"/>
      <name val="Calibri"/>
    </font>
    <font>
      <b/>
      <sz val="18"/>
      <color rgb="FF000000"/>
      <name val="Calibri"/>
    </font>
    <font>
      <b/>
      <sz val="26"/>
      <color rgb="FF000000"/>
      <name val="Calibri"/>
    </font>
    <font>
      <b/>
      <sz val="14"/>
      <color theme="1"/>
      <name val="Calibri"/>
    </font>
    <font>
      <b/>
      <sz val="12"/>
      <color rgb="FF000000"/>
      <name val="Calibri"/>
    </font>
    <font>
      <b/>
      <sz val="14"/>
      <color rgb="FF000000"/>
      <name val="Calibri"/>
    </font>
    <font>
      <sz val="14"/>
      <color rgb="FF000000"/>
      <name val="Calibri"/>
    </font>
    <font>
      <sz val="12"/>
      <color rgb="FF4285F4"/>
      <name val="Calibri"/>
    </font>
    <font>
      <sz val="12"/>
      <color theme="4"/>
      <name val="Calibri"/>
    </font>
    <font>
      <b/>
      <sz val="16"/>
      <color rgb="FF000000"/>
      <name val="Calibri"/>
    </font>
  </fonts>
  <fills count="27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A766"/>
        <bgColor rgb="FFFFA766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FAD9D6"/>
        <bgColor rgb="FFFAD9D6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  <fill>
      <patternFill patternType="solid">
        <fgColor rgb="FFFEE1CC"/>
        <bgColor rgb="FFFEE1CC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2DCDB"/>
        <bgColor rgb="FFF2DCDB"/>
      </patternFill>
    </fill>
    <fill>
      <patternFill patternType="solid">
        <fgColor rgb="FF00B050"/>
        <bgColor rgb="FF00B050"/>
      </patternFill>
    </fill>
    <fill>
      <patternFill patternType="solid">
        <fgColor rgb="FFFEF1CC"/>
        <bgColor rgb="FFFEF1CC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CD5B4"/>
        <bgColor rgb="FFFCD5B4"/>
      </patternFill>
    </fill>
    <fill>
      <patternFill patternType="solid">
        <fgColor rgb="FF9BBB59"/>
        <bgColor rgb="FF9BBB59"/>
      </patternFill>
    </fill>
    <fill>
      <patternFill patternType="solid">
        <fgColor rgb="FFE6B9B8"/>
        <bgColor rgb="FFE6B9B8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47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3" fontId="1" fillId="7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2" fontId="2" fillId="8" borderId="1" xfId="0" applyNumberFormat="1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 vertical="center" wrapText="1"/>
    </xf>
    <xf numFmtId="164" fontId="3" fillId="8" borderId="1" xfId="0" applyNumberFormat="1" applyFont="1" applyFill="1" applyBorder="1" applyAlignment="1">
      <alignment horizontal="center" vertical="center" wrapText="1"/>
    </xf>
    <xf numFmtId="164" fontId="3" fillId="8" borderId="1" xfId="0" applyNumberFormat="1" applyFont="1" applyFill="1" applyBorder="1" applyAlignment="1">
      <alignment horizontal="center" vertical="center" wrapText="1"/>
    </xf>
    <xf numFmtId="164" fontId="4" fillId="8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wrapText="1"/>
    </xf>
    <xf numFmtId="164" fontId="3" fillId="5" borderId="4" xfId="0" applyNumberFormat="1" applyFont="1" applyFill="1" applyBorder="1" applyAlignment="1">
      <alignment horizontal="center" wrapText="1"/>
    </xf>
    <xf numFmtId="2" fontId="2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center" vertical="center" wrapText="1"/>
    </xf>
    <xf numFmtId="2" fontId="1" fillId="9" borderId="1" xfId="0" applyNumberFormat="1" applyFont="1" applyFill="1" applyBorder="1" applyAlignment="1">
      <alignment horizontal="center" vertical="center" wrapText="1"/>
    </xf>
    <xf numFmtId="3" fontId="1" fillId="9" borderId="1" xfId="0" applyNumberFormat="1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7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1" fontId="3" fillId="8" borderId="3" xfId="0" applyNumberFormat="1" applyFont="1" applyFill="1" applyBorder="1" applyAlignment="1">
      <alignment horizontal="center" vertical="center"/>
    </xf>
    <xf numFmtId="1" fontId="3" fillId="8" borderId="3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8" borderId="2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" fontId="4" fillId="11" borderId="1" xfId="0" applyNumberFormat="1" applyFon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/>
    </xf>
    <xf numFmtId="2" fontId="1" fillId="11" borderId="1" xfId="0" applyNumberFormat="1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164" fontId="4" fillId="11" borderId="1" xfId="0" applyNumberFormat="1" applyFont="1" applyFill="1" applyBorder="1" applyAlignment="1">
      <alignment horizontal="center" vertical="center"/>
    </xf>
    <xf numFmtId="1" fontId="3" fillId="11" borderId="1" xfId="0" applyNumberFormat="1" applyFont="1" applyFill="1" applyBorder="1" applyAlignment="1">
      <alignment horizontal="center" vertical="center"/>
    </xf>
    <xf numFmtId="1" fontId="3" fillId="11" borderId="1" xfId="0" applyNumberFormat="1" applyFont="1" applyFill="1" applyBorder="1" applyAlignment="1">
      <alignment horizontal="center" vertical="center"/>
    </xf>
    <xf numFmtId="1" fontId="4" fillId="9" borderId="1" xfId="0" applyNumberFormat="1" applyFont="1" applyFill="1" applyBorder="1" applyAlignment="1">
      <alignment horizontal="center" vertical="center"/>
    </xf>
    <xf numFmtId="1" fontId="1" fillId="9" borderId="1" xfId="0" applyNumberFormat="1" applyFont="1" applyFill="1" applyBorder="1" applyAlignment="1">
      <alignment horizontal="center" vertical="center"/>
    </xf>
    <xf numFmtId="1" fontId="3" fillId="9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1" fillId="12" borderId="1" xfId="0" applyNumberFormat="1" applyFont="1" applyFill="1" applyBorder="1" applyAlignment="1">
      <alignment horizontal="center" vertical="center" wrapText="1"/>
    </xf>
    <xf numFmtId="1" fontId="1" fillId="7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vertical="center"/>
    </xf>
    <xf numFmtId="1" fontId="1" fillId="0" borderId="1" xfId="0" applyNumberFormat="1" applyFont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 wrapText="1"/>
    </xf>
    <xf numFmtId="2" fontId="2" fillId="9" borderId="1" xfId="0" applyNumberFormat="1" applyFont="1" applyFill="1" applyBorder="1" applyAlignment="1">
      <alignment horizontal="center" vertical="center" wrapText="1"/>
    </xf>
    <xf numFmtId="1" fontId="2" fillId="9" borderId="1" xfId="0" applyNumberFormat="1" applyFont="1" applyFill="1" applyBorder="1" applyAlignment="1">
      <alignment horizontal="center" vertical="center" wrapText="1"/>
    </xf>
    <xf numFmtId="2" fontId="1" fillId="9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 wrapText="1"/>
    </xf>
    <xf numFmtId="164" fontId="3" fillId="9" borderId="1" xfId="0" applyNumberFormat="1" applyFont="1" applyFill="1" applyBorder="1" applyAlignment="1">
      <alignment horizontal="center" vertical="center" wrapText="1"/>
    </xf>
    <xf numFmtId="164" fontId="4" fillId="9" borderId="1" xfId="0" applyNumberFormat="1" applyFont="1" applyFill="1" applyBorder="1" applyAlignment="1">
      <alignment horizontal="center" vertical="center" wrapText="1"/>
    </xf>
    <xf numFmtId="1" fontId="3" fillId="9" borderId="1" xfId="0" applyNumberFormat="1" applyFont="1" applyFill="1" applyBorder="1" applyAlignment="1">
      <alignment horizontal="center" vertical="center" wrapText="1"/>
    </xf>
    <xf numFmtId="1" fontId="3" fillId="9" borderId="3" xfId="0" applyNumberFormat="1" applyFont="1" applyFill="1" applyBorder="1" applyAlignment="1">
      <alignment horizontal="center" vertical="center" wrapText="1"/>
    </xf>
    <xf numFmtId="1" fontId="3" fillId="9" borderId="1" xfId="0" applyNumberFormat="1" applyFont="1" applyFill="1" applyBorder="1" applyAlignment="1">
      <alignment horizontal="center" vertical="center" wrapText="1"/>
    </xf>
    <xf numFmtId="1" fontId="3" fillId="9" borderId="6" xfId="0" applyNumberFormat="1" applyFont="1" applyFill="1" applyBorder="1" applyAlignment="1">
      <alignment horizontal="center" vertical="center" wrapText="1"/>
    </xf>
    <xf numFmtId="1" fontId="3" fillId="9" borderId="2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2" fontId="2" fillId="11" borderId="1" xfId="0" applyNumberFormat="1" applyFont="1" applyFill="1" applyBorder="1" applyAlignment="1">
      <alignment horizontal="center" vertical="center" wrapText="1"/>
    </xf>
    <xf numFmtId="2" fontId="2" fillId="11" borderId="1" xfId="0" applyNumberFormat="1" applyFont="1" applyFill="1" applyBorder="1" applyAlignment="1">
      <alignment horizontal="center" vertical="center" wrapText="1"/>
    </xf>
    <xf numFmtId="1" fontId="2" fillId="11" borderId="1" xfId="0" applyNumberFormat="1" applyFont="1" applyFill="1" applyBorder="1" applyAlignment="1">
      <alignment horizontal="center" vertical="center" wrapText="1"/>
    </xf>
    <xf numFmtId="164" fontId="3" fillId="11" borderId="1" xfId="0" applyNumberFormat="1" applyFont="1" applyFill="1" applyBorder="1" applyAlignment="1">
      <alignment horizontal="center" vertical="center" wrapText="1"/>
    </xf>
    <xf numFmtId="164" fontId="3" fillId="11" borderId="1" xfId="0" applyNumberFormat="1" applyFont="1" applyFill="1" applyBorder="1" applyAlignment="1">
      <alignment horizontal="center" vertical="center" wrapText="1"/>
    </xf>
    <xf numFmtId="164" fontId="4" fillId="11" borderId="1" xfId="0" applyNumberFormat="1" applyFont="1" applyFill="1" applyBorder="1" applyAlignment="1">
      <alignment horizontal="center" vertical="center" wrapText="1"/>
    </xf>
    <xf numFmtId="1" fontId="3" fillId="11" borderId="1" xfId="0" applyNumberFormat="1" applyFont="1" applyFill="1" applyBorder="1" applyAlignment="1">
      <alignment horizontal="center" vertical="center" wrapText="1"/>
    </xf>
    <xf numFmtId="1" fontId="3" fillId="11" borderId="1" xfId="0" applyNumberFormat="1" applyFont="1" applyFill="1" applyBorder="1" applyAlignment="1">
      <alignment horizontal="center" vertical="center" wrapText="1"/>
    </xf>
    <xf numFmtId="1" fontId="4" fillId="12" borderId="1" xfId="0" applyNumberFormat="1" applyFont="1" applyFill="1" applyBorder="1" applyAlignment="1">
      <alignment horizontal="center" vertical="center" wrapText="1"/>
    </xf>
    <xf numFmtId="1" fontId="1" fillId="13" borderId="1" xfId="0" applyNumberFormat="1" applyFont="1" applyFill="1" applyBorder="1" applyAlignment="1">
      <alignment horizontal="center" vertical="center" wrapText="1"/>
    </xf>
    <xf numFmtId="1" fontId="4" fillId="14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1" fillId="7" borderId="1" xfId="0" applyNumberFormat="1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left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left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0" fontId="8" fillId="5" borderId="0" xfId="0" applyFont="1" applyFill="1"/>
    <xf numFmtId="1" fontId="4" fillId="5" borderId="7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1" fillId="15" borderId="1" xfId="0" applyNumberFormat="1" applyFont="1" applyFill="1" applyBorder="1" applyAlignment="1">
      <alignment horizontal="left" vertical="center" wrapText="1"/>
    </xf>
    <xf numFmtId="2" fontId="2" fillId="15" borderId="1" xfId="0" applyNumberFormat="1" applyFont="1" applyFill="1" applyBorder="1" applyAlignment="1">
      <alignment horizontal="center" vertical="center" wrapText="1"/>
    </xf>
    <xf numFmtId="2" fontId="1" fillId="15" borderId="1" xfId="0" applyNumberFormat="1" applyFont="1" applyFill="1" applyBorder="1" applyAlignment="1">
      <alignment horizontal="center" vertical="center" wrapText="1"/>
    </xf>
    <xf numFmtId="164" fontId="3" fillId="15" borderId="1" xfId="0" applyNumberFormat="1" applyFont="1" applyFill="1" applyBorder="1" applyAlignment="1">
      <alignment horizontal="center" vertical="center" wrapText="1"/>
    </xf>
    <xf numFmtId="164" fontId="3" fillId="15" borderId="1" xfId="0" applyNumberFormat="1" applyFont="1" applyFill="1" applyBorder="1" applyAlignment="1">
      <alignment horizontal="center" vertical="center" wrapText="1"/>
    </xf>
    <xf numFmtId="164" fontId="4" fillId="15" borderId="1" xfId="0" applyNumberFormat="1" applyFont="1" applyFill="1" applyBorder="1" applyAlignment="1">
      <alignment horizontal="center" vertical="center" wrapText="1"/>
    </xf>
    <xf numFmtId="1" fontId="3" fillId="15" borderId="1" xfId="0" applyNumberFormat="1" applyFont="1" applyFill="1" applyBorder="1" applyAlignment="1">
      <alignment horizontal="center" vertical="center" wrapText="1"/>
    </xf>
    <xf numFmtId="1" fontId="3" fillId="15" borderId="5" xfId="0" applyNumberFormat="1" applyFont="1" applyFill="1" applyBorder="1" applyAlignment="1">
      <alignment horizontal="center" vertical="center" wrapText="1"/>
    </xf>
    <xf numFmtId="1" fontId="3" fillId="15" borderId="3" xfId="0" applyNumberFormat="1" applyFont="1" applyFill="1" applyBorder="1" applyAlignment="1">
      <alignment horizontal="center" vertical="center" wrapText="1"/>
    </xf>
    <xf numFmtId="1" fontId="3" fillId="15" borderId="1" xfId="0" applyNumberFormat="1" applyFont="1" applyFill="1" applyBorder="1" applyAlignment="1">
      <alignment horizontal="center" vertical="center" wrapText="1"/>
    </xf>
    <xf numFmtId="1" fontId="3" fillId="15" borderId="6" xfId="0" applyNumberFormat="1" applyFont="1" applyFill="1" applyBorder="1" applyAlignment="1">
      <alignment horizontal="center" vertical="center" wrapText="1"/>
    </xf>
    <xf numFmtId="1" fontId="1" fillId="15" borderId="1" xfId="0" applyNumberFormat="1" applyFont="1" applyFill="1" applyBorder="1" applyAlignment="1">
      <alignment horizontal="left" vertical="center" wrapText="1"/>
    </xf>
    <xf numFmtId="1" fontId="3" fillId="5" borderId="5" xfId="0" applyNumberFormat="1" applyFont="1" applyFill="1" applyBorder="1" applyAlignment="1">
      <alignment horizontal="center" vertical="center" wrapText="1"/>
    </xf>
    <xf numFmtId="1" fontId="3" fillId="5" borderId="6" xfId="0" applyNumberFormat="1" applyFont="1" applyFill="1" applyBorder="1" applyAlignment="1">
      <alignment horizontal="center" vertical="center" wrapText="1"/>
    </xf>
    <xf numFmtId="1" fontId="1" fillId="11" borderId="1" xfId="0" applyNumberFormat="1" applyFont="1" applyFill="1" applyBorder="1" applyAlignment="1">
      <alignment horizontal="left" vertical="center" wrapText="1"/>
    </xf>
    <xf numFmtId="2" fontId="1" fillId="11" borderId="1" xfId="0" applyNumberFormat="1" applyFont="1" applyFill="1" applyBorder="1" applyAlignment="1">
      <alignment horizontal="center" vertical="center" wrapText="1"/>
    </xf>
    <xf numFmtId="1" fontId="3" fillId="11" borderId="4" xfId="0" applyNumberFormat="1" applyFont="1" applyFill="1" applyBorder="1" applyAlignment="1">
      <alignment horizontal="center" vertical="center" wrapText="1"/>
    </xf>
    <xf numFmtId="1" fontId="3" fillId="11" borderId="2" xfId="0" applyNumberFormat="1" applyFont="1" applyFill="1" applyBorder="1" applyAlignment="1">
      <alignment horizontal="center" vertical="center" wrapText="1"/>
    </xf>
    <xf numFmtId="1" fontId="3" fillId="11" borderId="6" xfId="0" applyNumberFormat="1" applyFont="1" applyFill="1" applyBorder="1" applyAlignment="1">
      <alignment horizontal="center" vertical="center" wrapText="1"/>
    </xf>
    <xf numFmtId="0" fontId="8" fillId="11" borderId="0" xfId="0" applyFont="1" applyFill="1"/>
    <xf numFmtId="2" fontId="2" fillId="16" borderId="1" xfId="0" applyNumberFormat="1" applyFont="1" applyFill="1" applyBorder="1" applyAlignment="1">
      <alignment horizontal="left" vertical="center" wrapText="1"/>
    </xf>
    <xf numFmtId="2" fontId="2" fillId="16" borderId="1" xfId="0" applyNumberFormat="1" applyFont="1" applyFill="1" applyBorder="1" applyAlignment="1">
      <alignment horizontal="center" vertical="center" wrapText="1"/>
    </xf>
    <xf numFmtId="1" fontId="2" fillId="16" borderId="1" xfId="0" applyNumberFormat="1" applyFont="1" applyFill="1" applyBorder="1" applyAlignment="1">
      <alignment horizontal="center" vertical="center" wrapText="1"/>
    </xf>
    <xf numFmtId="2" fontId="1" fillId="16" borderId="1" xfId="0" applyNumberFormat="1" applyFont="1" applyFill="1" applyBorder="1" applyAlignment="1">
      <alignment horizontal="center" vertical="center" wrapText="1"/>
    </xf>
    <xf numFmtId="164" fontId="3" fillId="16" borderId="1" xfId="0" applyNumberFormat="1" applyFont="1" applyFill="1" applyBorder="1" applyAlignment="1">
      <alignment horizontal="center" vertical="center" wrapText="1"/>
    </xf>
    <xf numFmtId="164" fontId="3" fillId="16" borderId="1" xfId="0" applyNumberFormat="1" applyFont="1" applyFill="1" applyBorder="1" applyAlignment="1">
      <alignment horizontal="center" vertical="center" wrapText="1"/>
    </xf>
    <xf numFmtId="164" fontId="4" fillId="16" borderId="1" xfId="0" applyNumberFormat="1" applyFont="1" applyFill="1" applyBorder="1" applyAlignment="1">
      <alignment horizontal="center" vertical="center" wrapText="1"/>
    </xf>
    <xf numFmtId="1" fontId="3" fillId="16" borderId="1" xfId="0" applyNumberFormat="1" applyFont="1" applyFill="1" applyBorder="1" applyAlignment="1">
      <alignment horizontal="center" vertical="center" wrapText="1"/>
    </xf>
    <xf numFmtId="1" fontId="3" fillId="16" borderId="3" xfId="0" applyNumberFormat="1" applyFont="1" applyFill="1" applyBorder="1" applyAlignment="1">
      <alignment horizontal="center" vertical="center" wrapText="1"/>
    </xf>
    <xf numFmtId="1" fontId="1" fillId="16" borderId="1" xfId="0" applyNumberFormat="1" applyFont="1" applyFill="1" applyBorder="1" applyAlignment="1">
      <alignment horizontal="left" vertical="center" wrapText="1"/>
    </xf>
    <xf numFmtId="1" fontId="3" fillId="16" borderId="1" xfId="0" applyNumberFormat="1" applyFont="1" applyFill="1" applyBorder="1" applyAlignment="1">
      <alignment horizontal="center" vertical="center" wrapText="1"/>
    </xf>
    <xf numFmtId="1" fontId="3" fillId="16" borderId="6" xfId="0" applyNumberFormat="1" applyFont="1" applyFill="1" applyBorder="1" applyAlignment="1">
      <alignment horizontal="center" vertical="center" wrapText="1"/>
    </xf>
    <xf numFmtId="1" fontId="4" fillId="16" borderId="1" xfId="0" applyNumberFormat="1" applyFont="1" applyFill="1" applyBorder="1" applyAlignment="1">
      <alignment horizontal="left" vertical="center" wrapText="1"/>
    </xf>
    <xf numFmtId="1" fontId="3" fillId="16" borderId="2" xfId="0" applyNumberFormat="1" applyFont="1" applyFill="1" applyBorder="1" applyAlignment="1">
      <alignment horizontal="center" vertical="center" wrapText="1"/>
    </xf>
    <xf numFmtId="0" fontId="8" fillId="0" borderId="0" xfId="0" applyFont="1" applyAlignment="1"/>
    <xf numFmtId="1" fontId="4" fillId="9" borderId="1" xfId="0" applyNumberFormat="1" applyFont="1" applyFill="1" applyBorder="1" applyAlignment="1">
      <alignment horizontal="left" vertical="center" wrapText="1"/>
    </xf>
    <xf numFmtId="2" fontId="4" fillId="9" borderId="1" xfId="0" applyNumberFormat="1" applyFont="1" applyFill="1" applyBorder="1" applyAlignment="1">
      <alignment horizontal="center" vertical="center" wrapText="1"/>
    </xf>
    <xf numFmtId="166" fontId="4" fillId="9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2" fontId="8" fillId="0" borderId="0" xfId="0" applyNumberFormat="1" applyFont="1"/>
    <xf numFmtId="1" fontId="1" fillId="4" borderId="1" xfId="0" applyNumberFormat="1" applyFont="1" applyFill="1" applyBorder="1" applyAlignment="1">
      <alignment horizontal="center" vertical="center" wrapText="1"/>
    </xf>
    <xf numFmtId="1" fontId="1" fillId="16" borderId="1" xfId="0" applyNumberFormat="1" applyFont="1" applyFill="1" applyBorder="1" applyAlignment="1">
      <alignment horizontal="center" vertical="center" wrapText="1"/>
    </xf>
    <xf numFmtId="1" fontId="2" fillId="15" borderId="1" xfId="0" applyNumberFormat="1" applyFont="1" applyFill="1" applyBorder="1" applyAlignment="1">
      <alignment horizontal="center" vertical="center" wrapText="1"/>
    </xf>
    <xf numFmtId="1" fontId="1" fillId="11" borderId="1" xfId="0" applyNumberFormat="1" applyFont="1" applyFill="1" applyBorder="1" applyAlignment="1">
      <alignment horizontal="center" vertical="center" wrapText="1"/>
    </xf>
    <xf numFmtId="1" fontId="1" fillId="17" borderId="1" xfId="0" applyNumberFormat="1" applyFont="1" applyFill="1" applyBorder="1" applyAlignment="1">
      <alignment horizontal="center" vertical="center" wrapText="1"/>
    </xf>
    <xf numFmtId="2" fontId="2" fillId="17" borderId="1" xfId="0" applyNumberFormat="1" applyFont="1" applyFill="1" applyBorder="1" applyAlignment="1">
      <alignment horizontal="center" vertical="center" wrapText="1"/>
    </xf>
    <xf numFmtId="164" fontId="3" fillId="17" borderId="1" xfId="0" applyNumberFormat="1" applyFont="1" applyFill="1" applyBorder="1" applyAlignment="1">
      <alignment horizontal="center" vertical="center" wrapText="1"/>
    </xf>
    <xf numFmtId="164" fontId="3" fillId="17" borderId="1" xfId="0" applyNumberFormat="1" applyFont="1" applyFill="1" applyBorder="1" applyAlignment="1">
      <alignment horizontal="center" vertical="center" wrapText="1"/>
    </xf>
    <xf numFmtId="164" fontId="4" fillId="17" borderId="1" xfId="0" applyNumberFormat="1" applyFont="1" applyFill="1" applyBorder="1" applyAlignment="1">
      <alignment horizontal="center" vertical="center" wrapText="1"/>
    </xf>
    <xf numFmtId="1" fontId="2" fillId="17" borderId="1" xfId="0" applyNumberFormat="1" applyFont="1" applyFill="1" applyBorder="1" applyAlignment="1">
      <alignment horizontal="center" vertical="center" wrapText="1"/>
    </xf>
    <xf numFmtId="2" fontId="2" fillId="17" borderId="1" xfId="0" applyNumberFormat="1" applyFont="1" applyFill="1" applyBorder="1" applyAlignment="1">
      <alignment horizontal="center" vertical="center" wrapText="1"/>
    </xf>
    <xf numFmtId="0" fontId="8" fillId="17" borderId="0" xfId="0" applyFont="1" applyFill="1"/>
    <xf numFmtId="0" fontId="8" fillId="15" borderId="0" xfId="0" applyFont="1" applyFill="1"/>
    <xf numFmtId="1" fontId="2" fillId="16" borderId="1" xfId="0" applyNumberFormat="1" applyFont="1" applyFill="1" applyBorder="1" applyAlignment="1">
      <alignment horizontal="center" vertical="center" wrapText="1"/>
    </xf>
    <xf numFmtId="1" fontId="2" fillId="16" borderId="3" xfId="0" applyNumberFormat="1" applyFont="1" applyFill="1" applyBorder="1" applyAlignment="1">
      <alignment horizontal="center" vertical="center" wrapText="1"/>
    </xf>
    <xf numFmtId="1" fontId="2" fillId="16" borderId="2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10" borderId="1" xfId="0" applyNumberFormat="1" applyFont="1" applyFill="1" applyBorder="1" applyAlignment="1">
      <alignment horizontal="center" vertical="center" wrapText="1"/>
    </xf>
    <xf numFmtId="1" fontId="1" fillId="15" borderId="1" xfId="0" applyNumberFormat="1" applyFont="1" applyFill="1" applyBorder="1" applyAlignment="1">
      <alignment horizontal="center" vertical="center" wrapText="1"/>
    </xf>
    <xf numFmtId="1" fontId="3" fillId="15" borderId="1" xfId="0" applyNumberFormat="1" applyFont="1" applyFill="1" applyBorder="1" applyAlignment="1">
      <alignment horizontal="center"/>
    </xf>
    <xf numFmtId="1" fontId="2" fillId="15" borderId="1" xfId="0" applyNumberFormat="1" applyFont="1" applyFill="1" applyBorder="1" applyAlignment="1">
      <alignment horizontal="center"/>
    </xf>
    <xf numFmtId="1" fontId="3" fillId="15" borderId="2" xfId="0" applyNumberFormat="1" applyFont="1" applyFill="1" applyBorder="1" applyAlignment="1">
      <alignment horizontal="center"/>
    </xf>
    <xf numFmtId="1" fontId="2" fillId="15" borderId="2" xfId="0" applyNumberFormat="1" applyFont="1" applyFill="1" applyBorder="1" applyAlignment="1">
      <alignment horizontal="center"/>
    </xf>
    <xf numFmtId="1" fontId="1" fillId="18" borderId="1" xfId="0" applyNumberFormat="1" applyFont="1" applyFill="1" applyBorder="1" applyAlignment="1">
      <alignment horizontal="center" vertical="center" wrapText="1"/>
    </xf>
    <xf numFmtId="2" fontId="2" fillId="18" borderId="1" xfId="0" applyNumberFormat="1" applyFont="1" applyFill="1" applyBorder="1" applyAlignment="1">
      <alignment horizontal="center" vertical="center" wrapText="1"/>
    </xf>
    <xf numFmtId="164" fontId="3" fillId="18" borderId="1" xfId="0" applyNumberFormat="1" applyFont="1" applyFill="1" applyBorder="1" applyAlignment="1">
      <alignment horizontal="center" vertical="center" wrapText="1"/>
    </xf>
    <xf numFmtId="164" fontId="3" fillId="18" borderId="1" xfId="0" applyNumberFormat="1" applyFont="1" applyFill="1" applyBorder="1" applyAlignment="1">
      <alignment horizontal="center" vertical="center" wrapText="1"/>
    </xf>
    <xf numFmtId="164" fontId="4" fillId="18" borderId="1" xfId="0" applyNumberFormat="1" applyFont="1" applyFill="1" applyBorder="1" applyAlignment="1">
      <alignment horizontal="center" vertical="center" wrapText="1"/>
    </xf>
    <xf numFmtId="1" fontId="4" fillId="18" borderId="1" xfId="0" applyNumberFormat="1" applyFont="1" applyFill="1" applyBorder="1" applyAlignment="1">
      <alignment horizontal="center" vertical="center" wrapText="1"/>
    </xf>
    <xf numFmtId="1" fontId="3" fillId="18" borderId="1" xfId="0" applyNumberFormat="1" applyFont="1" applyFill="1" applyBorder="1" applyAlignment="1">
      <alignment horizontal="center" vertical="center" wrapText="1"/>
    </xf>
    <xf numFmtId="1" fontId="3" fillId="18" borderId="2" xfId="0" applyNumberFormat="1" applyFont="1" applyFill="1" applyBorder="1" applyAlignment="1">
      <alignment horizontal="center"/>
    </xf>
    <xf numFmtId="1" fontId="2" fillId="18" borderId="2" xfId="0" applyNumberFormat="1" applyFont="1" applyFill="1" applyBorder="1" applyAlignment="1">
      <alignment horizontal="center"/>
    </xf>
    <xf numFmtId="1" fontId="3" fillId="18" borderId="1" xfId="0" applyNumberFormat="1" applyFont="1" applyFill="1" applyBorder="1" applyAlignment="1">
      <alignment horizontal="center" vertical="center" wrapText="1"/>
    </xf>
    <xf numFmtId="1" fontId="1" fillId="11" borderId="1" xfId="0" applyNumberFormat="1" applyFont="1" applyFill="1" applyBorder="1" applyAlignment="1">
      <alignment horizontal="center" vertical="center" wrapText="1"/>
    </xf>
    <xf numFmtId="1" fontId="3" fillId="11" borderId="2" xfId="0" applyNumberFormat="1" applyFont="1" applyFill="1" applyBorder="1" applyAlignment="1">
      <alignment horizontal="center"/>
    </xf>
    <xf numFmtId="1" fontId="2" fillId="11" borderId="2" xfId="0" applyNumberFormat="1" applyFont="1" applyFill="1" applyBorder="1" applyAlignment="1">
      <alignment horizontal="center"/>
    </xf>
    <xf numFmtId="1" fontId="1" fillId="19" borderId="1" xfId="0" applyNumberFormat="1" applyFont="1" applyFill="1" applyBorder="1" applyAlignment="1">
      <alignment horizontal="center" vertical="center" wrapText="1"/>
    </xf>
    <xf numFmtId="1" fontId="2" fillId="19" borderId="1" xfId="0" applyNumberFormat="1" applyFont="1" applyFill="1" applyBorder="1" applyAlignment="1">
      <alignment horizontal="center" vertical="center" wrapText="1"/>
    </xf>
    <xf numFmtId="2" fontId="2" fillId="19" borderId="1" xfId="0" applyNumberFormat="1" applyFont="1" applyFill="1" applyBorder="1" applyAlignment="1">
      <alignment horizontal="center" vertical="center" wrapText="1"/>
    </xf>
    <xf numFmtId="1" fontId="2" fillId="19" borderId="1" xfId="0" applyNumberFormat="1" applyFont="1" applyFill="1" applyBorder="1" applyAlignment="1">
      <alignment horizontal="center" vertical="center" wrapText="1"/>
    </xf>
    <xf numFmtId="1" fontId="4" fillId="6" borderId="1" xfId="0" applyNumberFormat="1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center" wrapText="1"/>
    </xf>
    <xf numFmtId="2" fontId="1" fillId="19" borderId="1" xfId="0" applyNumberFormat="1" applyFont="1" applyFill="1" applyBorder="1" applyAlignment="1">
      <alignment horizontal="center" vertical="center" wrapText="1"/>
    </xf>
    <xf numFmtId="1" fontId="1" fillId="19" borderId="1" xfId="0" applyNumberFormat="1" applyFont="1" applyFill="1" applyBorder="1" applyAlignment="1">
      <alignment horizontal="center" vertical="center" wrapText="1"/>
    </xf>
    <xf numFmtId="1" fontId="3" fillId="15" borderId="1" xfId="0" applyNumberFormat="1" applyFont="1" applyFill="1" applyBorder="1" applyAlignment="1">
      <alignment horizontal="center"/>
    </xf>
    <xf numFmtId="1" fontId="2" fillId="15" borderId="1" xfId="0" applyNumberFormat="1" applyFont="1" applyFill="1" applyBorder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/>
    </xf>
    <xf numFmtId="1" fontId="10" fillId="15" borderId="0" xfId="0" applyNumberFormat="1" applyFont="1" applyFill="1" applyAlignment="1"/>
    <xf numFmtId="1" fontId="3" fillId="15" borderId="2" xfId="0" applyNumberFormat="1" applyFont="1" applyFill="1" applyBorder="1" applyAlignment="1">
      <alignment horizontal="center"/>
    </xf>
    <xf numFmtId="1" fontId="2" fillId="15" borderId="2" xfId="0" applyNumberFormat="1" applyFont="1" applyFill="1" applyBorder="1" applyAlignment="1">
      <alignment horizontal="center"/>
    </xf>
    <xf numFmtId="1" fontId="3" fillId="18" borderId="2" xfId="0" applyNumberFormat="1" applyFont="1" applyFill="1" applyBorder="1" applyAlignment="1">
      <alignment horizontal="center"/>
    </xf>
    <xf numFmtId="1" fontId="2" fillId="18" borderId="2" xfId="0" applyNumberFormat="1" applyFont="1" applyFill="1" applyBorder="1" applyAlignment="1">
      <alignment horizontal="center"/>
    </xf>
    <xf numFmtId="1" fontId="1" fillId="18" borderId="1" xfId="0" applyNumberFormat="1" applyFont="1" applyFill="1" applyBorder="1" applyAlignment="1">
      <alignment horizontal="center" vertical="center" wrapText="1"/>
    </xf>
    <xf numFmtId="1" fontId="10" fillId="18" borderId="0" xfId="0" applyNumberFormat="1" applyFont="1" applyFill="1" applyAlignment="1"/>
    <xf numFmtId="1" fontId="3" fillId="11" borderId="2" xfId="0" applyNumberFormat="1" applyFont="1" applyFill="1" applyBorder="1" applyAlignment="1">
      <alignment horizontal="center"/>
    </xf>
    <xf numFmtId="1" fontId="2" fillId="11" borderId="2" xfId="0" applyNumberFormat="1" applyFont="1" applyFill="1" applyBorder="1" applyAlignment="1">
      <alignment horizontal="center"/>
    </xf>
    <xf numFmtId="1" fontId="3" fillId="18" borderId="1" xfId="0" applyNumberFormat="1" applyFont="1" applyFill="1" applyBorder="1" applyAlignment="1">
      <alignment horizontal="center" wrapText="1"/>
    </xf>
    <xf numFmtId="1" fontId="3" fillId="15" borderId="1" xfId="0" applyNumberFormat="1" applyFont="1" applyFill="1" applyBorder="1" applyAlignment="1">
      <alignment horizontal="center" wrapText="1"/>
    </xf>
    <xf numFmtId="2" fontId="4" fillId="6" borderId="1" xfId="0" applyNumberFormat="1" applyFont="1" applyFill="1" applyBorder="1" applyAlignment="1">
      <alignment horizontal="center" vertical="center" wrapText="1"/>
    </xf>
    <xf numFmtId="0" fontId="11" fillId="0" borderId="0" xfId="0" applyFont="1"/>
    <xf numFmtId="1" fontId="1" fillId="2" borderId="1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/>
    <xf numFmtId="0" fontId="6" fillId="20" borderId="1" xfId="0" applyFont="1" applyFill="1" applyBorder="1" applyAlignment="1">
      <alignment horizontal="center" vertical="center"/>
    </xf>
    <xf numFmtId="164" fontId="6" fillId="20" borderId="1" xfId="0" applyNumberFormat="1" applyFont="1" applyFill="1" applyBorder="1" applyAlignment="1">
      <alignment horizontal="center" vertical="center"/>
    </xf>
    <xf numFmtId="164" fontId="6" fillId="20" borderId="11" xfId="0" applyNumberFormat="1" applyFont="1" applyFill="1" applyBorder="1" applyAlignment="1">
      <alignment horizontal="center" vertical="center"/>
    </xf>
    <xf numFmtId="0" fontId="6" fillId="20" borderId="11" xfId="0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center" vertical="center"/>
    </xf>
    <xf numFmtId="167" fontId="13" fillId="21" borderId="1" xfId="0" applyNumberFormat="1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left" vertical="center"/>
    </xf>
    <xf numFmtId="1" fontId="6" fillId="21" borderId="1" xfId="0" applyNumberFormat="1" applyFont="1" applyFill="1" applyBorder="1" applyAlignment="1">
      <alignment horizontal="center" vertical="center"/>
    </xf>
    <xf numFmtId="164" fontId="13" fillId="21" borderId="1" xfId="0" applyNumberFormat="1" applyFont="1" applyFill="1" applyBorder="1" applyAlignment="1">
      <alignment horizontal="center" vertical="center"/>
    </xf>
    <xf numFmtId="9" fontId="13" fillId="21" borderId="1" xfId="0" applyNumberFormat="1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/>
    </xf>
    <xf numFmtId="164" fontId="13" fillId="21" borderId="11" xfId="0" applyNumberFormat="1" applyFont="1" applyFill="1" applyBorder="1" applyAlignment="1">
      <alignment horizontal="center" vertical="center"/>
    </xf>
    <xf numFmtId="0" fontId="13" fillId="21" borderId="11" xfId="0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center" vertical="center" wrapText="1"/>
    </xf>
    <xf numFmtId="167" fontId="13" fillId="21" borderId="1" xfId="0" applyNumberFormat="1" applyFont="1" applyFill="1" applyBorder="1" applyAlignment="1">
      <alignment horizontal="center" vertical="center" wrapText="1"/>
    </xf>
    <xf numFmtId="0" fontId="13" fillId="21" borderId="1" xfId="0" applyFont="1" applyFill="1" applyBorder="1" applyAlignment="1">
      <alignment horizontal="left" vertical="center" wrapText="1"/>
    </xf>
    <xf numFmtId="1" fontId="13" fillId="21" borderId="1" xfId="0" applyNumberFormat="1" applyFont="1" applyFill="1" applyBorder="1" applyAlignment="1">
      <alignment horizontal="center" vertical="center" wrapText="1"/>
    </xf>
    <xf numFmtId="164" fontId="13" fillId="21" borderId="1" xfId="0" applyNumberFormat="1" applyFont="1" applyFill="1" applyBorder="1" applyAlignment="1">
      <alignment horizontal="center" vertical="center" wrapText="1"/>
    </xf>
    <xf numFmtId="0" fontId="15" fillId="21" borderId="1" xfId="0" applyFont="1" applyFill="1" applyBorder="1" applyAlignment="1">
      <alignment vertical="center"/>
    </xf>
    <xf numFmtId="9" fontId="13" fillId="21" borderId="1" xfId="0" applyNumberFormat="1" applyFont="1" applyFill="1" applyBorder="1" applyAlignment="1">
      <alignment horizontal="center" vertical="center" wrapText="1"/>
    </xf>
    <xf numFmtId="0" fontId="13" fillId="22" borderId="1" xfId="0" applyFont="1" applyFill="1" applyBorder="1" applyAlignment="1">
      <alignment horizontal="center" vertical="center"/>
    </xf>
    <xf numFmtId="0" fontId="13" fillId="22" borderId="11" xfId="0" applyFont="1" applyFill="1" applyBorder="1" applyAlignment="1">
      <alignment horizontal="center" vertical="center" wrapText="1"/>
    </xf>
    <xf numFmtId="0" fontId="13" fillId="22" borderId="1" xfId="0" applyFont="1" applyFill="1" applyBorder="1" applyAlignment="1">
      <alignment horizontal="left" vertical="center"/>
    </xf>
    <xf numFmtId="164" fontId="13" fillId="22" borderId="1" xfId="0" applyNumberFormat="1" applyFont="1" applyFill="1" applyBorder="1" applyAlignment="1">
      <alignment horizontal="center" vertical="center"/>
    </xf>
    <xf numFmtId="9" fontId="13" fillId="22" borderId="1" xfId="0" applyNumberFormat="1" applyFont="1" applyFill="1" applyBorder="1" applyAlignment="1">
      <alignment horizontal="center" vertical="center"/>
    </xf>
    <xf numFmtId="0" fontId="6" fillId="22" borderId="4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center"/>
    </xf>
    <xf numFmtId="1" fontId="13" fillId="21" borderId="1" xfId="0" applyNumberFormat="1" applyFont="1" applyFill="1" applyBorder="1" applyAlignment="1">
      <alignment horizontal="center" vertical="center"/>
    </xf>
    <xf numFmtId="0" fontId="13" fillId="21" borderId="11" xfId="0" applyFont="1" applyFill="1" applyBorder="1" applyAlignment="1">
      <alignment horizontal="center" vertical="center" wrapText="1"/>
    </xf>
    <xf numFmtId="0" fontId="13" fillId="21" borderId="11" xfId="0" applyFont="1" applyFill="1" applyBorder="1" applyAlignment="1">
      <alignment horizontal="left" vertical="center"/>
    </xf>
    <xf numFmtId="1" fontId="13" fillId="21" borderId="11" xfId="0" applyNumberFormat="1" applyFont="1" applyFill="1" applyBorder="1" applyAlignment="1">
      <alignment horizontal="center" vertical="center"/>
    </xf>
    <xf numFmtId="164" fontId="14" fillId="21" borderId="1" xfId="0" applyNumberFormat="1" applyFont="1" applyFill="1" applyBorder="1" applyAlignment="1">
      <alignment horizontal="center" vertical="center"/>
    </xf>
    <xf numFmtId="9" fontId="13" fillId="21" borderId="11" xfId="0" applyNumberFormat="1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vertical="center"/>
    </xf>
    <xf numFmtId="0" fontId="16" fillId="21" borderId="11" xfId="0" applyFont="1" applyFill="1" applyBorder="1" applyAlignment="1">
      <alignment vertical="center"/>
    </xf>
    <xf numFmtId="0" fontId="13" fillId="21" borderId="10" xfId="0" applyFont="1" applyFill="1" applyBorder="1" applyAlignment="1">
      <alignment horizontal="center" vertical="center"/>
    </xf>
    <xf numFmtId="0" fontId="13" fillId="21" borderId="10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13" fillId="12" borderId="10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left" vertical="center"/>
    </xf>
    <xf numFmtId="164" fontId="13" fillId="12" borderId="1" xfId="0" applyNumberFormat="1" applyFont="1" applyFill="1" applyBorder="1" applyAlignment="1">
      <alignment horizontal="center" vertical="center"/>
    </xf>
    <xf numFmtId="164" fontId="13" fillId="12" borderId="11" xfId="0" applyNumberFormat="1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9" fontId="13" fillId="12" borderId="1" xfId="0" applyNumberFormat="1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167" fontId="13" fillId="21" borderId="11" xfId="0" applyNumberFormat="1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164" fontId="6" fillId="21" borderId="1" xfId="0" applyNumberFormat="1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164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13" fillId="21" borderId="13" xfId="0" applyFont="1" applyFill="1" applyBorder="1" applyAlignment="1">
      <alignment horizontal="center" vertical="center"/>
    </xf>
    <xf numFmtId="14" fontId="13" fillId="21" borderId="1" xfId="0" applyNumberFormat="1" applyFont="1" applyFill="1" applyBorder="1" applyAlignment="1">
      <alignment horizontal="center" vertical="center"/>
    </xf>
    <xf numFmtId="168" fontId="13" fillId="21" borderId="1" xfId="0" applyNumberFormat="1" applyFont="1" applyFill="1" applyBorder="1" applyAlignment="1">
      <alignment horizontal="center" vertical="center"/>
    </xf>
    <xf numFmtId="169" fontId="13" fillId="21" borderId="1" xfId="0" applyNumberFormat="1" applyFont="1" applyFill="1" applyBorder="1" applyAlignment="1">
      <alignment horizontal="center" vertical="center"/>
    </xf>
    <xf numFmtId="3" fontId="13" fillId="21" borderId="1" xfId="0" applyNumberFormat="1" applyFont="1" applyFill="1" applyBorder="1" applyAlignment="1">
      <alignment horizontal="center" vertical="center"/>
    </xf>
    <xf numFmtId="10" fontId="13" fillId="21" borderId="1" xfId="0" applyNumberFormat="1" applyFont="1" applyFill="1" applyBorder="1" applyAlignment="1">
      <alignment horizontal="center" vertical="center"/>
    </xf>
    <xf numFmtId="170" fontId="13" fillId="21" borderId="1" xfId="0" applyNumberFormat="1" applyFont="1" applyFill="1" applyBorder="1" applyAlignment="1">
      <alignment horizontal="center" vertical="center"/>
    </xf>
    <xf numFmtId="171" fontId="13" fillId="21" borderId="1" xfId="0" applyNumberFormat="1" applyFont="1" applyFill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/>
    </xf>
    <xf numFmtId="0" fontId="18" fillId="12" borderId="1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3" fontId="13" fillId="12" borderId="1" xfId="0" applyNumberFormat="1" applyFont="1" applyFill="1" applyBorder="1" applyAlignment="1">
      <alignment horizontal="center" vertical="center"/>
    </xf>
    <xf numFmtId="171" fontId="13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/>
    </xf>
    <xf numFmtId="1" fontId="6" fillId="21" borderId="1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/>
    </xf>
    <xf numFmtId="0" fontId="13" fillId="21" borderId="1" xfId="0" applyFont="1" applyFill="1" applyBorder="1"/>
    <xf numFmtId="0" fontId="6" fillId="21" borderId="1" xfId="0" applyFont="1" applyFill="1" applyBorder="1" applyAlignment="1">
      <alignment horizontal="center"/>
    </xf>
    <xf numFmtId="164" fontId="6" fillId="21" borderId="1" xfId="0" applyNumberFormat="1" applyFont="1" applyFill="1" applyBorder="1" applyAlignment="1">
      <alignment horizontal="center"/>
    </xf>
    <xf numFmtId="164" fontId="13" fillId="21" borderId="1" xfId="0" applyNumberFormat="1" applyFont="1" applyFill="1" applyBorder="1" applyAlignment="1">
      <alignment horizontal="center"/>
    </xf>
    <xf numFmtId="164" fontId="17" fillId="21" borderId="1" xfId="0" applyNumberFormat="1" applyFont="1" applyFill="1" applyBorder="1" applyAlignment="1">
      <alignment horizontal="center"/>
    </xf>
    <xf numFmtId="10" fontId="13" fillId="21" borderId="1" xfId="0" applyNumberFormat="1" applyFont="1" applyFill="1" applyBorder="1" applyAlignment="1">
      <alignment horizontal="center"/>
    </xf>
    <xf numFmtId="0" fontId="16" fillId="21" borderId="1" xfId="0" applyFont="1" applyFill="1" applyBorder="1"/>
    <xf numFmtId="167" fontId="13" fillId="21" borderId="1" xfId="0" applyNumberFormat="1" applyFont="1" applyFill="1" applyBorder="1" applyAlignment="1">
      <alignment horizontal="center"/>
    </xf>
    <xf numFmtId="1" fontId="13" fillId="21" borderId="1" xfId="0" applyNumberFormat="1" applyFont="1" applyFill="1" applyBorder="1" applyAlignment="1">
      <alignment horizontal="center"/>
    </xf>
    <xf numFmtId="0" fontId="13" fillId="21" borderId="11" xfId="0" applyFont="1" applyFill="1" applyBorder="1" applyAlignment="1">
      <alignment horizontal="center" vertical="center"/>
    </xf>
    <xf numFmtId="0" fontId="13" fillId="21" borderId="10" xfId="0" applyFont="1" applyFill="1" applyBorder="1" applyAlignment="1">
      <alignment horizontal="center"/>
    </xf>
    <xf numFmtId="0" fontId="13" fillId="21" borderId="10" xfId="0" applyFont="1" applyFill="1" applyBorder="1" applyAlignment="1">
      <alignment horizontal="left"/>
    </xf>
    <xf numFmtId="0" fontId="12" fillId="21" borderId="10" xfId="0" applyFont="1" applyFill="1" applyBorder="1" applyAlignment="1">
      <alignment horizontal="center"/>
    </xf>
    <xf numFmtId="0" fontId="12" fillId="21" borderId="10" xfId="0" applyFont="1" applyFill="1" applyBorder="1"/>
    <xf numFmtId="167" fontId="13" fillId="21" borderId="10" xfId="0" applyNumberFormat="1" applyFont="1" applyFill="1" applyBorder="1" applyAlignment="1">
      <alignment horizontal="center"/>
    </xf>
    <xf numFmtId="0" fontId="13" fillId="21" borderId="10" xfId="0" applyFont="1" applyFill="1" applyBorder="1" applyAlignment="1">
      <alignment horizontal="left" vertical="center"/>
    </xf>
    <xf numFmtId="0" fontId="6" fillId="21" borderId="10" xfId="0" applyFont="1" applyFill="1" applyBorder="1" applyAlignment="1">
      <alignment horizontal="center" vertical="center"/>
    </xf>
    <xf numFmtId="164" fontId="13" fillId="21" borderId="10" xfId="0" applyNumberFormat="1" applyFont="1" applyFill="1" applyBorder="1" applyAlignment="1">
      <alignment horizontal="center" vertical="center"/>
    </xf>
    <xf numFmtId="0" fontId="13" fillId="12" borderId="10" xfId="0" applyFont="1" applyFill="1" applyBorder="1" applyAlignment="1">
      <alignment horizontal="left" vertical="center"/>
    </xf>
    <xf numFmtId="0" fontId="6" fillId="12" borderId="10" xfId="0" applyFont="1" applyFill="1" applyBorder="1" applyAlignment="1">
      <alignment horizontal="center" vertical="center"/>
    </xf>
    <xf numFmtId="164" fontId="13" fillId="12" borderId="10" xfId="0" applyNumberFormat="1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167" fontId="13" fillId="12" borderId="10" xfId="0" applyNumberFormat="1" applyFont="1" applyFill="1" applyBorder="1" applyAlignment="1">
      <alignment horizontal="center" vertical="center"/>
    </xf>
    <xf numFmtId="0" fontId="13" fillId="12" borderId="10" xfId="0" applyFont="1" applyFill="1" applyBorder="1" applyAlignment="1">
      <alignment horizontal="center" vertical="center"/>
    </xf>
    <xf numFmtId="0" fontId="13" fillId="12" borderId="10" xfId="0" applyFont="1" applyFill="1" applyBorder="1" applyAlignment="1">
      <alignment horizontal="left" vertical="center"/>
    </xf>
    <xf numFmtId="0" fontId="6" fillId="12" borderId="10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21" borderId="1" xfId="0" applyNumberFormat="1" applyFont="1" applyFill="1" applyBorder="1" applyAlignment="1">
      <alignment horizontal="center"/>
    </xf>
    <xf numFmtId="164" fontId="13" fillId="12" borderId="1" xfId="0" applyNumberFormat="1" applyFont="1" applyFill="1" applyBorder="1" applyAlignment="1">
      <alignment horizontal="center" vertical="center"/>
    </xf>
    <xf numFmtId="164" fontId="13" fillId="12" borderId="10" xfId="0" applyNumberFormat="1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172" fontId="13" fillId="12" borderId="0" xfId="0" applyNumberFormat="1" applyFont="1" applyFill="1" applyAlignment="1">
      <alignment horizontal="center"/>
    </xf>
    <xf numFmtId="0" fontId="13" fillId="12" borderId="1" xfId="0" applyFont="1" applyFill="1" applyBorder="1"/>
    <xf numFmtId="0" fontId="13" fillId="12" borderId="1" xfId="0" applyFont="1" applyFill="1" applyBorder="1" applyAlignment="1">
      <alignment horizontal="center"/>
    </xf>
    <xf numFmtId="1" fontId="13" fillId="12" borderId="0" xfId="0" applyNumberFormat="1" applyFont="1" applyFill="1" applyAlignment="1">
      <alignment horizontal="center"/>
    </xf>
    <xf numFmtId="1" fontId="13" fillId="21" borderId="1" xfId="0" applyNumberFormat="1" applyFont="1" applyFill="1" applyBorder="1" applyAlignment="1">
      <alignment horizontal="center"/>
    </xf>
    <xf numFmtId="164" fontId="13" fillId="21" borderId="1" xfId="0" applyNumberFormat="1" applyFont="1" applyFill="1" applyBorder="1" applyAlignment="1">
      <alignment horizontal="center"/>
    </xf>
    <xf numFmtId="164" fontId="13" fillId="12" borderId="1" xfId="0" applyNumberFormat="1" applyFont="1" applyFill="1" applyBorder="1" applyAlignment="1">
      <alignment horizontal="center"/>
    </xf>
    <xf numFmtId="164" fontId="13" fillId="12" borderId="1" xfId="0" applyNumberFormat="1" applyFont="1" applyFill="1" applyBorder="1" applyAlignment="1">
      <alignment horizontal="center"/>
    </xf>
    <xf numFmtId="164" fontId="20" fillId="12" borderId="1" xfId="0" applyNumberFormat="1" applyFont="1" applyFill="1" applyBorder="1"/>
    <xf numFmtId="164" fontId="20" fillId="12" borderId="0" xfId="0" applyNumberFormat="1" applyFont="1" applyFill="1"/>
    <xf numFmtId="164" fontId="13" fillId="12" borderId="0" xfId="0" applyNumberFormat="1" applyFont="1" applyFill="1" applyAlignment="1">
      <alignment horizontal="center"/>
    </xf>
    <xf numFmtId="0" fontId="20" fillId="12" borderId="1" xfId="0" applyFont="1" applyFill="1" applyBorder="1" applyAlignment="1">
      <alignment horizontal="center"/>
    </xf>
    <xf numFmtId="0" fontId="20" fillId="12" borderId="1" xfId="0" applyFont="1" applyFill="1" applyBorder="1"/>
    <xf numFmtId="0" fontId="13" fillId="21" borderId="1" xfId="0" applyFont="1" applyFill="1" applyBorder="1" applyAlignment="1">
      <alignment horizontal="center"/>
    </xf>
    <xf numFmtId="0" fontId="20" fillId="12" borderId="0" xfId="0" applyFont="1" applyFill="1"/>
    <xf numFmtId="167" fontId="13" fillId="12" borderId="1" xfId="0" applyNumberFormat="1" applyFont="1" applyFill="1" applyBorder="1" applyAlignment="1">
      <alignment horizontal="center"/>
    </xf>
    <xf numFmtId="1" fontId="13" fillId="12" borderId="1" xfId="0" applyNumberFormat="1" applyFont="1" applyFill="1" applyBorder="1" applyAlignment="1">
      <alignment horizontal="center"/>
    </xf>
    <xf numFmtId="0" fontId="20" fillId="12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 vertical="center"/>
    </xf>
    <xf numFmtId="167" fontId="13" fillId="12" borderId="1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left" vertical="center"/>
    </xf>
    <xf numFmtId="1" fontId="6" fillId="12" borderId="1" xfId="0" applyNumberFormat="1" applyFont="1" applyFill="1" applyBorder="1" applyAlignment="1">
      <alignment horizontal="center" vertical="center"/>
    </xf>
    <xf numFmtId="1" fontId="6" fillId="12" borderId="1" xfId="0" applyNumberFormat="1" applyFont="1" applyFill="1" applyBorder="1" applyAlignment="1">
      <alignment horizontal="center" vertical="center"/>
    </xf>
    <xf numFmtId="0" fontId="21" fillId="0" borderId="0" xfId="0" applyFont="1" applyAlignment="1"/>
    <xf numFmtId="164" fontId="6" fillId="12" borderId="1" xfId="0" applyNumberFormat="1" applyFont="1" applyFill="1" applyBorder="1" applyAlignment="1">
      <alignment horizontal="center" vertical="center"/>
    </xf>
    <xf numFmtId="0" fontId="13" fillId="12" borderId="14" xfId="0" applyFont="1" applyFill="1" applyBorder="1" applyAlignment="1">
      <alignment horizontal="center" vertical="center"/>
    </xf>
    <xf numFmtId="0" fontId="13" fillId="12" borderId="14" xfId="0" applyFont="1" applyFill="1" applyBorder="1" applyAlignment="1">
      <alignment horizontal="center" vertical="center"/>
    </xf>
    <xf numFmtId="164" fontId="6" fillId="12" borderId="0" xfId="0" applyNumberFormat="1" applyFont="1" applyFill="1" applyAlignment="1">
      <alignment horizontal="center" vertical="center"/>
    </xf>
    <xf numFmtId="172" fontId="13" fillId="12" borderId="1" xfId="0" applyNumberFormat="1" applyFont="1" applyFill="1" applyBorder="1" applyAlignment="1">
      <alignment horizontal="center" vertical="center"/>
    </xf>
    <xf numFmtId="0" fontId="22" fillId="12" borderId="1" xfId="0" applyFont="1" applyFill="1" applyBorder="1" applyAlignment="1">
      <alignment horizontal="center" vertical="center"/>
    </xf>
    <xf numFmtId="1" fontId="22" fillId="12" borderId="1" xfId="0" applyNumberFormat="1" applyFont="1" applyFill="1" applyBorder="1" applyAlignment="1">
      <alignment horizontal="center" vertical="center"/>
    </xf>
    <xf numFmtId="1" fontId="19" fillId="12" borderId="1" xfId="0" applyNumberFormat="1" applyFont="1" applyFill="1" applyBorder="1" applyAlignment="1">
      <alignment horizontal="center" vertical="center"/>
    </xf>
    <xf numFmtId="164" fontId="22" fillId="12" borderId="1" xfId="0" applyNumberFormat="1" applyFont="1" applyFill="1" applyBorder="1" applyAlignment="1">
      <alignment horizontal="center" vertical="center"/>
    </xf>
    <xf numFmtId="164" fontId="19" fillId="12" borderId="1" xfId="0" applyNumberFormat="1" applyFont="1" applyFill="1" applyBorder="1" applyAlignment="1">
      <alignment horizontal="center" vertical="center"/>
    </xf>
    <xf numFmtId="0" fontId="19" fillId="12" borderId="11" xfId="0" applyFont="1" applyFill="1" applyBorder="1" applyAlignment="1">
      <alignment horizontal="center" vertical="center"/>
    </xf>
    <xf numFmtId="0" fontId="19" fillId="21" borderId="1" xfId="0" applyFont="1" applyFill="1" applyBorder="1" applyAlignment="1">
      <alignment horizontal="center"/>
    </xf>
    <xf numFmtId="0" fontId="23" fillId="0" borderId="0" xfId="0" applyFont="1"/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21" borderId="10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left" vertical="center"/>
    </xf>
    <xf numFmtId="164" fontId="13" fillId="10" borderId="1" xfId="0" applyNumberFormat="1" applyFont="1" applyFill="1" applyBorder="1" applyAlignment="1">
      <alignment horizontal="center" vertical="center"/>
    </xf>
    <xf numFmtId="164" fontId="13" fillId="10" borderId="11" xfId="0" applyNumberFormat="1" applyFont="1" applyFill="1" applyBorder="1" applyAlignment="1">
      <alignment horizontal="center" vertical="center"/>
    </xf>
    <xf numFmtId="0" fontId="13" fillId="10" borderId="11" xfId="0" applyFont="1" applyFill="1" applyBorder="1" applyAlignment="1">
      <alignment horizontal="center" vertical="center"/>
    </xf>
    <xf numFmtId="9" fontId="13" fillId="10" borderId="1" xfId="0" applyNumberFormat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3" fillId="10" borderId="10" xfId="0" applyFont="1" applyFill="1" applyBorder="1" applyAlignment="1">
      <alignment horizontal="center" vertical="center"/>
    </xf>
    <xf numFmtId="14" fontId="13" fillId="10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13" fillId="10" borderId="13" xfId="0" applyFont="1" applyFill="1" applyBorder="1" applyAlignment="1">
      <alignment horizontal="center" vertical="center"/>
    </xf>
    <xf numFmtId="3" fontId="13" fillId="10" borderId="1" xfId="0" applyNumberFormat="1" applyFont="1" applyFill="1" applyBorder="1" applyAlignment="1">
      <alignment horizontal="center" vertical="center"/>
    </xf>
    <xf numFmtId="167" fontId="13" fillId="10" borderId="1" xfId="0" applyNumberFormat="1" applyFont="1" applyFill="1" applyBorder="1" applyAlignment="1">
      <alignment horizontal="center" vertical="center"/>
    </xf>
    <xf numFmtId="171" fontId="13" fillId="10" borderId="1" xfId="0" applyNumberFormat="1" applyFont="1" applyFill="1" applyBorder="1" applyAlignment="1">
      <alignment horizontal="center" vertical="center"/>
    </xf>
    <xf numFmtId="10" fontId="13" fillId="10" borderId="1" xfId="0" applyNumberFormat="1" applyFont="1" applyFill="1" applyBorder="1" applyAlignment="1">
      <alignment horizontal="center" vertical="center"/>
    </xf>
    <xf numFmtId="1" fontId="4" fillId="10" borderId="1" xfId="0" applyNumberFormat="1" applyFont="1" applyFill="1" applyBorder="1" applyAlignment="1">
      <alignment horizontal="center" vertical="center" wrapText="1"/>
    </xf>
    <xf numFmtId="0" fontId="13" fillId="10" borderId="10" xfId="0" applyFont="1" applyFill="1" applyBorder="1" applyAlignment="1">
      <alignment horizontal="center"/>
    </xf>
    <xf numFmtId="0" fontId="13" fillId="10" borderId="1" xfId="0" applyFont="1" applyFill="1" applyBorder="1"/>
    <xf numFmtId="0" fontId="16" fillId="10" borderId="1" xfId="0" applyFont="1" applyFill="1" applyBorder="1"/>
    <xf numFmtId="164" fontId="16" fillId="10" borderId="1" xfId="0" applyNumberFormat="1" applyFont="1" applyFill="1" applyBorder="1"/>
    <xf numFmtId="10" fontId="13" fillId="10" borderId="1" xfId="0" applyNumberFormat="1" applyFont="1" applyFill="1" applyBorder="1" applyAlignment="1">
      <alignment horizontal="center"/>
    </xf>
    <xf numFmtId="164" fontId="13" fillId="10" borderId="1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 vertical="center"/>
    </xf>
    <xf numFmtId="164" fontId="17" fillId="10" borderId="1" xfId="0" applyNumberFormat="1" applyFont="1" applyFill="1" applyBorder="1" applyAlignment="1">
      <alignment horizontal="center" vertical="center"/>
    </xf>
    <xf numFmtId="164" fontId="13" fillId="10" borderId="13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164" fontId="17" fillId="10" borderId="1" xfId="0" applyNumberFormat="1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64" fontId="6" fillId="12" borderId="1" xfId="0" applyNumberFormat="1" applyFont="1" applyFill="1" applyBorder="1" applyAlignment="1">
      <alignment horizontal="center"/>
    </xf>
    <xf numFmtId="164" fontId="17" fillId="12" borderId="1" xfId="0" applyNumberFormat="1" applyFont="1" applyFill="1" applyBorder="1" applyAlignment="1">
      <alignment horizontal="center"/>
    </xf>
    <xf numFmtId="10" fontId="13" fillId="12" borderId="1" xfId="0" applyNumberFormat="1" applyFont="1" applyFill="1" applyBorder="1" applyAlignment="1">
      <alignment horizontal="center"/>
    </xf>
    <xf numFmtId="0" fontId="16" fillId="12" borderId="1" xfId="0" applyFont="1" applyFill="1" applyBorder="1"/>
    <xf numFmtId="0" fontId="12" fillId="0" borderId="0" xfId="0" applyFont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9" fillId="0" borderId="22" xfId="0" applyFont="1" applyBorder="1" applyAlignment="1">
      <alignment horizontal="center"/>
    </xf>
    <xf numFmtId="0" fontId="29" fillId="8" borderId="12" xfId="0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center" wrapText="1"/>
    </xf>
    <xf numFmtId="0" fontId="24" fillId="0" borderId="2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164" fontId="24" fillId="0" borderId="24" xfId="0" applyNumberFormat="1" applyFont="1" applyBorder="1" applyAlignment="1">
      <alignment horizontal="center"/>
    </xf>
    <xf numFmtId="0" fontId="28" fillId="8" borderId="4" xfId="0" applyFont="1" applyFill="1" applyBorder="1" applyAlignment="1">
      <alignment horizontal="center"/>
    </xf>
    <xf numFmtId="10" fontId="24" fillId="25" borderId="25" xfId="0" applyNumberFormat="1" applyFont="1" applyFill="1" applyBorder="1" applyAlignment="1">
      <alignment horizontal="center"/>
    </xf>
    <xf numFmtId="10" fontId="24" fillId="8" borderId="25" xfId="0" applyNumberFormat="1" applyFont="1" applyFill="1" applyBorder="1" applyAlignment="1">
      <alignment horizontal="center"/>
    </xf>
    <xf numFmtId="0" fontId="28" fillId="26" borderId="4" xfId="0" applyFont="1" applyFill="1" applyBorder="1" applyAlignment="1">
      <alignment horizontal="center"/>
    </xf>
    <xf numFmtId="10" fontId="24" fillId="26" borderId="25" xfId="0" applyNumberFormat="1" applyFont="1" applyFill="1" applyBorder="1" applyAlignment="1">
      <alignment horizontal="center"/>
    </xf>
    <xf numFmtId="164" fontId="29" fillId="0" borderId="0" xfId="0" applyNumberFormat="1" applyFont="1" applyAlignment="1">
      <alignment horizontal="center"/>
    </xf>
    <xf numFmtId="164" fontId="30" fillId="0" borderId="0" xfId="0" applyNumberFormat="1" applyFont="1" applyAlignment="1">
      <alignment horizontal="center"/>
    </xf>
    <xf numFmtId="164" fontId="29" fillId="24" borderId="12" xfId="0" applyNumberFormat="1" applyFont="1" applyFill="1" applyBorder="1" applyAlignment="1">
      <alignment horizontal="center"/>
    </xf>
    <xf numFmtId="164" fontId="29" fillId="24" borderId="28" xfId="0" applyNumberFormat="1" applyFont="1" applyFill="1" applyBorder="1" applyAlignment="1">
      <alignment horizontal="center"/>
    </xf>
    <xf numFmtId="164" fontId="29" fillId="24" borderId="10" xfId="0" applyNumberFormat="1" applyFont="1" applyFill="1" applyBorder="1" applyAlignment="1">
      <alignment horizontal="center"/>
    </xf>
    <xf numFmtId="164" fontId="30" fillId="8" borderId="10" xfId="0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10" fontId="24" fillId="0" borderId="0" xfId="0" applyNumberFormat="1" applyFont="1"/>
    <xf numFmtId="0" fontId="29" fillId="0" borderId="0" xfId="0" applyFont="1" applyAlignment="1">
      <alignment horizontal="center" wrapText="1"/>
    </xf>
    <xf numFmtId="9" fontId="30" fillId="0" borderId="0" xfId="0" applyNumberFormat="1" applyFont="1" applyAlignment="1">
      <alignment horizontal="center"/>
    </xf>
    <xf numFmtId="164" fontId="30" fillId="12" borderId="10" xfId="0" applyNumberFormat="1" applyFont="1" applyFill="1" applyBorder="1" applyAlignment="1">
      <alignment horizontal="center"/>
    </xf>
    <xf numFmtId="0" fontId="30" fillId="12" borderId="10" xfId="0" applyFont="1" applyFill="1" applyBorder="1" applyAlignment="1">
      <alignment horizontal="center"/>
    </xf>
    <xf numFmtId="0" fontId="30" fillId="0" borderId="0" xfId="0" applyFont="1"/>
    <xf numFmtId="164" fontId="24" fillId="0" borderId="0" xfId="0" applyNumberFormat="1" applyFont="1"/>
    <xf numFmtId="0" fontId="30" fillId="0" borderId="0" xfId="0" applyFont="1" applyAlignment="1">
      <alignment horizontal="left"/>
    </xf>
    <xf numFmtId="0" fontId="24" fillId="0" borderId="18" xfId="0" applyFont="1" applyBorder="1" applyAlignment="1">
      <alignment horizontal="center"/>
    </xf>
    <xf numFmtId="0" fontId="29" fillId="0" borderId="0" xfId="0" applyFont="1"/>
    <xf numFmtId="0" fontId="23" fillId="0" borderId="0" xfId="0" applyFont="1" applyAlignment="1">
      <alignment horizontal="center"/>
    </xf>
    <xf numFmtId="0" fontId="3" fillId="8" borderId="3" xfId="0" applyFont="1" applyFill="1" applyBorder="1" applyAlignment="1">
      <alignment horizontal="center" vertical="center" wrapText="1"/>
    </xf>
    <xf numFmtId="0" fontId="5" fillId="0" borderId="2" xfId="0" applyFont="1" applyBorder="1"/>
    <xf numFmtId="1" fontId="3" fillId="8" borderId="3" xfId="0" applyNumberFormat="1" applyFont="1" applyFill="1" applyBorder="1" applyAlignment="1">
      <alignment horizontal="center" vertical="center"/>
    </xf>
    <xf numFmtId="1" fontId="1" fillId="5" borderId="3" xfId="0" applyNumberFormat="1" applyFont="1" applyFill="1" applyBorder="1" applyAlignment="1">
      <alignment horizontal="center" vertical="center" wrapText="1"/>
    </xf>
    <xf numFmtId="1" fontId="3" fillId="16" borderId="3" xfId="0" applyNumberFormat="1" applyFont="1" applyFill="1" applyBorder="1" applyAlignment="1">
      <alignment horizontal="center" vertical="center" wrapText="1"/>
    </xf>
    <xf numFmtId="1" fontId="3" fillId="5" borderId="3" xfId="0" applyNumberFormat="1" applyFont="1" applyFill="1" applyBorder="1" applyAlignment="1">
      <alignment horizontal="center" vertical="center" wrapText="1"/>
    </xf>
    <xf numFmtId="0" fontId="5" fillId="0" borderId="6" xfId="0" applyFont="1" applyBorder="1"/>
    <xf numFmtId="1" fontId="3" fillId="16" borderId="8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/>
    </xf>
    <xf numFmtId="0" fontId="5" fillId="0" borderId="9" xfId="0" applyFont="1" applyBorder="1"/>
    <xf numFmtId="0" fontId="30" fillId="0" borderId="0" xfId="0" applyFont="1" applyAlignment="1">
      <alignment horizontal="left" wrapText="1"/>
    </xf>
    <xf numFmtId="0" fontId="0" fillId="0" borderId="0" xfId="0" applyFont="1" applyAlignment="1"/>
    <xf numFmtId="0" fontId="29" fillId="24" borderId="15" xfId="0" applyFont="1" applyFill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29" fillId="0" borderId="0" xfId="0" applyFont="1"/>
    <xf numFmtId="0" fontId="29" fillId="0" borderId="0" xfId="0" applyFont="1" applyAlignment="1">
      <alignment horizontal="center"/>
    </xf>
    <xf numFmtId="0" fontId="25" fillId="24" borderId="15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5" fillId="0" borderId="18" xfId="0" applyFont="1" applyBorder="1"/>
    <xf numFmtId="0" fontId="9" fillId="0" borderId="0" xfId="0" applyFont="1"/>
    <xf numFmtId="0" fontId="27" fillId="0" borderId="0" xfId="0" applyFont="1" applyAlignment="1">
      <alignment horizontal="left"/>
    </xf>
    <xf numFmtId="0" fontId="28" fillId="0" borderId="19" xfId="0" applyFont="1" applyBorder="1" applyAlignment="1">
      <alignment horizontal="center"/>
    </xf>
    <xf numFmtId="0" fontId="5" fillId="0" borderId="20" xfId="0" applyFont="1" applyBorder="1"/>
    <xf numFmtId="0" fontId="5" fillId="0" borderId="23" xfId="0" applyFont="1" applyBorder="1"/>
    <xf numFmtId="0" fontId="29" fillId="0" borderId="0" xfId="0" applyFont="1" applyAlignment="1">
      <alignment horizontal="left" wrapText="1"/>
    </xf>
    <xf numFmtId="0" fontId="28" fillId="0" borderId="20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5" fillId="0" borderId="22" xfId="0" applyFont="1" applyBorder="1"/>
    <xf numFmtId="0" fontId="5" fillId="0" borderId="14" xfId="0" applyFont="1" applyBorder="1"/>
    <xf numFmtId="0" fontId="29" fillId="0" borderId="21" xfId="0" applyFont="1" applyBorder="1" applyAlignment="1">
      <alignment horizontal="left"/>
    </xf>
    <xf numFmtId="0" fontId="23" fillId="0" borderId="18" xfId="0" applyFont="1" applyBorder="1"/>
    <xf numFmtId="0" fontId="30" fillId="0" borderId="0" xfId="0" applyFont="1" applyAlignment="1">
      <alignment horizontal="center"/>
    </xf>
    <xf numFmtId="0" fontId="29" fillId="24" borderId="26" xfId="0" applyFont="1" applyFill="1" applyBorder="1" applyAlignment="1">
      <alignment horizontal="left" wrapText="1"/>
    </xf>
    <xf numFmtId="0" fontId="5" fillId="0" borderId="27" xfId="0" applyFont="1" applyBorder="1"/>
    <xf numFmtId="0" fontId="29" fillId="24" borderId="15" xfId="0" applyFont="1" applyFill="1" applyBorder="1" applyAlignment="1">
      <alignment horizontal="left" wrapText="1"/>
    </xf>
    <xf numFmtId="0" fontId="5" fillId="0" borderId="29" xfId="0" applyFont="1" applyBorder="1"/>
    <xf numFmtId="0" fontId="5" fillId="0" borderId="30" xfId="0" applyFont="1" applyBorder="1"/>
    <xf numFmtId="0" fontId="5" fillId="0" borderId="24" xfId="0" applyFont="1" applyBorder="1"/>
    <xf numFmtId="0" fontId="30" fillId="8" borderId="15" xfId="0" applyFont="1" applyFill="1" applyBorder="1" applyAlignment="1">
      <alignment horizontal="left" wrapText="1"/>
    </xf>
    <xf numFmtId="0" fontId="29" fillId="24" borderId="31" xfId="0" applyFont="1" applyFill="1" applyBorder="1" applyAlignment="1">
      <alignment horizontal="left" wrapText="1"/>
    </xf>
    <xf numFmtId="0" fontId="5" fillId="0" borderId="32" xfId="0" applyFont="1" applyBorder="1"/>
    <xf numFmtId="0" fontId="5" fillId="0" borderId="33" xfId="0" applyFont="1" applyBorder="1"/>
    <xf numFmtId="0" fontId="33" fillId="24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J1004"/>
  <sheetViews>
    <sheetView tabSelected="1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X2" sqref="X2"/>
    </sheetView>
  </sheetViews>
  <sheetFormatPr defaultColWidth="12.5703125" defaultRowHeight="15" customHeight="1" x14ac:dyDescent="0.2"/>
  <cols>
    <col min="1" max="1" width="8.85546875" customWidth="1"/>
    <col min="2" max="3" width="8.7109375" customWidth="1"/>
    <col min="4" max="4" width="7.28515625" customWidth="1"/>
    <col min="5" max="6" width="9.5703125" customWidth="1"/>
    <col min="7" max="7" width="7.7109375" customWidth="1"/>
    <col min="8" max="8" width="9.140625" customWidth="1"/>
    <col min="9" max="9" width="8.42578125" customWidth="1"/>
    <col min="10" max="10" width="9.42578125" customWidth="1"/>
    <col min="11" max="12" width="8.42578125" customWidth="1"/>
    <col min="13" max="13" width="10.7109375" customWidth="1"/>
    <col min="14" max="14" width="11.42578125" customWidth="1"/>
    <col min="15" max="17" width="6.42578125" customWidth="1"/>
    <col min="18" max="18" width="5.140625" customWidth="1"/>
    <col min="19" max="19" width="8.42578125" customWidth="1"/>
    <col min="20" max="20" width="8.28515625" customWidth="1"/>
    <col min="21" max="21" width="7.7109375" customWidth="1"/>
    <col min="22" max="22" width="8.85546875" customWidth="1"/>
    <col min="23" max="23" width="8.140625" customWidth="1"/>
    <col min="24" max="25" width="8.42578125" customWidth="1"/>
    <col min="27" max="27" width="11.28515625" customWidth="1"/>
    <col min="28" max="28" width="10" customWidth="1"/>
    <col min="29" max="29" width="21.42578125" customWidth="1"/>
    <col min="30" max="30" width="7" customWidth="1"/>
  </cols>
  <sheetData>
    <row r="1" spans="1:36" ht="15.75" customHeight="1" x14ac:dyDescent="0.2">
      <c r="A1" s="1"/>
      <c r="B1" s="2"/>
      <c r="C1" s="2"/>
      <c r="D1" s="2"/>
      <c r="E1" s="2"/>
      <c r="F1" s="2"/>
      <c r="G1" s="2" t="s">
        <v>0</v>
      </c>
      <c r="H1" s="1"/>
      <c r="I1" s="1" t="s">
        <v>0</v>
      </c>
      <c r="J1" s="1"/>
      <c r="K1" s="3" t="s">
        <v>1</v>
      </c>
      <c r="L1" s="2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1"/>
      <c r="AB1" s="1"/>
      <c r="AC1" s="1"/>
      <c r="AD1" s="1"/>
      <c r="AE1" s="2"/>
      <c r="AF1" s="2"/>
      <c r="AG1" s="2"/>
      <c r="AH1" s="2"/>
      <c r="AI1" s="2"/>
      <c r="AJ1" s="2"/>
    </row>
    <row r="2" spans="1:36" ht="33" customHeight="1" x14ac:dyDescent="0.2">
      <c r="A2" s="1"/>
      <c r="B2" s="2"/>
      <c r="C2" s="2"/>
      <c r="D2" s="2"/>
      <c r="E2" s="2"/>
      <c r="F2" s="2"/>
      <c r="G2" s="2"/>
      <c r="H2" s="4" t="s">
        <v>2</v>
      </c>
      <c r="I2" s="5">
        <v>15000</v>
      </c>
      <c r="J2" s="6"/>
      <c r="K2" s="7">
        <v>200000</v>
      </c>
      <c r="L2" s="2"/>
      <c r="M2" s="8">
        <v>0</v>
      </c>
      <c r="N2" s="2"/>
      <c r="O2" s="2">
        <v>250</v>
      </c>
      <c r="P2" s="2">
        <v>200</v>
      </c>
      <c r="Q2" s="2">
        <v>150</v>
      </c>
      <c r="R2" s="2"/>
      <c r="S2" s="2"/>
      <c r="T2" s="2"/>
      <c r="U2" s="9">
        <v>0.12</v>
      </c>
      <c r="V2" s="9"/>
      <c r="W2" s="9">
        <v>7.0000000000000007E-2</v>
      </c>
      <c r="X2" s="2"/>
      <c r="Y2" s="2"/>
      <c r="Z2" s="2"/>
      <c r="AA2" s="1"/>
      <c r="AB2" s="1"/>
      <c r="AC2" s="1"/>
      <c r="AD2" s="1"/>
      <c r="AE2" s="2"/>
      <c r="AF2" s="2"/>
      <c r="AG2" s="2"/>
      <c r="AH2" s="2"/>
      <c r="AI2" s="2"/>
      <c r="AJ2" s="2"/>
    </row>
    <row r="3" spans="1:36" ht="15.75" customHeight="1" x14ac:dyDescent="0.2">
      <c r="A3" s="10" t="s">
        <v>3</v>
      </c>
      <c r="B3" s="10" t="s">
        <v>4</v>
      </c>
      <c r="C3" s="10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10" t="s">
        <v>12</v>
      </c>
      <c r="K3" s="10" t="s">
        <v>13</v>
      </c>
      <c r="L3" s="10" t="s">
        <v>14</v>
      </c>
      <c r="M3" s="10"/>
      <c r="N3" s="10" t="s">
        <v>15</v>
      </c>
      <c r="O3" s="10" t="s">
        <v>16</v>
      </c>
      <c r="P3" s="10" t="s">
        <v>17</v>
      </c>
      <c r="Q3" s="10" t="s">
        <v>18</v>
      </c>
      <c r="R3" s="10"/>
      <c r="S3" s="10" t="s">
        <v>19</v>
      </c>
      <c r="T3" s="10" t="s">
        <v>20</v>
      </c>
      <c r="U3" s="10" t="s">
        <v>21</v>
      </c>
      <c r="V3" s="10" t="s">
        <v>22</v>
      </c>
      <c r="W3" s="10" t="s">
        <v>23</v>
      </c>
      <c r="X3" s="10" t="s">
        <v>24</v>
      </c>
      <c r="Y3" s="10" t="s">
        <v>25</v>
      </c>
      <c r="Z3" s="11"/>
      <c r="AA3" s="10" t="s">
        <v>26</v>
      </c>
      <c r="AB3" s="10" t="s">
        <v>27</v>
      </c>
      <c r="AC3" s="10" t="s">
        <v>28</v>
      </c>
      <c r="AD3" s="10" t="s">
        <v>29</v>
      </c>
      <c r="AE3" s="10" t="s">
        <v>30</v>
      </c>
      <c r="AF3" s="11" t="s">
        <v>31</v>
      </c>
      <c r="AG3" s="11" t="s">
        <v>32</v>
      </c>
      <c r="AH3" s="11" t="s">
        <v>33</v>
      </c>
      <c r="AI3" s="11" t="s">
        <v>34</v>
      </c>
      <c r="AJ3" s="11"/>
    </row>
    <row r="4" spans="1:36" ht="15.75" customHeight="1" x14ac:dyDescent="0.2">
      <c r="A4" s="12" t="s">
        <v>35</v>
      </c>
      <c r="B4" s="13">
        <f t="shared" ref="B4:B7" si="0">C4+E4</f>
        <v>121.75</v>
      </c>
      <c r="C4" s="13">
        <v>121.75</v>
      </c>
      <c r="D4" s="13">
        <f t="shared" ref="D4:D30" si="1">C4*10.764</f>
        <v>1310.5169999999998</v>
      </c>
      <c r="E4" s="14">
        <v>0</v>
      </c>
      <c r="F4" s="14">
        <v>0</v>
      </c>
      <c r="G4" s="13">
        <f t="shared" ref="G4:G30" si="2">D4+F4</f>
        <v>1310.5169999999998</v>
      </c>
      <c r="H4" s="13">
        <f t="shared" ref="H4:H24" si="3">(D4+F4)*1.5</f>
        <v>1965.7754999999997</v>
      </c>
      <c r="I4" s="15">
        <f t="shared" ref="I4:I30" si="4">H4*$I$2</f>
        <v>29486632.499999996</v>
      </c>
      <c r="J4" s="15">
        <v>1000000</v>
      </c>
      <c r="K4" s="15">
        <f>(INT(H4/250))*$K$2</f>
        <v>1400000</v>
      </c>
      <c r="L4" s="15">
        <f t="shared" ref="L4:L30" si="5">SUM(I4:K4)</f>
        <v>31886632.499999996</v>
      </c>
      <c r="M4" s="16">
        <f t="shared" ref="M4:M30" si="6">($M$2*L4)</f>
        <v>0</v>
      </c>
      <c r="N4" s="15">
        <f t="shared" ref="N4:N30" si="7">L4-M4</f>
        <v>31886632.499999996</v>
      </c>
      <c r="O4" s="15">
        <f t="shared" ref="O4:O30" si="8">H4*$O$2</f>
        <v>491443.87499999994</v>
      </c>
      <c r="P4" s="15">
        <f t="shared" ref="P4:P30" si="9">H4*$P$2</f>
        <v>393155.1</v>
      </c>
      <c r="Q4" s="15">
        <f t="shared" ref="Q4:Q30" si="10">H4*$Q$2</f>
        <v>294866.32499999995</v>
      </c>
      <c r="R4" s="15">
        <v>0</v>
      </c>
      <c r="S4" s="15">
        <f t="shared" ref="S4:S30" si="11">SUM(N4:R4)</f>
        <v>33066097.799999997</v>
      </c>
      <c r="T4" s="15">
        <v>30000</v>
      </c>
      <c r="U4" s="15">
        <f t="shared" ref="U4:U30" si="12">$U$2*N4</f>
        <v>3826395.8999999994</v>
      </c>
      <c r="V4" s="15">
        <f>(12%*O4)+(12%*P4)+(12%*Q4)</f>
        <v>141535.83599999998</v>
      </c>
      <c r="W4" s="15">
        <f t="shared" ref="W4:W30" si="13">CEILING(($W$2*N4),100)</f>
        <v>2232100</v>
      </c>
      <c r="X4" s="16">
        <v>6000</v>
      </c>
      <c r="Y4" s="16">
        <f t="shared" ref="Y4:Y30" si="14">SUM(S4:X4)</f>
        <v>39302129.535999998</v>
      </c>
      <c r="Z4" s="17"/>
      <c r="AA4" s="17" t="s">
        <v>36</v>
      </c>
      <c r="AB4" s="17" t="s">
        <v>37</v>
      </c>
      <c r="AC4" s="17" t="s">
        <v>38</v>
      </c>
      <c r="AD4" s="17"/>
      <c r="AE4" s="18" t="s">
        <v>39</v>
      </c>
      <c r="AF4" s="17">
        <v>0</v>
      </c>
      <c r="AG4" s="19" t="s">
        <v>40</v>
      </c>
      <c r="AH4" s="17">
        <v>0</v>
      </c>
      <c r="AI4" s="17" t="s">
        <v>41</v>
      </c>
      <c r="AJ4" s="17"/>
    </row>
    <row r="5" spans="1:36" ht="15.75" customHeight="1" x14ac:dyDescent="0.2">
      <c r="A5" s="4" t="s">
        <v>42</v>
      </c>
      <c r="B5" s="20">
        <f t="shared" si="0"/>
        <v>108.99</v>
      </c>
      <c r="C5" s="20">
        <v>108.99</v>
      </c>
      <c r="D5" s="20">
        <f t="shared" si="1"/>
        <v>1173.1683599999999</v>
      </c>
      <c r="E5" s="21">
        <v>0</v>
      </c>
      <c r="F5" s="21">
        <v>0</v>
      </c>
      <c r="G5" s="20">
        <f t="shared" si="2"/>
        <v>1173.1683599999999</v>
      </c>
      <c r="H5" s="20">
        <f t="shared" si="3"/>
        <v>1759.75254</v>
      </c>
      <c r="I5" s="22">
        <f t="shared" si="4"/>
        <v>26396288.099999998</v>
      </c>
      <c r="J5" s="22">
        <v>500000</v>
      </c>
      <c r="K5" s="23">
        <v>200000</v>
      </c>
      <c r="L5" s="22">
        <f t="shared" si="5"/>
        <v>27096288.099999998</v>
      </c>
      <c r="M5" s="24">
        <f t="shared" si="6"/>
        <v>0</v>
      </c>
      <c r="N5" s="22">
        <f t="shared" si="7"/>
        <v>27096288.099999998</v>
      </c>
      <c r="O5" s="22">
        <f t="shared" si="8"/>
        <v>439938.13500000001</v>
      </c>
      <c r="P5" s="22">
        <f t="shared" si="9"/>
        <v>351950.50799999997</v>
      </c>
      <c r="Q5" s="22">
        <f t="shared" si="10"/>
        <v>263962.88099999999</v>
      </c>
      <c r="R5" s="22">
        <v>0</v>
      </c>
      <c r="S5" s="22">
        <f t="shared" si="11"/>
        <v>28152139.624000002</v>
      </c>
      <c r="T5" s="22">
        <v>30000</v>
      </c>
      <c r="U5" s="22">
        <f t="shared" si="12"/>
        <v>3251554.5719999997</v>
      </c>
      <c r="V5" s="22">
        <f t="shared" ref="V5:V9" si="15">(12%*O5)+(12%*P5)</f>
        <v>95026.637159999984</v>
      </c>
      <c r="W5" s="22">
        <f t="shared" si="13"/>
        <v>1896800</v>
      </c>
      <c r="X5" s="24">
        <v>6000</v>
      </c>
      <c r="Y5" s="24">
        <f t="shared" si="14"/>
        <v>33431520.833160002</v>
      </c>
      <c r="Z5" s="25"/>
      <c r="AA5" s="25"/>
      <c r="AB5" s="25"/>
      <c r="AC5" s="25"/>
      <c r="AD5" s="25"/>
      <c r="AE5" s="26" t="s">
        <v>43</v>
      </c>
      <c r="AF5" s="26" t="s">
        <v>44</v>
      </c>
      <c r="AG5" s="25" t="s">
        <v>45</v>
      </c>
      <c r="AH5" s="26" t="s">
        <v>45</v>
      </c>
      <c r="AI5" s="25" t="s">
        <v>46</v>
      </c>
      <c r="AJ5" s="25"/>
    </row>
    <row r="6" spans="1:36" ht="15.75" customHeight="1" x14ac:dyDescent="0.2">
      <c r="A6" s="4" t="s">
        <v>47</v>
      </c>
      <c r="B6" s="20">
        <f t="shared" si="0"/>
        <v>91.68</v>
      </c>
      <c r="C6" s="20">
        <v>91.68</v>
      </c>
      <c r="D6" s="20">
        <f t="shared" si="1"/>
        <v>986.84352000000001</v>
      </c>
      <c r="E6" s="21">
        <v>0</v>
      </c>
      <c r="F6" s="21">
        <v>0</v>
      </c>
      <c r="G6" s="20">
        <f t="shared" si="2"/>
        <v>986.84352000000001</v>
      </c>
      <c r="H6" s="20">
        <f t="shared" si="3"/>
        <v>1480.2652800000001</v>
      </c>
      <c r="I6" s="22">
        <f t="shared" si="4"/>
        <v>22203979.200000003</v>
      </c>
      <c r="J6" s="23">
        <v>800000</v>
      </c>
      <c r="K6" s="23">
        <v>200000</v>
      </c>
      <c r="L6" s="22">
        <f t="shared" si="5"/>
        <v>23203979.200000003</v>
      </c>
      <c r="M6" s="24">
        <f t="shared" si="6"/>
        <v>0</v>
      </c>
      <c r="N6" s="22">
        <f t="shared" si="7"/>
        <v>23203979.200000003</v>
      </c>
      <c r="O6" s="22">
        <f t="shared" si="8"/>
        <v>370066.32</v>
      </c>
      <c r="P6" s="22">
        <f t="shared" si="9"/>
        <v>296053.05600000004</v>
      </c>
      <c r="Q6" s="22">
        <f t="shared" si="10"/>
        <v>222039.79200000002</v>
      </c>
      <c r="R6" s="22">
        <v>0</v>
      </c>
      <c r="S6" s="22">
        <f t="shared" si="11"/>
        <v>24092138.368000004</v>
      </c>
      <c r="T6" s="22">
        <v>30000</v>
      </c>
      <c r="U6" s="22">
        <f t="shared" si="12"/>
        <v>2784477.5040000002</v>
      </c>
      <c r="V6" s="22">
        <f t="shared" si="15"/>
        <v>79934.325119999994</v>
      </c>
      <c r="W6" s="22">
        <f t="shared" si="13"/>
        <v>1624300</v>
      </c>
      <c r="X6" s="24">
        <v>6000</v>
      </c>
      <c r="Y6" s="24">
        <f t="shared" si="14"/>
        <v>28616850.197120003</v>
      </c>
      <c r="Z6" s="25"/>
      <c r="AA6" s="25"/>
      <c r="AB6" s="25"/>
      <c r="AC6" s="25"/>
      <c r="AD6" s="25"/>
      <c r="AE6" s="26" t="s">
        <v>48</v>
      </c>
      <c r="AF6" s="26" t="s">
        <v>49</v>
      </c>
      <c r="AG6" s="26" t="s">
        <v>50</v>
      </c>
      <c r="AH6" s="26" t="s">
        <v>45</v>
      </c>
      <c r="AI6" s="26" t="s">
        <v>51</v>
      </c>
      <c r="AJ6" s="25"/>
    </row>
    <row r="7" spans="1:36" ht="15.75" customHeight="1" x14ac:dyDescent="0.2">
      <c r="A7" s="4" t="s">
        <v>52</v>
      </c>
      <c r="B7" s="20">
        <f t="shared" si="0"/>
        <v>92.85</v>
      </c>
      <c r="C7" s="20">
        <v>92.85</v>
      </c>
      <c r="D7" s="20">
        <f t="shared" si="1"/>
        <v>999.43739999999991</v>
      </c>
      <c r="E7" s="21">
        <v>0</v>
      </c>
      <c r="F7" s="21">
        <v>0</v>
      </c>
      <c r="G7" s="20">
        <f t="shared" si="2"/>
        <v>999.43739999999991</v>
      </c>
      <c r="H7" s="20">
        <f t="shared" si="3"/>
        <v>1499.1560999999999</v>
      </c>
      <c r="I7" s="22">
        <f t="shared" si="4"/>
        <v>22487341.5</v>
      </c>
      <c r="J7" s="23">
        <v>800000</v>
      </c>
      <c r="K7" s="23">
        <v>200000</v>
      </c>
      <c r="L7" s="22">
        <f t="shared" si="5"/>
        <v>23487341.5</v>
      </c>
      <c r="M7" s="22">
        <f t="shared" si="6"/>
        <v>0</v>
      </c>
      <c r="N7" s="22">
        <f t="shared" si="7"/>
        <v>23487341.5</v>
      </c>
      <c r="O7" s="22">
        <f t="shared" si="8"/>
        <v>374789.02499999997</v>
      </c>
      <c r="P7" s="22">
        <f t="shared" si="9"/>
        <v>299831.21999999997</v>
      </c>
      <c r="Q7" s="22">
        <f t="shared" si="10"/>
        <v>224873.41499999998</v>
      </c>
      <c r="R7" s="22">
        <v>0</v>
      </c>
      <c r="S7" s="22">
        <f t="shared" si="11"/>
        <v>24386835.159999996</v>
      </c>
      <c r="T7" s="22">
        <v>30000</v>
      </c>
      <c r="U7" s="22">
        <f t="shared" si="12"/>
        <v>2818480.98</v>
      </c>
      <c r="V7" s="22">
        <f t="shared" si="15"/>
        <v>80954.429399999994</v>
      </c>
      <c r="W7" s="22">
        <f t="shared" si="13"/>
        <v>1644200</v>
      </c>
      <c r="X7" s="24">
        <v>6000</v>
      </c>
      <c r="Y7" s="24">
        <f t="shared" si="14"/>
        <v>28966470.569399998</v>
      </c>
      <c r="Z7" s="25"/>
      <c r="AA7" s="25"/>
      <c r="AB7" s="25"/>
      <c r="AC7" s="25"/>
      <c r="AD7" s="25"/>
      <c r="AE7" s="26" t="s">
        <v>53</v>
      </c>
      <c r="AF7" s="26" t="s">
        <v>54</v>
      </c>
      <c r="AG7" s="26" t="s">
        <v>50</v>
      </c>
      <c r="AH7" s="26" t="s">
        <v>45</v>
      </c>
      <c r="AI7" s="26" t="s">
        <v>51</v>
      </c>
      <c r="AJ7" s="25"/>
    </row>
    <row r="8" spans="1:36" ht="15.75" customHeight="1" x14ac:dyDescent="0.2">
      <c r="A8" s="4" t="s">
        <v>55</v>
      </c>
      <c r="B8" s="27">
        <v>74.150999999999996</v>
      </c>
      <c r="C8" s="27">
        <v>74.150000000000006</v>
      </c>
      <c r="D8" s="20">
        <f t="shared" si="1"/>
        <v>798.15060000000005</v>
      </c>
      <c r="E8" s="21">
        <v>0</v>
      </c>
      <c r="F8" s="21">
        <v>0</v>
      </c>
      <c r="G8" s="20">
        <f t="shared" si="2"/>
        <v>798.15060000000005</v>
      </c>
      <c r="H8" s="20">
        <f t="shared" si="3"/>
        <v>1197.2259000000001</v>
      </c>
      <c r="I8" s="22">
        <f t="shared" si="4"/>
        <v>17958388.500000004</v>
      </c>
      <c r="J8" s="22">
        <v>500000</v>
      </c>
      <c r="K8" s="23">
        <v>200000</v>
      </c>
      <c r="L8" s="22">
        <f t="shared" si="5"/>
        <v>18658388.500000004</v>
      </c>
      <c r="M8" s="24">
        <f t="shared" si="6"/>
        <v>0</v>
      </c>
      <c r="N8" s="22">
        <f t="shared" si="7"/>
        <v>18658388.500000004</v>
      </c>
      <c r="O8" s="22">
        <f t="shared" si="8"/>
        <v>299306.47500000003</v>
      </c>
      <c r="P8" s="22">
        <f t="shared" si="9"/>
        <v>239445.18000000002</v>
      </c>
      <c r="Q8" s="22">
        <f t="shared" si="10"/>
        <v>179583.88500000001</v>
      </c>
      <c r="R8" s="22">
        <v>0</v>
      </c>
      <c r="S8" s="22">
        <f t="shared" si="11"/>
        <v>19376724.040000007</v>
      </c>
      <c r="T8" s="22">
        <v>30000</v>
      </c>
      <c r="U8" s="22">
        <f t="shared" si="12"/>
        <v>2239006.6200000006</v>
      </c>
      <c r="V8" s="22">
        <f t="shared" si="15"/>
        <v>64650.198600000003</v>
      </c>
      <c r="W8" s="22">
        <f t="shared" si="13"/>
        <v>1306100</v>
      </c>
      <c r="X8" s="24">
        <v>6000</v>
      </c>
      <c r="Y8" s="24">
        <f t="shared" si="14"/>
        <v>23022480.858600009</v>
      </c>
      <c r="Z8" s="25"/>
      <c r="AA8" s="26"/>
      <c r="AB8" s="25"/>
      <c r="AC8" s="25"/>
      <c r="AD8" s="25"/>
      <c r="AE8" s="26" t="s">
        <v>56</v>
      </c>
      <c r="AF8" s="26" t="s">
        <v>57</v>
      </c>
      <c r="AG8" s="25" t="s">
        <v>45</v>
      </c>
      <c r="AH8" s="26" t="s">
        <v>45</v>
      </c>
      <c r="AI8" s="25" t="s">
        <v>46</v>
      </c>
      <c r="AJ8" s="25"/>
    </row>
    <row r="9" spans="1:36" ht="15.75" customHeight="1" x14ac:dyDescent="0.2">
      <c r="A9" s="28" t="s">
        <v>58</v>
      </c>
      <c r="B9" s="27">
        <v>58.51</v>
      </c>
      <c r="C9" s="27">
        <v>58.51</v>
      </c>
      <c r="D9" s="20">
        <f t="shared" si="1"/>
        <v>629.80163999999991</v>
      </c>
      <c r="E9" s="21">
        <v>0</v>
      </c>
      <c r="F9" s="21">
        <v>0</v>
      </c>
      <c r="G9" s="20">
        <f t="shared" si="2"/>
        <v>629.80163999999991</v>
      </c>
      <c r="H9" s="20">
        <f t="shared" si="3"/>
        <v>944.70245999999986</v>
      </c>
      <c r="I9" s="22">
        <f t="shared" si="4"/>
        <v>14170536.899999999</v>
      </c>
      <c r="J9" s="23">
        <v>0</v>
      </c>
      <c r="K9" s="23">
        <v>200000</v>
      </c>
      <c r="L9" s="22">
        <f t="shared" si="5"/>
        <v>14370536.899999999</v>
      </c>
      <c r="M9" s="24">
        <f t="shared" si="6"/>
        <v>0</v>
      </c>
      <c r="N9" s="22">
        <f t="shared" si="7"/>
        <v>14370536.899999999</v>
      </c>
      <c r="O9" s="22">
        <f t="shared" si="8"/>
        <v>236175.61499999996</v>
      </c>
      <c r="P9" s="22">
        <f t="shared" si="9"/>
        <v>188940.49199999997</v>
      </c>
      <c r="Q9" s="22">
        <f t="shared" si="10"/>
        <v>141705.36899999998</v>
      </c>
      <c r="R9" s="22">
        <v>0</v>
      </c>
      <c r="S9" s="22">
        <f t="shared" si="11"/>
        <v>14937358.376</v>
      </c>
      <c r="T9" s="22">
        <v>30000</v>
      </c>
      <c r="U9" s="22">
        <f t="shared" si="12"/>
        <v>1724464.4279999998</v>
      </c>
      <c r="V9" s="22">
        <f t="shared" si="15"/>
        <v>51013.932839999994</v>
      </c>
      <c r="W9" s="22">
        <f t="shared" si="13"/>
        <v>1006000</v>
      </c>
      <c r="X9" s="24">
        <v>6000</v>
      </c>
      <c r="Y9" s="24">
        <f t="shared" si="14"/>
        <v>17754836.736840002</v>
      </c>
      <c r="Z9" s="17"/>
      <c r="AA9" s="19"/>
      <c r="AB9" s="17"/>
      <c r="AC9" s="19"/>
      <c r="AD9" s="17"/>
      <c r="AE9" s="17"/>
      <c r="AF9" s="29">
        <v>44908</v>
      </c>
      <c r="AG9" s="17"/>
      <c r="AH9" s="19" t="s">
        <v>40</v>
      </c>
      <c r="AI9" s="19" t="s">
        <v>59</v>
      </c>
      <c r="AJ9" s="17"/>
    </row>
    <row r="10" spans="1:36" ht="15.75" customHeight="1" x14ac:dyDescent="0.2">
      <c r="A10" s="12" t="s">
        <v>60</v>
      </c>
      <c r="B10" s="13">
        <f>C10+E10</f>
        <v>33.33</v>
      </c>
      <c r="C10" s="13">
        <v>33.33</v>
      </c>
      <c r="D10" s="13">
        <f t="shared" si="1"/>
        <v>358.76411999999993</v>
      </c>
      <c r="E10" s="14">
        <v>0</v>
      </c>
      <c r="F10" s="14">
        <v>0</v>
      </c>
      <c r="G10" s="13">
        <f t="shared" si="2"/>
        <v>358.76411999999993</v>
      </c>
      <c r="H10" s="13">
        <f t="shared" si="3"/>
        <v>538.14617999999996</v>
      </c>
      <c r="I10" s="15">
        <f t="shared" si="4"/>
        <v>8072192.6999999993</v>
      </c>
      <c r="J10" s="15">
        <v>0</v>
      </c>
      <c r="K10" s="30">
        <v>0</v>
      </c>
      <c r="L10" s="15">
        <f t="shared" si="5"/>
        <v>8072192.6999999993</v>
      </c>
      <c r="M10" s="15">
        <f t="shared" si="6"/>
        <v>0</v>
      </c>
      <c r="N10" s="15">
        <f t="shared" si="7"/>
        <v>8072192.6999999993</v>
      </c>
      <c r="O10" s="15">
        <f t="shared" si="8"/>
        <v>134536.54499999998</v>
      </c>
      <c r="P10" s="15">
        <f t="shared" si="9"/>
        <v>107629.23599999999</v>
      </c>
      <c r="Q10" s="15">
        <f t="shared" si="10"/>
        <v>80721.926999999996</v>
      </c>
      <c r="R10" s="15">
        <v>0</v>
      </c>
      <c r="S10" s="15">
        <f t="shared" si="11"/>
        <v>8395080.407999998</v>
      </c>
      <c r="T10" s="15">
        <v>30000</v>
      </c>
      <c r="U10" s="15">
        <f t="shared" si="12"/>
        <v>968663.12399999984</v>
      </c>
      <c r="V10" s="15">
        <f>(12%*O10)+(12%*P10)+(12%*Q10)</f>
        <v>38746.524959999995</v>
      </c>
      <c r="W10" s="15">
        <f t="shared" si="13"/>
        <v>565100</v>
      </c>
      <c r="X10" s="16">
        <v>6000</v>
      </c>
      <c r="Y10" s="16">
        <f t="shared" si="14"/>
        <v>10003590.056959998</v>
      </c>
      <c r="Z10" s="17"/>
      <c r="AA10" s="19" t="s">
        <v>61</v>
      </c>
      <c r="AB10" s="17"/>
      <c r="AC10" s="19"/>
      <c r="AD10" s="17"/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/>
    </row>
    <row r="11" spans="1:36" ht="15.75" customHeight="1" x14ac:dyDescent="0.2">
      <c r="A11" s="12" t="s">
        <v>62</v>
      </c>
      <c r="B11" s="31">
        <v>29.83</v>
      </c>
      <c r="C11" s="31">
        <v>29.83</v>
      </c>
      <c r="D11" s="13">
        <f t="shared" si="1"/>
        <v>321.09011999999996</v>
      </c>
      <c r="E11" s="14">
        <v>0</v>
      </c>
      <c r="F11" s="14">
        <v>0</v>
      </c>
      <c r="G11" s="13">
        <f t="shared" si="2"/>
        <v>321.09011999999996</v>
      </c>
      <c r="H11" s="13">
        <f t="shared" si="3"/>
        <v>481.63517999999993</v>
      </c>
      <c r="I11" s="15">
        <f t="shared" si="4"/>
        <v>7224527.6999999993</v>
      </c>
      <c r="J11" s="30">
        <v>300000</v>
      </c>
      <c r="K11" s="30">
        <v>200000</v>
      </c>
      <c r="L11" s="15">
        <f t="shared" si="5"/>
        <v>7724527.6999999993</v>
      </c>
      <c r="M11" s="16">
        <f t="shared" si="6"/>
        <v>0</v>
      </c>
      <c r="N11" s="15">
        <f t="shared" si="7"/>
        <v>7724527.6999999993</v>
      </c>
      <c r="O11" s="15">
        <f t="shared" si="8"/>
        <v>120408.79499999998</v>
      </c>
      <c r="P11" s="15">
        <f t="shared" si="9"/>
        <v>96327.035999999993</v>
      </c>
      <c r="Q11" s="15">
        <f t="shared" si="10"/>
        <v>72245.276999999987</v>
      </c>
      <c r="R11" s="15">
        <v>0</v>
      </c>
      <c r="S11" s="15">
        <f t="shared" si="11"/>
        <v>8013508.8079999993</v>
      </c>
      <c r="T11" s="15">
        <v>30000</v>
      </c>
      <c r="U11" s="15">
        <f t="shared" si="12"/>
        <v>926943.32399999991</v>
      </c>
      <c r="V11" s="15">
        <f t="shared" ref="V11:V12" si="16">(12%*O11)+(12%*P11)</f>
        <v>26008.299719999995</v>
      </c>
      <c r="W11" s="15">
        <f t="shared" si="13"/>
        <v>540800</v>
      </c>
      <c r="X11" s="16">
        <v>6000</v>
      </c>
      <c r="Y11" s="16">
        <f t="shared" si="14"/>
        <v>9543260.4317199998</v>
      </c>
      <c r="Z11" s="17"/>
      <c r="AA11" s="19" t="s">
        <v>63</v>
      </c>
      <c r="AB11" s="17"/>
      <c r="AC11" s="17"/>
      <c r="AD11" s="17"/>
      <c r="AE11" s="19">
        <v>199</v>
      </c>
      <c r="AF11" s="19" t="s">
        <v>64</v>
      </c>
      <c r="AG11" s="19" t="s">
        <v>65</v>
      </c>
      <c r="AH11" s="19" t="s">
        <v>45</v>
      </c>
      <c r="AI11" s="19" t="s">
        <v>66</v>
      </c>
      <c r="AJ11" s="17"/>
    </row>
    <row r="12" spans="1:36" ht="15.75" customHeight="1" x14ac:dyDescent="0.2">
      <c r="A12" s="28" t="s">
        <v>67</v>
      </c>
      <c r="B12" s="27">
        <v>29.34</v>
      </c>
      <c r="C12" s="27">
        <v>29.34</v>
      </c>
      <c r="D12" s="20">
        <f t="shared" si="1"/>
        <v>315.81575999999995</v>
      </c>
      <c r="E12" s="21">
        <v>0</v>
      </c>
      <c r="F12" s="21">
        <v>0</v>
      </c>
      <c r="G12" s="20">
        <f t="shared" si="2"/>
        <v>315.81575999999995</v>
      </c>
      <c r="H12" s="20">
        <f t="shared" si="3"/>
        <v>473.72363999999993</v>
      </c>
      <c r="I12" s="22">
        <f t="shared" si="4"/>
        <v>7105854.5999999987</v>
      </c>
      <c r="J12" s="23">
        <v>0</v>
      </c>
      <c r="K12" s="23">
        <v>200000</v>
      </c>
      <c r="L12" s="22">
        <f t="shared" si="5"/>
        <v>7305854.5999999987</v>
      </c>
      <c r="M12" s="24">
        <f t="shared" si="6"/>
        <v>0</v>
      </c>
      <c r="N12" s="22">
        <f t="shared" si="7"/>
        <v>7305854.5999999987</v>
      </c>
      <c r="O12" s="22">
        <f t="shared" si="8"/>
        <v>118430.90999999999</v>
      </c>
      <c r="P12" s="22">
        <f t="shared" si="9"/>
        <v>94744.727999999988</v>
      </c>
      <c r="Q12" s="22">
        <f t="shared" si="10"/>
        <v>71058.545999999988</v>
      </c>
      <c r="R12" s="22">
        <v>0</v>
      </c>
      <c r="S12" s="22">
        <f t="shared" si="11"/>
        <v>7590088.7839999991</v>
      </c>
      <c r="T12" s="22">
        <v>30000</v>
      </c>
      <c r="U12" s="22">
        <f t="shared" si="12"/>
        <v>876702.55199999979</v>
      </c>
      <c r="V12" s="22">
        <f t="shared" si="16"/>
        <v>25581.076559999994</v>
      </c>
      <c r="W12" s="22">
        <f t="shared" si="13"/>
        <v>511500</v>
      </c>
      <c r="X12" s="24">
        <v>6000</v>
      </c>
      <c r="Y12" s="24">
        <f t="shared" si="14"/>
        <v>9039872.4125599992</v>
      </c>
      <c r="Z12" s="25"/>
      <c r="AA12" s="25"/>
      <c r="AB12" s="25"/>
      <c r="AC12" s="25"/>
      <c r="AD12" s="25"/>
      <c r="AE12" s="25"/>
      <c r="AF12" s="26" t="s">
        <v>68</v>
      </c>
      <c r="AG12" s="25"/>
      <c r="AH12" s="26" t="s">
        <v>40</v>
      </c>
      <c r="AI12" s="26" t="s">
        <v>59</v>
      </c>
      <c r="AJ12" s="25"/>
    </row>
    <row r="13" spans="1:36" ht="15.75" customHeight="1" x14ac:dyDescent="0.2">
      <c r="A13" s="12" t="s">
        <v>69</v>
      </c>
      <c r="B13" s="13">
        <f t="shared" ref="B13:B24" si="17">C13+E13</f>
        <v>16.86</v>
      </c>
      <c r="C13" s="13">
        <v>16.86</v>
      </c>
      <c r="D13" s="13">
        <f t="shared" si="1"/>
        <v>181.48103999999998</v>
      </c>
      <c r="E13" s="14">
        <v>0</v>
      </c>
      <c r="F13" s="14">
        <v>0</v>
      </c>
      <c r="G13" s="13">
        <f t="shared" si="2"/>
        <v>181.48103999999998</v>
      </c>
      <c r="H13" s="13">
        <f t="shared" si="3"/>
        <v>272.22155999999995</v>
      </c>
      <c r="I13" s="15">
        <f t="shared" si="4"/>
        <v>4083323.3999999994</v>
      </c>
      <c r="J13" s="15">
        <v>0</v>
      </c>
      <c r="K13" s="30">
        <v>35000</v>
      </c>
      <c r="L13" s="15">
        <f t="shared" si="5"/>
        <v>4118323.3999999994</v>
      </c>
      <c r="M13" s="15">
        <f t="shared" si="6"/>
        <v>0</v>
      </c>
      <c r="N13" s="15">
        <f t="shared" si="7"/>
        <v>4118323.3999999994</v>
      </c>
      <c r="O13" s="15">
        <f t="shared" si="8"/>
        <v>68055.389999999985</v>
      </c>
      <c r="P13" s="15">
        <f t="shared" si="9"/>
        <v>54444.311999999991</v>
      </c>
      <c r="Q13" s="15">
        <f t="shared" si="10"/>
        <v>40833.233999999997</v>
      </c>
      <c r="R13" s="15">
        <v>0</v>
      </c>
      <c r="S13" s="15">
        <f t="shared" si="11"/>
        <v>4281656.3360000001</v>
      </c>
      <c r="T13" s="15">
        <v>30000</v>
      </c>
      <c r="U13" s="15">
        <f t="shared" si="12"/>
        <v>494198.8079999999</v>
      </c>
      <c r="V13" s="15">
        <f t="shared" ref="V13:V24" si="18">(12%*O13)+(12%*P13)+(12%*Q13)</f>
        <v>19599.952319999997</v>
      </c>
      <c r="W13" s="15">
        <f t="shared" si="13"/>
        <v>288300</v>
      </c>
      <c r="X13" s="16">
        <v>6000</v>
      </c>
      <c r="Y13" s="16">
        <f t="shared" si="14"/>
        <v>5119755.0963200005</v>
      </c>
      <c r="Z13" s="17"/>
      <c r="AA13" s="17" t="s">
        <v>70</v>
      </c>
      <c r="AB13" s="17" t="s">
        <v>37</v>
      </c>
      <c r="AC13" s="17" t="s">
        <v>71</v>
      </c>
      <c r="AD13" s="17">
        <v>12600</v>
      </c>
      <c r="AE13" s="17">
        <v>0</v>
      </c>
      <c r="AF13" s="17">
        <v>140</v>
      </c>
      <c r="AG13" s="17"/>
      <c r="AH13" s="19" t="s">
        <v>40</v>
      </c>
      <c r="AI13" s="17" t="s">
        <v>46</v>
      </c>
      <c r="AJ13" s="17"/>
    </row>
    <row r="14" spans="1:36" ht="15.75" customHeight="1" x14ac:dyDescent="0.2">
      <c r="A14" s="12" t="s">
        <v>72</v>
      </c>
      <c r="B14" s="13">
        <f t="shared" si="17"/>
        <v>16.989999999999998</v>
      </c>
      <c r="C14" s="13">
        <v>16.989999999999998</v>
      </c>
      <c r="D14" s="13">
        <f t="shared" si="1"/>
        <v>182.88035999999997</v>
      </c>
      <c r="E14" s="14">
        <v>0</v>
      </c>
      <c r="F14" s="14">
        <v>0</v>
      </c>
      <c r="G14" s="13">
        <f t="shared" si="2"/>
        <v>182.88035999999997</v>
      </c>
      <c r="H14" s="13">
        <f t="shared" si="3"/>
        <v>274.32053999999994</v>
      </c>
      <c r="I14" s="15">
        <f t="shared" si="4"/>
        <v>4114808.0999999992</v>
      </c>
      <c r="J14" s="15">
        <v>0</v>
      </c>
      <c r="K14" s="30">
        <v>35000</v>
      </c>
      <c r="L14" s="15">
        <f t="shared" si="5"/>
        <v>4149808.0999999992</v>
      </c>
      <c r="M14" s="16">
        <f t="shared" si="6"/>
        <v>0</v>
      </c>
      <c r="N14" s="15">
        <f t="shared" si="7"/>
        <v>4149808.0999999992</v>
      </c>
      <c r="O14" s="15">
        <f t="shared" si="8"/>
        <v>68580.13499999998</v>
      </c>
      <c r="P14" s="15">
        <f t="shared" si="9"/>
        <v>54864.107999999986</v>
      </c>
      <c r="Q14" s="15">
        <f t="shared" si="10"/>
        <v>41148.080999999991</v>
      </c>
      <c r="R14" s="15">
        <v>0</v>
      </c>
      <c r="S14" s="15">
        <f t="shared" si="11"/>
        <v>4314400.4239999996</v>
      </c>
      <c r="T14" s="15">
        <v>30000</v>
      </c>
      <c r="U14" s="15">
        <f t="shared" si="12"/>
        <v>497976.97199999989</v>
      </c>
      <c r="V14" s="15">
        <f t="shared" si="18"/>
        <v>19751.078879999994</v>
      </c>
      <c r="W14" s="15">
        <f t="shared" si="13"/>
        <v>290500</v>
      </c>
      <c r="X14" s="16">
        <v>6000</v>
      </c>
      <c r="Y14" s="16">
        <f t="shared" si="14"/>
        <v>5158628.4748799996</v>
      </c>
      <c r="Z14" s="17"/>
      <c r="AA14" s="17" t="s">
        <v>73</v>
      </c>
      <c r="AB14" s="17" t="s">
        <v>37</v>
      </c>
      <c r="AC14" s="17" t="s">
        <v>74</v>
      </c>
      <c r="AD14" s="17">
        <v>13100</v>
      </c>
      <c r="AE14" s="17">
        <v>0</v>
      </c>
      <c r="AF14" s="17">
        <v>125</v>
      </c>
      <c r="AG14" s="17"/>
      <c r="AH14" s="19" t="s">
        <v>40</v>
      </c>
      <c r="AI14" s="17" t="s">
        <v>46</v>
      </c>
      <c r="AJ14" s="17"/>
    </row>
    <row r="15" spans="1:36" ht="15.75" customHeight="1" x14ac:dyDescent="0.2">
      <c r="A15" s="12" t="s">
        <v>75</v>
      </c>
      <c r="B15" s="13">
        <f t="shared" si="17"/>
        <v>16.989999999999998</v>
      </c>
      <c r="C15" s="13">
        <v>16.989999999999998</v>
      </c>
      <c r="D15" s="13">
        <f t="shared" si="1"/>
        <v>182.88035999999997</v>
      </c>
      <c r="E15" s="14">
        <v>0</v>
      </c>
      <c r="F15" s="14">
        <v>0</v>
      </c>
      <c r="G15" s="13">
        <f t="shared" si="2"/>
        <v>182.88035999999997</v>
      </c>
      <c r="H15" s="13">
        <f t="shared" si="3"/>
        <v>274.32053999999994</v>
      </c>
      <c r="I15" s="15">
        <f t="shared" si="4"/>
        <v>4114808.0999999992</v>
      </c>
      <c r="J15" s="15">
        <v>0</v>
      </c>
      <c r="K15" s="30">
        <v>35000</v>
      </c>
      <c r="L15" s="15">
        <f t="shared" si="5"/>
        <v>4149808.0999999992</v>
      </c>
      <c r="M15" s="15">
        <f t="shared" si="6"/>
        <v>0</v>
      </c>
      <c r="N15" s="15">
        <f t="shared" si="7"/>
        <v>4149808.0999999992</v>
      </c>
      <c r="O15" s="15">
        <f t="shared" si="8"/>
        <v>68580.13499999998</v>
      </c>
      <c r="P15" s="15">
        <f t="shared" si="9"/>
        <v>54864.107999999986</v>
      </c>
      <c r="Q15" s="15">
        <f t="shared" si="10"/>
        <v>41148.080999999991</v>
      </c>
      <c r="R15" s="15">
        <v>0</v>
      </c>
      <c r="S15" s="15">
        <f t="shared" si="11"/>
        <v>4314400.4239999996</v>
      </c>
      <c r="T15" s="15">
        <v>30000</v>
      </c>
      <c r="U15" s="15">
        <f t="shared" si="12"/>
        <v>497976.97199999989</v>
      </c>
      <c r="V15" s="15">
        <f t="shared" si="18"/>
        <v>19751.078879999994</v>
      </c>
      <c r="W15" s="15">
        <f t="shared" si="13"/>
        <v>290500</v>
      </c>
      <c r="X15" s="16">
        <v>6000</v>
      </c>
      <c r="Y15" s="16">
        <f t="shared" si="14"/>
        <v>5158628.4748799996</v>
      </c>
      <c r="Z15" s="17"/>
      <c r="AA15" s="17" t="s">
        <v>76</v>
      </c>
      <c r="AB15" s="17" t="s">
        <v>37</v>
      </c>
      <c r="AC15" s="17" t="s">
        <v>77</v>
      </c>
      <c r="AD15" s="17">
        <v>15261</v>
      </c>
      <c r="AE15" s="17">
        <v>0</v>
      </c>
      <c r="AF15" s="17">
        <v>144</v>
      </c>
      <c r="AG15" s="17"/>
      <c r="AH15" s="19" t="s">
        <v>40</v>
      </c>
      <c r="AI15" s="17" t="s">
        <v>46</v>
      </c>
      <c r="AJ15" s="17"/>
    </row>
    <row r="16" spans="1:36" ht="15.75" customHeight="1" x14ac:dyDescent="0.2">
      <c r="A16" s="12" t="s">
        <v>78</v>
      </c>
      <c r="B16" s="13">
        <f t="shared" si="17"/>
        <v>20.71</v>
      </c>
      <c r="C16" s="13">
        <v>20.71</v>
      </c>
      <c r="D16" s="13">
        <f t="shared" si="1"/>
        <v>222.92243999999999</v>
      </c>
      <c r="E16" s="14">
        <v>0</v>
      </c>
      <c r="F16" s="14">
        <v>0</v>
      </c>
      <c r="G16" s="13">
        <f t="shared" si="2"/>
        <v>222.92243999999999</v>
      </c>
      <c r="H16" s="13">
        <f t="shared" si="3"/>
        <v>334.38365999999996</v>
      </c>
      <c r="I16" s="15">
        <f t="shared" si="4"/>
        <v>5015754.8999999994</v>
      </c>
      <c r="J16" s="15">
        <v>0</v>
      </c>
      <c r="K16" s="30">
        <v>35000</v>
      </c>
      <c r="L16" s="15">
        <f t="shared" si="5"/>
        <v>5050754.8999999994</v>
      </c>
      <c r="M16" s="16">
        <f t="shared" si="6"/>
        <v>0</v>
      </c>
      <c r="N16" s="15">
        <f t="shared" si="7"/>
        <v>5050754.8999999994</v>
      </c>
      <c r="O16" s="15">
        <f t="shared" si="8"/>
        <v>83595.914999999994</v>
      </c>
      <c r="P16" s="15">
        <f t="shared" si="9"/>
        <v>66876.731999999989</v>
      </c>
      <c r="Q16" s="15">
        <f t="shared" si="10"/>
        <v>50157.548999999992</v>
      </c>
      <c r="R16" s="15">
        <v>0</v>
      </c>
      <c r="S16" s="15">
        <f t="shared" si="11"/>
        <v>5251385.095999999</v>
      </c>
      <c r="T16" s="15">
        <v>30000</v>
      </c>
      <c r="U16" s="15">
        <f t="shared" si="12"/>
        <v>606090.58799999987</v>
      </c>
      <c r="V16" s="15">
        <f t="shared" si="18"/>
        <v>24075.623519999994</v>
      </c>
      <c r="W16" s="15">
        <f t="shared" si="13"/>
        <v>353600</v>
      </c>
      <c r="X16" s="16">
        <v>6000</v>
      </c>
      <c r="Y16" s="16">
        <f t="shared" si="14"/>
        <v>6271151.3075199984</v>
      </c>
      <c r="Z16" s="17"/>
      <c r="AA16" s="17" t="s">
        <v>79</v>
      </c>
      <c r="AB16" s="17" t="s">
        <v>37</v>
      </c>
      <c r="AC16" s="17" t="s">
        <v>80</v>
      </c>
      <c r="AD16" s="17">
        <v>13500</v>
      </c>
      <c r="AE16" s="17">
        <v>0</v>
      </c>
      <c r="AF16" s="17">
        <v>8</v>
      </c>
      <c r="AG16" s="17"/>
      <c r="AH16" s="19" t="s">
        <v>40</v>
      </c>
      <c r="AI16" s="17" t="s">
        <v>46</v>
      </c>
      <c r="AJ16" s="17"/>
    </row>
    <row r="17" spans="1:36" ht="15.75" customHeight="1" x14ac:dyDescent="0.2">
      <c r="A17" s="12" t="s">
        <v>81</v>
      </c>
      <c r="B17" s="13">
        <f t="shared" si="17"/>
        <v>20.84</v>
      </c>
      <c r="C17" s="13">
        <v>20.84</v>
      </c>
      <c r="D17" s="13">
        <f t="shared" si="1"/>
        <v>224.32175999999998</v>
      </c>
      <c r="E17" s="14">
        <v>0</v>
      </c>
      <c r="F17" s="14">
        <v>0</v>
      </c>
      <c r="G17" s="13">
        <f t="shared" si="2"/>
        <v>224.32175999999998</v>
      </c>
      <c r="H17" s="13">
        <f t="shared" si="3"/>
        <v>336.48263999999995</v>
      </c>
      <c r="I17" s="15">
        <f t="shared" si="4"/>
        <v>5047239.5999999996</v>
      </c>
      <c r="J17" s="15">
        <v>0</v>
      </c>
      <c r="K17" s="30">
        <v>35000</v>
      </c>
      <c r="L17" s="15">
        <f t="shared" si="5"/>
        <v>5082239.5999999996</v>
      </c>
      <c r="M17" s="16">
        <f t="shared" si="6"/>
        <v>0</v>
      </c>
      <c r="N17" s="15">
        <f t="shared" si="7"/>
        <v>5082239.5999999996</v>
      </c>
      <c r="O17" s="15">
        <f t="shared" si="8"/>
        <v>84120.659999999989</v>
      </c>
      <c r="P17" s="15">
        <f t="shared" si="9"/>
        <v>67296.527999999991</v>
      </c>
      <c r="Q17" s="15">
        <f t="shared" si="10"/>
        <v>50472.395999999993</v>
      </c>
      <c r="R17" s="15">
        <v>0</v>
      </c>
      <c r="S17" s="15">
        <f t="shared" si="11"/>
        <v>5284129.1839999994</v>
      </c>
      <c r="T17" s="15">
        <v>30000</v>
      </c>
      <c r="U17" s="15">
        <f t="shared" si="12"/>
        <v>609868.75199999998</v>
      </c>
      <c r="V17" s="15">
        <f t="shared" si="18"/>
        <v>24226.750079999998</v>
      </c>
      <c r="W17" s="15">
        <f t="shared" si="13"/>
        <v>355800</v>
      </c>
      <c r="X17" s="16">
        <v>6000</v>
      </c>
      <c r="Y17" s="16">
        <f t="shared" si="14"/>
        <v>6310024.6860799994</v>
      </c>
      <c r="Z17" s="32"/>
      <c r="AA17" s="32" t="s">
        <v>82</v>
      </c>
      <c r="AB17" s="32" t="s">
        <v>37</v>
      </c>
      <c r="AC17" s="32" t="s">
        <v>83</v>
      </c>
      <c r="AD17" s="17">
        <v>13028</v>
      </c>
      <c r="AE17" s="17">
        <v>0</v>
      </c>
      <c r="AF17" s="19">
        <v>31</v>
      </c>
      <c r="AG17" s="17"/>
      <c r="AH17" s="19" t="s">
        <v>40</v>
      </c>
      <c r="AI17" s="17" t="s">
        <v>84</v>
      </c>
      <c r="AJ17" s="17"/>
    </row>
    <row r="18" spans="1:36" ht="15.75" customHeight="1" x14ac:dyDescent="0.2">
      <c r="A18" s="12" t="s">
        <v>85</v>
      </c>
      <c r="B18" s="13">
        <f t="shared" si="17"/>
        <v>17.13</v>
      </c>
      <c r="C18" s="13">
        <v>17.13</v>
      </c>
      <c r="D18" s="13">
        <f t="shared" si="1"/>
        <v>184.38731999999999</v>
      </c>
      <c r="E18" s="14">
        <v>0</v>
      </c>
      <c r="F18" s="14">
        <v>0</v>
      </c>
      <c r="G18" s="13">
        <f t="shared" si="2"/>
        <v>184.38731999999999</v>
      </c>
      <c r="H18" s="13">
        <f t="shared" si="3"/>
        <v>276.58097999999995</v>
      </c>
      <c r="I18" s="15">
        <f t="shared" si="4"/>
        <v>4148714.6999999993</v>
      </c>
      <c r="J18" s="15">
        <v>0</v>
      </c>
      <c r="K18" s="30">
        <v>35000</v>
      </c>
      <c r="L18" s="15">
        <f t="shared" si="5"/>
        <v>4183714.6999999993</v>
      </c>
      <c r="M18" s="16">
        <f t="shared" si="6"/>
        <v>0</v>
      </c>
      <c r="N18" s="15">
        <f t="shared" si="7"/>
        <v>4183714.6999999993</v>
      </c>
      <c r="O18" s="15">
        <f t="shared" si="8"/>
        <v>69145.244999999995</v>
      </c>
      <c r="P18" s="15">
        <f t="shared" si="9"/>
        <v>55316.195999999989</v>
      </c>
      <c r="Q18" s="15">
        <f t="shared" si="10"/>
        <v>41487.14699999999</v>
      </c>
      <c r="R18" s="15">
        <v>0</v>
      </c>
      <c r="S18" s="15">
        <f t="shared" si="11"/>
        <v>4349663.2879999988</v>
      </c>
      <c r="T18" s="15">
        <v>30000</v>
      </c>
      <c r="U18" s="15">
        <f t="shared" si="12"/>
        <v>502045.76399999991</v>
      </c>
      <c r="V18" s="15">
        <f t="shared" si="18"/>
        <v>19913.830559999995</v>
      </c>
      <c r="W18" s="15">
        <f t="shared" si="13"/>
        <v>292900</v>
      </c>
      <c r="X18" s="16">
        <v>6000</v>
      </c>
      <c r="Y18" s="16">
        <f t="shared" si="14"/>
        <v>5200522.882559998</v>
      </c>
      <c r="Z18" s="17"/>
      <c r="AA18" s="17" t="s">
        <v>86</v>
      </c>
      <c r="AB18" s="17" t="s">
        <v>37</v>
      </c>
      <c r="AC18" s="17" t="s">
        <v>87</v>
      </c>
      <c r="AD18" s="17">
        <v>13104</v>
      </c>
      <c r="AE18" s="17">
        <v>0</v>
      </c>
      <c r="AF18" s="17">
        <v>529</v>
      </c>
      <c r="AG18" s="17"/>
      <c r="AH18" s="19" t="s">
        <v>40</v>
      </c>
      <c r="AI18" s="17" t="s">
        <v>84</v>
      </c>
      <c r="AJ18" s="17"/>
    </row>
    <row r="19" spans="1:36" ht="15.75" customHeight="1" x14ac:dyDescent="0.2">
      <c r="A19" s="12" t="s">
        <v>88</v>
      </c>
      <c r="B19" s="13">
        <f t="shared" si="17"/>
        <v>16.989999999999998</v>
      </c>
      <c r="C19" s="13">
        <v>16.989999999999998</v>
      </c>
      <c r="D19" s="13">
        <f t="shared" si="1"/>
        <v>182.88035999999997</v>
      </c>
      <c r="E19" s="14">
        <v>0</v>
      </c>
      <c r="F19" s="14">
        <v>0</v>
      </c>
      <c r="G19" s="13">
        <f t="shared" si="2"/>
        <v>182.88035999999997</v>
      </c>
      <c r="H19" s="13">
        <f t="shared" si="3"/>
        <v>274.32053999999994</v>
      </c>
      <c r="I19" s="15">
        <f t="shared" si="4"/>
        <v>4114808.0999999992</v>
      </c>
      <c r="J19" s="15">
        <v>0</v>
      </c>
      <c r="K19" s="30">
        <v>35000</v>
      </c>
      <c r="L19" s="15">
        <f t="shared" si="5"/>
        <v>4149808.0999999992</v>
      </c>
      <c r="M19" s="16">
        <f t="shared" si="6"/>
        <v>0</v>
      </c>
      <c r="N19" s="15">
        <f t="shared" si="7"/>
        <v>4149808.0999999992</v>
      </c>
      <c r="O19" s="15">
        <f t="shared" si="8"/>
        <v>68580.13499999998</v>
      </c>
      <c r="P19" s="15">
        <f t="shared" si="9"/>
        <v>54864.107999999986</v>
      </c>
      <c r="Q19" s="15">
        <f t="shared" si="10"/>
        <v>41148.080999999991</v>
      </c>
      <c r="R19" s="15">
        <v>0</v>
      </c>
      <c r="S19" s="15">
        <f t="shared" si="11"/>
        <v>4314400.4239999996</v>
      </c>
      <c r="T19" s="15">
        <v>30000</v>
      </c>
      <c r="U19" s="15">
        <f t="shared" si="12"/>
        <v>497976.97199999989</v>
      </c>
      <c r="V19" s="15">
        <f t="shared" si="18"/>
        <v>19751.078879999994</v>
      </c>
      <c r="W19" s="15">
        <f t="shared" si="13"/>
        <v>290500</v>
      </c>
      <c r="X19" s="16">
        <v>6000</v>
      </c>
      <c r="Y19" s="16">
        <f t="shared" si="14"/>
        <v>5158628.4748799996</v>
      </c>
      <c r="Z19" s="17"/>
      <c r="AA19" s="17" t="s">
        <v>89</v>
      </c>
      <c r="AB19" s="17" t="s">
        <v>37</v>
      </c>
      <c r="AC19" s="17" t="s">
        <v>83</v>
      </c>
      <c r="AD19" s="17">
        <v>14570</v>
      </c>
      <c r="AE19" s="17">
        <v>0</v>
      </c>
      <c r="AF19" s="17">
        <v>130</v>
      </c>
      <c r="AG19" s="17"/>
      <c r="AH19" s="19" t="s">
        <v>40</v>
      </c>
      <c r="AI19" s="17" t="s">
        <v>46</v>
      </c>
      <c r="AJ19" s="17"/>
    </row>
    <row r="20" spans="1:36" ht="21.75" customHeight="1" x14ac:dyDescent="0.2">
      <c r="A20" s="12" t="s">
        <v>90</v>
      </c>
      <c r="B20" s="13">
        <f t="shared" si="17"/>
        <v>17.13</v>
      </c>
      <c r="C20" s="13">
        <v>17.13</v>
      </c>
      <c r="D20" s="13">
        <f t="shared" si="1"/>
        <v>184.38731999999999</v>
      </c>
      <c r="E20" s="14">
        <v>0</v>
      </c>
      <c r="F20" s="14">
        <v>0</v>
      </c>
      <c r="G20" s="13">
        <f t="shared" si="2"/>
        <v>184.38731999999999</v>
      </c>
      <c r="H20" s="13">
        <f t="shared" si="3"/>
        <v>276.58097999999995</v>
      </c>
      <c r="I20" s="15">
        <f t="shared" si="4"/>
        <v>4148714.6999999993</v>
      </c>
      <c r="J20" s="15">
        <v>500000</v>
      </c>
      <c r="K20" s="30">
        <v>35000</v>
      </c>
      <c r="L20" s="15">
        <f t="shared" si="5"/>
        <v>4683714.6999999993</v>
      </c>
      <c r="M20" s="15">
        <f t="shared" si="6"/>
        <v>0</v>
      </c>
      <c r="N20" s="15">
        <f t="shared" si="7"/>
        <v>4683714.6999999993</v>
      </c>
      <c r="O20" s="15">
        <f t="shared" si="8"/>
        <v>69145.244999999995</v>
      </c>
      <c r="P20" s="15">
        <f t="shared" si="9"/>
        <v>55316.195999999989</v>
      </c>
      <c r="Q20" s="15">
        <f t="shared" si="10"/>
        <v>41487.14699999999</v>
      </c>
      <c r="R20" s="15">
        <v>0</v>
      </c>
      <c r="S20" s="15">
        <f t="shared" si="11"/>
        <v>4849663.2879999988</v>
      </c>
      <c r="T20" s="15">
        <v>30000</v>
      </c>
      <c r="U20" s="15">
        <f t="shared" si="12"/>
        <v>562045.76399999985</v>
      </c>
      <c r="V20" s="15">
        <f t="shared" si="18"/>
        <v>19913.830559999995</v>
      </c>
      <c r="W20" s="15">
        <f t="shared" si="13"/>
        <v>327900</v>
      </c>
      <c r="X20" s="16">
        <v>6000</v>
      </c>
      <c r="Y20" s="16">
        <f t="shared" si="14"/>
        <v>5795522.882559998</v>
      </c>
      <c r="Z20" s="17"/>
      <c r="AA20" s="17" t="s">
        <v>91</v>
      </c>
      <c r="AB20" s="17" t="s">
        <v>92</v>
      </c>
      <c r="AC20" s="17" t="s">
        <v>93</v>
      </c>
      <c r="AD20" s="17">
        <v>14000</v>
      </c>
      <c r="AE20" s="17" t="s">
        <v>94</v>
      </c>
      <c r="AF20" s="17">
        <v>138</v>
      </c>
      <c r="AG20" s="17" t="s">
        <v>45</v>
      </c>
      <c r="AH20" s="19" t="s">
        <v>40</v>
      </c>
      <c r="AI20" s="17" t="s">
        <v>46</v>
      </c>
      <c r="AJ20" s="17"/>
    </row>
    <row r="21" spans="1:36" ht="15.75" customHeight="1" x14ac:dyDescent="0.2">
      <c r="A21" s="12" t="s">
        <v>95</v>
      </c>
      <c r="B21" s="13">
        <f t="shared" si="17"/>
        <v>26.04</v>
      </c>
      <c r="C21" s="13">
        <v>26.04</v>
      </c>
      <c r="D21" s="13">
        <f t="shared" si="1"/>
        <v>280.29455999999999</v>
      </c>
      <c r="E21" s="14">
        <v>0</v>
      </c>
      <c r="F21" s="14">
        <v>0</v>
      </c>
      <c r="G21" s="13">
        <f t="shared" si="2"/>
        <v>280.29455999999999</v>
      </c>
      <c r="H21" s="13">
        <f t="shared" si="3"/>
        <v>420.44183999999996</v>
      </c>
      <c r="I21" s="15">
        <f t="shared" si="4"/>
        <v>6306627.5999999996</v>
      </c>
      <c r="J21" s="15">
        <v>500000</v>
      </c>
      <c r="K21" s="30">
        <v>35000</v>
      </c>
      <c r="L21" s="15">
        <f t="shared" si="5"/>
        <v>6841627.5999999996</v>
      </c>
      <c r="M21" s="16">
        <f t="shared" si="6"/>
        <v>0</v>
      </c>
      <c r="N21" s="15">
        <f t="shared" si="7"/>
        <v>6841627.5999999996</v>
      </c>
      <c r="O21" s="15">
        <f t="shared" si="8"/>
        <v>105110.45999999999</v>
      </c>
      <c r="P21" s="15">
        <f t="shared" si="9"/>
        <v>84088.367999999988</v>
      </c>
      <c r="Q21" s="15">
        <f t="shared" si="10"/>
        <v>63066.275999999991</v>
      </c>
      <c r="R21" s="15">
        <v>0</v>
      </c>
      <c r="S21" s="15">
        <f t="shared" si="11"/>
        <v>7093892.703999999</v>
      </c>
      <c r="T21" s="15">
        <v>30000</v>
      </c>
      <c r="U21" s="15">
        <f t="shared" si="12"/>
        <v>820995.31199999992</v>
      </c>
      <c r="V21" s="15">
        <f t="shared" si="18"/>
        <v>30271.812479999993</v>
      </c>
      <c r="W21" s="15">
        <f t="shared" si="13"/>
        <v>479000</v>
      </c>
      <c r="X21" s="16">
        <v>6000</v>
      </c>
      <c r="Y21" s="16">
        <f t="shared" si="14"/>
        <v>8460159.8284799978</v>
      </c>
      <c r="Z21" s="17"/>
      <c r="AA21" s="17" t="s">
        <v>96</v>
      </c>
      <c r="AB21" s="17" t="s">
        <v>37</v>
      </c>
      <c r="AC21" s="17" t="s">
        <v>97</v>
      </c>
      <c r="AD21" s="17">
        <v>12600</v>
      </c>
      <c r="AE21" s="17" t="s">
        <v>98</v>
      </c>
      <c r="AF21" s="19">
        <v>148</v>
      </c>
      <c r="AG21" s="17" t="s">
        <v>45</v>
      </c>
      <c r="AH21" s="19" t="s">
        <v>40</v>
      </c>
      <c r="AI21" s="17" t="s">
        <v>46</v>
      </c>
      <c r="AJ21" s="17"/>
    </row>
    <row r="22" spans="1:36" ht="15.75" customHeight="1" x14ac:dyDescent="0.2">
      <c r="A22" s="12" t="s">
        <v>99</v>
      </c>
      <c r="B22" s="13">
        <f t="shared" si="17"/>
        <v>32.6</v>
      </c>
      <c r="C22" s="13">
        <v>32.6</v>
      </c>
      <c r="D22" s="13">
        <f t="shared" si="1"/>
        <v>350.90640000000002</v>
      </c>
      <c r="E22" s="14">
        <v>0</v>
      </c>
      <c r="F22" s="14">
        <v>0</v>
      </c>
      <c r="G22" s="13">
        <f t="shared" si="2"/>
        <v>350.90640000000002</v>
      </c>
      <c r="H22" s="13">
        <f t="shared" si="3"/>
        <v>526.3596</v>
      </c>
      <c r="I22" s="15">
        <f t="shared" si="4"/>
        <v>7895394</v>
      </c>
      <c r="J22" s="15">
        <v>500000</v>
      </c>
      <c r="K22" s="30">
        <v>0</v>
      </c>
      <c r="L22" s="15">
        <f t="shared" si="5"/>
        <v>8395394</v>
      </c>
      <c r="M22" s="16">
        <f t="shared" si="6"/>
        <v>0</v>
      </c>
      <c r="N22" s="15">
        <f t="shared" si="7"/>
        <v>8395394</v>
      </c>
      <c r="O22" s="15">
        <f t="shared" si="8"/>
        <v>131589.9</v>
      </c>
      <c r="P22" s="15">
        <f t="shared" si="9"/>
        <v>105271.92</v>
      </c>
      <c r="Q22" s="15">
        <f t="shared" si="10"/>
        <v>78953.94</v>
      </c>
      <c r="R22" s="15">
        <v>0</v>
      </c>
      <c r="S22" s="15">
        <f t="shared" si="11"/>
        <v>8711209.7599999998</v>
      </c>
      <c r="T22" s="15">
        <v>30000</v>
      </c>
      <c r="U22" s="15">
        <f t="shared" si="12"/>
        <v>1007447.2799999999</v>
      </c>
      <c r="V22" s="15">
        <f t="shared" si="18"/>
        <v>37897.891199999998</v>
      </c>
      <c r="W22" s="15">
        <f t="shared" si="13"/>
        <v>587700</v>
      </c>
      <c r="X22" s="16">
        <v>6000</v>
      </c>
      <c r="Y22" s="16">
        <f t="shared" si="14"/>
        <v>10380254.9312</v>
      </c>
      <c r="Z22" s="17"/>
      <c r="AA22" s="17" t="s">
        <v>100</v>
      </c>
      <c r="AB22" s="17" t="s">
        <v>37</v>
      </c>
      <c r="AC22" s="17" t="s">
        <v>101</v>
      </c>
      <c r="AD22" s="17">
        <v>11500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/>
    </row>
    <row r="23" spans="1:36" ht="15.75" customHeight="1" x14ac:dyDescent="0.2">
      <c r="A23" s="12" t="s">
        <v>102</v>
      </c>
      <c r="B23" s="13">
        <f t="shared" si="17"/>
        <v>79.510000000000005</v>
      </c>
      <c r="C23" s="13">
        <v>58.03</v>
      </c>
      <c r="D23" s="13">
        <f t="shared" si="1"/>
        <v>624.63491999999997</v>
      </c>
      <c r="E23" s="31">
        <v>21.48</v>
      </c>
      <c r="F23" s="33">
        <v>231.16</v>
      </c>
      <c r="G23" s="13">
        <f t="shared" si="2"/>
        <v>855.79491999999993</v>
      </c>
      <c r="H23" s="13">
        <f t="shared" si="3"/>
        <v>1283.69238</v>
      </c>
      <c r="I23" s="15">
        <f t="shared" si="4"/>
        <v>19255385.699999999</v>
      </c>
      <c r="J23" s="15">
        <v>500000</v>
      </c>
      <c r="K23" s="30">
        <v>105000</v>
      </c>
      <c r="L23" s="15">
        <f t="shared" si="5"/>
        <v>19860385.699999999</v>
      </c>
      <c r="M23" s="16">
        <f t="shared" si="6"/>
        <v>0</v>
      </c>
      <c r="N23" s="15">
        <f t="shared" si="7"/>
        <v>19860385.699999999</v>
      </c>
      <c r="O23" s="15">
        <f t="shared" si="8"/>
        <v>320923.09499999997</v>
      </c>
      <c r="P23" s="15">
        <f t="shared" si="9"/>
        <v>256738.476</v>
      </c>
      <c r="Q23" s="15">
        <f t="shared" si="10"/>
        <v>192553.85699999999</v>
      </c>
      <c r="R23" s="15">
        <v>0</v>
      </c>
      <c r="S23" s="15">
        <f t="shared" si="11"/>
        <v>20630601.127999999</v>
      </c>
      <c r="T23" s="15">
        <v>30000</v>
      </c>
      <c r="U23" s="15">
        <f t="shared" si="12"/>
        <v>2383246.284</v>
      </c>
      <c r="V23" s="15">
        <f t="shared" si="18"/>
        <v>92425.851359999986</v>
      </c>
      <c r="W23" s="15">
        <f t="shared" si="13"/>
        <v>1390300</v>
      </c>
      <c r="X23" s="16">
        <v>6000</v>
      </c>
      <c r="Y23" s="16">
        <f t="shared" si="14"/>
        <v>24532573.263360001</v>
      </c>
      <c r="Z23" s="17"/>
      <c r="AA23" s="17" t="s">
        <v>103</v>
      </c>
      <c r="AB23" s="17" t="s">
        <v>37</v>
      </c>
      <c r="AC23" s="17" t="s">
        <v>104</v>
      </c>
      <c r="AD23" s="17">
        <v>13050</v>
      </c>
      <c r="AE23" s="17" t="s">
        <v>105</v>
      </c>
      <c r="AF23" s="19" t="s">
        <v>106</v>
      </c>
      <c r="AG23" s="17" t="s">
        <v>45</v>
      </c>
      <c r="AH23" s="19" t="s">
        <v>40</v>
      </c>
      <c r="AI23" s="19" t="s">
        <v>107</v>
      </c>
      <c r="AJ23" s="17"/>
    </row>
    <row r="24" spans="1:36" ht="15.75" customHeight="1" x14ac:dyDescent="0.2">
      <c r="A24" s="12" t="s">
        <v>108</v>
      </c>
      <c r="B24" s="13">
        <f t="shared" si="17"/>
        <v>32.6</v>
      </c>
      <c r="C24" s="13">
        <v>32.6</v>
      </c>
      <c r="D24" s="13">
        <f t="shared" si="1"/>
        <v>350.90640000000002</v>
      </c>
      <c r="E24" s="14">
        <v>0</v>
      </c>
      <c r="F24" s="14">
        <v>0</v>
      </c>
      <c r="G24" s="13">
        <f t="shared" si="2"/>
        <v>350.90640000000002</v>
      </c>
      <c r="H24" s="13">
        <f t="shared" si="3"/>
        <v>526.3596</v>
      </c>
      <c r="I24" s="15">
        <f t="shared" si="4"/>
        <v>7895394</v>
      </c>
      <c r="J24" s="15">
        <v>500000</v>
      </c>
      <c r="K24" s="15">
        <f>(INT(H24/250))*$K$2</f>
        <v>400000</v>
      </c>
      <c r="L24" s="15">
        <f t="shared" si="5"/>
        <v>8795394</v>
      </c>
      <c r="M24" s="16">
        <f t="shared" si="6"/>
        <v>0</v>
      </c>
      <c r="N24" s="15">
        <f t="shared" si="7"/>
        <v>8795394</v>
      </c>
      <c r="O24" s="15">
        <f t="shared" si="8"/>
        <v>131589.9</v>
      </c>
      <c r="P24" s="15">
        <f t="shared" si="9"/>
        <v>105271.92</v>
      </c>
      <c r="Q24" s="15">
        <f t="shared" si="10"/>
        <v>78953.94</v>
      </c>
      <c r="R24" s="15">
        <v>0</v>
      </c>
      <c r="S24" s="15">
        <f t="shared" si="11"/>
        <v>9111209.7599999998</v>
      </c>
      <c r="T24" s="15">
        <v>30000</v>
      </c>
      <c r="U24" s="15">
        <f t="shared" si="12"/>
        <v>1055447.28</v>
      </c>
      <c r="V24" s="15">
        <f t="shared" si="18"/>
        <v>37897.891199999998</v>
      </c>
      <c r="W24" s="15">
        <f t="shared" si="13"/>
        <v>615700</v>
      </c>
      <c r="X24" s="16">
        <v>6000</v>
      </c>
      <c r="Y24" s="16">
        <f t="shared" si="14"/>
        <v>10856254.9312</v>
      </c>
      <c r="Z24" s="17"/>
      <c r="AA24" s="17" t="s">
        <v>109</v>
      </c>
      <c r="AB24" s="17" t="s">
        <v>37</v>
      </c>
      <c r="AC24" s="17" t="s">
        <v>110</v>
      </c>
      <c r="AD24" s="17">
        <v>12300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/>
    </row>
    <row r="25" spans="1:36" ht="15.75" customHeight="1" x14ac:dyDescent="0.2">
      <c r="A25" s="4" t="s">
        <v>111</v>
      </c>
      <c r="B25" s="27">
        <v>29.13</v>
      </c>
      <c r="C25" s="27">
        <v>29.13</v>
      </c>
      <c r="D25" s="20">
        <f t="shared" si="1"/>
        <v>313.55531999999999</v>
      </c>
      <c r="E25" s="21">
        <v>0</v>
      </c>
      <c r="F25" s="21">
        <v>0</v>
      </c>
      <c r="G25" s="20">
        <f t="shared" si="2"/>
        <v>313.55531999999999</v>
      </c>
      <c r="H25" s="20">
        <f t="shared" ref="H25:H26" si="19">(D25+(F25/2))*1.5</f>
        <v>470.33298000000002</v>
      </c>
      <c r="I25" s="22">
        <f t="shared" si="4"/>
        <v>7054994.7000000002</v>
      </c>
      <c r="J25" s="23">
        <v>0</v>
      </c>
      <c r="K25" s="23">
        <v>200000</v>
      </c>
      <c r="L25" s="22">
        <f t="shared" si="5"/>
        <v>7254994.7000000002</v>
      </c>
      <c r="M25" s="24">
        <f t="shared" si="6"/>
        <v>0</v>
      </c>
      <c r="N25" s="22">
        <f t="shared" si="7"/>
        <v>7254994.7000000002</v>
      </c>
      <c r="O25" s="22">
        <f t="shared" si="8"/>
        <v>117583.24500000001</v>
      </c>
      <c r="P25" s="22">
        <f t="shared" si="9"/>
        <v>94066.596000000005</v>
      </c>
      <c r="Q25" s="22">
        <f t="shared" si="10"/>
        <v>70549.947</v>
      </c>
      <c r="R25" s="22">
        <v>0</v>
      </c>
      <c r="S25" s="22">
        <f t="shared" si="11"/>
        <v>7537194.4879999999</v>
      </c>
      <c r="T25" s="22">
        <v>30000</v>
      </c>
      <c r="U25" s="22">
        <f t="shared" si="12"/>
        <v>870599.36399999994</v>
      </c>
      <c r="V25" s="22">
        <f t="shared" ref="V25:V26" si="20">(12%*O25)+(12%*P25)</f>
        <v>25397.980920000002</v>
      </c>
      <c r="W25" s="22">
        <f t="shared" si="13"/>
        <v>507900</v>
      </c>
      <c r="X25" s="24">
        <v>6000</v>
      </c>
      <c r="Y25" s="24">
        <f t="shared" si="14"/>
        <v>8977091.83292</v>
      </c>
      <c r="Z25" s="25"/>
      <c r="AA25" s="25"/>
      <c r="AB25" s="25"/>
      <c r="AC25" s="25"/>
      <c r="AD25" s="25"/>
      <c r="AE25" s="25"/>
      <c r="AF25" s="26" t="s">
        <v>112</v>
      </c>
      <c r="AG25" s="26"/>
      <c r="AH25" s="26" t="s">
        <v>45</v>
      </c>
      <c r="AI25" s="26" t="s">
        <v>46</v>
      </c>
      <c r="AJ25" s="25"/>
    </row>
    <row r="26" spans="1:36" ht="15.75" customHeight="1" x14ac:dyDescent="0.2">
      <c r="A26" s="28" t="s">
        <v>113</v>
      </c>
      <c r="B26" s="27">
        <v>28.69</v>
      </c>
      <c r="C26" s="27">
        <v>28.69</v>
      </c>
      <c r="D26" s="20">
        <f t="shared" si="1"/>
        <v>308.81916000000001</v>
      </c>
      <c r="E26" s="21">
        <v>0</v>
      </c>
      <c r="F26" s="21">
        <v>0</v>
      </c>
      <c r="G26" s="20">
        <f t="shared" si="2"/>
        <v>308.81916000000001</v>
      </c>
      <c r="H26" s="20">
        <f t="shared" si="19"/>
        <v>463.22874000000002</v>
      </c>
      <c r="I26" s="22">
        <f t="shared" si="4"/>
        <v>6948431.1000000006</v>
      </c>
      <c r="J26" s="23">
        <v>0</v>
      </c>
      <c r="K26" s="23">
        <v>200000</v>
      </c>
      <c r="L26" s="22">
        <f t="shared" si="5"/>
        <v>7148431.1000000006</v>
      </c>
      <c r="M26" s="24">
        <f t="shared" si="6"/>
        <v>0</v>
      </c>
      <c r="N26" s="22">
        <f t="shared" si="7"/>
        <v>7148431.1000000006</v>
      </c>
      <c r="O26" s="22">
        <f t="shared" si="8"/>
        <v>115807.185</v>
      </c>
      <c r="P26" s="22">
        <f t="shared" si="9"/>
        <v>92645.748000000007</v>
      </c>
      <c r="Q26" s="22">
        <f t="shared" si="10"/>
        <v>69484.311000000002</v>
      </c>
      <c r="R26" s="22">
        <v>0</v>
      </c>
      <c r="S26" s="22">
        <f t="shared" si="11"/>
        <v>7426368.3439999996</v>
      </c>
      <c r="T26" s="22">
        <v>30000</v>
      </c>
      <c r="U26" s="22">
        <f t="shared" si="12"/>
        <v>857811.73200000008</v>
      </c>
      <c r="V26" s="22">
        <f t="shared" si="20"/>
        <v>25014.35196</v>
      </c>
      <c r="W26" s="22">
        <f t="shared" si="13"/>
        <v>500400</v>
      </c>
      <c r="X26" s="24">
        <v>6000</v>
      </c>
      <c r="Y26" s="24">
        <f t="shared" si="14"/>
        <v>8845594.4279599991</v>
      </c>
      <c r="Z26" s="17"/>
      <c r="AA26" s="17"/>
      <c r="AB26" s="32"/>
      <c r="AC26" s="32"/>
      <c r="AD26" s="17"/>
      <c r="AE26" s="17"/>
      <c r="AF26" s="19" t="s">
        <v>114</v>
      </c>
      <c r="AG26" s="19"/>
      <c r="AH26" s="19" t="s">
        <v>40</v>
      </c>
      <c r="AI26" s="19" t="s">
        <v>59</v>
      </c>
      <c r="AJ26" s="17"/>
    </row>
    <row r="27" spans="1:36" ht="15.75" customHeight="1" x14ac:dyDescent="0.2">
      <c r="A27" s="12" t="s">
        <v>115</v>
      </c>
      <c r="B27" s="13">
        <f t="shared" ref="B27:B29" si="21">C27+E27</f>
        <v>16.739999999999998</v>
      </c>
      <c r="C27" s="13">
        <v>16.739999999999998</v>
      </c>
      <c r="D27" s="13">
        <f t="shared" si="1"/>
        <v>180.18935999999997</v>
      </c>
      <c r="E27" s="14">
        <v>0</v>
      </c>
      <c r="F27" s="14">
        <v>0</v>
      </c>
      <c r="G27" s="13">
        <f t="shared" si="2"/>
        <v>180.18935999999997</v>
      </c>
      <c r="H27" s="13">
        <f t="shared" ref="H27:H30" si="22">(D27+F27)*1.5</f>
        <v>270.28403999999995</v>
      </c>
      <c r="I27" s="15">
        <f t="shared" si="4"/>
        <v>4054260.5999999992</v>
      </c>
      <c r="J27" s="15">
        <v>0</v>
      </c>
      <c r="K27" s="30">
        <v>35000</v>
      </c>
      <c r="L27" s="15">
        <f t="shared" si="5"/>
        <v>4089260.5999999992</v>
      </c>
      <c r="M27" s="15">
        <f t="shared" si="6"/>
        <v>0</v>
      </c>
      <c r="N27" s="15">
        <f t="shared" si="7"/>
        <v>4089260.5999999992</v>
      </c>
      <c r="O27" s="15">
        <f t="shared" si="8"/>
        <v>67571.00999999998</v>
      </c>
      <c r="P27" s="15">
        <f t="shared" si="9"/>
        <v>54056.80799999999</v>
      </c>
      <c r="Q27" s="15">
        <f t="shared" si="10"/>
        <v>40542.605999999992</v>
      </c>
      <c r="R27" s="15">
        <v>0</v>
      </c>
      <c r="S27" s="15">
        <f t="shared" si="11"/>
        <v>4251431.0239999983</v>
      </c>
      <c r="T27" s="15">
        <v>30000</v>
      </c>
      <c r="U27" s="15">
        <f t="shared" si="12"/>
        <v>490711.27199999988</v>
      </c>
      <c r="V27" s="15">
        <f t="shared" ref="V27:V28" si="23">(12%*O27)+(12%*P27)+(12%*Q27)</f>
        <v>19460.450879999997</v>
      </c>
      <c r="W27" s="15">
        <f t="shared" si="13"/>
        <v>286300</v>
      </c>
      <c r="X27" s="16">
        <v>6000</v>
      </c>
      <c r="Y27" s="16">
        <f t="shared" si="14"/>
        <v>5083902.7468799986</v>
      </c>
      <c r="Z27" s="17"/>
      <c r="AA27" s="17" t="s">
        <v>116</v>
      </c>
      <c r="AB27" s="32" t="s">
        <v>117</v>
      </c>
      <c r="AC27" s="32" t="s">
        <v>118</v>
      </c>
      <c r="AD27" s="17">
        <v>15300</v>
      </c>
      <c r="AE27" s="17">
        <v>0</v>
      </c>
      <c r="AF27" s="17">
        <v>131</v>
      </c>
      <c r="AG27" s="17">
        <v>0</v>
      </c>
      <c r="AH27" s="19" t="s">
        <v>40</v>
      </c>
      <c r="AI27" s="17" t="s">
        <v>46</v>
      </c>
      <c r="AJ27" s="17"/>
    </row>
    <row r="28" spans="1:36" ht="15.75" customHeight="1" x14ac:dyDescent="0.2">
      <c r="A28" s="12" t="s">
        <v>119</v>
      </c>
      <c r="B28" s="13">
        <f t="shared" si="21"/>
        <v>49.43</v>
      </c>
      <c r="C28" s="13">
        <v>49.43</v>
      </c>
      <c r="D28" s="13">
        <f t="shared" si="1"/>
        <v>532.06452000000002</v>
      </c>
      <c r="E28" s="14">
        <v>0</v>
      </c>
      <c r="F28" s="14">
        <v>0</v>
      </c>
      <c r="G28" s="13">
        <f t="shared" si="2"/>
        <v>532.06452000000002</v>
      </c>
      <c r="H28" s="13">
        <f t="shared" si="22"/>
        <v>798.09678000000008</v>
      </c>
      <c r="I28" s="15">
        <f t="shared" si="4"/>
        <v>11971451.700000001</v>
      </c>
      <c r="J28" s="15">
        <v>500000</v>
      </c>
      <c r="K28" s="15">
        <v>105000</v>
      </c>
      <c r="L28" s="15">
        <f t="shared" si="5"/>
        <v>12576451.700000001</v>
      </c>
      <c r="M28" s="16">
        <f t="shared" si="6"/>
        <v>0</v>
      </c>
      <c r="N28" s="15">
        <f t="shared" si="7"/>
        <v>12576451.700000001</v>
      </c>
      <c r="O28" s="15">
        <f t="shared" si="8"/>
        <v>199524.19500000001</v>
      </c>
      <c r="P28" s="15">
        <f t="shared" si="9"/>
        <v>159619.35600000003</v>
      </c>
      <c r="Q28" s="15">
        <f t="shared" si="10"/>
        <v>119714.51700000001</v>
      </c>
      <c r="R28" s="15">
        <v>0</v>
      </c>
      <c r="S28" s="15">
        <f t="shared" si="11"/>
        <v>13055309.768000003</v>
      </c>
      <c r="T28" s="15">
        <v>30000</v>
      </c>
      <c r="U28" s="15">
        <f t="shared" si="12"/>
        <v>1509174.2040000001</v>
      </c>
      <c r="V28" s="15">
        <f t="shared" si="23"/>
        <v>57462.968160000004</v>
      </c>
      <c r="W28" s="15">
        <f t="shared" si="13"/>
        <v>880400</v>
      </c>
      <c r="X28" s="16">
        <v>6000</v>
      </c>
      <c r="Y28" s="16">
        <f t="shared" si="14"/>
        <v>15538346.940160003</v>
      </c>
      <c r="Z28" s="17"/>
      <c r="AA28" s="17" t="s">
        <v>120</v>
      </c>
      <c r="AB28" s="17" t="s">
        <v>121</v>
      </c>
      <c r="AC28" s="17" t="s">
        <v>122</v>
      </c>
      <c r="AD28" s="17">
        <v>11606</v>
      </c>
      <c r="AE28" s="17">
        <v>0</v>
      </c>
      <c r="AF28" s="17" t="s">
        <v>123</v>
      </c>
      <c r="AG28" s="17">
        <v>0</v>
      </c>
      <c r="AH28" s="19" t="s">
        <v>40</v>
      </c>
      <c r="AI28" s="17" t="s">
        <v>84</v>
      </c>
      <c r="AJ28" s="17"/>
    </row>
    <row r="29" spans="1:36" ht="15.75" customHeight="1" x14ac:dyDescent="0.2">
      <c r="A29" s="4" t="s">
        <v>124</v>
      </c>
      <c r="B29" s="20">
        <f t="shared" si="21"/>
        <v>31.75</v>
      </c>
      <c r="C29" s="27">
        <v>31.75</v>
      </c>
      <c r="D29" s="20">
        <f t="shared" si="1"/>
        <v>341.75700000000001</v>
      </c>
      <c r="E29" s="21">
        <v>0</v>
      </c>
      <c r="F29" s="21">
        <v>0</v>
      </c>
      <c r="G29" s="20">
        <f t="shared" si="2"/>
        <v>341.75700000000001</v>
      </c>
      <c r="H29" s="20">
        <f t="shared" si="22"/>
        <v>512.63549999999998</v>
      </c>
      <c r="I29" s="22">
        <f t="shared" si="4"/>
        <v>7689532.5</v>
      </c>
      <c r="J29" s="23">
        <v>0</v>
      </c>
      <c r="K29" s="23">
        <v>200000</v>
      </c>
      <c r="L29" s="22">
        <f t="shared" si="5"/>
        <v>7889532.5</v>
      </c>
      <c r="M29" s="24">
        <f t="shared" si="6"/>
        <v>0</v>
      </c>
      <c r="N29" s="22">
        <f t="shared" si="7"/>
        <v>7889532.5</v>
      </c>
      <c r="O29" s="22">
        <f t="shared" si="8"/>
        <v>128158.875</v>
      </c>
      <c r="P29" s="22">
        <f t="shared" si="9"/>
        <v>102527.09999999999</v>
      </c>
      <c r="Q29" s="22">
        <f t="shared" si="10"/>
        <v>76895.324999999997</v>
      </c>
      <c r="R29" s="22">
        <v>0</v>
      </c>
      <c r="S29" s="22">
        <f t="shared" si="11"/>
        <v>8197113.7999999998</v>
      </c>
      <c r="T29" s="22">
        <v>30000</v>
      </c>
      <c r="U29" s="22">
        <f t="shared" si="12"/>
        <v>946743.89999999991</v>
      </c>
      <c r="V29" s="22">
        <f t="shared" ref="V29:V30" si="24">(12%*O29)+(12%*P29)</f>
        <v>27682.316999999995</v>
      </c>
      <c r="W29" s="22">
        <f t="shared" si="13"/>
        <v>552300</v>
      </c>
      <c r="X29" s="24">
        <v>6000</v>
      </c>
      <c r="Y29" s="24">
        <f t="shared" si="14"/>
        <v>9759840.0169999991</v>
      </c>
      <c r="Z29" s="25"/>
      <c r="AA29" s="25"/>
      <c r="AB29" s="25"/>
      <c r="AC29" s="25"/>
      <c r="AD29" s="25"/>
      <c r="AE29" s="25"/>
      <c r="AF29" s="26" t="s">
        <v>125</v>
      </c>
      <c r="AG29" s="26"/>
      <c r="AH29" s="26" t="s">
        <v>45</v>
      </c>
      <c r="AI29" s="26" t="s">
        <v>46</v>
      </c>
      <c r="AJ29" s="25"/>
    </row>
    <row r="30" spans="1:36" ht="15.75" customHeight="1" x14ac:dyDescent="0.2">
      <c r="A30" s="28" t="s">
        <v>126</v>
      </c>
      <c r="B30" s="34">
        <v>31.71</v>
      </c>
      <c r="C30" s="27">
        <v>31.71</v>
      </c>
      <c r="D30" s="20">
        <f t="shared" si="1"/>
        <v>341.32643999999999</v>
      </c>
      <c r="E30" s="21">
        <v>0</v>
      </c>
      <c r="F30" s="21">
        <v>0</v>
      </c>
      <c r="G30" s="20">
        <f t="shared" si="2"/>
        <v>341.32643999999999</v>
      </c>
      <c r="H30" s="20">
        <f t="shared" si="22"/>
        <v>511.98965999999996</v>
      </c>
      <c r="I30" s="22">
        <f t="shared" si="4"/>
        <v>7679844.8999999994</v>
      </c>
      <c r="J30" s="23">
        <v>0</v>
      </c>
      <c r="K30" s="23">
        <v>200000</v>
      </c>
      <c r="L30" s="22">
        <f t="shared" si="5"/>
        <v>7879844.8999999994</v>
      </c>
      <c r="M30" s="24">
        <f t="shared" si="6"/>
        <v>0</v>
      </c>
      <c r="N30" s="22">
        <f t="shared" si="7"/>
        <v>7879844.8999999994</v>
      </c>
      <c r="O30" s="22">
        <f t="shared" si="8"/>
        <v>127997.41499999999</v>
      </c>
      <c r="P30" s="22">
        <f t="shared" si="9"/>
        <v>102397.93199999999</v>
      </c>
      <c r="Q30" s="22">
        <f t="shared" si="10"/>
        <v>76798.448999999993</v>
      </c>
      <c r="R30" s="22">
        <v>0</v>
      </c>
      <c r="S30" s="22">
        <f t="shared" si="11"/>
        <v>8187038.6959999995</v>
      </c>
      <c r="T30" s="22">
        <v>30000</v>
      </c>
      <c r="U30" s="22">
        <f t="shared" si="12"/>
        <v>945581.38799999992</v>
      </c>
      <c r="V30" s="22">
        <f t="shared" si="24"/>
        <v>27647.441639999997</v>
      </c>
      <c r="W30" s="22">
        <f t="shared" si="13"/>
        <v>551600</v>
      </c>
      <c r="X30" s="24">
        <v>6000</v>
      </c>
      <c r="Y30" s="24">
        <f t="shared" si="14"/>
        <v>9747867.5256399997</v>
      </c>
      <c r="Z30" s="25"/>
      <c r="AA30" s="25"/>
      <c r="AB30" s="25"/>
      <c r="AC30" s="25"/>
      <c r="AD30" s="25"/>
      <c r="AE30" s="25"/>
      <c r="AF30" s="26" t="s">
        <v>127</v>
      </c>
      <c r="AG30" s="25"/>
      <c r="AH30" s="26" t="s">
        <v>40</v>
      </c>
      <c r="AI30" s="26" t="s">
        <v>59</v>
      </c>
      <c r="AJ30" s="25"/>
    </row>
    <row r="31" spans="1:36" ht="15.75" customHeight="1" x14ac:dyDescent="0.2">
      <c r="A31" s="35"/>
      <c r="B31" s="35"/>
      <c r="C31" s="36">
        <f>SUM(C4:C30)</f>
        <v>1120.7900000000002</v>
      </c>
      <c r="D31" s="37">
        <f t="shared" ref="D31:H31" si="25">SUM(D4:D29)</f>
        <v>11722.857119999999</v>
      </c>
      <c r="E31" s="36">
        <f t="shared" si="25"/>
        <v>21.48</v>
      </c>
      <c r="F31" s="35">
        <f t="shared" si="25"/>
        <v>231.16</v>
      </c>
      <c r="G31" s="37">
        <f t="shared" si="25"/>
        <v>11954.017119999999</v>
      </c>
      <c r="H31" s="37">
        <f t="shared" si="25"/>
        <v>17931.025680000002</v>
      </c>
      <c r="I31" s="38"/>
      <c r="J31" s="38"/>
      <c r="K31" s="38"/>
      <c r="L31" s="38"/>
      <c r="M31" s="39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5.75" customHeight="1" x14ac:dyDescent="0.2">
      <c r="A32" s="40"/>
      <c r="B32" s="6"/>
      <c r="C32" s="6"/>
      <c r="D32" s="6"/>
      <c r="E32" s="6"/>
      <c r="F32" s="6"/>
      <c r="G32" s="6"/>
      <c r="H32" s="6" t="s">
        <v>0</v>
      </c>
      <c r="I32" s="6"/>
      <c r="J32" s="6"/>
      <c r="K32" s="6"/>
      <c r="L32" s="6"/>
      <c r="M32" s="40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40"/>
      <c r="AB32" s="40"/>
      <c r="AC32" s="40"/>
      <c r="AD32" s="40"/>
      <c r="AE32" s="6"/>
      <c r="AF32" s="6"/>
      <c r="AG32" s="6"/>
      <c r="AH32" s="6"/>
      <c r="AI32" s="6"/>
      <c r="AJ32" s="6"/>
    </row>
    <row r="33" spans="1:36" ht="15.75" customHeight="1" x14ac:dyDescent="0.2">
      <c r="A33" s="40"/>
      <c r="B33" s="6"/>
      <c r="C33" s="6"/>
      <c r="D33" s="6"/>
      <c r="E33" s="6"/>
      <c r="F33" s="6"/>
      <c r="G33" s="6"/>
      <c r="H33" s="41"/>
      <c r="I33" s="6"/>
      <c r="J33" s="6"/>
      <c r="K33" s="6"/>
      <c r="L33" s="6"/>
      <c r="M33" s="40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40"/>
      <c r="AB33" s="40"/>
      <c r="AC33" s="40"/>
      <c r="AD33" s="40"/>
      <c r="AE33" s="6"/>
      <c r="AF33" s="6"/>
      <c r="AG33" s="6"/>
      <c r="AH33" s="6"/>
      <c r="AI33" s="6"/>
      <c r="AJ33" s="6"/>
    </row>
    <row r="34" spans="1:36" ht="15.75" customHeight="1" x14ac:dyDescent="0.2">
      <c r="A34" s="4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40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40"/>
      <c r="AB34" s="40"/>
      <c r="AC34" s="40"/>
      <c r="AD34" s="40"/>
      <c r="AE34" s="6"/>
      <c r="AF34" s="6"/>
      <c r="AG34" s="6"/>
      <c r="AH34" s="6"/>
      <c r="AI34" s="6"/>
      <c r="AJ34" s="6"/>
    </row>
    <row r="35" spans="1:36" ht="15.75" customHeight="1" x14ac:dyDescent="0.2">
      <c r="A35" s="4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40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40"/>
      <c r="AB35" s="40"/>
      <c r="AC35" s="40"/>
      <c r="AD35" s="40"/>
      <c r="AE35" s="6"/>
      <c r="AF35" s="6"/>
      <c r="AG35" s="6"/>
      <c r="AH35" s="6"/>
      <c r="AI35" s="6"/>
      <c r="AJ35" s="6"/>
    </row>
    <row r="36" spans="1:36" ht="15.75" customHeight="1" x14ac:dyDescent="0.2">
      <c r="A36" s="4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40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40"/>
      <c r="AB36" s="40"/>
      <c r="AC36" s="40"/>
      <c r="AD36" s="40"/>
      <c r="AE36" s="6"/>
      <c r="AF36" s="6"/>
      <c r="AG36" s="6"/>
      <c r="AH36" s="6"/>
      <c r="AI36" s="6"/>
      <c r="AJ36" s="6"/>
    </row>
    <row r="37" spans="1:36" ht="15.75" customHeight="1" x14ac:dyDescent="0.2">
      <c r="A37" s="4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40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40"/>
      <c r="AB37" s="40"/>
      <c r="AC37" s="40"/>
      <c r="AD37" s="40"/>
      <c r="AE37" s="6"/>
      <c r="AF37" s="6"/>
      <c r="AG37" s="6"/>
      <c r="AH37" s="6"/>
      <c r="AI37" s="6"/>
      <c r="AJ37" s="6"/>
    </row>
    <row r="38" spans="1:36" ht="15.75" customHeight="1" x14ac:dyDescent="0.2">
      <c r="A38" s="40"/>
      <c r="B38" s="6"/>
      <c r="C38" s="6"/>
      <c r="D38" s="6"/>
      <c r="E38" s="6"/>
      <c r="F38" s="6"/>
      <c r="G38" s="6"/>
      <c r="H38" s="6"/>
      <c r="I38" s="6"/>
      <c r="J38" s="6" t="s">
        <v>128</v>
      </c>
      <c r="K38" s="6"/>
      <c r="L38" s="6"/>
      <c r="M38" s="40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40"/>
      <c r="AB38" s="40"/>
      <c r="AC38" s="40"/>
      <c r="AD38" s="40"/>
      <c r="AE38" s="6"/>
      <c r="AF38" s="6"/>
      <c r="AG38" s="6"/>
      <c r="AH38" s="6"/>
      <c r="AI38" s="6"/>
      <c r="AJ38" s="6"/>
    </row>
    <row r="39" spans="1:36" ht="15.75" customHeight="1" x14ac:dyDescent="0.2">
      <c r="A39" s="4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40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40"/>
      <c r="AB39" s="40"/>
      <c r="AC39" s="40"/>
      <c r="AD39" s="40"/>
      <c r="AE39" s="6"/>
      <c r="AF39" s="6"/>
      <c r="AG39" s="6"/>
      <c r="AH39" s="6"/>
      <c r="AI39" s="6"/>
      <c r="AJ39" s="6"/>
    </row>
    <row r="40" spans="1:36" ht="15.75" customHeight="1" x14ac:dyDescent="0.2">
      <c r="A40" s="4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40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40"/>
      <c r="AB40" s="40"/>
      <c r="AC40" s="40"/>
      <c r="AD40" s="40"/>
      <c r="AE40" s="6"/>
      <c r="AF40" s="6"/>
      <c r="AG40" s="6"/>
      <c r="AH40" s="6"/>
      <c r="AI40" s="6"/>
      <c r="AJ40" s="6"/>
    </row>
    <row r="41" spans="1:36" ht="15.75" customHeight="1" x14ac:dyDescent="0.2">
      <c r="A41" s="4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40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40"/>
      <c r="AB41" s="40"/>
      <c r="AC41" s="40"/>
      <c r="AD41" s="40"/>
      <c r="AE41" s="6"/>
      <c r="AF41" s="6"/>
      <c r="AG41" s="6"/>
      <c r="AH41" s="6"/>
      <c r="AI41" s="6"/>
      <c r="AJ41" s="6"/>
    </row>
    <row r="42" spans="1:36" ht="15.75" customHeight="1" x14ac:dyDescent="0.2">
      <c r="A42" s="4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40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40"/>
      <c r="AB42" s="40"/>
      <c r="AC42" s="40"/>
      <c r="AD42" s="40"/>
      <c r="AE42" s="6"/>
      <c r="AF42" s="6"/>
      <c r="AG42" s="6"/>
      <c r="AH42" s="6"/>
      <c r="AI42" s="6"/>
      <c r="AJ42" s="6"/>
    </row>
    <row r="43" spans="1:36" ht="15.75" customHeight="1" x14ac:dyDescent="0.2">
      <c r="A43" s="4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40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40"/>
      <c r="AB43" s="40"/>
      <c r="AC43" s="40"/>
      <c r="AD43" s="40"/>
      <c r="AE43" s="6"/>
      <c r="AF43" s="6"/>
      <c r="AG43" s="6"/>
      <c r="AH43" s="6"/>
      <c r="AI43" s="6"/>
      <c r="AJ43" s="6"/>
    </row>
    <row r="44" spans="1:36" ht="15.75" customHeight="1" x14ac:dyDescent="0.2">
      <c r="A44" s="4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40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40"/>
      <c r="AB44" s="40"/>
      <c r="AC44" s="40"/>
      <c r="AD44" s="40"/>
      <c r="AE44" s="6"/>
      <c r="AF44" s="6"/>
      <c r="AG44" s="6"/>
      <c r="AH44" s="6"/>
      <c r="AI44" s="6"/>
      <c r="AJ44" s="6"/>
    </row>
    <row r="45" spans="1:36" ht="15.75" customHeight="1" x14ac:dyDescent="0.2">
      <c r="A45" s="4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40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40"/>
      <c r="AB45" s="40"/>
      <c r="AC45" s="40"/>
      <c r="AD45" s="40"/>
      <c r="AE45" s="6"/>
      <c r="AF45" s="6"/>
      <c r="AG45" s="6"/>
      <c r="AH45" s="6"/>
      <c r="AI45" s="6"/>
      <c r="AJ45" s="6"/>
    </row>
    <row r="46" spans="1:36" ht="15.75" customHeight="1" x14ac:dyDescent="0.2">
      <c r="A46" s="4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40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40"/>
      <c r="AB46" s="40"/>
      <c r="AC46" s="40"/>
      <c r="AD46" s="40"/>
      <c r="AE46" s="6"/>
      <c r="AF46" s="6"/>
      <c r="AG46" s="6"/>
      <c r="AH46" s="6"/>
      <c r="AI46" s="6"/>
      <c r="AJ46" s="6"/>
    </row>
    <row r="47" spans="1:36" ht="15.75" customHeight="1" x14ac:dyDescent="0.2">
      <c r="A47" s="4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40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40"/>
      <c r="AB47" s="40"/>
      <c r="AC47" s="40"/>
      <c r="AD47" s="40"/>
      <c r="AE47" s="6"/>
      <c r="AF47" s="6"/>
      <c r="AG47" s="6"/>
      <c r="AH47" s="6"/>
      <c r="AI47" s="6"/>
      <c r="AJ47" s="6"/>
    </row>
    <row r="48" spans="1:36" ht="15.75" customHeight="1" x14ac:dyDescent="0.2">
      <c r="A48" s="4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40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40"/>
      <c r="AB48" s="40"/>
      <c r="AC48" s="40"/>
      <c r="AD48" s="40"/>
      <c r="AE48" s="6"/>
      <c r="AF48" s="6"/>
      <c r="AG48" s="6"/>
      <c r="AH48" s="6"/>
      <c r="AI48" s="6"/>
      <c r="AJ48" s="6"/>
    </row>
    <row r="49" spans="1:36" ht="15.75" customHeight="1" x14ac:dyDescent="0.2">
      <c r="A49" s="4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40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40"/>
      <c r="AB49" s="40"/>
      <c r="AC49" s="40"/>
      <c r="AD49" s="40"/>
      <c r="AE49" s="6"/>
      <c r="AF49" s="6"/>
      <c r="AG49" s="6"/>
      <c r="AH49" s="6"/>
      <c r="AI49" s="6"/>
      <c r="AJ49" s="6"/>
    </row>
    <row r="50" spans="1:36" ht="15.75" customHeight="1" x14ac:dyDescent="0.2">
      <c r="A50" s="4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40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40"/>
      <c r="AB50" s="40"/>
      <c r="AC50" s="40"/>
      <c r="AD50" s="40"/>
      <c r="AE50" s="6"/>
      <c r="AF50" s="6"/>
      <c r="AG50" s="6"/>
      <c r="AH50" s="6"/>
      <c r="AI50" s="6"/>
      <c r="AJ50" s="6"/>
    </row>
    <row r="51" spans="1:36" ht="15.75" customHeight="1" x14ac:dyDescent="0.2">
      <c r="A51" s="4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40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40"/>
      <c r="AB51" s="40"/>
      <c r="AC51" s="40"/>
      <c r="AD51" s="40"/>
      <c r="AE51" s="6"/>
      <c r="AF51" s="6"/>
      <c r="AG51" s="6"/>
      <c r="AH51" s="6"/>
      <c r="AI51" s="6"/>
      <c r="AJ51" s="6"/>
    </row>
    <row r="52" spans="1:36" ht="15.75" customHeight="1" x14ac:dyDescent="0.2">
      <c r="A52" s="4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40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40"/>
      <c r="AB52" s="40"/>
      <c r="AC52" s="40"/>
      <c r="AD52" s="40"/>
      <c r="AE52" s="6"/>
      <c r="AF52" s="6"/>
      <c r="AG52" s="6"/>
      <c r="AH52" s="6"/>
      <c r="AI52" s="6"/>
      <c r="AJ52" s="6"/>
    </row>
    <row r="53" spans="1:36" ht="15.75" customHeight="1" x14ac:dyDescent="0.2">
      <c r="A53" s="4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40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40"/>
      <c r="AB53" s="40"/>
      <c r="AC53" s="40"/>
      <c r="AD53" s="40"/>
      <c r="AE53" s="6"/>
      <c r="AF53" s="6"/>
      <c r="AG53" s="6"/>
      <c r="AH53" s="6"/>
      <c r="AI53" s="6"/>
      <c r="AJ53" s="6"/>
    </row>
    <row r="54" spans="1:36" ht="15.75" customHeight="1" x14ac:dyDescent="0.2">
      <c r="A54" s="4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40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40"/>
      <c r="AB54" s="40"/>
      <c r="AC54" s="40"/>
      <c r="AD54" s="40"/>
      <c r="AE54" s="6"/>
      <c r="AF54" s="6"/>
      <c r="AG54" s="6"/>
      <c r="AH54" s="6"/>
      <c r="AI54" s="6"/>
      <c r="AJ54" s="6"/>
    </row>
    <row r="55" spans="1:36" ht="15.75" customHeight="1" x14ac:dyDescent="0.2">
      <c r="A55" s="4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40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40"/>
      <c r="AB55" s="40"/>
      <c r="AC55" s="40"/>
      <c r="AD55" s="40"/>
      <c r="AE55" s="6"/>
      <c r="AF55" s="6"/>
      <c r="AG55" s="6"/>
      <c r="AH55" s="6"/>
      <c r="AI55" s="6"/>
      <c r="AJ55" s="6"/>
    </row>
    <row r="56" spans="1:36" ht="15.75" customHeight="1" x14ac:dyDescent="0.2">
      <c r="A56" s="4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40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40"/>
      <c r="AB56" s="40"/>
      <c r="AC56" s="40"/>
      <c r="AD56" s="40"/>
      <c r="AE56" s="6"/>
      <c r="AF56" s="6"/>
      <c r="AG56" s="6"/>
      <c r="AH56" s="6"/>
      <c r="AI56" s="6"/>
      <c r="AJ56" s="6"/>
    </row>
    <row r="57" spans="1:36" ht="15.75" customHeight="1" x14ac:dyDescent="0.2">
      <c r="A57" s="4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40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40"/>
      <c r="AB57" s="40"/>
      <c r="AC57" s="40"/>
      <c r="AD57" s="40"/>
      <c r="AE57" s="6"/>
      <c r="AF57" s="6"/>
      <c r="AG57" s="6"/>
      <c r="AH57" s="6"/>
      <c r="AI57" s="6"/>
      <c r="AJ57" s="6"/>
    </row>
    <row r="58" spans="1:36" ht="15.75" customHeight="1" x14ac:dyDescent="0.2">
      <c r="A58" s="4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40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40"/>
      <c r="AB58" s="40"/>
      <c r="AC58" s="40"/>
      <c r="AD58" s="40"/>
      <c r="AE58" s="6"/>
      <c r="AF58" s="6"/>
      <c r="AG58" s="6"/>
      <c r="AH58" s="6"/>
      <c r="AI58" s="6"/>
      <c r="AJ58" s="6"/>
    </row>
    <row r="59" spans="1:36" ht="15.75" customHeight="1" x14ac:dyDescent="0.2">
      <c r="A59" s="4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40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40"/>
      <c r="AB59" s="40"/>
      <c r="AC59" s="40"/>
      <c r="AD59" s="40"/>
      <c r="AE59" s="6"/>
      <c r="AF59" s="6"/>
      <c r="AG59" s="6"/>
      <c r="AH59" s="6"/>
      <c r="AI59" s="6"/>
      <c r="AJ59" s="6"/>
    </row>
    <row r="60" spans="1:36" ht="15.75" customHeight="1" x14ac:dyDescent="0.2">
      <c r="A60" s="4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40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40"/>
      <c r="AB60" s="40"/>
      <c r="AC60" s="40"/>
      <c r="AD60" s="40"/>
      <c r="AE60" s="6"/>
      <c r="AF60" s="6"/>
      <c r="AG60" s="6"/>
      <c r="AH60" s="6"/>
      <c r="AI60" s="6"/>
      <c r="AJ60" s="6"/>
    </row>
    <row r="61" spans="1:36" ht="15.75" customHeight="1" x14ac:dyDescent="0.2">
      <c r="A61" s="4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40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40"/>
      <c r="AB61" s="40"/>
      <c r="AC61" s="40"/>
      <c r="AD61" s="40"/>
      <c r="AE61" s="6"/>
      <c r="AF61" s="6"/>
      <c r="AG61" s="6"/>
      <c r="AH61" s="6"/>
      <c r="AI61" s="6"/>
      <c r="AJ61" s="6"/>
    </row>
    <row r="62" spans="1:36" ht="15.75" customHeight="1" x14ac:dyDescent="0.2">
      <c r="A62" s="4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40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40"/>
      <c r="AB62" s="40"/>
      <c r="AC62" s="40"/>
      <c r="AD62" s="40"/>
      <c r="AE62" s="6"/>
      <c r="AF62" s="6"/>
      <c r="AG62" s="6"/>
      <c r="AH62" s="6"/>
      <c r="AI62" s="6"/>
      <c r="AJ62" s="6"/>
    </row>
    <row r="63" spans="1:36" ht="15.75" customHeight="1" x14ac:dyDescent="0.2">
      <c r="A63" s="4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40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40"/>
      <c r="AB63" s="40"/>
      <c r="AC63" s="40"/>
      <c r="AD63" s="40"/>
      <c r="AE63" s="6"/>
      <c r="AF63" s="6"/>
      <c r="AG63" s="6"/>
      <c r="AH63" s="6"/>
      <c r="AI63" s="6"/>
      <c r="AJ63" s="6"/>
    </row>
    <row r="64" spans="1:36" ht="15.75" customHeight="1" x14ac:dyDescent="0.2">
      <c r="A64" s="4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40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40"/>
      <c r="AB64" s="40"/>
      <c r="AC64" s="40"/>
      <c r="AD64" s="40"/>
      <c r="AE64" s="6"/>
      <c r="AF64" s="6"/>
      <c r="AG64" s="6"/>
      <c r="AH64" s="6"/>
      <c r="AI64" s="6"/>
      <c r="AJ64" s="6"/>
    </row>
    <row r="65" spans="1:36" ht="15.75" customHeight="1" x14ac:dyDescent="0.2">
      <c r="A65" s="4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40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40"/>
      <c r="AB65" s="40"/>
      <c r="AC65" s="40"/>
      <c r="AD65" s="40"/>
      <c r="AE65" s="6"/>
      <c r="AF65" s="6"/>
      <c r="AG65" s="6"/>
      <c r="AH65" s="6"/>
      <c r="AI65" s="6"/>
      <c r="AJ65" s="6"/>
    </row>
    <row r="66" spans="1:36" ht="15.75" customHeight="1" x14ac:dyDescent="0.2">
      <c r="A66" s="4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40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40"/>
      <c r="AB66" s="40"/>
      <c r="AC66" s="40"/>
      <c r="AD66" s="40"/>
      <c r="AE66" s="6"/>
      <c r="AF66" s="6"/>
      <c r="AG66" s="6"/>
      <c r="AH66" s="6"/>
      <c r="AI66" s="6"/>
      <c r="AJ66" s="6"/>
    </row>
    <row r="67" spans="1:36" ht="15.75" customHeight="1" x14ac:dyDescent="0.2">
      <c r="A67" s="4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40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40"/>
      <c r="AB67" s="40"/>
      <c r="AC67" s="40"/>
      <c r="AD67" s="40"/>
      <c r="AE67" s="6"/>
      <c r="AF67" s="6"/>
      <c r="AG67" s="6"/>
      <c r="AH67" s="6"/>
      <c r="AI67" s="6"/>
      <c r="AJ67" s="6"/>
    </row>
    <row r="68" spans="1:36" ht="15.75" customHeight="1" x14ac:dyDescent="0.2">
      <c r="A68" s="4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40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40"/>
      <c r="AB68" s="40"/>
      <c r="AC68" s="40"/>
      <c r="AD68" s="40"/>
      <c r="AE68" s="6"/>
      <c r="AF68" s="6"/>
      <c r="AG68" s="6"/>
      <c r="AH68" s="6"/>
      <c r="AI68" s="6"/>
      <c r="AJ68" s="6"/>
    </row>
    <row r="69" spans="1:36" ht="15.75" customHeight="1" x14ac:dyDescent="0.2">
      <c r="A69" s="4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40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40"/>
      <c r="AB69" s="40"/>
      <c r="AC69" s="40"/>
      <c r="AD69" s="40"/>
      <c r="AE69" s="6"/>
      <c r="AF69" s="6"/>
      <c r="AG69" s="6"/>
      <c r="AH69" s="6"/>
      <c r="AI69" s="6"/>
      <c r="AJ69" s="6"/>
    </row>
    <row r="70" spans="1:36" ht="15.75" customHeight="1" x14ac:dyDescent="0.2">
      <c r="A70" s="4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40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40"/>
      <c r="AB70" s="40"/>
      <c r="AC70" s="40"/>
      <c r="AD70" s="40"/>
      <c r="AE70" s="6"/>
      <c r="AF70" s="6"/>
      <c r="AG70" s="6"/>
      <c r="AH70" s="6"/>
      <c r="AI70" s="6"/>
      <c r="AJ70" s="6"/>
    </row>
    <row r="71" spans="1:36" ht="15.75" customHeight="1" x14ac:dyDescent="0.2">
      <c r="A71" s="4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40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40"/>
      <c r="AB71" s="40"/>
      <c r="AC71" s="40"/>
      <c r="AD71" s="40"/>
      <c r="AE71" s="6"/>
      <c r="AF71" s="6"/>
      <c r="AG71" s="6"/>
      <c r="AH71" s="6"/>
      <c r="AI71" s="6"/>
      <c r="AJ71" s="6"/>
    </row>
    <row r="72" spans="1:36" ht="15.75" customHeight="1" x14ac:dyDescent="0.2">
      <c r="A72" s="4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40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40"/>
      <c r="AB72" s="40"/>
      <c r="AC72" s="40"/>
      <c r="AD72" s="40"/>
      <c r="AE72" s="6"/>
      <c r="AF72" s="6"/>
      <c r="AG72" s="6"/>
      <c r="AH72" s="6"/>
      <c r="AI72" s="6"/>
      <c r="AJ72" s="6"/>
    </row>
    <row r="73" spans="1:36" ht="15.75" customHeight="1" x14ac:dyDescent="0.2">
      <c r="A73" s="4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40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40"/>
      <c r="AB73" s="40"/>
      <c r="AC73" s="40"/>
      <c r="AD73" s="40"/>
      <c r="AE73" s="6"/>
      <c r="AF73" s="6"/>
      <c r="AG73" s="6"/>
      <c r="AH73" s="6"/>
      <c r="AI73" s="6"/>
      <c r="AJ73" s="6"/>
    </row>
    <row r="74" spans="1:36" ht="15.75" customHeight="1" x14ac:dyDescent="0.2">
      <c r="A74" s="4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40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40"/>
      <c r="AB74" s="40"/>
      <c r="AC74" s="40"/>
      <c r="AD74" s="40"/>
      <c r="AE74" s="6"/>
      <c r="AF74" s="6"/>
      <c r="AG74" s="6"/>
      <c r="AH74" s="6"/>
      <c r="AI74" s="6"/>
      <c r="AJ74" s="6"/>
    </row>
    <row r="75" spans="1:36" ht="15.75" customHeight="1" x14ac:dyDescent="0.2">
      <c r="A75" s="4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40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40"/>
      <c r="AB75" s="40"/>
      <c r="AC75" s="40"/>
      <c r="AD75" s="40"/>
      <c r="AE75" s="6"/>
      <c r="AF75" s="6"/>
      <c r="AG75" s="6"/>
      <c r="AH75" s="6"/>
      <c r="AI75" s="6"/>
      <c r="AJ75" s="6"/>
    </row>
    <row r="76" spans="1:36" ht="15.75" customHeight="1" x14ac:dyDescent="0.2">
      <c r="A76" s="4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40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40"/>
      <c r="AB76" s="40"/>
      <c r="AC76" s="40"/>
      <c r="AD76" s="40"/>
      <c r="AE76" s="6"/>
      <c r="AF76" s="6"/>
      <c r="AG76" s="6"/>
      <c r="AH76" s="6"/>
      <c r="AI76" s="6"/>
      <c r="AJ76" s="6"/>
    </row>
    <row r="77" spans="1:36" ht="15.75" customHeight="1" x14ac:dyDescent="0.2">
      <c r="A77" s="4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40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40"/>
      <c r="AB77" s="40"/>
      <c r="AC77" s="40"/>
      <c r="AD77" s="40"/>
      <c r="AE77" s="6"/>
      <c r="AF77" s="6"/>
      <c r="AG77" s="6"/>
      <c r="AH77" s="6"/>
      <c r="AI77" s="6"/>
      <c r="AJ77" s="6"/>
    </row>
    <row r="78" spans="1:36" ht="15.75" customHeight="1" x14ac:dyDescent="0.2">
      <c r="A78" s="4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40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40"/>
      <c r="AB78" s="40"/>
      <c r="AC78" s="40"/>
      <c r="AD78" s="40"/>
      <c r="AE78" s="6"/>
      <c r="AF78" s="6"/>
      <c r="AG78" s="6"/>
      <c r="AH78" s="6"/>
      <c r="AI78" s="6"/>
      <c r="AJ78" s="6"/>
    </row>
    <row r="79" spans="1:36" ht="15.75" customHeight="1" x14ac:dyDescent="0.2">
      <c r="A79" s="4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40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40"/>
      <c r="AB79" s="40"/>
      <c r="AC79" s="40"/>
      <c r="AD79" s="40"/>
      <c r="AE79" s="6"/>
      <c r="AF79" s="6"/>
      <c r="AG79" s="6"/>
      <c r="AH79" s="6"/>
      <c r="AI79" s="6"/>
      <c r="AJ79" s="6"/>
    </row>
    <row r="80" spans="1:36" ht="15.75" customHeight="1" x14ac:dyDescent="0.2">
      <c r="A80" s="4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40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40"/>
      <c r="AB80" s="40"/>
      <c r="AC80" s="40"/>
      <c r="AD80" s="40"/>
      <c r="AE80" s="6"/>
      <c r="AF80" s="6"/>
      <c r="AG80" s="6"/>
      <c r="AH80" s="6"/>
      <c r="AI80" s="6"/>
      <c r="AJ80" s="6"/>
    </row>
    <row r="81" spans="1:36" ht="15.75" customHeight="1" x14ac:dyDescent="0.2">
      <c r="A81" s="4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40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40"/>
      <c r="AB81" s="40"/>
      <c r="AC81" s="40"/>
      <c r="AD81" s="40"/>
      <c r="AE81" s="6"/>
      <c r="AF81" s="6"/>
      <c r="AG81" s="6"/>
      <c r="AH81" s="6"/>
      <c r="AI81" s="6"/>
      <c r="AJ81" s="6"/>
    </row>
    <row r="82" spans="1:36" ht="15.75" customHeight="1" x14ac:dyDescent="0.2">
      <c r="A82" s="4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40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40"/>
      <c r="AB82" s="40"/>
      <c r="AC82" s="40"/>
      <c r="AD82" s="40"/>
      <c r="AE82" s="6"/>
      <c r="AF82" s="6"/>
      <c r="AG82" s="6"/>
      <c r="AH82" s="6"/>
      <c r="AI82" s="6"/>
      <c r="AJ82" s="6"/>
    </row>
    <row r="83" spans="1:36" ht="15.75" customHeight="1" x14ac:dyDescent="0.2">
      <c r="A83" s="4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40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40"/>
      <c r="AB83" s="40"/>
      <c r="AC83" s="40"/>
      <c r="AD83" s="40"/>
      <c r="AE83" s="6"/>
      <c r="AF83" s="6"/>
      <c r="AG83" s="6"/>
      <c r="AH83" s="6"/>
      <c r="AI83" s="6"/>
      <c r="AJ83" s="6"/>
    </row>
    <row r="84" spans="1:36" ht="15.75" customHeight="1" x14ac:dyDescent="0.2">
      <c r="A84" s="4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40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40"/>
      <c r="AB84" s="40"/>
      <c r="AC84" s="40"/>
      <c r="AD84" s="40"/>
      <c r="AE84" s="6"/>
      <c r="AF84" s="6"/>
      <c r="AG84" s="6"/>
      <c r="AH84" s="6"/>
      <c r="AI84" s="6"/>
      <c r="AJ84" s="6"/>
    </row>
    <row r="85" spans="1:36" ht="15.75" customHeight="1" x14ac:dyDescent="0.2">
      <c r="A85" s="4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40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40"/>
      <c r="AB85" s="40"/>
      <c r="AC85" s="40"/>
      <c r="AD85" s="40"/>
      <c r="AE85" s="6"/>
      <c r="AF85" s="6"/>
      <c r="AG85" s="6"/>
      <c r="AH85" s="6"/>
      <c r="AI85" s="6"/>
      <c r="AJ85" s="6"/>
    </row>
    <row r="86" spans="1:36" ht="15.75" customHeight="1" x14ac:dyDescent="0.2">
      <c r="A86" s="4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40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40"/>
      <c r="AB86" s="40"/>
      <c r="AC86" s="40"/>
      <c r="AD86" s="40"/>
      <c r="AE86" s="6"/>
      <c r="AF86" s="6"/>
      <c r="AG86" s="6"/>
      <c r="AH86" s="6"/>
      <c r="AI86" s="6"/>
      <c r="AJ86" s="6"/>
    </row>
    <row r="87" spans="1:36" ht="15.75" customHeight="1" x14ac:dyDescent="0.2">
      <c r="A87" s="4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40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40"/>
      <c r="AB87" s="40"/>
      <c r="AC87" s="40"/>
      <c r="AD87" s="40"/>
      <c r="AE87" s="6"/>
      <c r="AF87" s="6"/>
      <c r="AG87" s="6"/>
      <c r="AH87" s="6"/>
      <c r="AI87" s="6"/>
      <c r="AJ87" s="6"/>
    </row>
    <row r="88" spans="1:36" ht="15.75" customHeight="1" x14ac:dyDescent="0.2">
      <c r="A88" s="4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40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40"/>
      <c r="AB88" s="40"/>
      <c r="AC88" s="40"/>
      <c r="AD88" s="40"/>
      <c r="AE88" s="6"/>
      <c r="AF88" s="6"/>
      <c r="AG88" s="6"/>
      <c r="AH88" s="6"/>
      <c r="AI88" s="6"/>
      <c r="AJ88" s="6"/>
    </row>
    <row r="89" spans="1:36" ht="15.75" customHeight="1" x14ac:dyDescent="0.2">
      <c r="A89" s="4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40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40"/>
      <c r="AB89" s="40"/>
      <c r="AC89" s="40"/>
      <c r="AD89" s="40"/>
      <c r="AE89" s="6"/>
      <c r="AF89" s="6"/>
      <c r="AG89" s="6"/>
      <c r="AH89" s="6"/>
      <c r="AI89" s="6"/>
      <c r="AJ89" s="6"/>
    </row>
    <row r="90" spans="1:36" ht="15.75" customHeight="1" x14ac:dyDescent="0.2">
      <c r="A90" s="4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40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40"/>
      <c r="AB90" s="40"/>
      <c r="AC90" s="40"/>
      <c r="AD90" s="40"/>
      <c r="AE90" s="6"/>
      <c r="AF90" s="6"/>
      <c r="AG90" s="6"/>
      <c r="AH90" s="6"/>
      <c r="AI90" s="6"/>
      <c r="AJ90" s="6"/>
    </row>
    <row r="91" spans="1:36" ht="15.75" customHeight="1" x14ac:dyDescent="0.2">
      <c r="A91" s="4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40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40"/>
      <c r="AB91" s="40"/>
      <c r="AC91" s="40"/>
      <c r="AD91" s="40"/>
      <c r="AE91" s="6"/>
      <c r="AF91" s="6"/>
      <c r="AG91" s="6"/>
      <c r="AH91" s="6"/>
      <c r="AI91" s="6"/>
      <c r="AJ91" s="6"/>
    </row>
    <row r="92" spans="1:36" ht="15.75" customHeight="1" x14ac:dyDescent="0.2">
      <c r="A92" s="4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40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40"/>
      <c r="AB92" s="40"/>
      <c r="AC92" s="40"/>
      <c r="AD92" s="40"/>
      <c r="AE92" s="6"/>
      <c r="AF92" s="6"/>
      <c r="AG92" s="6"/>
      <c r="AH92" s="6"/>
      <c r="AI92" s="6"/>
      <c r="AJ92" s="6"/>
    </row>
    <row r="93" spans="1:36" ht="15.75" customHeight="1" x14ac:dyDescent="0.2">
      <c r="A93" s="4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40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40"/>
      <c r="AB93" s="40"/>
      <c r="AC93" s="40"/>
      <c r="AD93" s="40"/>
      <c r="AE93" s="6"/>
      <c r="AF93" s="6"/>
      <c r="AG93" s="6"/>
      <c r="AH93" s="6"/>
      <c r="AI93" s="6"/>
      <c r="AJ93" s="6"/>
    </row>
    <row r="94" spans="1:36" ht="15.75" customHeight="1" x14ac:dyDescent="0.2">
      <c r="A94" s="4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40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40"/>
      <c r="AB94" s="40"/>
      <c r="AC94" s="40"/>
      <c r="AD94" s="40"/>
      <c r="AE94" s="6"/>
      <c r="AF94" s="6"/>
      <c r="AG94" s="6"/>
      <c r="AH94" s="6"/>
      <c r="AI94" s="6"/>
      <c r="AJ94" s="6"/>
    </row>
    <row r="95" spans="1:36" ht="15.75" customHeight="1" x14ac:dyDescent="0.2">
      <c r="A95" s="4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40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40"/>
      <c r="AB95" s="40"/>
      <c r="AC95" s="40"/>
      <c r="AD95" s="40"/>
      <c r="AE95" s="6"/>
      <c r="AF95" s="6"/>
      <c r="AG95" s="6"/>
      <c r="AH95" s="6"/>
      <c r="AI95" s="6"/>
      <c r="AJ95" s="6"/>
    </row>
    <row r="96" spans="1:36" ht="15.75" customHeight="1" x14ac:dyDescent="0.2">
      <c r="A96" s="4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40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40"/>
      <c r="AB96" s="40"/>
      <c r="AC96" s="40"/>
      <c r="AD96" s="40"/>
      <c r="AE96" s="6"/>
      <c r="AF96" s="6"/>
      <c r="AG96" s="6"/>
      <c r="AH96" s="6"/>
      <c r="AI96" s="6"/>
      <c r="AJ96" s="6"/>
    </row>
    <row r="97" spans="1:36" ht="15.75" customHeight="1" x14ac:dyDescent="0.2">
      <c r="A97" s="4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40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40"/>
      <c r="AB97" s="40"/>
      <c r="AC97" s="40"/>
      <c r="AD97" s="40"/>
      <c r="AE97" s="6"/>
      <c r="AF97" s="6"/>
      <c r="AG97" s="6"/>
      <c r="AH97" s="6"/>
      <c r="AI97" s="6"/>
      <c r="AJ97" s="6"/>
    </row>
    <row r="98" spans="1:36" ht="15.75" customHeight="1" x14ac:dyDescent="0.2">
      <c r="A98" s="4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40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40"/>
      <c r="AB98" s="40"/>
      <c r="AC98" s="40"/>
      <c r="AD98" s="40"/>
      <c r="AE98" s="6"/>
      <c r="AF98" s="6"/>
      <c r="AG98" s="6"/>
      <c r="AH98" s="6"/>
      <c r="AI98" s="6"/>
      <c r="AJ98" s="6"/>
    </row>
    <row r="99" spans="1:36" ht="15.75" customHeight="1" x14ac:dyDescent="0.2">
      <c r="A99" s="4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40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40"/>
      <c r="AB99" s="40"/>
      <c r="AC99" s="40"/>
      <c r="AD99" s="40"/>
      <c r="AE99" s="6"/>
      <c r="AF99" s="6"/>
      <c r="AG99" s="6"/>
      <c r="AH99" s="6"/>
      <c r="AI99" s="6"/>
      <c r="AJ99" s="6"/>
    </row>
    <row r="100" spans="1:36" ht="15.75" customHeight="1" x14ac:dyDescent="0.2">
      <c r="A100" s="4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40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40"/>
      <c r="AB100" s="40"/>
      <c r="AC100" s="40"/>
      <c r="AD100" s="40"/>
      <c r="AE100" s="6"/>
      <c r="AF100" s="6"/>
      <c r="AG100" s="6"/>
      <c r="AH100" s="6"/>
      <c r="AI100" s="6"/>
      <c r="AJ100" s="6"/>
    </row>
    <row r="101" spans="1:36" ht="15.75" customHeight="1" x14ac:dyDescent="0.2">
      <c r="A101" s="4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40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40"/>
      <c r="AB101" s="40"/>
      <c r="AC101" s="40"/>
      <c r="AD101" s="40"/>
      <c r="AE101" s="6"/>
      <c r="AF101" s="6"/>
      <c r="AG101" s="6"/>
      <c r="AH101" s="6"/>
      <c r="AI101" s="6"/>
      <c r="AJ101" s="6"/>
    </row>
    <row r="102" spans="1:36" ht="15.75" customHeight="1" x14ac:dyDescent="0.2">
      <c r="A102" s="4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40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40"/>
      <c r="AB102" s="40"/>
      <c r="AC102" s="40"/>
      <c r="AD102" s="40"/>
      <c r="AE102" s="6"/>
      <c r="AF102" s="6"/>
      <c r="AG102" s="6"/>
      <c r="AH102" s="6"/>
      <c r="AI102" s="6"/>
      <c r="AJ102" s="6"/>
    </row>
    <row r="103" spans="1:36" ht="15.75" customHeight="1" x14ac:dyDescent="0.2">
      <c r="A103" s="4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40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40"/>
      <c r="AB103" s="40"/>
      <c r="AC103" s="40"/>
      <c r="AD103" s="40"/>
      <c r="AE103" s="6"/>
      <c r="AF103" s="6"/>
      <c r="AG103" s="6"/>
      <c r="AH103" s="6"/>
      <c r="AI103" s="6"/>
      <c r="AJ103" s="6"/>
    </row>
    <row r="104" spans="1:36" ht="15.75" customHeight="1" x14ac:dyDescent="0.2">
      <c r="A104" s="4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40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40"/>
      <c r="AB104" s="40"/>
      <c r="AC104" s="40"/>
      <c r="AD104" s="40"/>
      <c r="AE104" s="6"/>
      <c r="AF104" s="6"/>
      <c r="AG104" s="6"/>
      <c r="AH104" s="6"/>
      <c r="AI104" s="6"/>
      <c r="AJ104" s="6"/>
    </row>
    <row r="105" spans="1:36" ht="15.75" customHeight="1" x14ac:dyDescent="0.2">
      <c r="A105" s="4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40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40"/>
      <c r="AB105" s="40"/>
      <c r="AC105" s="40"/>
      <c r="AD105" s="40"/>
      <c r="AE105" s="6"/>
      <c r="AF105" s="6"/>
      <c r="AG105" s="6"/>
      <c r="AH105" s="6"/>
      <c r="AI105" s="6"/>
      <c r="AJ105" s="6"/>
    </row>
    <row r="106" spans="1:36" ht="15.75" customHeight="1" x14ac:dyDescent="0.2">
      <c r="A106" s="4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40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40"/>
      <c r="AB106" s="40"/>
      <c r="AC106" s="40"/>
      <c r="AD106" s="40"/>
      <c r="AE106" s="6"/>
      <c r="AF106" s="6"/>
      <c r="AG106" s="6"/>
      <c r="AH106" s="6"/>
      <c r="AI106" s="6"/>
      <c r="AJ106" s="6"/>
    </row>
    <row r="107" spans="1:36" ht="15.75" customHeight="1" x14ac:dyDescent="0.2">
      <c r="A107" s="4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40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40"/>
      <c r="AB107" s="40"/>
      <c r="AC107" s="40"/>
      <c r="AD107" s="40"/>
      <c r="AE107" s="6"/>
      <c r="AF107" s="6"/>
      <c r="AG107" s="6"/>
      <c r="AH107" s="6"/>
      <c r="AI107" s="6"/>
      <c r="AJ107" s="6"/>
    </row>
    <row r="108" spans="1:36" ht="15.75" customHeight="1" x14ac:dyDescent="0.2">
      <c r="A108" s="4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40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40"/>
      <c r="AB108" s="40"/>
      <c r="AC108" s="40"/>
      <c r="AD108" s="40"/>
      <c r="AE108" s="6"/>
      <c r="AF108" s="6"/>
      <c r="AG108" s="6"/>
      <c r="AH108" s="6"/>
      <c r="AI108" s="6"/>
      <c r="AJ108" s="6"/>
    </row>
    <row r="109" spans="1:36" ht="15.75" customHeight="1" x14ac:dyDescent="0.2">
      <c r="A109" s="4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40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40"/>
      <c r="AB109" s="40"/>
      <c r="AC109" s="40"/>
      <c r="AD109" s="40"/>
      <c r="AE109" s="6"/>
      <c r="AF109" s="6"/>
      <c r="AG109" s="6"/>
      <c r="AH109" s="6"/>
      <c r="AI109" s="6"/>
      <c r="AJ109" s="6"/>
    </row>
    <row r="110" spans="1:36" ht="15.75" customHeight="1" x14ac:dyDescent="0.2">
      <c r="A110" s="4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40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40"/>
      <c r="AB110" s="40"/>
      <c r="AC110" s="40"/>
      <c r="AD110" s="40"/>
      <c r="AE110" s="6"/>
      <c r="AF110" s="6"/>
      <c r="AG110" s="6"/>
      <c r="AH110" s="6"/>
      <c r="AI110" s="6"/>
      <c r="AJ110" s="6"/>
    </row>
    <row r="111" spans="1:36" ht="15.75" customHeight="1" x14ac:dyDescent="0.2">
      <c r="A111" s="4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40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40"/>
      <c r="AB111" s="40"/>
      <c r="AC111" s="40"/>
      <c r="AD111" s="40"/>
      <c r="AE111" s="6"/>
      <c r="AF111" s="6"/>
      <c r="AG111" s="6"/>
      <c r="AH111" s="6"/>
      <c r="AI111" s="6"/>
      <c r="AJ111" s="6"/>
    </row>
    <row r="112" spans="1:36" ht="15.75" customHeight="1" x14ac:dyDescent="0.2">
      <c r="A112" s="4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40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40"/>
      <c r="AB112" s="40"/>
      <c r="AC112" s="40"/>
      <c r="AD112" s="40"/>
      <c r="AE112" s="6"/>
      <c r="AF112" s="6"/>
      <c r="AG112" s="6"/>
      <c r="AH112" s="6"/>
      <c r="AI112" s="6"/>
      <c r="AJ112" s="6"/>
    </row>
    <row r="113" spans="1:36" ht="15.75" customHeight="1" x14ac:dyDescent="0.2">
      <c r="A113" s="4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40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40"/>
      <c r="AB113" s="40"/>
      <c r="AC113" s="40"/>
      <c r="AD113" s="40"/>
      <c r="AE113" s="6"/>
      <c r="AF113" s="6"/>
      <c r="AG113" s="6"/>
      <c r="AH113" s="6"/>
      <c r="AI113" s="6"/>
      <c r="AJ113" s="6"/>
    </row>
    <row r="114" spans="1:36" ht="15.75" customHeight="1" x14ac:dyDescent="0.2">
      <c r="A114" s="4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40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40"/>
      <c r="AB114" s="40"/>
      <c r="AC114" s="40"/>
      <c r="AD114" s="40"/>
      <c r="AE114" s="6"/>
      <c r="AF114" s="6"/>
      <c r="AG114" s="6"/>
      <c r="AH114" s="6"/>
      <c r="AI114" s="6"/>
      <c r="AJ114" s="6"/>
    </row>
    <row r="115" spans="1:36" ht="15.75" customHeight="1" x14ac:dyDescent="0.2">
      <c r="A115" s="4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40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40"/>
      <c r="AB115" s="40"/>
      <c r="AC115" s="40"/>
      <c r="AD115" s="40"/>
      <c r="AE115" s="6"/>
      <c r="AF115" s="6"/>
      <c r="AG115" s="6"/>
      <c r="AH115" s="6"/>
      <c r="AI115" s="6"/>
      <c r="AJ115" s="6"/>
    </row>
    <row r="116" spans="1:36" ht="15.75" customHeight="1" x14ac:dyDescent="0.2">
      <c r="A116" s="4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40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40"/>
      <c r="AB116" s="40"/>
      <c r="AC116" s="40"/>
      <c r="AD116" s="40"/>
      <c r="AE116" s="6"/>
      <c r="AF116" s="6"/>
      <c r="AG116" s="6"/>
      <c r="AH116" s="6"/>
      <c r="AI116" s="6"/>
      <c r="AJ116" s="6"/>
    </row>
    <row r="117" spans="1:36" ht="15.75" customHeight="1" x14ac:dyDescent="0.2">
      <c r="A117" s="4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40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40"/>
      <c r="AB117" s="40"/>
      <c r="AC117" s="40"/>
      <c r="AD117" s="40"/>
      <c r="AE117" s="6"/>
      <c r="AF117" s="6"/>
      <c r="AG117" s="6"/>
      <c r="AH117" s="6"/>
      <c r="AI117" s="6"/>
      <c r="AJ117" s="6"/>
    </row>
    <row r="118" spans="1:36" ht="15.75" customHeight="1" x14ac:dyDescent="0.2">
      <c r="A118" s="4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40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40"/>
      <c r="AB118" s="40"/>
      <c r="AC118" s="40"/>
      <c r="AD118" s="40"/>
      <c r="AE118" s="6"/>
      <c r="AF118" s="6"/>
      <c r="AG118" s="6"/>
      <c r="AH118" s="6"/>
      <c r="AI118" s="6"/>
      <c r="AJ118" s="6"/>
    </row>
    <row r="119" spans="1:36" ht="15.75" customHeight="1" x14ac:dyDescent="0.2">
      <c r="A119" s="4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40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40"/>
      <c r="AB119" s="40"/>
      <c r="AC119" s="40"/>
      <c r="AD119" s="40"/>
      <c r="AE119" s="6"/>
      <c r="AF119" s="6"/>
      <c r="AG119" s="6"/>
      <c r="AH119" s="6"/>
      <c r="AI119" s="6"/>
      <c r="AJ119" s="6"/>
    </row>
    <row r="120" spans="1:36" ht="15.75" customHeight="1" x14ac:dyDescent="0.2">
      <c r="A120" s="4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40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40"/>
      <c r="AB120" s="40"/>
      <c r="AC120" s="40"/>
      <c r="AD120" s="40"/>
      <c r="AE120" s="6"/>
      <c r="AF120" s="6"/>
      <c r="AG120" s="6"/>
      <c r="AH120" s="6"/>
      <c r="AI120" s="6"/>
      <c r="AJ120" s="6"/>
    </row>
    <row r="121" spans="1:36" ht="15.75" customHeight="1" x14ac:dyDescent="0.2">
      <c r="A121" s="40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40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40"/>
      <c r="AB121" s="40"/>
      <c r="AC121" s="40"/>
      <c r="AD121" s="40"/>
      <c r="AE121" s="6"/>
      <c r="AF121" s="6"/>
      <c r="AG121" s="6"/>
      <c r="AH121" s="6"/>
      <c r="AI121" s="6"/>
      <c r="AJ121" s="6"/>
    </row>
    <row r="122" spans="1:36" ht="15.75" customHeight="1" x14ac:dyDescent="0.2">
      <c r="A122" s="40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40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40"/>
      <c r="AB122" s="40"/>
      <c r="AC122" s="40"/>
      <c r="AD122" s="40"/>
      <c r="AE122" s="6"/>
      <c r="AF122" s="6"/>
      <c r="AG122" s="6"/>
      <c r="AH122" s="6"/>
      <c r="AI122" s="6"/>
      <c r="AJ122" s="6"/>
    </row>
    <row r="123" spans="1:36" ht="15.75" customHeight="1" x14ac:dyDescent="0.2">
      <c r="A123" s="4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40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40"/>
      <c r="AB123" s="40"/>
      <c r="AC123" s="40"/>
      <c r="AD123" s="40"/>
      <c r="AE123" s="6"/>
      <c r="AF123" s="6"/>
      <c r="AG123" s="6"/>
      <c r="AH123" s="6"/>
      <c r="AI123" s="6"/>
      <c r="AJ123" s="6"/>
    </row>
    <row r="124" spans="1:36" ht="15.75" customHeight="1" x14ac:dyDescent="0.2">
      <c r="A124" s="40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40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40"/>
      <c r="AB124" s="40"/>
      <c r="AC124" s="40"/>
      <c r="AD124" s="40"/>
      <c r="AE124" s="6"/>
      <c r="AF124" s="6"/>
      <c r="AG124" s="6"/>
      <c r="AH124" s="6"/>
      <c r="AI124" s="6"/>
      <c r="AJ124" s="6"/>
    </row>
    <row r="125" spans="1:36" ht="15.75" customHeight="1" x14ac:dyDescent="0.2">
      <c r="A125" s="40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40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40"/>
      <c r="AB125" s="40"/>
      <c r="AC125" s="40"/>
      <c r="AD125" s="40"/>
      <c r="AE125" s="6"/>
      <c r="AF125" s="6"/>
      <c r="AG125" s="6"/>
      <c r="AH125" s="6"/>
      <c r="AI125" s="6"/>
      <c r="AJ125" s="6"/>
    </row>
    <row r="126" spans="1:36" ht="15.75" customHeight="1" x14ac:dyDescent="0.2">
      <c r="A126" s="40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40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40"/>
      <c r="AB126" s="40"/>
      <c r="AC126" s="40"/>
      <c r="AD126" s="40"/>
      <c r="AE126" s="6"/>
      <c r="AF126" s="6"/>
      <c r="AG126" s="6"/>
      <c r="AH126" s="6"/>
      <c r="AI126" s="6"/>
      <c r="AJ126" s="6"/>
    </row>
    <row r="127" spans="1:36" ht="15.75" customHeight="1" x14ac:dyDescent="0.2">
      <c r="A127" s="40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40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40"/>
      <c r="AB127" s="40"/>
      <c r="AC127" s="40"/>
      <c r="AD127" s="40"/>
      <c r="AE127" s="6"/>
      <c r="AF127" s="6"/>
      <c r="AG127" s="6"/>
      <c r="AH127" s="6"/>
      <c r="AI127" s="6"/>
      <c r="AJ127" s="6"/>
    </row>
    <row r="128" spans="1:36" ht="15.75" customHeight="1" x14ac:dyDescent="0.2">
      <c r="A128" s="40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40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40"/>
      <c r="AB128" s="40"/>
      <c r="AC128" s="40"/>
      <c r="AD128" s="40"/>
      <c r="AE128" s="6"/>
      <c r="AF128" s="6"/>
      <c r="AG128" s="6"/>
      <c r="AH128" s="6"/>
      <c r="AI128" s="6"/>
      <c r="AJ128" s="6"/>
    </row>
    <row r="129" spans="1:36" ht="15.75" customHeight="1" x14ac:dyDescent="0.2">
      <c r="A129" s="4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40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40"/>
      <c r="AB129" s="40"/>
      <c r="AC129" s="40"/>
      <c r="AD129" s="40"/>
      <c r="AE129" s="6"/>
      <c r="AF129" s="6"/>
      <c r="AG129" s="6"/>
      <c r="AH129" s="6"/>
      <c r="AI129" s="6"/>
      <c r="AJ129" s="6"/>
    </row>
    <row r="130" spans="1:36" ht="15.75" customHeight="1" x14ac:dyDescent="0.2">
      <c r="A130" s="4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40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40"/>
      <c r="AB130" s="40"/>
      <c r="AC130" s="40"/>
      <c r="AD130" s="40"/>
      <c r="AE130" s="6"/>
      <c r="AF130" s="6"/>
      <c r="AG130" s="6"/>
      <c r="AH130" s="6"/>
      <c r="AI130" s="6"/>
      <c r="AJ130" s="6"/>
    </row>
    <row r="131" spans="1:36" ht="15.75" customHeight="1" x14ac:dyDescent="0.2">
      <c r="A131" s="4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40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40"/>
      <c r="AB131" s="40"/>
      <c r="AC131" s="40"/>
      <c r="AD131" s="40"/>
      <c r="AE131" s="6"/>
      <c r="AF131" s="6"/>
      <c r="AG131" s="6"/>
      <c r="AH131" s="6"/>
      <c r="AI131" s="6"/>
      <c r="AJ131" s="6"/>
    </row>
    <row r="132" spans="1:36" ht="15.75" customHeight="1" x14ac:dyDescent="0.2">
      <c r="A132" s="4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40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40"/>
      <c r="AB132" s="40"/>
      <c r="AC132" s="40"/>
      <c r="AD132" s="40"/>
      <c r="AE132" s="6"/>
      <c r="AF132" s="6"/>
      <c r="AG132" s="6"/>
      <c r="AH132" s="6"/>
      <c r="AI132" s="6"/>
      <c r="AJ132" s="6"/>
    </row>
    <row r="133" spans="1:36" ht="15.75" customHeight="1" x14ac:dyDescent="0.2">
      <c r="A133" s="4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40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40"/>
      <c r="AB133" s="40"/>
      <c r="AC133" s="40"/>
      <c r="AD133" s="40"/>
      <c r="AE133" s="6"/>
      <c r="AF133" s="6"/>
      <c r="AG133" s="6"/>
      <c r="AH133" s="6"/>
      <c r="AI133" s="6"/>
      <c r="AJ133" s="6"/>
    </row>
    <row r="134" spans="1:36" ht="15.75" customHeight="1" x14ac:dyDescent="0.2">
      <c r="A134" s="4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40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40"/>
      <c r="AB134" s="40"/>
      <c r="AC134" s="40"/>
      <c r="AD134" s="40"/>
      <c r="AE134" s="6"/>
      <c r="AF134" s="6"/>
      <c r="AG134" s="6"/>
      <c r="AH134" s="6"/>
      <c r="AI134" s="6"/>
      <c r="AJ134" s="6"/>
    </row>
    <row r="135" spans="1:36" ht="15.75" customHeight="1" x14ac:dyDescent="0.2">
      <c r="A135" s="4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40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40"/>
      <c r="AB135" s="40"/>
      <c r="AC135" s="40"/>
      <c r="AD135" s="40"/>
      <c r="AE135" s="6"/>
      <c r="AF135" s="6"/>
      <c r="AG135" s="6"/>
      <c r="AH135" s="6"/>
      <c r="AI135" s="6"/>
      <c r="AJ135" s="6"/>
    </row>
    <row r="136" spans="1:36" ht="15.75" customHeight="1" x14ac:dyDescent="0.2">
      <c r="A136" s="4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40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40"/>
      <c r="AB136" s="40"/>
      <c r="AC136" s="40"/>
      <c r="AD136" s="40"/>
      <c r="AE136" s="6"/>
      <c r="AF136" s="6"/>
      <c r="AG136" s="6"/>
      <c r="AH136" s="6"/>
      <c r="AI136" s="6"/>
      <c r="AJ136" s="6"/>
    </row>
    <row r="137" spans="1:36" ht="15.75" customHeight="1" x14ac:dyDescent="0.2">
      <c r="A137" s="40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40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40"/>
      <c r="AB137" s="40"/>
      <c r="AC137" s="40"/>
      <c r="AD137" s="40"/>
      <c r="AE137" s="6"/>
      <c r="AF137" s="6"/>
      <c r="AG137" s="6"/>
      <c r="AH137" s="6"/>
      <c r="AI137" s="6"/>
      <c r="AJ137" s="6"/>
    </row>
    <row r="138" spans="1:36" ht="15.75" customHeight="1" x14ac:dyDescent="0.2">
      <c r="A138" s="4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40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40"/>
      <c r="AB138" s="40"/>
      <c r="AC138" s="40"/>
      <c r="AD138" s="40"/>
      <c r="AE138" s="6"/>
      <c r="AF138" s="6"/>
      <c r="AG138" s="6"/>
      <c r="AH138" s="6"/>
      <c r="AI138" s="6"/>
      <c r="AJ138" s="6"/>
    </row>
    <row r="139" spans="1:36" ht="15.75" customHeight="1" x14ac:dyDescent="0.2">
      <c r="A139" s="40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40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40"/>
      <c r="AB139" s="40"/>
      <c r="AC139" s="40"/>
      <c r="AD139" s="40"/>
      <c r="AE139" s="6"/>
      <c r="AF139" s="6"/>
      <c r="AG139" s="6"/>
      <c r="AH139" s="6"/>
      <c r="AI139" s="6"/>
      <c r="AJ139" s="6"/>
    </row>
    <row r="140" spans="1:36" ht="15.75" customHeight="1" x14ac:dyDescent="0.2">
      <c r="A140" s="4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40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40"/>
      <c r="AB140" s="40"/>
      <c r="AC140" s="40"/>
      <c r="AD140" s="40"/>
      <c r="AE140" s="6"/>
      <c r="AF140" s="6"/>
      <c r="AG140" s="6"/>
      <c r="AH140" s="6"/>
      <c r="AI140" s="6"/>
      <c r="AJ140" s="6"/>
    </row>
    <row r="141" spans="1:36" ht="15.75" customHeight="1" x14ac:dyDescent="0.2">
      <c r="A141" s="4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40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40"/>
      <c r="AB141" s="40"/>
      <c r="AC141" s="40"/>
      <c r="AD141" s="40"/>
      <c r="AE141" s="6"/>
      <c r="AF141" s="6"/>
      <c r="AG141" s="6"/>
      <c r="AH141" s="6"/>
      <c r="AI141" s="6"/>
      <c r="AJ141" s="6"/>
    </row>
    <row r="142" spans="1:36" ht="15.75" customHeight="1" x14ac:dyDescent="0.2">
      <c r="A142" s="40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40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40"/>
      <c r="AB142" s="40"/>
      <c r="AC142" s="40"/>
      <c r="AD142" s="40"/>
      <c r="AE142" s="6"/>
      <c r="AF142" s="6"/>
      <c r="AG142" s="6"/>
      <c r="AH142" s="6"/>
      <c r="AI142" s="6"/>
      <c r="AJ142" s="6"/>
    </row>
    <row r="143" spans="1:36" ht="15.75" customHeight="1" x14ac:dyDescent="0.2">
      <c r="A143" s="40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40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40"/>
      <c r="AB143" s="40"/>
      <c r="AC143" s="40"/>
      <c r="AD143" s="40"/>
      <c r="AE143" s="6"/>
      <c r="AF143" s="6"/>
      <c r="AG143" s="6"/>
      <c r="AH143" s="6"/>
      <c r="AI143" s="6"/>
      <c r="AJ143" s="6"/>
    </row>
    <row r="144" spans="1:36" ht="15.75" customHeight="1" x14ac:dyDescent="0.2">
      <c r="A144" s="4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40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40"/>
      <c r="AB144" s="40"/>
      <c r="AC144" s="40"/>
      <c r="AD144" s="40"/>
      <c r="AE144" s="6"/>
      <c r="AF144" s="6"/>
      <c r="AG144" s="6"/>
      <c r="AH144" s="6"/>
      <c r="AI144" s="6"/>
      <c r="AJ144" s="6"/>
    </row>
    <row r="145" spans="1:36" ht="15.75" customHeight="1" x14ac:dyDescent="0.2">
      <c r="A145" s="4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40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40"/>
      <c r="AB145" s="40"/>
      <c r="AC145" s="40"/>
      <c r="AD145" s="40"/>
      <c r="AE145" s="6"/>
      <c r="AF145" s="6"/>
      <c r="AG145" s="6"/>
      <c r="AH145" s="6"/>
      <c r="AI145" s="6"/>
      <c r="AJ145" s="6"/>
    </row>
    <row r="146" spans="1:36" ht="15.75" customHeight="1" x14ac:dyDescent="0.2">
      <c r="A146" s="40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40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40"/>
      <c r="AB146" s="40"/>
      <c r="AC146" s="40"/>
      <c r="AD146" s="40"/>
      <c r="AE146" s="6"/>
      <c r="AF146" s="6"/>
      <c r="AG146" s="6"/>
      <c r="AH146" s="6"/>
      <c r="AI146" s="6"/>
      <c r="AJ146" s="6"/>
    </row>
    <row r="147" spans="1:36" ht="15.75" customHeight="1" x14ac:dyDescent="0.2">
      <c r="A147" s="4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40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40"/>
      <c r="AB147" s="40"/>
      <c r="AC147" s="40"/>
      <c r="AD147" s="40"/>
      <c r="AE147" s="6"/>
      <c r="AF147" s="6"/>
      <c r="AG147" s="6"/>
      <c r="AH147" s="6"/>
      <c r="AI147" s="6"/>
      <c r="AJ147" s="6"/>
    </row>
    <row r="148" spans="1:36" ht="15.75" customHeight="1" x14ac:dyDescent="0.2">
      <c r="A148" s="4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40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40"/>
      <c r="AB148" s="40"/>
      <c r="AC148" s="40"/>
      <c r="AD148" s="40"/>
      <c r="AE148" s="6"/>
      <c r="AF148" s="6"/>
      <c r="AG148" s="6"/>
      <c r="AH148" s="6"/>
      <c r="AI148" s="6"/>
      <c r="AJ148" s="6"/>
    </row>
    <row r="149" spans="1:36" ht="15.75" customHeight="1" x14ac:dyDescent="0.2">
      <c r="A149" s="40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40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40"/>
      <c r="AB149" s="40"/>
      <c r="AC149" s="40"/>
      <c r="AD149" s="40"/>
      <c r="AE149" s="6"/>
      <c r="AF149" s="6"/>
      <c r="AG149" s="6"/>
      <c r="AH149" s="6"/>
      <c r="AI149" s="6"/>
      <c r="AJ149" s="6"/>
    </row>
    <row r="150" spans="1:36" ht="15.75" customHeight="1" x14ac:dyDescent="0.2">
      <c r="A150" s="4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40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40"/>
      <c r="AB150" s="40"/>
      <c r="AC150" s="40"/>
      <c r="AD150" s="40"/>
      <c r="AE150" s="6"/>
      <c r="AF150" s="6"/>
      <c r="AG150" s="6"/>
      <c r="AH150" s="6"/>
      <c r="AI150" s="6"/>
      <c r="AJ150" s="6"/>
    </row>
    <row r="151" spans="1:36" ht="15.75" customHeight="1" x14ac:dyDescent="0.2">
      <c r="A151" s="4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40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40"/>
      <c r="AB151" s="40"/>
      <c r="AC151" s="40"/>
      <c r="AD151" s="40"/>
      <c r="AE151" s="6"/>
      <c r="AF151" s="6"/>
      <c r="AG151" s="6"/>
      <c r="AH151" s="6"/>
      <c r="AI151" s="6"/>
      <c r="AJ151" s="6"/>
    </row>
    <row r="152" spans="1:36" ht="15.75" customHeight="1" x14ac:dyDescent="0.2">
      <c r="A152" s="4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40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40"/>
      <c r="AB152" s="40"/>
      <c r="AC152" s="40"/>
      <c r="AD152" s="40"/>
      <c r="AE152" s="6"/>
      <c r="AF152" s="6"/>
      <c r="AG152" s="6"/>
      <c r="AH152" s="6"/>
      <c r="AI152" s="6"/>
      <c r="AJ152" s="6"/>
    </row>
    <row r="153" spans="1:36" ht="15.75" customHeight="1" x14ac:dyDescent="0.2">
      <c r="A153" s="40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40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40"/>
      <c r="AB153" s="40"/>
      <c r="AC153" s="40"/>
      <c r="AD153" s="40"/>
      <c r="AE153" s="6"/>
      <c r="AF153" s="6"/>
      <c r="AG153" s="6"/>
      <c r="AH153" s="6"/>
      <c r="AI153" s="6"/>
      <c r="AJ153" s="6"/>
    </row>
    <row r="154" spans="1:36" ht="15.75" customHeight="1" x14ac:dyDescent="0.2">
      <c r="A154" s="40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40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40"/>
      <c r="AB154" s="40"/>
      <c r="AC154" s="40"/>
      <c r="AD154" s="40"/>
      <c r="AE154" s="6"/>
      <c r="AF154" s="6"/>
      <c r="AG154" s="6"/>
      <c r="AH154" s="6"/>
      <c r="AI154" s="6"/>
      <c r="AJ154" s="6"/>
    </row>
    <row r="155" spans="1:36" ht="15.75" customHeight="1" x14ac:dyDescent="0.2">
      <c r="A155" s="4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40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40"/>
      <c r="AB155" s="40"/>
      <c r="AC155" s="40"/>
      <c r="AD155" s="40"/>
      <c r="AE155" s="6"/>
      <c r="AF155" s="6"/>
      <c r="AG155" s="6"/>
      <c r="AH155" s="6"/>
      <c r="AI155" s="6"/>
      <c r="AJ155" s="6"/>
    </row>
    <row r="156" spans="1:36" ht="15.75" customHeight="1" x14ac:dyDescent="0.2">
      <c r="A156" s="4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40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40"/>
      <c r="AB156" s="40"/>
      <c r="AC156" s="40"/>
      <c r="AD156" s="40"/>
      <c r="AE156" s="6"/>
      <c r="AF156" s="6"/>
      <c r="AG156" s="6"/>
      <c r="AH156" s="6"/>
      <c r="AI156" s="6"/>
      <c r="AJ156" s="6"/>
    </row>
    <row r="157" spans="1:36" ht="15.75" customHeight="1" x14ac:dyDescent="0.2">
      <c r="A157" s="4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40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40"/>
      <c r="AB157" s="40"/>
      <c r="AC157" s="40"/>
      <c r="AD157" s="40"/>
      <c r="AE157" s="6"/>
      <c r="AF157" s="6"/>
      <c r="AG157" s="6"/>
      <c r="AH157" s="6"/>
      <c r="AI157" s="6"/>
      <c r="AJ157" s="6"/>
    </row>
    <row r="158" spans="1:36" ht="15.75" customHeight="1" x14ac:dyDescent="0.2">
      <c r="A158" s="4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40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40"/>
      <c r="AB158" s="40"/>
      <c r="AC158" s="40"/>
      <c r="AD158" s="40"/>
      <c r="AE158" s="6"/>
      <c r="AF158" s="6"/>
      <c r="AG158" s="6"/>
      <c r="AH158" s="6"/>
      <c r="AI158" s="6"/>
      <c r="AJ158" s="6"/>
    </row>
    <row r="159" spans="1:36" ht="15.75" customHeight="1" x14ac:dyDescent="0.2">
      <c r="A159" s="4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40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40"/>
      <c r="AB159" s="40"/>
      <c r="AC159" s="40"/>
      <c r="AD159" s="40"/>
      <c r="AE159" s="6"/>
      <c r="AF159" s="6"/>
      <c r="AG159" s="6"/>
      <c r="AH159" s="6"/>
      <c r="AI159" s="6"/>
      <c r="AJ159" s="6"/>
    </row>
    <row r="160" spans="1:36" ht="15.75" customHeight="1" x14ac:dyDescent="0.2">
      <c r="A160" s="4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40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40"/>
      <c r="AB160" s="40"/>
      <c r="AC160" s="40"/>
      <c r="AD160" s="40"/>
      <c r="AE160" s="6"/>
      <c r="AF160" s="6"/>
      <c r="AG160" s="6"/>
      <c r="AH160" s="6"/>
      <c r="AI160" s="6"/>
      <c r="AJ160" s="6"/>
    </row>
    <row r="161" spans="1:36" ht="15.75" customHeight="1" x14ac:dyDescent="0.2">
      <c r="A161" s="4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40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40"/>
      <c r="AB161" s="40"/>
      <c r="AC161" s="40"/>
      <c r="AD161" s="40"/>
      <c r="AE161" s="6"/>
      <c r="AF161" s="6"/>
      <c r="AG161" s="6"/>
      <c r="AH161" s="6"/>
      <c r="AI161" s="6"/>
      <c r="AJ161" s="6"/>
    </row>
    <row r="162" spans="1:36" ht="15.75" customHeight="1" x14ac:dyDescent="0.2">
      <c r="A162" s="40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40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40"/>
      <c r="AB162" s="40"/>
      <c r="AC162" s="40"/>
      <c r="AD162" s="40"/>
      <c r="AE162" s="6"/>
      <c r="AF162" s="6"/>
      <c r="AG162" s="6"/>
      <c r="AH162" s="6"/>
      <c r="AI162" s="6"/>
      <c r="AJ162" s="6"/>
    </row>
    <row r="163" spans="1:36" ht="15.75" customHeight="1" x14ac:dyDescent="0.2">
      <c r="A163" s="4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40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40"/>
      <c r="AB163" s="40"/>
      <c r="AC163" s="40"/>
      <c r="AD163" s="40"/>
      <c r="AE163" s="6"/>
      <c r="AF163" s="6"/>
      <c r="AG163" s="6"/>
      <c r="AH163" s="6"/>
      <c r="AI163" s="6"/>
      <c r="AJ163" s="6"/>
    </row>
    <row r="164" spans="1:36" ht="15.75" customHeight="1" x14ac:dyDescent="0.2">
      <c r="A164" s="40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40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40"/>
      <c r="AB164" s="40"/>
      <c r="AC164" s="40"/>
      <c r="AD164" s="40"/>
      <c r="AE164" s="6"/>
      <c r="AF164" s="6"/>
      <c r="AG164" s="6"/>
      <c r="AH164" s="6"/>
      <c r="AI164" s="6"/>
      <c r="AJ164" s="6"/>
    </row>
    <row r="165" spans="1:36" ht="15.75" customHeight="1" x14ac:dyDescent="0.2">
      <c r="A165" s="4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40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40"/>
      <c r="AB165" s="40"/>
      <c r="AC165" s="40"/>
      <c r="AD165" s="40"/>
      <c r="AE165" s="6"/>
      <c r="AF165" s="6"/>
      <c r="AG165" s="6"/>
      <c r="AH165" s="6"/>
      <c r="AI165" s="6"/>
      <c r="AJ165" s="6"/>
    </row>
    <row r="166" spans="1:36" ht="15.75" customHeight="1" x14ac:dyDescent="0.2">
      <c r="A166" s="40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40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40"/>
      <c r="AB166" s="40"/>
      <c r="AC166" s="40"/>
      <c r="AD166" s="40"/>
      <c r="AE166" s="6"/>
      <c r="AF166" s="6"/>
      <c r="AG166" s="6"/>
      <c r="AH166" s="6"/>
      <c r="AI166" s="6"/>
      <c r="AJ166" s="6"/>
    </row>
    <row r="167" spans="1:36" ht="15.75" customHeight="1" x14ac:dyDescent="0.2">
      <c r="A167" s="40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40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40"/>
      <c r="AB167" s="40"/>
      <c r="AC167" s="40"/>
      <c r="AD167" s="40"/>
      <c r="AE167" s="6"/>
      <c r="AF167" s="6"/>
      <c r="AG167" s="6"/>
      <c r="AH167" s="6"/>
      <c r="AI167" s="6"/>
      <c r="AJ167" s="6"/>
    </row>
    <row r="168" spans="1:36" ht="15.75" customHeight="1" x14ac:dyDescent="0.2">
      <c r="A168" s="40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40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40"/>
      <c r="AB168" s="40"/>
      <c r="AC168" s="40"/>
      <c r="AD168" s="40"/>
      <c r="AE168" s="6"/>
      <c r="AF168" s="6"/>
      <c r="AG168" s="6"/>
      <c r="AH168" s="6"/>
      <c r="AI168" s="6"/>
      <c r="AJ168" s="6"/>
    </row>
    <row r="169" spans="1:36" ht="15.75" customHeight="1" x14ac:dyDescent="0.2">
      <c r="A169" s="40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40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40"/>
      <c r="AB169" s="40"/>
      <c r="AC169" s="40"/>
      <c r="AD169" s="40"/>
      <c r="AE169" s="6"/>
      <c r="AF169" s="6"/>
      <c r="AG169" s="6"/>
      <c r="AH169" s="6"/>
      <c r="AI169" s="6"/>
      <c r="AJ169" s="6"/>
    </row>
    <row r="170" spans="1:36" ht="15.75" customHeight="1" x14ac:dyDescent="0.2">
      <c r="A170" s="4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40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40"/>
      <c r="AB170" s="40"/>
      <c r="AC170" s="40"/>
      <c r="AD170" s="40"/>
      <c r="AE170" s="6"/>
      <c r="AF170" s="6"/>
      <c r="AG170" s="6"/>
      <c r="AH170" s="6"/>
      <c r="AI170" s="6"/>
      <c r="AJ170" s="6"/>
    </row>
    <row r="171" spans="1:36" ht="15.75" customHeight="1" x14ac:dyDescent="0.2">
      <c r="A171" s="40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40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40"/>
      <c r="AB171" s="40"/>
      <c r="AC171" s="40"/>
      <c r="AD171" s="40"/>
      <c r="AE171" s="6"/>
      <c r="AF171" s="6"/>
      <c r="AG171" s="6"/>
      <c r="AH171" s="6"/>
      <c r="AI171" s="6"/>
      <c r="AJ171" s="6"/>
    </row>
    <row r="172" spans="1:36" ht="15.75" customHeight="1" x14ac:dyDescent="0.2">
      <c r="A172" s="40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40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40"/>
      <c r="AB172" s="40"/>
      <c r="AC172" s="40"/>
      <c r="AD172" s="40"/>
      <c r="AE172" s="6"/>
      <c r="AF172" s="6"/>
      <c r="AG172" s="6"/>
      <c r="AH172" s="6"/>
      <c r="AI172" s="6"/>
      <c r="AJ172" s="6"/>
    </row>
    <row r="173" spans="1:36" ht="15.75" customHeight="1" x14ac:dyDescent="0.2">
      <c r="A173" s="4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40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40"/>
      <c r="AB173" s="40"/>
      <c r="AC173" s="40"/>
      <c r="AD173" s="40"/>
      <c r="AE173" s="6"/>
      <c r="AF173" s="6"/>
      <c r="AG173" s="6"/>
      <c r="AH173" s="6"/>
      <c r="AI173" s="6"/>
      <c r="AJ173" s="6"/>
    </row>
    <row r="174" spans="1:36" ht="15.75" customHeight="1" x14ac:dyDescent="0.2">
      <c r="A174" s="40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40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40"/>
      <c r="AB174" s="40"/>
      <c r="AC174" s="40"/>
      <c r="AD174" s="40"/>
      <c r="AE174" s="6"/>
      <c r="AF174" s="6"/>
      <c r="AG174" s="6"/>
      <c r="AH174" s="6"/>
      <c r="AI174" s="6"/>
      <c r="AJ174" s="6"/>
    </row>
    <row r="175" spans="1:36" ht="15.75" customHeight="1" x14ac:dyDescent="0.2">
      <c r="A175" s="40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40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40"/>
      <c r="AB175" s="40"/>
      <c r="AC175" s="40"/>
      <c r="AD175" s="40"/>
      <c r="AE175" s="6"/>
      <c r="AF175" s="6"/>
      <c r="AG175" s="6"/>
      <c r="AH175" s="6"/>
      <c r="AI175" s="6"/>
      <c r="AJ175" s="6"/>
    </row>
    <row r="176" spans="1:36" ht="15.75" customHeight="1" x14ac:dyDescent="0.2">
      <c r="A176" s="40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40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40"/>
      <c r="AB176" s="40"/>
      <c r="AC176" s="40"/>
      <c r="AD176" s="40"/>
      <c r="AE176" s="6"/>
      <c r="AF176" s="6"/>
      <c r="AG176" s="6"/>
      <c r="AH176" s="6"/>
      <c r="AI176" s="6"/>
      <c r="AJ176" s="6"/>
    </row>
    <row r="177" spans="1:36" ht="15.75" customHeight="1" x14ac:dyDescent="0.2">
      <c r="A177" s="40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40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40"/>
      <c r="AB177" s="40"/>
      <c r="AC177" s="40"/>
      <c r="AD177" s="40"/>
      <c r="AE177" s="6"/>
      <c r="AF177" s="6"/>
      <c r="AG177" s="6"/>
      <c r="AH177" s="6"/>
      <c r="AI177" s="6"/>
      <c r="AJ177" s="6"/>
    </row>
    <row r="178" spans="1:36" ht="15.75" customHeight="1" x14ac:dyDescent="0.2">
      <c r="A178" s="40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40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40"/>
      <c r="AB178" s="40"/>
      <c r="AC178" s="40"/>
      <c r="AD178" s="40"/>
      <c r="AE178" s="6"/>
      <c r="AF178" s="6"/>
      <c r="AG178" s="6"/>
      <c r="AH178" s="6"/>
      <c r="AI178" s="6"/>
      <c r="AJ178" s="6"/>
    </row>
    <row r="179" spans="1:36" ht="15.75" customHeight="1" x14ac:dyDescent="0.2">
      <c r="A179" s="40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40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40"/>
      <c r="AB179" s="40"/>
      <c r="AC179" s="40"/>
      <c r="AD179" s="40"/>
      <c r="AE179" s="6"/>
      <c r="AF179" s="6"/>
      <c r="AG179" s="6"/>
      <c r="AH179" s="6"/>
      <c r="AI179" s="6"/>
      <c r="AJ179" s="6"/>
    </row>
    <row r="180" spans="1:36" ht="15.75" customHeight="1" x14ac:dyDescent="0.2">
      <c r="A180" s="4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40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40"/>
      <c r="AB180" s="40"/>
      <c r="AC180" s="40"/>
      <c r="AD180" s="40"/>
      <c r="AE180" s="6"/>
      <c r="AF180" s="6"/>
      <c r="AG180" s="6"/>
      <c r="AH180" s="6"/>
      <c r="AI180" s="6"/>
      <c r="AJ180" s="6"/>
    </row>
    <row r="181" spans="1:36" ht="15.75" customHeight="1" x14ac:dyDescent="0.2">
      <c r="A181" s="40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40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40"/>
      <c r="AB181" s="40"/>
      <c r="AC181" s="40"/>
      <c r="AD181" s="40"/>
      <c r="AE181" s="6"/>
      <c r="AF181" s="6"/>
      <c r="AG181" s="6"/>
      <c r="AH181" s="6"/>
      <c r="AI181" s="6"/>
      <c r="AJ181" s="6"/>
    </row>
    <row r="182" spans="1:36" ht="15.75" customHeight="1" x14ac:dyDescent="0.2">
      <c r="A182" s="40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40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40"/>
      <c r="AB182" s="40"/>
      <c r="AC182" s="40"/>
      <c r="AD182" s="40"/>
      <c r="AE182" s="6"/>
      <c r="AF182" s="6"/>
      <c r="AG182" s="6"/>
      <c r="AH182" s="6"/>
      <c r="AI182" s="6"/>
      <c r="AJ182" s="6"/>
    </row>
    <row r="183" spans="1:36" ht="15.75" customHeight="1" x14ac:dyDescent="0.2">
      <c r="A183" s="4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40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40"/>
      <c r="AB183" s="40"/>
      <c r="AC183" s="40"/>
      <c r="AD183" s="40"/>
      <c r="AE183" s="6"/>
      <c r="AF183" s="6"/>
      <c r="AG183" s="6"/>
      <c r="AH183" s="6"/>
      <c r="AI183" s="6"/>
      <c r="AJ183" s="6"/>
    </row>
    <row r="184" spans="1:36" ht="15.75" customHeight="1" x14ac:dyDescent="0.2">
      <c r="A184" s="4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40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40"/>
      <c r="AB184" s="40"/>
      <c r="AC184" s="40"/>
      <c r="AD184" s="40"/>
      <c r="AE184" s="6"/>
      <c r="AF184" s="6"/>
      <c r="AG184" s="6"/>
      <c r="AH184" s="6"/>
      <c r="AI184" s="6"/>
      <c r="AJ184" s="6"/>
    </row>
    <row r="185" spans="1:36" ht="15.75" customHeight="1" x14ac:dyDescent="0.2">
      <c r="A185" s="40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40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40"/>
      <c r="AB185" s="40"/>
      <c r="AC185" s="40"/>
      <c r="AD185" s="40"/>
      <c r="AE185" s="6"/>
      <c r="AF185" s="6"/>
      <c r="AG185" s="6"/>
      <c r="AH185" s="6"/>
      <c r="AI185" s="6"/>
      <c r="AJ185" s="6"/>
    </row>
    <row r="186" spans="1:36" ht="15.75" customHeight="1" x14ac:dyDescent="0.2">
      <c r="A186" s="40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40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40"/>
      <c r="AB186" s="40"/>
      <c r="AC186" s="40"/>
      <c r="AD186" s="40"/>
      <c r="AE186" s="6"/>
      <c r="AF186" s="6"/>
      <c r="AG186" s="6"/>
      <c r="AH186" s="6"/>
      <c r="AI186" s="6"/>
      <c r="AJ186" s="6"/>
    </row>
    <row r="187" spans="1:36" ht="15.75" customHeight="1" x14ac:dyDescent="0.2">
      <c r="A187" s="40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40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40"/>
      <c r="AB187" s="40"/>
      <c r="AC187" s="40"/>
      <c r="AD187" s="40"/>
      <c r="AE187" s="6"/>
      <c r="AF187" s="6"/>
      <c r="AG187" s="6"/>
      <c r="AH187" s="6"/>
      <c r="AI187" s="6"/>
      <c r="AJ187" s="6"/>
    </row>
    <row r="188" spans="1:36" ht="15.75" customHeight="1" x14ac:dyDescent="0.2">
      <c r="A188" s="40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40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40"/>
      <c r="AB188" s="40"/>
      <c r="AC188" s="40"/>
      <c r="AD188" s="40"/>
      <c r="AE188" s="6"/>
      <c r="AF188" s="6"/>
      <c r="AG188" s="6"/>
      <c r="AH188" s="6"/>
      <c r="AI188" s="6"/>
      <c r="AJ188" s="6"/>
    </row>
    <row r="189" spans="1:36" ht="15.75" customHeight="1" x14ac:dyDescent="0.2">
      <c r="A189" s="40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40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40"/>
      <c r="AB189" s="40"/>
      <c r="AC189" s="40"/>
      <c r="AD189" s="40"/>
      <c r="AE189" s="6"/>
      <c r="AF189" s="6"/>
      <c r="AG189" s="6"/>
      <c r="AH189" s="6"/>
      <c r="AI189" s="6"/>
      <c r="AJ189" s="6"/>
    </row>
    <row r="190" spans="1:36" ht="15.75" customHeight="1" x14ac:dyDescent="0.2">
      <c r="A190" s="4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40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40"/>
      <c r="AB190" s="40"/>
      <c r="AC190" s="40"/>
      <c r="AD190" s="40"/>
      <c r="AE190" s="6"/>
      <c r="AF190" s="6"/>
      <c r="AG190" s="6"/>
      <c r="AH190" s="6"/>
      <c r="AI190" s="6"/>
      <c r="AJ190" s="6"/>
    </row>
    <row r="191" spans="1:36" ht="15.75" customHeight="1" x14ac:dyDescent="0.2">
      <c r="A191" s="4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40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40"/>
      <c r="AB191" s="40"/>
      <c r="AC191" s="40"/>
      <c r="AD191" s="40"/>
      <c r="AE191" s="6"/>
      <c r="AF191" s="6"/>
      <c r="AG191" s="6"/>
      <c r="AH191" s="6"/>
      <c r="AI191" s="6"/>
      <c r="AJ191" s="6"/>
    </row>
    <row r="192" spans="1:36" ht="15.75" customHeight="1" x14ac:dyDescent="0.2">
      <c r="A192" s="40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40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40"/>
      <c r="AB192" s="40"/>
      <c r="AC192" s="40"/>
      <c r="AD192" s="40"/>
      <c r="AE192" s="6"/>
      <c r="AF192" s="6"/>
      <c r="AG192" s="6"/>
      <c r="AH192" s="6"/>
      <c r="AI192" s="6"/>
      <c r="AJ192" s="6"/>
    </row>
    <row r="193" spans="1:36" ht="15.75" customHeight="1" x14ac:dyDescent="0.2">
      <c r="A193" s="40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40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40"/>
      <c r="AB193" s="40"/>
      <c r="AC193" s="40"/>
      <c r="AD193" s="40"/>
      <c r="AE193" s="6"/>
      <c r="AF193" s="6"/>
      <c r="AG193" s="6"/>
      <c r="AH193" s="6"/>
      <c r="AI193" s="6"/>
      <c r="AJ193" s="6"/>
    </row>
    <row r="194" spans="1:36" ht="15.75" customHeight="1" x14ac:dyDescent="0.2">
      <c r="A194" s="40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40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40"/>
      <c r="AB194" s="40"/>
      <c r="AC194" s="40"/>
      <c r="AD194" s="40"/>
      <c r="AE194" s="6"/>
      <c r="AF194" s="6"/>
      <c r="AG194" s="6"/>
      <c r="AH194" s="6"/>
      <c r="AI194" s="6"/>
      <c r="AJ194" s="6"/>
    </row>
    <row r="195" spans="1:36" ht="15.75" customHeight="1" x14ac:dyDescent="0.2">
      <c r="A195" s="40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40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40"/>
      <c r="AB195" s="40"/>
      <c r="AC195" s="40"/>
      <c r="AD195" s="40"/>
      <c r="AE195" s="6"/>
      <c r="AF195" s="6"/>
      <c r="AG195" s="6"/>
      <c r="AH195" s="6"/>
      <c r="AI195" s="6"/>
      <c r="AJ195" s="6"/>
    </row>
    <row r="196" spans="1:36" ht="15.75" customHeight="1" x14ac:dyDescent="0.2">
      <c r="A196" s="40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40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40"/>
      <c r="AB196" s="40"/>
      <c r="AC196" s="40"/>
      <c r="AD196" s="40"/>
      <c r="AE196" s="6"/>
      <c r="AF196" s="6"/>
      <c r="AG196" s="6"/>
      <c r="AH196" s="6"/>
      <c r="AI196" s="6"/>
      <c r="AJ196" s="6"/>
    </row>
    <row r="197" spans="1:36" ht="15.75" customHeight="1" x14ac:dyDescent="0.2">
      <c r="A197" s="40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40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40"/>
      <c r="AB197" s="40"/>
      <c r="AC197" s="40"/>
      <c r="AD197" s="40"/>
      <c r="AE197" s="6"/>
      <c r="AF197" s="6"/>
      <c r="AG197" s="6"/>
      <c r="AH197" s="6"/>
      <c r="AI197" s="6"/>
      <c r="AJ197" s="6"/>
    </row>
    <row r="198" spans="1:36" ht="15.75" customHeight="1" x14ac:dyDescent="0.2">
      <c r="A198" s="4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40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40"/>
      <c r="AB198" s="40"/>
      <c r="AC198" s="40"/>
      <c r="AD198" s="40"/>
      <c r="AE198" s="6"/>
      <c r="AF198" s="6"/>
      <c r="AG198" s="6"/>
      <c r="AH198" s="6"/>
      <c r="AI198" s="6"/>
      <c r="AJ198" s="6"/>
    </row>
    <row r="199" spans="1:36" ht="15.75" customHeight="1" x14ac:dyDescent="0.2">
      <c r="A199" s="40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40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40"/>
      <c r="AB199" s="40"/>
      <c r="AC199" s="40"/>
      <c r="AD199" s="40"/>
      <c r="AE199" s="6"/>
      <c r="AF199" s="6"/>
      <c r="AG199" s="6"/>
      <c r="AH199" s="6"/>
      <c r="AI199" s="6"/>
      <c r="AJ199" s="6"/>
    </row>
    <row r="200" spans="1:36" ht="15.75" customHeight="1" x14ac:dyDescent="0.2">
      <c r="A200" s="4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40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40"/>
      <c r="AB200" s="40"/>
      <c r="AC200" s="40"/>
      <c r="AD200" s="40"/>
      <c r="AE200" s="6"/>
      <c r="AF200" s="6"/>
      <c r="AG200" s="6"/>
      <c r="AH200" s="6"/>
      <c r="AI200" s="6"/>
      <c r="AJ200" s="6"/>
    </row>
    <row r="201" spans="1:36" ht="15.75" customHeight="1" x14ac:dyDescent="0.2">
      <c r="A201" s="4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40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40"/>
      <c r="AB201" s="40"/>
      <c r="AC201" s="40"/>
      <c r="AD201" s="40"/>
      <c r="AE201" s="6"/>
      <c r="AF201" s="6"/>
      <c r="AG201" s="6"/>
      <c r="AH201" s="6"/>
      <c r="AI201" s="6"/>
      <c r="AJ201" s="6"/>
    </row>
    <row r="202" spans="1:36" ht="15.75" customHeight="1" x14ac:dyDescent="0.2">
      <c r="A202" s="4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40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40"/>
      <c r="AB202" s="40"/>
      <c r="AC202" s="40"/>
      <c r="AD202" s="40"/>
      <c r="AE202" s="6"/>
      <c r="AF202" s="6"/>
      <c r="AG202" s="6"/>
      <c r="AH202" s="6"/>
      <c r="AI202" s="6"/>
      <c r="AJ202" s="6"/>
    </row>
    <row r="203" spans="1:36" ht="15.75" customHeight="1" x14ac:dyDescent="0.2">
      <c r="A203" s="4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40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40"/>
      <c r="AB203" s="40"/>
      <c r="AC203" s="40"/>
      <c r="AD203" s="40"/>
      <c r="AE203" s="6"/>
      <c r="AF203" s="6"/>
      <c r="AG203" s="6"/>
      <c r="AH203" s="6"/>
      <c r="AI203" s="6"/>
      <c r="AJ203" s="6"/>
    </row>
    <row r="204" spans="1:36" ht="15.75" customHeight="1" x14ac:dyDescent="0.2">
      <c r="A204" s="4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40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40"/>
      <c r="AB204" s="40"/>
      <c r="AC204" s="40"/>
      <c r="AD204" s="40"/>
      <c r="AE204" s="6"/>
      <c r="AF204" s="6"/>
      <c r="AG204" s="6"/>
      <c r="AH204" s="6"/>
      <c r="AI204" s="6"/>
      <c r="AJ204" s="6"/>
    </row>
    <row r="205" spans="1:36" ht="15.75" customHeight="1" x14ac:dyDescent="0.2">
      <c r="A205" s="4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40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40"/>
      <c r="AB205" s="40"/>
      <c r="AC205" s="40"/>
      <c r="AD205" s="40"/>
      <c r="AE205" s="6"/>
      <c r="AF205" s="6"/>
      <c r="AG205" s="6"/>
      <c r="AH205" s="6"/>
      <c r="AI205" s="6"/>
      <c r="AJ205" s="6"/>
    </row>
    <row r="206" spans="1:36" ht="15.75" customHeight="1" x14ac:dyDescent="0.2">
      <c r="A206" s="4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40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40"/>
      <c r="AB206" s="40"/>
      <c r="AC206" s="40"/>
      <c r="AD206" s="40"/>
      <c r="AE206" s="6"/>
      <c r="AF206" s="6"/>
      <c r="AG206" s="6"/>
      <c r="AH206" s="6"/>
      <c r="AI206" s="6"/>
      <c r="AJ206" s="6"/>
    </row>
    <row r="207" spans="1:36" ht="15.75" customHeight="1" x14ac:dyDescent="0.2">
      <c r="A207" s="4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40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40"/>
      <c r="AB207" s="40"/>
      <c r="AC207" s="40"/>
      <c r="AD207" s="40"/>
      <c r="AE207" s="6"/>
      <c r="AF207" s="6"/>
      <c r="AG207" s="6"/>
      <c r="AH207" s="6"/>
      <c r="AI207" s="6"/>
      <c r="AJ207" s="6"/>
    </row>
    <row r="208" spans="1:36" ht="15.75" customHeight="1" x14ac:dyDescent="0.2">
      <c r="A208" s="4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40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40"/>
      <c r="AB208" s="40"/>
      <c r="AC208" s="40"/>
      <c r="AD208" s="40"/>
      <c r="AE208" s="6"/>
      <c r="AF208" s="6"/>
      <c r="AG208" s="6"/>
      <c r="AH208" s="6"/>
      <c r="AI208" s="6"/>
      <c r="AJ208" s="6"/>
    </row>
    <row r="209" spans="1:36" ht="15.75" customHeight="1" x14ac:dyDescent="0.2">
      <c r="A209" s="4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40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40"/>
      <c r="AB209" s="40"/>
      <c r="AC209" s="40"/>
      <c r="AD209" s="40"/>
      <c r="AE209" s="6"/>
      <c r="AF209" s="6"/>
      <c r="AG209" s="6"/>
      <c r="AH209" s="6"/>
      <c r="AI209" s="6"/>
      <c r="AJ209" s="6"/>
    </row>
    <row r="210" spans="1:36" ht="15.75" customHeight="1" x14ac:dyDescent="0.2">
      <c r="A210" s="4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40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40"/>
      <c r="AB210" s="40"/>
      <c r="AC210" s="40"/>
      <c r="AD210" s="40"/>
      <c r="AE210" s="6"/>
      <c r="AF210" s="6"/>
      <c r="AG210" s="6"/>
      <c r="AH210" s="6"/>
      <c r="AI210" s="6"/>
      <c r="AJ210" s="6"/>
    </row>
    <row r="211" spans="1:36" ht="15.75" customHeight="1" x14ac:dyDescent="0.2">
      <c r="A211" s="4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40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40"/>
      <c r="AB211" s="40"/>
      <c r="AC211" s="40"/>
      <c r="AD211" s="40"/>
      <c r="AE211" s="6"/>
      <c r="AF211" s="6"/>
      <c r="AG211" s="6"/>
      <c r="AH211" s="6"/>
      <c r="AI211" s="6"/>
      <c r="AJ211" s="6"/>
    </row>
    <row r="212" spans="1:36" ht="15.75" customHeight="1" x14ac:dyDescent="0.2">
      <c r="A212" s="4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40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40"/>
      <c r="AB212" s="40"/>
      <c r="AC212" s="40"/>
      <c r="AD212" s="40"/>
      <c r="AE212" s="6"/>
      <c r="AF212" s="6"/>
      <c r="AG212" s="6"/>
      <c r="AH212" s="6"/>
      <c r="AI212" s="6"/>
      <c r="AJ212" s="6"/>
    </row>
    <row r="213" spans="1:36" ht="15.75" customHeight="1" x14ac:dyDescent="0.2">
      <c r="A213" s="4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40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40"/>
      <c r="AB213" s="40"/>
      <c r="AC213" s="40"/>
      <c r="AD213" s="40"/>
      <c r="AE213" s="6"/>
      <c r="AF213" s="6"/>
      <c r="AG213" s="6"/>
      <c r="AH213" s="6"/>
      <c r="AI213" s="6"/>
      <c r="AJ213" s="6"/>
    </row>
    <row r="214" spans="1:36" ht="15.75" customHeight="1" x14ac:dyDescent="0.2">
      <c r="A214" s="4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40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40"/>
      <c r="AB214" s="40"/>
      <c r="AC214" s="40"/>
      <c r="AD214" s="40"/>
      <c r="AE214" s="6"/>
      <c r="AF214" s="6"/>
      <c r="AG214" s="6"/>
      <c r="AH214" s="6"/>
      <c r="AI214" s="6"/>
      <c r="AJ214" s="6"/>
    </row>
    <row r="215" spans="1:36" ht="15.75" customHeight="1" x14ac:dyDescent="0.2">
      <c r="A215" s="4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40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40"/>
      <c r="AB215" s="40"/>
      <c r="AC215" s="40"/>
      <c r="AD215" s="40"/>
      <c r="AE215" s="6"/>
      <c r="AF215" s="6"/>
      <c r="AG215" s="6"/>
      <c r="AH215" s="6"/>
      <c r="AI215" s="6"/>
      <c r="AJ215" s="6"/>
    </row>
    <row r="216" spans="1:36" ht="15.75" customHeight="1" x14ac:dyDescent="0.2">
      <c r="A216" s="4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40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40"/>
      <c r="AB216" s="40"/>
      <c r="AC216" s="40"/>
      <c r="AD216" s="40"/>
      <c r="AE216" s="6"/>
      <c r="AF216" s="6"/>
      <c r="AG216" s="6"/>
      <c r="AH216" s="6"/>
      <c r="AI216" s="6"/>
      <c r="AJ216" s="6"/>
    </row>
    <row r="217" spans="1:36" ht="15.75" customHeight="1" x14ac:dyDescent="0.2">
      <c r="A217" s="4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40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40"/>
      <c r="AB217" s="40"/>
      <c r="AC217" s="40"/>
      <c r="AD217" s="40"/>
      <c r="AE217" s="6"/>
      <c r="AF217" s="6"/>
      <c r="AG217" s="6"/>
      <c r="AH217" s="6"/>
      <c r="AI217" s="6"/>
      <c r="AJ217" s="6"/>
    </row>
    <row r="218" spans="1:36" ht="15.75" customHeight="1" x14ac:dyDescent="0.2">
      <c r="A218" s="4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40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40"/>
      <c r="AB218" s="40"/>
      <c r="AC218" s="40"/>
      <c r="AD218" s="40"/>
      <c r="AE218" s="6"/>
      <c r="AF218" s="6"/>
      <c r="AG218" s="6"/>
      <c r="AH218" s="6"/>
      <c r="AI218" s="6"/>
      <c r="AJ218" s="6"/>
    </row>
    <row r="219" spans="1:36" ht="15.75" customHeight="1" x14ac:dyDescent="0.2">
      <c r="A219" s="4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40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40"/>
      <c r="AB219" s="40"/>
      <c r="AC219" s="40"/>
      <c r="AD219" s="40"/>
      <c r="AE219" s="6"/>
      <c r="AF219" s="6"/>
      <c r="AG219" s="6"/>
      <c r="AH219" s="6"/>
      <c r="AI219" s="6"/>
      <c r="AJ219" s="6"/>
    </row>
    <row r="220" spans="1:36" ht="15.75" customHeight="1" x14ac:dyDescent="0.2">
      <c r="A220" s="4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40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40"/>
      <c r="AB220" s="40"/>
      <c r="AC220" s="40"/>
      <c r="AD220" s="40"/>
      <c r="AE220" s="6"/>
      <c r="AF220" s="6"/>
      <c r="AG220" s="6"/>
      <c r="AH220" s="6"/>
      <c r="AI220" s="6"/>
      <c r="AJ220" s="6"/>
    </row>
    <row r="221" spans="1:36" ht="15.75" customHeight="1" x14ac:dyDescent="0.2">
      <c r="A221" s="4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40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40"/>
      <c r="AB221" s="40"/>
      <c r="AC221" s="40"/>
      <c r="AD221" s="40"/>
      <c r="AE221" s="6"/>
      <c r="AF221" s="6"/>
      <c r="AG221" s="6"/>
      <c r="AH221" s="6"/>
      <c r="AI221" s="6"/>
      <c r="AJ221" s="6"/>
    </row>
    <row r="222" spans="1:36" ht="15.75" customHeight="1" x14ac:dyDescent="0.2">
      <c r="A222" s="4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40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40"/>
      <c r="AB222" s="40"/>
      <c r="AC222" s="40"/>
      <c r="AD222" s="40"/>
      <c r="AE222" s="6"/>
      <c r="AF222" s="6"/>
      <c r="AG222" s="6"/>
      <c r="AH222" s="6"/>
      <c r="AI222" s="6"/>
      <c r="AJ222" s="6"/>
    </row>
    <row r="223" spans="1:36" ht="15.75" customHeight="1" x14ac:dyDescent="0.2">
      <c r="A223" s="4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40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40"/>
      <c r="AB223" s="40"/>
      <c r="AC223" s="40"/>
      <c r="AD223" s="40"/>
      <c r="AE223" s="6"/>
      <c r="AF223" s="6"/>
      <c r="AG223" s="6"/>
      <c r="AH223" s="6"/>
      <c r="AI223" s="6"/>
      <c r="AJ223" s="6"/>
    </row>
    <row r="224" spans="1:36" ht="15.75" customHeight="1" x14ac:dyDescent="0.2">
      <c r="A224" s="4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40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40"/>
      <c r="AB224" s="40"/>
      <c r="AC224" s="40"/>
      <c r="AD224" s="40"/>
      <c r="AE224" s="6"/>
      <c r="AF224" s="6"/>
      <c r="AG224" s="6"/>
      <c r="AH224" s="6"/>
      <c r="AI224" s="6"/>
      <c r="AJ224" s="6"/>
    </row>
    <row r="225" spans="1:36" ht="15.75" customHeight="1" x14ac:dyDescent="0.2">
      <c r="A225" s="4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40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40"/>
      <c r="AB225" s="40"/>
      <c r="AC225" s="40"/>
      <c r="AD225" s="40"/>
      <c r="AE225" s="6"/>
      <c r="AF225" s="6"/>
      <c r="AG225" s="6"/>
      <c r="AH225" s="6"/>
      <c r="AI225" s="6"/>
      <c r="AJ225" s="6"/>
    </row>
    <row r="226" spans="1:36" ht="15.75" customHeight="1" x14ac:dyDescent="0.2">
      <c r="A226" s="4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40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40"/>
      <c r="AB226" s="40"/>
      <c r="AC226" s="40"/>
      <c r="AD226" s="40"/>
      <c r="AE226" s="6"/>
      <c r="AF226" s="6"/>
      <c r="AG226" s="6"/>
      <c r="AH226" s="6"/>
      <c r="AI226" s="6"/>
      <c r="AJ226" s="6"/>
    </row>
    <row r="227" spans="1:36" ht="15.75" customHeight="1" x14ac:dyDescent="0.2">
      <c r="A227" s="4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40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40"/>
      <c r="AB227" s="40"/>
      <c r="AC227" s="40"/>
      <c r="AD227" s="40"/>
      <c r="AE227" s="6"/>
      <c r="AF227" s="6"/>
      <c r="AG227" s="6"/>
      <c r="AH227" s="6"/>
      <c r="AI227" s="6"/>
      <c r="AJ227" s="6"/>
    </row>
    <row r="228" spans="1:36" ht="15.75" customHeight="1" x14ac:dyDescent="0.2">
      <c r="A228" s="40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40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40"/>
      <c r="AB228" s="40"/>
      <c r="AC228" s="40"/>
      <c r="AD228" s="40"/>
      <c r="AE228" s="6"/>
      <c r="AF228" s="6"/>
      <c r="AG228" s="6"/>
      <c r="AH228" s="6"/>
      <c r="AI228" s="6"/>
      <c r="AJ228" s="6"/>
    </row>
    <row r="229" spans="1:36" ht="15.75" customHeight="1" x14ac:dyDescent="0.2">
      <c r="A229" s="40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40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40"/>
      <c r="AB229" s="40"/>
      <c r="AC229" s="40"/>
      <c r="AD229" s="40"/>
      <c r="AE229" s="6"/>
      <c r="AF229" s="6"/>
      <c r="AG229" s="6"/>
      <c r="AH229" s="6"/>
      <c r="AI229" s="6"/>
      <c r="AJ229" s="6"/>
    </row>
    <row r="230" spans="1:36" ht="15.75" customHeight="1" x14ac:dyDescent="0.2">
      <c r="A230" s="4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40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40"/>
      <c r="AB230" s="40"/>
      <c r="AC230" s="40"/>
      <c r="AD230" s="40"/>
      <c r="AE230" s="6"/>
      <c r="AF230" s="6"/>
      <c r="AG230" s="6"/>
      <c r="AH230" s="6"/>
      <c r="AI230" s="6"/>
      <c r="AJ230" s="6"/>
    </row>
    <row r="231" spans="1:36" ht="15.75" customHeight="1" x14ac:dyDescent="0.2">
      <c r="A231" s="40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40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40"/>
      <c r="AB231" s="40"/>
      <c r="AC231" s="40"/>
      <c r="AD231" s="40"/>
      <c r="AE231" s="6"/>
      <c r="AF231" s="6"/>
      <c r="AG231" s="6"/>
      <c r="AH231" s="6"/>
      <c r="AI231" s="6"/>
      <c r="AJ231" s="6"/>
    </row>
    <row r="232" spans="1:36" ht="15.75" customHeight="1" x14ac:dyDescent="0.2">
      <c r="A232" s="40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40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40"/>
      <c r="AB232" s="40"/>
      <c r="AC232" s="40"/>
      <c r="AD232" s="40"/>
      <c r="AE232" s="6"/>
      <c r="AF232" s="6"/>
      <c r="AG232" s="6"/>
      <c r="AH232" s="6"/>
      <c r="AI232" s="6"/>
      <c r="AJ232" s="6"/>
    </row>
    <row r="233" spans="1:36" ht="15.75" customHeight="1" x14ac:dyDescent="0.2">
      <c r="A233" s="40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40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40"/>
      <c r="AB233" s="40"/>
      <c r="AC233" s="40"/>
      <c r="AD233" s="40"/>
      <c r="AE233" s="6"/>
      <c r="AF233" s="6"/>
      <c r="AG233" s="6"/>
      <c r="AH233" s="6"/>
      <c r="AI233" s="6"/>
      <c r="AJ233" s="6"/>
    </row>
    <row r="234" spans="1:36" ht="15.75" customHeight="1" x14ac:dyDescent="0.2">
      <c r="A234" s="40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40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40"/>
      <c r="AB234" s="40"/>
      <c r="AC234" s="40"/>
      <c r="AD234" s="40"/>
      <c r="AE234" s="6"/>
      <c r="AF234" s="6"/>
      <c r="AG234" s="6"/>
      <c r="AH234" s="6"/>
      <c r="AI234" s="6"/>
      <c r="AJ234" s="6"/>
    </row>
    <row r="235" spans="1:36" ht="15.75" customHeight="1" x14ac:dyDescent="0.2">
      <c r="A235" s="40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40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40"/>
      <c r="AB235" s="40"/>
      <c r="AC235" s="40"/>
      <c r="AD235" s="40"/>
      <c r="AE235" s="6"/>
      <c r="AF235" s="6"/>
      <c r="AG235" s="6"/>
      <c r="AH235" s="6"/>
      <c r="AI235" s="6"/>
      <c r="AJ235" s="6"/>
    </row>
    <row r="236" spans="1:36" ht="15.75" customHeight="1" x14ac:dyDescent="0.2">
      <c r="A236" s="40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40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40"/>
      <c r="AB236" s="40"/>
      <c r="AC236" s="40"/>
      <c r="AD236" s="40"/>
      <c r="AE236" s="6"/>
      <c r="AF236" s="6"/>
      <c r="AG236" s="6"/>
      <c r="AH236" s="6"/>
      <c r="AI236" s="6"/>
      <c r="AJ236" s="6"/>
    </row>
    <row r="237" spans="1:36" ht="15.75" customHeight="1" x14ac:dyDescent="0.2">
      <c r="A237" s="40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40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40"/>
      <c r="AB237" s="40"/>
      <c r="AC237" s="40"/>
      <c r="AD237" s="40"/>
      <c r="AE237" s="6"/>
      <c r="AF237" s="6"/>
      <c r="AG237" s="6"/>
      <c r="AH237" s="6"/>
      <c r="AI237" s="6"/>
      <c r="AJ237" s="6"/>
    </row>
    <row r="238" spans="1:36" ht="15.75" customHeight="1" x14ac:dyDescent="0.2">
      <c r="A238" s="40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40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40"/>
      <c r="AB238" s="40"/>
      <c r="AC238" s="40"/>
      <c r="AD238" s="40"/>
      <c r="AE238" s="6"/>
      <c r="AF238" s="6"/>
      <c r="AG238" s="6"/>
      <c r="AH238" s="6"/>
      <c r="AI238" s="6"/>
      <c r="AJ238" s="6"/>
    </row>
    <row r="239" spans="1:36" ht="15.75" customHeight="1" x14ac:dyDescent="0.2"/>
    <row r="240" spans="1:3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J1000"/>
  <sheetViews>
    <sheetView workbookViewId="0">
      <pane xSplit="1" ySplit="4" topLeftCell="F5" activePane="bottomRight" state="frozen"/>
      <selection pane="topRight" activeCell="B1" sqref="B1"/>
      <selection pane="bottomLeft" activeCell="A5" sqref="A5"/>
      <selection pane="bottomRight" activeCell="Y3" sqref="Y3"/>
    </sheetView>
  </sheetViews>
  <sheetFormatPr defaultColWidth="12.5703125" defaultRowHeight="15" customHeight="1" x14ac:dyDescent="0.2"/>
  <cols>
    <col min="1" max="1" width="18.42578125" customWidth="1"/>
    <col min="2" max="2" width="10.42578125" customWidth="1"/>
    <col min="3" max="3" width="8.28515625" customWidth="1"/>
    <col min="4" max="4" width="8.7109375" customWidth="1"/>
    <col min="5" max="5" width="10.28515625" customWidth="1"/>
    <col min="6" max="6" width="7.5703125" customWidth="1"/>
    <col min="7" max="8" width="9.7109375" customWidth="1"/>
    <col min="9" max="9" width="7.7109375" customWidth="1"/>
    <col min="10" max="10" width="9.140625" customWidth="1"/>
    <col min="11" max="11" width="8.42578125" customWidth="1"/>
    <col min="12" max="12" width="9.42578125" customWidth="1"/>
    <col min="13" max="13" width="9" customWidth="1"/>
    <col min="14" max="14" width="8.42578125" customWidth="1"/>
    <col min="15" max="15" width="10.7109375" hidden="1" customWidth="1"/>
    <col min="16" max="16" width="11.42578125" customWidth="1"/>
    <col min="17" max="19" width="6.42578125" customWidth="1"/>
    <col min="20" max="20" width="9.42578125" customWidth="1"/>
    <col min="21" max="21" width="8.28515625" customWidth="1"/>
    <col min="22" max="22" width="7.7109375" customWidth="1"/>
    <col min="23" max="23" width="8.85546875" customWidth="1"/>
    <col min="24" max="24" width="8.140625" customWidth="1"/>
    <col min="25" max="26" width="12.28515625" customWidth="1"/>
    <col min="27" max="27" width="14" customWidth="1"/>
    <col min="28" max="28" width="12.7109375" customWidth="1"/>
    <col min="29" max="29" width="10" customWidth="1"/>
    <col min="30" max="30" width="12.42578125" customWidth="1"/>
    <col min="31" max="31" width="7" customWidth="1"/>
  </cols>
  <sheetData>
    <row r="1" spans="1:36" ht="20.25" customHeight="1" x14ac:dyDescent="0.2">
      <c r="A1" s="129"/>
      <c r="B1" s="168"/>
      <c r="C1" s="168"/>
      <c r="D1" s="130"/>
      <c r="E1" s="130"/>
      <c r="F1" s="130"/>
      <c r="G1" s="130"/>
      <c r="H1" s="130"/>
      <c r="I1" s="130"/>
      <c r="J1" s="129"/>
      <c r="K1" s="129"/>
      <c r="L1" s="129"/>
      <c r="M1" s="282" t="s">
        <v>580</v>
      </c>
      <c r="N1" s="129"/>
      <c r="O1" s="129"/>
      <c r="P1" s="130"/>
      <c r="Q1" s="130"/>
      <c r="R1" s="130"/>
      <c r="S1" s="130"/>
      <c r="T1" s="130"/>
      <c r="U1" s="130"/>
      <c r="V1" s="130"/>
      <c r="W1" s="130"/>
      <c r="X1" s="130"/>
      <c r="Y1" s="129"/>
      <c r="Z1" s="129"/>
      <c r="AA1" s="130"/>
      <c r="AB1" s="130"/>
      <c r="AC1" s="130"/>
      <c r="AD1" s="130"/>
      <c r="AE1" s="130"/>
      <c r="AF1" s="130"/>
      <c r="AG1" s="130"/>
      <c r="AH1" s="130"/>
      <c r="AI1" s="130"/>
    </row>
    <row r="2" spans="1:36" ht="15.75" customHeight="1" x14ac:dyDescent="0.2">
      <c r="A2" s="129"/>
      <c r="B2" s="168"/>
      <c r="C2" s="168"/>
      <c r="D2" s="130"/>
      <c r="E2" s="130"/>
      <c r="F2" s="130"/>
      <c r="G2" s="130"/>
      <c r="H2" s="130"/>
      <c r="I2" s="130"/>
      <c r="J2" s="133" t="s">
        <v>2</v>
      </c>
      <c r="K2" s="133">
        <v>8000</v>
      </c>
      <c r="L2" s="41"/>
      <c r="M2" s="135">
        <v>200000</v>
      </c>
      <c r="N2" s="129"/>
      <c r="O2" s="8">
        <v>0</v>
      </c>
      <c r="P2" s="130"/>
      <c r="Q2" s="130">
        <v>250</v>
      </c>
      <c r="R2" s="130">
        <v>200</v>
      </c>
      <c r="S2" s="130">
        <v>150</v>
      </c>
      <c r="T2" s="130"/>
      <c r="U2" s="130"/>
      <c r="V2" s="9">
        <v>0.12</v>
      </c>
      <c r="W2" s="130"/>
      <c r="X2" s="9">
        <v>7.0000000000000007E-2</v>
      </c>
      <c r="Y2" s="129"/>
      <c r="Z2" s="129"/>
      <c r="AA2" s="130"/>
      <c r="AB2" s="130"/>
      <c r="AC2" s="130"/>
      <c r="AD2" s="130"/>
      <c r="AE2" s="130"/>
      <c r="AF2" s="130"/>
      <c r="AG2" s="130"/>
      <c r="AH2" s="130"/>
      <c r="AI2" s="130"/>
    </row>
    <row r="3" spans="1:36" ht="22.5" customHeight="1" x14ac:dyDescent="0.2">
      <c r="A3" s="136" t="s">
        <v>336</v>
      </c>
      <c r="B3" s="171" t="s">
        <v>4</v>
      </c>
      <c r="C3" s="171" t="s">
        <v>337</v>
      </c>
      <c r="D3" s="136" t="s">
        <v>338</v>
      </c>
      <c r="E3" s="221" t="s">
        <v>481</v>
      </c>
      <c r="F3" s="136" t="s">
        <v>340</v>
      </c>
      <c r="G3" s="136" t="s">
        <v>341</v>
      </c>
      <c r="H3" s="136" t="s">
        <v>342</v>
      </c>
      <c r="I3" s="136" t="s">
        <v>9</v>
      </c>
      <c r="J3" s="136" t="s">
        <v>10</v>
      </c>
      <c r="K3" s="136" t="s">
        <v>11</v>
      </c>
      <c r="L3" s="10" t="s">
        <v>12</v>
      </c>
      <c r="M3" s="136" t="s">
        <v>13</v>
      </c>
      <c r="N3" s="136" t="s">
        <v>14</v>
      </c>
      <c r="O3" s="136"/>
      <c r="P3" s="136" t="s">
        <v>15</v>
      </c>
      <c r="Q3" s="136" t="s">
        <v>16</v>
      </c>
      <c r="R3" s="136" t="s">
        <v>17</v>
      </c>
      <c r="S3" s="10" t="s">
        <v>18</v>
      </c>
      <c r="T3" s="136" t="s">
        <v>19</v>
      </c>
      <c r="U3" s="136" t="s">
        <v>20</v>
      </c>
      <c r="V3" s="136" t="s">
        <v>21</v>
      </c>
      <c r="W3" s="136" t="s">
        <v>22</v>
      </c>
      <c r="X3" s="136" t="s">
        <v>23</v>
      </c>
      <c r="Y3" s="136" t="s">
        <v>24</v>
      </c>
      <c r="Z3" s="136" t="s">
        <v>25</v>
      </c>
      <c r="AA3" s="136"/>
      <c r="AB3" s="136" t="s">
        <v>26</v>
      </c>
      <c r="AC3" s="136" t="s">
        <v>27</v>
      </c>
      <c r="AD3" s="136" t="s">
        <v>28</v>
      </c>
      <c r="AE3" s="136" t="s">
        <v>29</v>
      </c>
      <c r="AF3" s="10" t="s">
        <v>30</v>
      </c>
      <c r="AG3" s="45" t="s">
        <v>31</v>
      </c>
      <c r="AH3" s="45" t="s">
        <v>32</v>
      </c>
      <c r="AI3" s="45" t="s">
        <v>33</v>
      </c>
      <c r="AJ3" s="45" t="s">
        <v>34</v>
      </c>
    </row>
    <row r="4" spans="1:36" ht="15.75" customHeight="1" x14ac:dyDescent="0.2">
      <c r="A4" s="257" t="s">
        <v>343</v>
      </c>
      <c r="B4" s="264">
        <f t="shared" ref="B4:B13" si="0">C4+E4+G4</f>
        <v>175.25</v>
      </c>
      <c r="C4" s="257">
        <v>157.41</v>
      </c>
      <c r="D4" s="264">
        <f t="shared" ref="D4:D27" si="1">C4*10.764</f>
        <v>1694.36124</v>
      </c>
      <c r="E4" s="257">
        <v>17.84</v>
      </c>
      <c r="F4" s="264">
        <f t="shared" ref="F4:F27" si="2">E4*10.764</f>
        <v>192.02975999999998</v>
      </c>
      <c r="G4" s="257">
        <v>0</v>
      </c>
      <c r="H4" s="257">
        <f t="shared" ref="H4:H27" si="3">G4*10.764</f>
        <v>0</v>
      </c>
      <c r="I4" s="264">
        <f t="shared" ref="I4:I27" si="4">D4+F4+H4</f>
        <v>1886.3909999999998</v>
      </c>
      <c r="J4" s="264">
        <f t="shared" ref="J4:J27" si="5">(D4+F4+(H4/2))*1.45</f>
        <v>2735.2669499999997</v>
      </c>
      <c r="K4" s="257">
        <f t="shared" ref="K4:K27" si="6">J4*$K$2</f>
        <v>21882135.599999998</v>
      </c>
      <c r="L4" s="257">
        <v>500000</v>
      </c>
      <c r="M4" s="265">
        <v>400000</v>
      </c>
      <c r="N4" s="257">
        <f t="shared" ref="N4:N27" si="7">SUM(K4:M4)</f>
        <v>22782135.599999998</v>
      </c>
      <c r="O4" s="257">
        <f t="shared" ref="O4:O27" si="8">($O$2*N4)</f>
        <v>0</v>
      </c>
      <c r="P4" s="257">
        <f t="shared" ref="P4:P27" si="9">N4-O4</f>
        <v>22782135.599999998</v>
      </c>
      <c r="Q4" s="257">
        <f t="shared" ref="Q4:Q27" si="10">J4*$Q$2</f>
        <v>683816.73749999993</v>
      </c>
      <c r="R4" s="257">
        <f t="shared" ref="R4:R27" si="11">J4*$R$2</f>
        <v>547053.3899999999</v>
      </c>
      <c r="S4" s="257">
        <f t="shared" ref="S4:S27" si="12">J4*$S$2</f>
        <v>410290.04249999998</v>
      </c>
      <c r="T4" s="257">
        <f t="shared" ref="T4:T27" si="13">SUM(P4:S4)</f>
        <v>24423295.77</v>
      </c>
      <c r="U4" s="257">
        <v>30000</v>
      </c>
      <c r="V4" s="257">
        <f t="shared" ref="V4:V27" si="14">$V$2*P4</f>
        <v>2733856.2719999994</v>
      </c>
      <c r="W4" s="257">
        <f t="shared" ref="W4:W27" si="15">(12%*Q4)+(12%*R4)</f>
        <v>147704.41529999996</v>
      </c>
      <c r="X4" s="257">
        <f t="shared" ref="X4:X27" si="16">CEILING(($X$2*P4),100)</f>
        <v>1594800</v>
      </c>
      <c r="Y4" s="257">
        <v>6000</v>
      </c>
      <c r="Z4" s="257">
        <f t="shared" ref="Z4:Z27" si="17">SUM(T4:Y4)</f>
        <v>28935656.4573</v>
      </c>
      <c r="AA4" s="257"/>
      <c r="AB4" s="257"/>
      <c r="AC4" s="257"/>
      <c r="AD4" s="257"/>
      <c r="AE4" s="257"/>
      <c r="AF4" s="240" t="s">
        <v>581</v>
      </c>
      <c r="AG4" s="241" t="s">
        <v>582</v>
      </c>
      <c r="AH4" s="240" t="s">
        <v>45</v>
      </c>
      <c r="AI4" s="268" t="s">
        <v>45</v>
      </c>
      <c r="AJ4" s="188" t="s">
        <v>484</v>
      </c>
    </row>
    <row r="5" spans="1:36" ht="15.75" customHeight="1" x14ac:dyDescent="0.2">
      <c r="A5" s="244" t="s">
        <v>350</v>
      </c>
      <c r="B5" s="245">
        <f t="shared" si="0"/>
        <v>162.51</v>
      </c>
      <c r="C5" s="245">
        <v>141.72</v>
      </c>
      <c r="D5" s="245">
        <f t="shared" si="1"/>
        <v>1525.47408</v>
      </c>
      <c r="E5" s="245">
        <v>20.79</v>
      </c>
      <c r="F5" s="245">
        <f t="shared" si="2"/>
        <v>223.78355999999997</v>
      </c>
      <c r="G5" s="245">
        <v>0</v>
      </c>
      <c r="H5" s="245">
        <f t="shared" si="3"/>
        <v>0</v>
      </c>
      <c r="I5" s="245">
        <f t="shared" si="4"/>
        <v>1749.2576399999998</v>
      </c>
      <c r="J5" s="245">
        <f t="shared" si="5"/>
        <v>2536.4235779999995</v>
      </c>
      <c r="K5" s="246">
        <f t="shared" si="6"/>
        <v>20291388.623999994</v>
      </c>
      <c r="L5" s="246">
        <v>500000</v>
      </c>
      <c r="M5" s="247">
        <v>400000</v>
      </c>
      <c r="N5" s="248">
        <f t="shared" si="7"/>
        <v>21191388.623999994</v>
      </c>
      <c r="O5" s="248">
        <f t="shared" si="8"/>
        <v>0</v>
      </c>
      <c r="P5" s="246">
        <f t="shared" si="9"/>
        <v>21191388.623999994</v>
      </c>
      <c r="Q5" s="246">
        <f t="shared" si="10"/>
        <v>634105.89449999982</v>
      </c>
      <c r="R5" s="246">
        <f t="shared" si="11"/>
        <v>507284.71559999988</v>
      </c>
      <c r="S5" s="246">
        <f t="shared" si="12"/>
        <v>380463.53669999994</v>
      </c>
      <c r="T5" s="246">
        <f t="shared" si="13"/>
        <v>22713242.770799991</v>
      </c>
      <c r="U5" s="246">
        <v>30000</v>
      </c>
      <c r="V5" s="246">
        <f t="shared" si="14"/>
        <v>2542966.6348799993</v>
      </c>
      <c r="W5" s="246">
        <f t="shared" si="15"/>
        <v>136966.87321199995</v>
      </c>
      <c r="X5" s="246">
        <f t="shared" si="16"/>
        <v>1483400</v>
      </c>
      <c r="Y5" s="248">
        <v>6000</v>
      </c>
      <c r="Z5" s="248">
        <f t="shared" si="17"/>
        <v>26912576.278891988</v>
      </c>
      <c r="AA5" s="249" t="s">
        <v>487</v>
      </c>
      <c r="AB5" s="250"/>
      <c r="AC5" s="250"/>
      <c r="AD5" s="250"/>
      <c r="AE5" s="250"/>
      <c r="AF5" s="251" t="s">
        <v>583</v>
      </c>
      <c r="AG5" s="252" t="s">
        <v>584</v>
      </c>
      <c r="AH5" s="251" t="s">
        <v>45</v>
      </c>
      <c r="AI5" s="274" t="s">
        <v>45</v>
      </c>
      <c r="AJ5" s="253" t="s">
        <v>484</v>
      </c>
    </row>
    <row r="6" spans="1:36" ht="15.75" customHeight="1" x14ac:dyDescent="0.2">
      <c r="A6" s="244" t="s">
        <v>355</v>
      </c>
      <c r="B6" s="245">
        <f t="shared" si="0"/>
        <v>102.72</v>
      </c>
      <c r="C6" s="245">
        <v>86.13</v>
      </c>
      <c r="D6" s="245">
        <f t="shared" si="1"/>
        <v>927.10331999999994</v>
      </c>
      <c r="E6" s="245">
        <v>16.59</v>
      </c>
      <c r="F6" s="245">
        <f t="shared" si="2"/>
        <v>178.57476</v>
      </c>
      <c r="G6" s="245">
        <v>0</v>
      </c>
      <c r="H6" s="245">
        <f t="shared" si="3"/>
        <v>0</v>
      </c>
      <c r="I6" s="245">
        <f t="shared" si="4"/>
        <v>1105.6780799999999</v>
      </c>
      <c r="J6" s="245">
        <f t="shared" si="5"/>
        <v>1603.2332159999999</v>
      </c>
      <c r="K6" s="246">
        <f t="shared" si="6"/>
        <v>12825865.727999998</v>
      </c>
      <c r="L6" s="246">
        <v>500000</v>
      </c>
      <c r="M6" s="247">
        <v>400000</v>
      </c>
      <c r="N6" s="248">
        <f t="shared" si="7"/>
        <v>13725865.727999998</v>
      </c>
      <c r="O6" s="248">
        <f t="shared" si="8"/>
        <v>0</v>
      </c>
      <c r="P6" s="246">
        <f t="shared" si="9"/>
        <v>13725865.727999998</v>
      </c>
      <c r="Q6" s="246">
        <f t="shared" si="10"/>
        <v>400808.30399999995</v>
      </c>
      <c r="R6" s="246">
        <f t="shared" si="11"/>
        <v>320646.64319999999</v>
      </c>
      <c r="S6" s="246">
        <f t="shared" si="12"/>
        <v>240484.98239999998</v>
      </c>
      <c r="T6" s="246">
        <f t="shared" si="13"/>
        <v>14687805.657599999</v>
      </c>
      <c r="U6" s="246">
        <v>30000</v>
      </c>
      <c r="V6" s="246">
        <f t="shared" si="14"/>
        <v>1647103.8873599998</v>
      </c>
      <c r="W6" s="246">
        <f t="shared" si="15"/>
        <v>86574.593663999985</v>
      </c>
      <c r="X6" s="246">
        <f t="shared" si="16"/>
        <v>960900</v>
      </c>
      <c r="Y6" s="248">
        <v>6000</v>
      </c>
      <c r="Z6" s="248">
        <f t="shared" si="17"/>
        <v>17418384.138623998</v>
      </c>
      <c r="AA6" s="249" t="s">
        <v>487</v>
      </c>
      <c r="AB6" s="250"/>
      <c r="AC6" s="250"/>
      <c r="AD6" s="250"/>
      <c r="AE6" s="250"/>
      <c r="AF6" s="251" t="s">
        <v>585</v>
      </c>
      <c r="AG6" s="252" t="s">
        <v>586</v>
      </c>
      <c r="AH6" s="251" t="s">
        <v>45</v>
      </c>
      <c r="AI6" s="274" t="s">
        <v>45</v>
      </c>
      <c r="AJ6" s="253" t="s">
        <v>484</v>
      </c>
    </row>
    <row r="7" spans="1:36" ht="15.75" customHeight="1" x14ac:dyDescent="0.2">
      <c r="A7" s="244" t="s">
        <v>359</v>
      </c>
      <c r="B7" s="245">
        <f t="shared" si="0"/>
        <v>117.42999999999999</v>
      </c>
      <c r="C7" s="245">
        <v>100.69</v>
      </c>
      <c r="D7" s="245">
        <f t="shared" si="1"/>
        <v>1083.8271599999998</v>
      </c>
      <c r="E7" s="245">
        <v>16.739999999999998</v>
      </c>
      <c r="F7" s="245">
        <f t="shared" si="2"/>
        <v>180.18935999999997</v>
      </c>
      <c r="G7" s="245">
        <v>0</v>
      </c>
      <c r="H7" s="245">
        <f t="shared" si="3"/>
        <v>0</v>
      </c>
      <c r="I7" s="245">
        <f t="shared" si="4"/>
        <v>1264.0165199999997</v>
      </c>
      <c r="J7" s="245">
        <f t="shared" si="5"/>
        <v>1832.8239539999995</v>
      </c>
      <c r="K7" s="246">
        <f t="shared" si="6"/>
        <v>14662591.631999996</v>
      </c>
      <c r="L7" s="246">
        <v>500000</v>
      </c>
      <c r="M7" s="247">
        <v>400000</v>
      </c>
      <c r="N7" s="248">
        <f t="shared" si="7"/>
        <v>15562591.631999996</v>
      </c>
      <c r="O7" s="248">
        <f t="shared" si="8"/>
        <v>0</v>
      </c>
      <c r="P7" s="246">
        <f t="shared" si="9"/>
        <v>15562591.631999996</v>
      </c>
      <c r="Q7" s="246">
        <f t="shared" si="10"/>
        <v>458205.98849999986</v>
      </c>
      <c r="R7" s="246">
        <f t="shared" si="11"/>
        <v>366564.7907999999</v>
      </c>
      <c r="S7" s="246">
        <f t="shared" si="12"/>
        <v>274923.59309999994</v>
      </c>
      <c r="T7" s="246">
        <f t="shared" si="13"/>
        <v>16662286.004399994</v>
      </c>
      <c r="U7" s="246">
        <v>30000</v>
      </c>
      <c r="V7" s="246">
        <f t="shared" si="14"/>
        <v>1867510.9958399993</v>
      </c>
      <c r="W7" s="246">
        <f t="shared" si="15"/>
        <v>98972.493515999959</v>
      </c>
      <c r="X7" s="246">
        <f t="shared" si="16"/>
        <v>1089400</v>
      </c>
      <c r="Y7" s="248">
        <v>6000</v>
      </c>
      <c r="Z7" s="248">
        <f t="shared" si="17"/>
        <v>19754169.493755993</v>
      </c>
      <c r="AA7" s="249" t="s">
        <v>487</v>
      </c>
      <c r="AB7" s="250"/>
      <c r="AC7" s="250"/>
      <c r="AD7" s="250"/>
      <c r="AE7" s="250"/>
      <c r="AF7" s="251" t="s">
        <v>587</v>
      </c>
      <c r="AG7" s="252" t="s">
        <v>588</v>
      </c>
      <c r="AH7" s="251" t="s">
        <v>45</v>
      </c>
      <c r="AI7" s="274" t="s">
        <v>45</v>
      </c>
      <c r="AJ7" s="253" t="s">
        <v>462</v>
      </c>
    </row>
    <row r="8" spans="1:36" ht="15.75" customHeight="1" x14ac:dyDescent="0.2">
      <c r="A8" s="244" t="s">
        <v>363</v>
      </c>
      <c r="B8" s="245">
        <f t="shared" si="0"/>
        <v>51.209999999999994</v>
      </c>
      <c r="C8" s="245">
        <v>44.12</v>
      </c>
      <c r="D8" s="245">
        <f t="shared" si="1"/>
        <v>474.90767999999997</v>
      </c>
      <c r="E8" s="245">
        <v>7.09</v>
      </c>
      <c r="F8" s="245">
        <f t="shared" si="2"/>
        <v>76.316759999999988</v>
      </c>
      <c r="G8" s="245">
        <v>0</v>
      </c>
      <c r="H8" s="245">
        <f t="shared" si="3"/>
        <v>0</v>
      </c>
      <c r="I8" s="245">
        <f t="shared" si="4"/>
        <v>551.22443999999996</v>
      </c>
      <c r="J8" s="245">
        <f t="shared" si="5"/>
        <v>799.27543799999989</v>
      </c>
      <c r="K8" s="246">
        <f t="shared" si="6"/>
        <v>6394203.5039999988</v>
      </c>
      <c r="L8" s="246">
        <v>300000</v>
      </c>
      <c r="M8" s="247">
        <v>200000</v>
      </c>
      <c r="N8" s="248">
        <f t="shared" si="7"/>
        <v>6894203.5039999988</v>
      </c>
      <c r="O8" s="248">
        <f t="shared" si="8"/>
        <v>0</v>
      </c>
      <c r="P8" s="246">
        <f t="shared" si="9"/>
        <v>6894203.5039999988</v>
      </c>
      <c r="Q8" s="246">
        <f t="shared" si="10"/>
        <v>199818.85949999996</v>
      </c>
      <c r="R8" s="246">
        <f t="shared" si="11"/>
        <v>159855.08759999997</v>
      </c>
      <c r="S8" s="246">
        <f t="shared" si="12"/>
        <v>119891.31569999998</v>
      </c>
      <c r="T8" s="246">
        <f t="shared" si="13"/>
        <v>7373768.7667999994</v>
      </c>
      <c r="U8" s="246">
        <v>30000</v>
      </c>
      <c r="V8" s="246">
        <f t="shared" si="14"/>
        <v>827304.42047999986</v>
      </c>
      <c r="W8" s="246">
        <f t="shared" si="15"/>
        <v>43160.873651999995</v>
      </c>
      <c r="X8" s="246">
        <f t="shared" si="16"/>
        <v>482600</v>
      </c>
      <c r="Y8" s="248">
        <v>6000</v>
      </c>
      <c r="Z8" s="248">
        <f t="shared" si="17"/>
        <v>8762834.0609319992</v>
      </c>
      <c r="AA8" s="249" t="s">
        <v>487</v>
      </c>
      <c r="AB8" s="250"/>
      <c r="AC8" s="250"/>
      <c r="AD8" s="250"/>
      <c r="AE8" s="250"/>
      <c r="AF8" s="251">
        <v>241</v>
      </c>
      <c r="AG8" s="252" t="s">
        <v>589</v>
      </c>
      <c r="AH8" s="251" t="s">
        <v>65</v>
      </c>
      <c r="AI8" s="274" t="s">
        <v>45</v>
      </c>
      <c r="AJ8" s="253" t="s">
        <v>462</v>
      </c>
    </row>
    <row r="9" spans="1:36" ht="15.75" customHeight="1" x14ac:dyDescent="0.2">
      <c r="A9" s="244" t="s">
        <v>367</v>
      </c>
      <c r="B9" s="245">
        <f t="shared" si="0"/>
        <v>51.209999999999994</v>
      </c>
      <c r="C9" s="245">
        <v>44.12</v>
      </c>
      <c r="D9" s="245">
        <f t="shared" si="1"/>
        <v>474.90767999999997</v>
      </c>
      <c r="E9" s="245">
        <v>7.09</v>
      </c>
      <c r="F9" s="245">
        <f t="shared" si="2"/>
        <v>76.316759999999988</v>
      </c>
      <c r="G9" s="245">
        <v>0</v>
      </c>
      <c r="H9" s="245">
        <f t="shared" si="3"/>
        <v>0</v>
      </c>
      <c r="I9" s="245">
        <f t="shared" si="4"/>
        <v>551.22443999999996</v>
      </c>
      <c r="J9" s="245">
        <f t="shared" si="5"/>
        <v>799.27543799999989</v>
      </c>
      <c r="K9" s="246">
        <f t="shared" si="6"/>
        <v>6394203.5039999988</v>
      </c>
      <c r="L9" s="246">
        <v>300000</v>
      </c>
      <c r="M9" s="247">
        <v>200000</v>
      </c>
      <c r="N9" s="248">
        <f t="shared" si="7"/>
        <v>6894203.5039999988</v>
      </c>
      <c r="O9" s="248">
        <f t="shared" si="8"/>
        <v>0</v>
      </c>
      <c r="P9" s="246">
        <f t="shared" si="9"/>
        <v>6894203.5039999988</v>
      </c>
      <c r="Q9" s="246">
        <f t="shared" si="10"/>
        <v>199818.85949999996</v>
      </c>
      <c r="R9" s="246">
        <f t="shared" si="11"/>
        <v>159855.08759999997</v>
      </c>
      <c r="S9" s="246">
        <f t="shared" si="12"/>
        <v>119891.31569999998</v>
      </c>
      <c r="T9" s="246">
        <f t="shared" si="13"/>
        <v>7373768.7667999994</v>
      </c>
      <c r="U9" s="246">
        <v>30000</v>
      </c>
      <c r="V9" s="246">
        <f t="shared" si="14"/>
        <v>827304.42047999986</v>
      </c>
      <c r="W9" s="246">
        <f t="shared" si="15"/>
        <v>43160.873651999995</v>
      </c>
      <c r="X9" s="246">
        <f t="shared" si="16"/>
        <v>482600</v>
      </c>
      <c r="Y9" s="248">
        <v>6000</v>
      </c>
      <c r="Z9" s="248">
        <f t="shared" si="17"/>
        <v>8762834.0609319992</v>
      </c>
      <c r="AA9" s="249" t="s">
        <v>487</v>
      </c>
      <c r="AB9" s="250"/>
      <c r="AC9" s="250"/>
      <c r="AD9" s="250"/>
      <c r="AE9" s="250"/>
      <c r="AF9" s="251">
        <v>242</v>
      </c>
      <c r="AG9" s="252" t="s">
        <v>590</v>
      </c>
      <c r="AH9" s="251" t="s">
        <v>65</v>
      </c>
      <c r="AI9" s="274" t="s">
        <v>45</v>
      </c>
      <c r="AJ9" s="253" t="s">
        <v>462</v>
      </c>
    </row>
    <row r="10" spans="1:36" ht="15.75" customHeight="1" x14ac:dyDescent="0.2">
      <c r="A10" s="244" t="s">
        <v>370</v>
      </c>
      <c r="B10" s="245">
        <f t="shared" si="0"/>
        <v>51.209999999999994</v>
      </c>
      <c r="C10" s="245">
        <v>44.12</v>
      </c>
      <c r="D10" s="245">
        <f t="shared" si="1"/>
        <v>474.90767999999997</v>
      </c>
      <c r="E10" s="245">
        <v>7.09</v>
      </c>
      <c r="F10" s="245">
        <f t="shared" si="2"/>
        <v>76.316759999999988</v>
      </c>
      <c r="G10" s="245">
        <v>0</v>
      </c>
      <c r="H10" s="245">
        <f t="shared" si="3"/>
        <v>0</v>
      </c>
      <c r="I10" s="245">
        <f t="shared" si="4"/>
        <v>551.22443999999996</v>
      </c>
      <c r="J10" s="245">
        <f t="shared" si="5"/>
        <v>799.27543799999989</v>
      </c>
      <c r="K10" s="246">
        <f t="shared" si="6"/>
        <v>6394203.5039999988</v>
      </c>
      <c r="L10" s="246">
        <v>300000</v>
      </c>
      <c r="M10" s="247">
        <v>200000</v>
      </c>
      <c r="N10" s="248">
        <f t="shared" si="7"/>
        <v>6894203.5039999988</v>
      </c>
      <c r="O10" s="248">
        <f t="shared" si="8"/>
        <v>0</v>
      </c>
      <c r="P10" s="246">
        <f t="shared" si="9"/>
        <v>6894203.5039999988</v>
      </c>
      <c r="Q10" s="246">
        <f t="shared" si="10"/>
        <v>199818.85949999996</v>
      </c>
      <c r="R10" s="246">
        <f t="shared" si="11"/>
        <v>159855.08759999997</v>
      </c>
      <c r="S10" s="246">
        <f t="shared" si="12"/>
        <v>119891.31569999998</v>
      </c>
      <c r="T10" s="246">
        <f t="shared" si="13"/>
        <v>7373768.7667999994</v>
      </c>
      <c r="U10" s="246">
        <v>30000</v>
      </c>
      <c r="V10" s="246">
        <f t="shared" si="14"/>
        <v>827304.42047999986</v>
      </c>
      <c r="W10" s="246">
        <f t="shared" si="15"/>
        <v>43160.873651999995</v>
      </c>
      <c r="X10" s="246">
        <f t="shared" si="16"/>
        <v>482600</v>
      </c>
      <c r="Y10" s="248">
        <v>6000</v>
      </c>
      <c r="Z10" s="248">
        <f t="shared" si="17"/>
        <v>8762834.0609319992</v>
      </c>
      <c r="AA10" s="249" t="s">
        <v>487</v>
      </c>
      <c r="AB10" s="250"/>
      <c r="AC10" s="250"/>
      <c r="AD10" s="250"/>
      <c r="AE10" s="250"/>
      <c r="AF10" s="251">
        <v>243</v>
      </c>
      <c r="AG10" s="252" t="s">
        <v>591</v>
      </c>
      <c r="AH10" s="251" t="s">
        <v>65</v>
      </c>
      <c r="AI10" s="274" t="s">
        <v>45</v>
      </c>
      <c r="AJ10" s="253" t="s">
        <v>462</v>
      </c>
    </row>
    <row r="11" spans="1:36" ht="15.75" customHeight="1" x14ac:dyDescent="0.2">
      <c r="A11" s="244" t="s">
        <v>372</v>
      </c>
      <c r="B11" s="245">
        <f t="shared" si="0"/>
        <v>62.88</v>
      </c>
      <c r="C11" s="245">
        <v>54.09</v>
      </c>
      <c r="D11" s="245">
        <f t="shared" si="1"/>
        <v>582.22475999999995</v>
      </c>
      <c r="E11" s="245">
        <v>8.7899999999999991</v>
      </c>
      <c r="F11" s="245">
        <f t="shared" si="2"/>
        <v>94.615559999999988</v>
      </c>
      <c r="G11" s="245">
        <v>0</v>
      </c>
      <c r="H11" s="245">
        <f t="shared" si="3"/>
        <v>0</v>
      </c>
      <c r="I11" s="245">
        <f t="shared" si="4"/>
        <v>676.84031999999991</v>
      </c>
      <c r="J11" s="245">
        <f t="shared" si="5"/>
        <v>981.41846399999986</v>
      </c>
      <c r="K11" s="246">
        <f t="shared" si="6"/>
        <v>7851347.7119999984</v>
      </c>
      <c r="L11" s="246">
        <v>400000</v>
      </c>
      <c r="M11" s="247">
        <v>200000</v>
      </c>
      <c r="N11" s="248">
        <f t="shared" si="7"/>
        <v>8451347.7119999975</v>
      </c>
      <c r="O11" s="248">
        <f t="shared" si="8"/>
        <v>0</v>
      </c>
      <c r="P11" s="246">
        <f t="shared" si="9"/>
        <v>8451347.7119999975</v>
      </c>
      <c r="Q11" s="246">
        <f t="shared" si="10"/>
        <v>245354.61599999995</v>
      </c>
      <c r="R11" s="246">
        <f t="shared" si="11"/>
        <v>196283.69279999996</v>
      </c>
      <c r="S11" s="246">
        <f t="shared" si="12"/>
        <v>147212.76959999997</v>
      </c>
      <c r="T11" s="246">
        <f t="shared" si="13"/>
        <v>9040198.7903999984</v>
      </c>
      <c r="U11" s="246">
        <v>30000</v>
      </c>
      <c r="V11" s="246">
        <f t="shared" si="14"/>
        <v>1014161.7254399997</v>
      </c>
      <c r="W11" s="246">
        <f t="shared" si="15"/>
        <v>52996.597055999984</v>
      </c>
      <c r="X11" s="246">
        <f t="shared" si="16"/>
        <v>591600</v>
      </c>
      <c r="Y11" s="248">
        <v>6000</v>
      </c>
      <c r="Z11" s="248">
        <f t="shared" si="17"/>
        <v>10734957.112895997</v>
      </c>
      <c r="AA11" s="249" t="s">
        <v>487</v>
      </c>
      <c r="AB11" s="250"/>
      <c r="AC11" s="250"/>
      <c r="AD11" s="250"/>
      <c r="AE11" s="250"/>
      <c r="AF11" s="251">
        <v>188</v>
      </c>
      <c r="AG11" s="252" t="s">
        <v>592</v>
      </c>
      <c r="AH11" s="251" t="s">
        <v>40</v>
      </c>
      <c r="AI11" s="274" t="s">
        <v>45</v>
      </c>
      <c r="AJ11" s="253" t="s">
        <v>453</v>
      </c>
    </row>
    <row r="12" spans="1:36" ht="15.75" customHeight="1" x14ac:dyDescent="0.2">
      <c r="A12" s="244" t="s">
        <v>374</v>
      </c>
      <c r="B12" s="245">
        <f t="shared" si="0"/>
        <v>62.88</v>
      </c>
      <c r="C12" s="245">
        <v>54.09</v>
      </c>
      <c r="D12" s="245">
        <f t="shared" si="1"/>
        <v>582.22475999999995</v>
      </c>
      <c r="E12" s="245">
        <v>8.7899999999999991</v>
      </c>
      <c r="F12" s="245">
        <f t="shared" si="2"/>
        <v>94.615559999999988</v>
      </c>
      <c r="G12" s="245">
        <v>0</v>
      </c>
      <c r="H12" s="245">
        <f t="shared" si="3"/>
        <v>0</v>
      </c>
      <c r="I12" s="245">
        <f t="shared" si="4"/>
        <v>676.84031999999991</v>
      </c>
      <c r="J12" s="245">
        <f t="shared" si="5"/>
        <v>981.41846399999986</v>
      </c>
      <c r="K12" s="246">
        <f t="shared" si="6"/>
        <v>7851347.7119999984</v>
      </c>
      <c r="L12" s="246">
        <v>400000</v>
      </c>
      <c r="M12" s="247">
        <v>200000</v>
      </c>
      <c r="N12" s="248">
        <f t="shared" si="7"/>
        <v>8451347.7119999975</v>
      </c>
      <c r="O12" s="248">
        <f t="shared" si="8"/>
        <v>0</v>
      </c>
      <c r="P12" s="246">
        <f t="shared" si="9"/>
        <v>8451347.7119999975</v>
      </c>
      <c r="Q12" s="246">
        <f t="shared" si="10"/>
        <v>245354.61599999995</v>
      </c>
      <c r="R12" s="246">
        <f t="shared" si="11"/>
        <v>196283.69279999996</v>
      </c>
      <c r="S12" s="246">
        <f t="shared" si="12"/>
        <v>147212.76959999997</v>
      </c>
      <c r="T12" s="246">
        <f t="shared" si="13"/>
        <v>9040198.7903999984</v>
      </c>
      <c r="U12" s="246">
        <v>30000</v>
      </c>
      <c r="V12" s="246">
        <f t="shared" si="14"/>
        <v>1014161.7254399997</v>
      </c>
      <c r="W12" s="246">
        <f t="shared" si="15"/>
        <v>52996.597055999984</v>
      </c>
      <c r="X12" s="246">
        <f t="shared" si="16"/>
        <v>591600</v>
      </c>
      <c r="Y12" s="248">
        <v>6000</v>
      </c>
      <c r="Z12" s="248">
        <f t="shared" si="17"/>
        <v>10734957.112895997</v>
      </c>
      <c r="AA12" s="249" t="s">
        <v>487</v>
      </c>
      <c r="AB12" s="250"/>
      <c r="AC12" s="250"/>
      <c r="AD12" s="250"/>
      <c r="AE12" s="250"/>
      <c r="AF12" s="251">
        <v>189</v>
      </c>
      <c r="AG12" s="252" t="s">
        <v>593</v>
      </c>
      <c r="AH12" s="251" t="s">
        <v>40</v>
      </c>
      <c r="AI12" s="274" t="s">
        <v>45</v>
      </c>
      <c r="AJ12" s="253" t="s">
        <v>453</v>
      </c>
    </row>
    <row r="13" spans="1:36" ht="15.75" customHeight="1" x14ac:dyDescent="0.2">
      <c r="A13" s="244" t="s">
        <v>377</v>
      </c>
      <c r="B13" s="245">
        <f t="shared" si="0"/>
        <v>64.25</v>
      </c>
      <c r="C13" s="245">
        <v>55.26</v>
      </c>
      <c r="D13" s="245">
        <f t="shared" si="1"/>
        <v>594.81863999999996</v>
      </c>
      <c r="E13" s="245">
        <v>8.99</v>
      </c>
      <c r="F13" s="245">
        <f t="shared" si="2"/>
        <v>96.768360000000001</v>
      </c>
      <c r="G13" s="245">
        <v>0</v>
      </c>
      <c r="H13" s="245">
        <f t="shared" si="3"/>
        <v>0</v>
      </c>
      <c r="I13" s="245">
        <f t="shared" si="4"/>
        <v>691.58699999999999</v>
      </c>
      <c r="J13" s="245">
        <f t="shared" si="5"/>
        <v>1002.80115</v>
      </c>
      <c r="K13" s="246">
        <f t="shared" si="6"/>
        <v>8022409.2000000002</v>
      </c>
      <c r="L13" s="246">
        <v>400000</v>
      </c>
      <c r="M13" s="247">
        <v>200000</v>
      </c>
      <c r="N13" s="248">
        <f t="shared" si="7"/>
        <v>8622409.1999999993</v>
      </c>
      <c r="O13" s="248">
        <f t="shared" si="8"/>
        <v>0</v>
      </c>
      <c r="P13" s="246">
        <f t="shared" si="9"/>
        <v>8622409.1999999993</v>
      </c>
      <c r="Q13" s="246">
        <f t="shared" si="10"/>
        <v>250700.28750000001</v>
      </c>
      <c r="R13" s="246">
        <f t="shared" si="11"/>
        <v>200560.23</v>
      </c>
      <c r="S13" s="246">
        <f t="shared" si="12"/>
        <v>150420.17250000002</v>
      </c>
      <c r="T13" s="246">
        <f t="shared" si="13"/>
        <v>9224089.8899999987</v>
      </c>
      <c r="U13" s="246">
        <v>30000</v>
      </c>
      <c r="V13" s="246">
        <f t="shared" si="14"/>
        <v>1034689.1039999998</v>
      </c>
      <c r="W13" s="246">
        <f t="shared" si="15"/>
        <v>54151.2621</v>
      </c>
      <c r="X13" s="246">
        <f t="shared" si="16"/>
        <v>603600</v>
      </c>
      <c r="Y13" s="248">
        <v>6000</v>
      </c>
      <c r="Z13" s="248">
        <f t="shared" si="17"/>
        <v>10952530.256099999</v>
      </c>
      <c r="AA13" s="249" t="s">
        <v>487</v>
      </c>
      <c r="AB13" s="250"/>
      <c r="AC13" s="250"/>
      <c r="AD13" s="250"/>
      <c r="AE13" s="250"/>
      <c r="AF13" s="251">
        <v>190</v>
      </c>
      <c r="AG13" s="252" t="s">
        <v>594</v>
      </c>
      <c r="AH13" s="251" t="s">
        <v>40</v>
      </c>
      <c r="AI13" s="274" t="s">
        <v>45</v>
      </c>
      <c r="AJ13" s="253" t="s">
        <v>453</v>
      </c>
    </row>
    <row r="14" spans="1:36" ht="15.75" customHeight="1" x14ac:dyDescent="0.2">
      <c r="A14" s="254" t="s">
        <v>532</v>
      </c>
      <c r="B14" s="155">
        <v>79.180000000000007</v>
      </c>
      <c r="C14" s="155">
        <v>53.16</v>
      </c>
      <c r="D14" s="156">
        <f t="shared" si="1"/>
        <v>572.2142399999999</v>
      </c>
      <c r="E14" s="155">
        <v>26.02</v>
      </c>
      <c r="F14" s="156">
        <f t="shared" si="2"/>
        <v>280.07927999999998</v>
      </c>
      <c r="G14" s="156">
        <v>0</v>
      </c>
      <c r="H14" s="156">
        <f t="shared" si="3"/>
        <v>0</v>
      </c>
      <c r="I14" s="156">
        <f t="shared" si="4"/>
        <v>852.29351999999994</v>
      </c>
      <c r="J14" s="156">
        <f t="shared" si="5"/>
        <v>1235.8256039999999</v>
      </c>
      <c r="K14" s="158">
        <f t="shared" si="6"/>
        <v>9886604.8319999985</v>
      </c>
      <c r="L14" s="158">
        <v>400000</v>
      </c>
      <c r="M14" s="159">
        <v>400000</v>
      </c>
      <c r="N14" s="160">
        <f t="shared" si="7"/>
        <v>10686604.831999999</v>
      </c>
      <c r="O14" s="160">
        <f t="shared" si="8"/>
        <v>0</v>
      </c>
      <c r="P14" s="158">
        <f t="shared" si="9"/>
        <v>10686604.831999999</v>
      </c>
      <c r="Q14" s="158">
        <f t="shared" si="10"/>
        <v>308956.40099999995</v>
      </c>
      <c r="R14" s="158">
        <f t="shared" si="11"/>
        <v>247165.12079999998</v>
      </c>
      <c r="S14" s="158">
        <f t="shared" si="12"/>
        <v>185373.8406</v>
      </c>
      <c r="T14" s="158">
        <f t="shared" si="13"/>
        <v>11428100.194399999</v>
      </c>
      <c r="U14" s="158">
        <v>30000</v>
      </c>
      <c r="V14" s="158">
        <f t="shared" si="14"/>
        <v>1282392.5798399998</v>
      </c>
      <c r="W14" s="158">
        <f t="shared" si="15"/>
        <v>66734.582615999985</v>
      </c>
      <c r="X14" s="158">
        <f t="shared" si="16"/>
        <v>748100</v>
      </c>
      <c r="Y14" s="160">
        <v>6000</v>
      </c>
      <c r="Z14" s="160">
        <f t="shared" si="17"/>
        <v>13561327.356855998</v>
      </c>
      <c r="AA14" s="154" t="s">
        <v>487</v>
      </c>
      <c r="AB14" s="161"/>
      <c r="AC14" s="161"/>
      <c r="AD14" s="161"/>
      <c r="AE14" s="161"/>
      <c r="AF14" s="255">
        <v>119</v>
      </c>
      <c r="AG14" s="256" t="s">
        <v>595</v>
      </c>
      <c r="AH14" s="255" t="s">
        <v>40</v>
      </c>
      <c r="AI14" s="254" t="s">
        <v>45</v>
      </c>
      <c r="AJ14" s="162" t="s">
        <v>484</v>
      </c>
    </row>
    <row r="15" spans="1:36" ht="15.75" customHeight="1" x14ac:dyDescent="0.2">
      <c r="A15" s="254" t="s">
        <v>500</v>
      </c>
      <c r="B15" s="155">
        <v>87.91</v>
      </c>
      <c r="C15" s="156">
        <v>74.92</v>
      </c>
      <c r="D15" s="156">
        <f t="shared" si="1"/>
        <v>806.43887999999993</v>
      </c>
      <c r="E15" s="155">
        <v>12.99</v>
      </c>
      <c r="F15" s="156">
        <f t="shared" si="2"/>
        <v>139.82435999999998</v>
      </c>
      <c r="G15" s="156">
        <v>0</v>
      </c>
      <c r="H15" s="156">
        <f t="shared" si="3"/>
        <v>0</v>
      </c>
      <c r="I15" s="156">
        <f t="shared" si="4"/>
        <v>946.26323999999988</v>
      </c>
      <c r="J15" s="156">
        <f t="shared" si="5"/>
        <v>1372.0816979999997</v>
      </c>
      <c r="K15" s="158">
        <f t="shared" si="6"/>
        <v>10976653.583999997</v>
      </c>
      <c r="L15" s="159">
        <v>500000</v>
      </c>
      <c r="M15" s="159">
        <v>400000</v>
      </c>
      <c r="N15" s="160">
        <f t="shared" si="7"/>
        <v>11876653.583999997</v>
      </c>
      <c r="O15" s="160">
        <f t="shared" si="8"/>
        <v>0</v>
      </c>
      <c r="P15" s="158">
        <f t="shared" si="9"/>
        <v>11876653.583999997</v>
      </c>
      <c r="Q15" s="158">
        <f t="shared" si="10"/>
        <v>343020.42449999991</v>
      </c>
      <c r="R15" s="158">
        <f t="shared" si="11"/>
        <v>274416.33959999995</v>
      </c>
      <c r="S15" s="158">
        <f t="shared" si="12"/>
        <v>205812.25469999996</v>
      </c>
      <c r="T15" s="158">
        <f t="shared" si="13"/>
        <v>12699902.602799997</v>
      </c>
      <c r="U15" s="158">
        <v>30000</v>
      </c>
      <c r="V15" s="158">
        <f t="shared" si="14"/>
        <v>1425198.4300799996</v>
      </c>
      <c r="W15" s="158">
        <f t="shared" si="15"/>
        <v>74092.41169199998</v>
      </c>
      <c r="X15" s="158">
        <f t="shared" si="16"/>
        <v>831400</v>
      </c>
      <c r="Y15" s="160">
        <v>6000</v>
      </c>
      <c r="Z15" s="160">
        <f t="shared" si="17"/>
        <v>15066593.444571996</v>
      </c>
      <c r="AA15" s="154" t="s">
        <v>487</v>
      </c>
      <c r="AB15" s="161"/>
      <c r="AC15" s="161"/>
      <c r="AD15" s="161"/>
      <c r="AE15" s="161"/>
      <c r="AF15" s="255" t="s">
        <v>596</v>
      </c>
      <c r="AG15" s="256" t="s">
        <v>597</v>
      </c>
      <c r="AH15" s="255" t="s">
        <v>45</v>
      </c>
      <c r="AI15" s="254" t="s">
        <v>45</v>
      </c>
      <c r="AJ15" s="162" t="s">
        <v>462</v>
      </c>
    </row>
    <row r="16" spans="1:36" ht="15.75" customHeight="1" x14ac:dyDescent="0.2">
      <c r="A16" s="244" t="s">
        <v>387</v>
      </c>
      <c r="B16" s="245">
        <f t="shared" ref="B16:B27" si="18">C16+E16+G16</f>
        <v>65.930000000000007</v>
      </c>
      <c r="C16" s="245">
        <v>56.78</v>
      </c>
      <c r="D16" s="245">
        <f t="shared" si="1"/>
        <v>611.17991999999992</v>
      </c>
      <c r="E16" s="245">
        <v>9.15</v>
      </c>
      <c r="F16" s="245">
        <f t="shared" si="2"/>
        <v>98.490600000000001</v>
      </c>
      <c r="G16" s="245">
        <v>0</v>
      </c>
      <c r="H16" s="245">
        <f t="shared" si="3"/>
        <v>0</v>
      </c>
      <c r="I16" s="245">
        <f t="shared" si="4"/>
        <v>709.6705199999999</v>
      </c>
      <c r="J16" s="245">
        <f t="shared" si="5"/>
        <v>1029.0222539999997</v>
      </c>
      <c r="K16" s="246">
        <f t="shared" si="6"/>
        <v>8232178.0319999978</v>
      </c>
      <c r="L16" s="246">
        <v>400000</v>
      </c>
      <c r="M16" s="247">
        <v>200000</v>
      </c>
      <c r="N16" s="248">
        <f t="shared" si="7"/>
        <v>8832178.0319999978</v>
      </c>
      <c r="O16" s="248">
        <f t="shared" si="8"/>
        <v>0</v>
      </c>
      <c r="P16" s="246">
        <f t="shared" si="9"/>
        <v>8832178.0319999978</v>
      </c>
      <c r="Q16" s="246">
        <f t="shared" si="10"/>
        <v>257255.56349999993</v>
      </c>
      <c r="R16" s="246">
        <f t="shared" si="11"/>
        <v>205804.45079999996</v>
      </c>
      <c r="S16" s="246">
        <f t="shared" si="12"/>
        <v>154353.33809999996</v>
      </c>
      <c r="T16" s="246">
        <f t="shared" si="13"/>
        <v>9449591.3843999971</v>
      </c>
      <c r="U16" s="246">
        <v>30000</v>
      </c>
      <c r="V16" s="246">
        <f t="shared" si="14"/>
        <v>1059861.3638399998</v>
      </c>
      <c r="W16" s="246">
        <f t="shared" si="15"/>
        <v>55567.201715999981</v>
      </c>
      <c r="X16" s="246">
        <f t="shared" si="16"/>
        <v>618300</v>
      </c>
      <c r="Y16" s="248">
        <v>6000</v>
      </c>
      <c r="Z16" s="248">
        <f t="shared" si="17"/>
        <v>11219319.949955998</v>
      </c>
      <c r="AA16" s="249" t="s">
        <v>487</v>
      </c>
      <c r="AB16" s="250"/>
      <c r="AC16" s="250"/>
      <c r="AD16" s="250"/>
      <c r="AE16" s="250"/>
      <c r="AF16" s="251">
        <v>276</v>
      </c>
      <c r="AG16" s="252" t="s">
        <v>598</v>
      </c>
      <c r="AH16" s="251" t="s">
        <v>40</v>
      </c>
      <c r="AI16" s="274" t="s">
        <v>45</v>
      </c>
      <c r="AJ16" s="253" t="s">
        <v>462</v>
      </c>
    </row>
    <row r="17" spans="1:36" ht="15.75" customHeight="1" x14ac:dyDescent="0.2">
      <c r="A17" s="244" t="s">
        <v>389</v>
      </c>
      <c r="B17" s="245">
        <f t="shared" si="18"/>
        <v>51.07</v>
      </c>
      <c r="C17" s="245">
        <v>44.52</v>
      </c>
      <c r="D17" s="245">
        <f t="shared" si="1"/>
        <v>479.21328</v>
      </c>
      <c r="E17" s="245">
        <v>6.55</v>
      </c>
      <c r="F17" s="245">
        <f t="shared" si="2"/>
        <v>70.504199999999997</v>
      </c>
      <c r="G17" s="245">
        <v>0</v>
      </c>
      <c r="H17" s="245">
        <f t="shared" si="3"/>
        <v>0</v>
      </c>
      <c r="I17" s="245">
        <f t="shared" si="4"/>
        <v>549.71748000000002</v>
      </c>
      <c r="J17" s="245">
        <f t="shared" si="5"/>
        <v>797.09034599999995</v>
      </c>
      <c r="K17" s="246">
        <f t="shared" si="6"/>
        <v>6376722.7679999992</v>
      </c>
      <c r="L17" s="246">
        <v>300000</v>
      </c>
      <c r="M17" s="247">
        <v>200000</v>
      </c>
      <c r="N17" s="248">
        <f t="shared" si="7"/>
        <v>6876722.7679999992</v>
      </c>
      <c r="O17" s="248">
        <f t="shared" si="8"/>
        <v>0</v>
      </c>
      <c r="P17" s="246">
        <f t="shared" si="9"/>
        <v>6876722.7679999992</v>
      </c>
      <c r="Q17" s="246">
        <f t="shared" si="10"/>
        <v>199272.58649999998</v>
      </c>
      <c r="R17" s="246">
        <f t="shared" si="11"/>
        <v>159418.0692</v>
      </c>
      <c r="S17" s="246">
        <f t="shared" si="12"/>
        <v>119563.55189999999</v>
      </c>
      <c r="T17" s="246">
        <f t="shared" si="13"/>
        <v>7354976.9755999995</v>
      </c>
      <c r="U17" s="246">
        <v>30000</v>
      </c>
      <c r="V17" s="246">
        <f t="shared" si="14"/>
        <v>825206.7321599999</v>
      </c>
      <c r="W17" s="246">
        <f t="shared" si="15"/>
        <v>43042.878683999996</v>
      </c>
      <c r="X17" s="246">
        <f t="shared" si="16"/>
        <v>481400</v>
      </c>
      <c r="Y17" s="248">
        <v>6000</v>
      </c>
      <c r="Z17" s="248">
        <f t="shared" si="17"/>
        <v>8740626.5864439998</v>
      </c>
      <c r="AA17" s="249" t="s">
        <v>487</v>
      </c>
      <c r="AB17" s="250"/>
      <c r="AC17" s="250"/>
      <c r="AD17" s="250"/>
      <c r="AE17" s="250"/>
      <c r="AF17" s="251">
        <v>244</v>
      </c>
      <c r="AG17" s="252" t="s">
        <v>599</v>
      </c>
      <c r="AH17" s="251" t="s">
        <v>65</v>
      </c>
      <c r="AI17" s="274" t="s">
        <v>45</v>
      </c>
      <c r="AJ17" s="253" t="s">
        <v>462</v>
      </c>
    </row>
    <row r="18" spans="1:36" ht="15.75" customHeight="1" x14ac:dyDescent="0.2">
      <c r="A18" s="244" t="s">
        <v>394</v>
      </c>
      <c r="B18" s="245">
        <f t="shared" si="18"/>
        <v>51.07</v>
      </c>
      <c r="C18" s="245">
        <v>44.52</v>
      </c>
      <c r="D18" s="245">
        <f t="shared" si="1"/>
        <v>479.21328</v>
      </c>
      <c r="E18" s="245">
        <v>6.55</v>
      </c>
      <c r="F18" s="245">
        <f t="shared" si="2"/>
        <v>70.504199999999997</v>
      </c>
      <c r="G18" s="245">
        <v>0</v>
      </c>
      <c r="H18" s="245">
        <f t="shared" si="3"/>
        <v>0</v>
      </c>
      <c r="I18" s="245">
        <f t="shared" si="4"/>
        <v>549.71748000000002</v>
      </c>
      <c r="J18" s="245">
        <f t="shared" si="5"/>
        <v>797.09034599999995</v>
      </c>
      <c r="K18" s="246">
        <f t="shared" si="6"/>
        <v>6376722.7679999992</v>
      </c>
      <c r="L18" s="246">
        <v>300000</v>
      </c>
      <c r="M18" s="247">
        <v>200000</v>
      </c>
      <c r="N18" s="248">
        <f t="shared" si="7"/>
        <v>6876722.7679999992</v>
      </c>
      <c r="O18" s="248">
        <f t="shared" si="8"/>
        <v>0</v>
      </c>
      <c r="P18" s="246">
        <f t="shared" si="9"/>
        <v>6876722.7679999992</v>
      </c>
      <c r="Q18" s="246">
        <f t="shared" si="10"/>
        <v>199272.58649999998</v>
      </c>
      <c r="R18" s="246">
        <f t="shared" si="11"/>
        <v>159418.0692</v>
      </c>
      <c r="S18" s="246">
        <f t="shared" si="12"/>
        <v>119563.55189999999</v>
      </c>
      <c r="T18" s="246">
        <f t="shared" si="13"/>
        <v>7354976.9755999995</v>
      </c>
      <c r="U18" s="246">
        <v>30000</v>
      </c>
      <c r="V18" s="246">
        <f t="shared" si="14"/>
        <v>825206.7321599999</v>
      </c>
      <c r="W18" s="246">
        <f t="shared" si="15"/>
        <v>43042.878683999996</v>
      </c>
      <c r="X18" s="246">
        <f t="shared" si="16"/>
        <v>481400</v>
      </c>
      <c r="Y18" s="248">
        <v>6000</v>
      </c>
      <c r="Z18" s="248">
        <f t="shared" si="17"/>
        <v>8740626.5864439998</v>
      </c>
      <c r="AA18" s="249" t="s">
        <v>487</v>
      </c>
      <c r="AB18" s="250"/>
      <c r="AC18" s="250"/>
      <c r="AD18" s="250"/>
      <c r="AE18" s="250"/>
      <c r="AF18" s="251">
        <v>245</v>
      </c>
      <c r="AG18" s="252" t="s">
        <v>600</v>
      </c>
      <c r="AH18" s="251" t="s">
        <v>65</v>
      </c>
      <c r="AI18" s="274" t="s">
        <v>45</v>
      </c>
      <c r="AJ18" s="253" t="s">
        <v>462</v>
      </c>
    </row>
    <row r="19" spans="1:36" ht="15.75" customHeight="1" x14ac:dyDescent="0.2">
      <c r="A19" s="244" t="s">
        <v>395</v>
      </c>
      <c r="B19" s="245">
        <f t="shared" si="18"/>
        <v>40.75</v>
      </c>
      <c r="C19" s="245">
        <v>36.01</v>
      </c>
      <c r="D19" s="245">
        <f t="shared" si="1"/>
        <v>387.61163999999997</v>
      </c>
      <c r="E19" s="245">
        <v>4.74</v>
      </c>
      <c r="F19" s="245">
        <f t="shared" si="2"/>
        <v>51.021360000000001</v>
      </c>
      <c r="G19" s="245">
        <v>0</v>
      </c>
      <c r="H19" s="245">
        <f t="shared" si="3"/>
        <v>0</v>
      </c>
      <c r="I19" s="245">
        <f t="shared" si="4"/>
        <v>438.63299999999998</v>
      </c>
      <c r="J19" s="245">
        <f t="shared" si="5"/>
        <v>636.01784999999995</v>
      </c>
      <c r="K19" s="246">
        <f t="shared" si="6"/>
        <v>5088142.8</v>
      </c>
      <c r="L19" s="246">
        <v>300000</v>
      </c>
      <c r="M19" s="247">
        <v>200000</v>
      </c>
      <c r="N19" s="248">
        <f t="shared" si="7"/>
        <v>5588142.7999999998</v>
      </c>
      <c r="O19" s="248">
        <f t="shared" si="8"/>
        <v>0</v>
      </c>
      <c r="P19" s="246">
        <f t="shared" si="9"/>
        <v>5588142.7999999998</v>
      </c>
      <c r="Q19" s="246">
        <f t="shared" si="10"/>
        <v>159004.46249999999</v>
      </c>
      <c r="R19" s="246">
        <f t="shared" si="11"/>
        <v>127203.56999999999</v>
      </c>
      <c r="S19" s="246">
        <f t="shared" si="12"/>
        <v>95402.677499999991</v>
      </c>
      <c r="T19" s="246">
        <f t="shared" si="13"/>
        <v>5969753.5100000007</v>
      </c>
      <c r="U19" s="246">
        <v>30000</v>
      </c>
      <c r="V19" s="246">
        <f t="shared" si="14"/>
        <v>670577.13599999994</v>
      </c>
      <c r="W19" s="246">
        <f t="shared" si="15"/>
        <v>34344.963899999995</v>
      </c>
      <c r="X19" s="246">
        <f t="shared" si="16"/>
        <v>391200</v>
      </c>
      <c r="Y19" s="248">
        <v>6000</v>
      </c>
      <c r="Z19" s="248">
        <f t="shared" si="17"/>
        <v>7101875.6099000005</v>
      </c>
      <c r="AA19" s="249" t="s">
        <v>487</v>
      </c>
      <c r="AB19" s="250"/>
      <c r="AC19" s="250"/>
      <c r="AD19" s="250"/>
      <c r="AE19" s="250"/>
      <c r="AF19" s="251">
        <v>246</v>
      </c>
      <c r="AG19" s="252" t="s">
        <v>601</v>
      </c>
      <c r="AH19" s="251" t="s">
        <v>65</v>
      </c>
      <c r="AI19" s="274" t="s">
        <v>45</v>
      </c>
      <c r="AJ19" s="253" t="s">
        <v>462</v>
      </c>
    </row>
    <row r="20" spans="1:36" ht="15.75" customHeight="1" x14ac:dyDescent="0.2">
      <c r="A20" s="244" t="s">
        <v>402</v>
      </c>
      <c r="B20" s="245">
        <f t="shared" si="18"/>
        <v>52.25</v>
      </c>
      <c r="C20" s="245">
        <v>45.6</v>
      </c>
      <c r="D20" s="245">
        <f t="shared" si="1"/>
        <v>490.83839999999998</v>
      </c>
      <c r="E20" s="245">
        <v>6.65</v>
      </c>
      <c r="F20" s="245">
        <f t="shared" si="2"/>
        <v>71.580600000000004</v>
      </c>
      <c r="G20" s="245">
        <v>0</v>
      </c>
      <c r="H20" s="245">
        <f t="shared" si="3"/>
        <v>0</v>
      </c>
      <c r="I20" s="245">
        <f t="shared" si="4"/>
        <v>562.41899999999998</v>
      </c>
      <c r="J20" s="245">
        <f t="shared" si="5"/>
        <v>815.50754999999992</v>
      </c>
      <c r="K20" s="246">
        <f t="shared" si="6"/>
        <v>6524060.3999999994</v>
      </c>
      <c r="L20" s="246">
        <v>300000</v>
      </c>
      <c r="M20" s="247">
        <v>200000</v>
      </c>
      <c r="N20" s="248">
        <f t="shared" si="7"/>
        <v>7024060.3999999994</v>
      </c>
      <c r="O20" s="248">
        <f t="shared" si="8"/>
        <v>0</v>
      </c>
      <c r="P20" s="246">
        <f t="shared" si="9"/>
        <v>7024060.3999999994</v>
      </c>
      <c r="Q20" s="246">
        <f t="shared" si="10"/>
        <v>203876.88749999998</v>
      </c>
      <c r="R20" s="246">
        <f t="shared" si="11"/>
        <v>163101.50999999998</v>
      </c>
      <c r="S20" s="246">
        <f t="shared" si="12"/>
        <v>122326.13249999999</v>
      </c>
      <c r="T20" s="246">
        <f t="shared" si="13"/>
        <v>7513364.9299999997</v>
      </c>
      <c r="U20" s="246">
        <v>30000</v>
      </c>
      <c r="V20" s="246">
        <f t="shared" si="14"/>
        <v>842887.24799999991</v>
      </c>
      <c r="W20" s="246">
        <f t="shared" si="15"/>
        <v>44037.407699999996</v>
      </c>
      <c r="X20" s="246">
        <f t="shared" si="16"/>
        <v>491700</v>
      </c>
      <c r="Y20" s="248">
        <v>6000</v>
      </c>
      <c r="Z20" s="248">
        <f t="shared" si="17"/>
        <v>8927989.5856999997</v>
      </c>
      <c r="AA20" s="249" t="s">
        <v>487</v>
      </c>
      <c r="AB20" s="250"/>
      <c r="AC20" s="250"/>
      <c r="AD20" s="250"/>
      <c r="AE20" s="250"/>
      <c r="AF20" s="251">
        <v>271</v>
      </c>
      <c r="AG20" s="252" t="s">
        <v>602</v>
      </c>
      <c r="AH20" s="251" t="s">
        <v>65</v>
      </c>
      <c r="AI20" s="274" t="s">
        <v>45</v>
      </c>
      <c r="AJ20" s="253" t="s">
        <v>462</v>
      </c>
    </row>
    <row r="21" spans="1:36" ht="15.75" customHeight="1" x14ac:dyDescent="0.2">
      <c r="A21" s="244" t="s">
        <v>408</v>
      </c>
      <c r="B21" s="245">
        <f t="shared" si="18"/>
        <v>50.22</v>
      </c>
      <c r="C21" s="245">
        <v>43.82</v>
      </c>
      <c r="D21" s="245">
        <f t="shared" si="1"/>
        <v>471.67847999999998</v>
      </c>
      <c r="E21" s="245">
        <v>6.4</v>
      </c>
      <c r="F21" s="245">
        <f t="shared" si="2"/>
        <v>68.889600000000002</v>
      </c>
      <c r="G21" s="245">
        <v>0</v>
      </c>
      <c r="H21" s="245">
        <f t="shared" si="3"/>
        <v>0</v>
      </c>
      <c r="I21" s="245">
        <f t="shared" si="4"/>
        <v>540.56808000000001</v>
      </c>
      <c r="J21" s="245">
        <f t="shared" si="5"/>
        <v>783.82371599999999</v>
      </c>
      <c r="K21" s="246">
        <f t="shared" si="6"/>
        <v>6270589.7280000001</v>
      </c>
      <c r="L21" s="246">
        <v>300000</v>
      </c>
      <c r="M21" s="247">
        <v>200000</v>
      </c>
      <c r="N21" s="248">
        <f t="shared" si="7"/>
        <v>6770589.7280000001</v>
      </c>
      <c r="O21" s="248">
        <f t="shared" si="8"/>
        <v>0</v>
      </c>
      <c r="P21" s="246">
        <f t="shared" si="9"/>
        <v>6770589.7280000001</v>
      </c>
      <c r="Q21" s="246">
        <f t="shared" si="10"/>
        <v>195955.929</v>
      </c>
      <c r="R21" s="246">
        <f t="shared" si="11"/>
        <v>156764.7432</v>
      </c>
      <c r="S21" s="246">
        <f t="shared" si="12"/>
        <v>117573.55740000001</v>
      </c>
      <c r="T21" s="246">
        <f t="shared" si="13"/>
        <v>7240883.9576000003</v>
      </c>
      <c r="U21" s="246">
        <v>30000</v>
      </c>
      <c r="V21" s="246">
        <f t="shared" si="14"/>
        <v>812470.76735999994</v>
      </c>
      <c r="W21" s="246">
        <f t="shared" si="15"/>
        <v>42326.480664000002</v>
      </c>
      <c r="X21" s="246">
        <f t="shared" si="16"/>
        <v>474000</v>
      </c>
      <c r="Y21" s="248">
        <v>6000</v>
      </c>
      <c r="Z21" s="248">
        <f t="shared" si="17"/>
        <v>8605681.2056239992</v>
      </c>
      <c r="AA21" s="249" t="s">
        <v>487</v>
      </c>
      <c r="AB21" s="250"/>
      <c r="AC21" s="250"/>
      <c r="AD21" s="250"/>
      <c r="AE21" s="250"/>
      <c r="AF21" s="251">
        <v>272</v>
      </c>
      <c r="AG21" s="252" t="s">
        <v>603</v>
      </c>
      <c r="AH21" s="251" t="s">
        <v>65</v>
      </c>
      <c r="AI21" s="274" t="s">
        <v>45</v>
      </c>
      <c r="AJ21" s="253" t="s">
        <v>462</v>
      </c>
    </row>
    <row r="22" spans="1:36" ht="15.75" customHeight="1" x14ac:dyDescent="0.2">
      <c r="A22" s="244" t="s">
        <v>411</v>
      </c>
      <c r="B22" s="245">
        <f t="shared" si="18"/>
        <v>41.21</v>
      </c>
      <c r="C22" s="245">
        <v>36.39</v>
      </c>
      <c r="D22" s="245">
        <f t="shared" si="1"/>
        <v>391.70195999999999</v>
      </c>
      <c r="E22" s="245">
        <v>4.82</v>
      </c>
      <c r="F22" s="245">
        <f t="shared" si="2"/>
        <v>51.882480000000001</v>
      </c>
      <c r="G22" s="245">
        <v>0</v>
      </c>
      <c r="H22" s="245">
        <f t="shared" si="3"/>
        <v>0</v>
      </c>
      <c r="I22" s="245">
        <f t="shared" si="4"/>
        <v>443.58443999999997</v>
      </c>
      <c r="J22" s="245">
        <f t="shared" si="5"/>
        <v>643.19743799999992</v>
      </c>
      <c r="K22" s="246">
        <f t="shared" si="6"/>
        <v>5145579.5039999997</v>
      </c>
      <c r="L22" s="246">
        <v>300000</v>
      </c>
      <c r="M22" s="247">
        <v>200000</v>
      </c>
      <c r="N22" s="248">
        <f t="shared" si="7"/>
        <v>5645579.5039999997</v>
      </c>
      <c r="O22" s="248">
        <f t="shared" si="8"/>
        <v>0</v>
      </c>
      <c r="P22" s="246">
        <f t="shared" si="9"/>
        <v>5645579.5039999997</v>
      </c>
      <c r="Q22" s="246">
        <f t="shared" si="10"/>
        <v>160799.35949999999</v>
      </c>
      <c r="R22" s="246">
        <f t="shared" si="11"/>
        <v>128639.48759999998</v>
      </c>
      <c r="S22" s="246">
        <f t="shared" si="12"/>
        <v>96479.615699999995</v>
      </c>
      <c r="T22" s="246">
        <f t="shared" si="13"/>
        <v>6031497.9667999996</v>
      </c>
      <c r="U22" s="246">
        <v>30000</v>
      </c>
      <c r="V22" s="246">
        <f t="shared" si="14"/>
        <v>677469.54047999997</v>
      </c>
      <c r="W22" s="246">
        <f t="shared" si="15"/>
        <v>34732.661651999995</v>
      </c>
      <c r="X22" s="246">
        <f t="shared" si="16"/>
        <v>395200</v>
      </c>
      <c r="Y22" s="248">
        <v>6000</v>
      </c>
      <c r="Z22" s="248">
        <f t="shared" si="17"/>
        <v>7174900.1689319992</v>
      </c>
      <c r="AA22" s="249" t="s">
        <v>487</v>
      </c>
      <c r="AB22" s="250"/>
      <c r="AC22" s="250"/>
      <c r="AD22" s="250"/>
      <c r="AE22" s="250"/>
      <c r="AF22" s="251">
        <v>273</v>
      </c>
      <c r="AG22" s="252" t="s">
        <v>604</v>
      </c>
      <c r="AH22" s="251" t="s">
        <v>65</v>
      </c>
      <c r="AI22" s="274" t="s">
        <v>45</v>
      </c>
      <c r="AJ22" s="253" t="s">
        <v>462</v>
      </c>
    </row>
    <row r="23" spans="1:36" ht="15.75" customHeight="1" x14ac:dyDescent="0.2">
      <c r="A23" s="244" t="s">
        <v>413</v>
      </c>
      <c r="B23" s="245">
        <f t="shared" si="18"/>
        <v>41.21</v>
      </c>
      <c r="C23" s="245">
        <v>36.39</v>
      </c>
      <c r="D23" s="245">
        <f t="shared" si="1"/>
        <v>391.70195999999999</v>
      </c>
      <c r="E23" s="245">
        <v>4.82</v>
      </c>
      <c r="F23" s="245">
        <f t="shared" si="2"/>
        <v>51.882480000000001</v>
      </c>
      <c r="G23" s="245">
        <v>0</v>
      </c>
      <c r="H23" s="245">
        <f t="shared" si="3"/>
        <v>0</v>
      </c>
      <c r="I23" s="245">
        <f t="shared" si="4"/>
        <v>443.58443999999997</v>
      </c>
      <c r="J23" s="245">
        <f t="shared" si="5"/>
        <v>643.19743799999992</v>
      </c>
      <c r="K23" s="246">
        <f t="shared" si="6"/>
        <v>5145579.5039999997</v>
      </c>
      <c r="L23" s="246">
        <v>400000</v>
      </c>
      <c r="M23" s="247">
        <v>200000</v>
      </c>
      <c r="N23" s="248">
        <f t="shared" si="7"/>
        <v>5745579.5039999997</v>
      </c>
      <c r="O23" s="248">
        <f t="shared" si="8"/>
        <v>0</v>
      </c>
      <c r="P23" s="246">
        <f t="shared" si="9"/>
        <v>5745579.5039999997</v>
      </c>
      <c r="Q23" s="246">
        <f t="shared" si="10"/>
        <v>160799.35949999999</v>
      </c>
      <c r="R23" s="246">
        <f t="shared" si="11"/>
        <v>128639.48759999998</v>
      </c>
      <c r="S23" s="246">
        <f t="shared" si="12"/>
        <v>96479.615699999995</v>
      </c>
      <c r="T23" s="246">
        <f t="shared" si="13"/>
        <v>6131497.9667999996</v>
      </c>
      <c r="U23" s="246">
        <v>30000</v>
      </c>
      <c r="V23" s="246">
        <f t="shared" si="14"/>
        <v>689469.54047999997</v>
      </c>
      <c r="W23" s="246">
        <f t="shared" si="15"/>
        <v>34732.661651999995</v>
      </c>
      <c r="X23" s="246">
        <f t="shared" si="16"/>
        <v>402200</v>
      </c>
      <c r="Y23" s="248">
        <v>6000</v>
      </c>
      <c r="Z23" s="248">
        <f t="shared" si="17"/>
        <v>7293900.1689319992</v>
      </c>
      <c r="AA23" s="249" t="s">
        <v>487</v>
      </c>
      <c r="AB23" s="250"/>
      <c r="AC23" s="250"/>
      <c r="AD23" s="250"/>
      <c r="AE23" s="250"/>
      <c r="AF23" s="251">
        <v>277</v>
      </c>
      <c r="AG23" s="252" t="s">
        <v>605</v>
      </c>
      <c r="AH23" s="251" t="s">
        <v>40</v>
      </c>
      <c r="AI23" s="274" t="s">
        <v>45</v>
      </c>
      <c r="AJ23" s="253" t="s">
        <v>462</v>
      </c>
    </row>
    <row r="24" spans="1:36" ht="15.75" customHeight="1" x14ac:dyDescent="0.2">
      <c r="A24" s="244" t="s">
        <v>415</v>
      </c>
      <c r="B24" s="245">
        <f t="shared" si="18"/>
        <v>42.36</v>
      </c>
      <c r="C24" s="245">
        <v>37.340000000000003</v>
      </c>
      <c r="D24" s="245">
        <f t="shared" si="1"/>
        <v>401.92776000000003</v>
      </c>
      <c r="E24" s="245">
        <v>5.0199999999999996</v>
      </c>
      <c r="F24" s="245">
        <f t="shared" si="2"/>
        <v>54.035279999999993</v>
      </c>
      <c r="G24" s="245">
        <v>0</v>
      </c>
      <c r="H24" s="245">
        <f t="shared" si="3"/>
        <v>0</v>
      </c>
      <c r="I24" s="245">
        <f t="shared" si="4"/>
        <v>455.96304000000003</v>
      </c>
      <c r="J24" s="245">
        <f t="shared" si="5"/>
        <v>661.14640800000006</v>
      </c>
      <c r="K24" s="246">
        <f t="shared" si="6"/>
        <v>5289171.2640000004</v>
      </c>
      <c r="L24" s="246">
        <v>400000</v>
      </c>
      <c r="M24" s="247">
        <v>200000</v>
      </c>
      <c r="N24" s="248">
        <f t="shared" si="7"/>
        <v>5889171.2640000004</v>
      </c>
      <c r="O24" s="248">
        <f t="shared" si="8"/>
        <v>0</v>
      </c>
      <c r="P24" s="246">
        <f t="shared" si="9"/>
        <v>5889171.2640000004</v>
      </c>
      <c r="Q24" s="246">
        <f t="shared" si="10"/>
        <v>165286.60200000001</v>
      </c>
      <c r="R24" s="246">
        <f t="shared" si="11"/>
        <v>132229.28160000002</v>
      </c>
      <c r="S24" s="246">
        <f t="shared" si="12"/>
        <v>99171.961200000005</v>
      </c>
      <c r="T24" s="246">
        <f t="shared" si="13"/>
        <v>6285859.1088000005</v>
      </c>
      <c r="U24" s="246">
        <v>30000</v>
      </c>
      <c r="V24" s="246">
        <f t="shared" si="14"/>
        <v>706700.55168000003</v>
      </c>
      <c r="W24" s="246">
        <f t="shared" si="15"/>
        <v>35701.906031999999</v>
      </c>
      <c r="X24" s="246">
        <f t="shared" si="16"/>
        <v>412300</v>
      </c>
      <c r="Y24" s="248">
        <v>6000</v>
      </c>
      <c r="Z24" s="248">
        <f t="shared" si="17"/>
        <v>7476561.5665119998</v>
      </c>
      <c r="AA24" s="249" t="s">
        <v>487</v>
      </c>
      <c r="AB24" s="250"/>
      <c r="AC24" s="250"/>
      <c r="AD24" s="250"/>
      <c r="AE24" s="250"/>
      <c r="AF24" s="251">
        <v>278</v>
      </c>
      <c r="AG24" s="252" t="s">
        <v>606</v>
      </c>
      <c r="AH24" s="251" t="s">
        <v>40</v>
      </c>
      <c r="AI24" s="274" t="s">
        <v>45</v>
      </c>
      <c r="AJ24" s="253" t="s">
        <v>462</v>
      </c>
    </row>
    <row r="25" spans="1:36" ht="15.75" customHeight="1" x14ac:dyDescent="0.2">
      <c r="A25" s="257" t="s">
        <v>417</v>
      </c>
      <c r="B25" s="259">
        <f t="shared" si="18"/>
        <v>42.36</v>
      </c>
      <c r="C25" s="258">
        <v>37.340000000000003</v>
      </c>
      <c r="D25" s="259">
        <f t="shared" si="1"/>
        <v>401.92776000000003</v>
      </c>
      <c r="E25" s="258">
        <v>5.0199999999999996</v>
      </c>
      <c r="F25" s="259">
        <f t="shared" si="2"/>
        <v>54.035279999999993</v>
      </c>
      <c r="G25" s="258">
        <v>0</v>
      </c>
      <c r="H25" s="258">
        <f t="shared" si="3"/>
        <v>0</v>
      </c>
      <c r="I25" s="259">
        <f t="shared" si="4"/>
        <v>455.96304000000003</v>
      </c>
      <c r="J25" s="259">
        <f t="shared" si="5"/>
        <v>661.14640800000006</v>
      </c>
      <c r="K25" s="258">
        <f t="shared" si="6"/>
        <v>5289171.2640000004</v>
      </c>
      <c r="L25" s="258">
        <v>400000</v>
      </c>
      <c r="M25" s="260">
        <v>200000</v>
      </c>
      <c r="N25" s="258">
        <f t="shared" si="7"/>
        <v>5889171.2640000004</v>
      </c>
      <c r="O25" s="258">
        <f t="shared" si="8"/>
        <v>0</v>
      </c>
      <c r="P25" s="258">
        <f t="shared" si="9"/>
        <v>5889171.2640000004</v>
      </c>
      <c r="Q25" s="258">
        <f t="shared" si="10"/>
        <v>165286.60200000001</v>
      </c>
      <c r="R25" s="258">
        <f t="shared" si="11"/>
        <v>132229.28160000002</v>
      </c>
      <c r="S25" s="258">
        <f t="shared" si="12"/>
        <v>99171.961200000005</v>
      </c>
      <c r="T25" s="258">
        <f t="shared" si="13"/>
        <v>6285859.1088000005</v>
      </c>
      <c r="U25" s="258">
        <v>30000</v>
      </c>
      <c r="V25" s="258">
        <f t="shared" si="14"/>
        <v>706700.55168000003</v>
      </c>
      <c r="W25" s="258">
        <f t="shared" si="15"/>
        <v>35701.906031999999</v>
      </c>
      <c r="X25" s="258">
        <f t="shared" si="16"/>
        <v>412300</v>
      </c>
      <c r="Y25" s="258">
        <v>6000</v>
      </c>
      <c r="Z25" s="258">
        <f t="shared" si="17"/>
        <v>7476561.5665119998</v>
      </c>
      <c r="AA25" s="258"/>
      <c r="AB25" s="258"/>
      <c r="AC25" s="258"/>
      <c r="AD25" s="258"/>
      <c r="AE25" s="258"/>
      <c r="AF25" s="242">
        <v>279</v>
      </c>
      <c r="AG25" s="243" t="s">
        <v>607</v>
      </c>
      <c r="AH25" s="242" t="s">
        <v>40</v>
      </c>
      <c r="AI25" s="268" t="s">
        <v>45</v>
      </c>
      <c r="AJ25" s="239" t="s">
        <v>608</v>
      </c>
    </row>
    <row r="26" spans="1:36" ht="15.75" customHeight="1" x14ac:dyDescent="0.2">
      <c r="A26" s="257" t="s">
        <v>419</v>
      </c>
      <c r="B26" s="259">
        <f t="shared" si="18"/>
        <v>43.93</v>
      </c>
      <c r="C26" s="258">
        <v>38.630000000000003</v>
      </c>
      <c r="D26" s="259">
        <f t="shared" si="1"/>
        <v>415.81331999999998</v>
      </c>
      <c r="E26" s="258">
        <v>5.3</v>
      </c>
      <c r="F26" s="259">
        <f t="shared" si="2"/>
        <v>57.049199999999992</v>
      </c>
      <c r="G26" s="258">
        <v>0</v>
      </c>
      <c r="H26" s="258">
        <f t="shared" si="3"/>
        <v>0</v>
      </c>
      <c r="I26" s="259">
        <f t="shared" si="4"/>
        <v>472.86251999999996</v>
      </c>
      <c r="J26" s="259">
        <f t="shared" si="5"/>
        <v>685.65065399999992</v>
      </c>
      <c r="K26" s="258">
        <f t="shared" si="6"/>
        <v>5485205.2319999989</v>
      </c>
      <c r="L26" s="258">
        <v>400000</v>
      </c>
      <c r="M26" s="260">
        <v>200000</v>
      </c>
      <c r="N26" s="258">
        <f t="shared" si="7"/>
        <v>6085205.2319999989</v>
      </c>
      <c r="O26" s="258">
        <f t="shared" si="8"/>
        <v>0</v>
      </c>
      <c r="P26" s="258">
        <f t="shared" si="9"/>
        <v>6085205.2319999989</v>
      </c>
      <c r="Q26" s="258">
        <f t="shared" si="10"/>
        <v>171412.66349999997</v>
      </c>
      <c r="R26" s="258">
        <f t="shared" si="11"/>
        <v>137130.13079999998</v>
      </c>
      <c r="S26" s="258">
        <f t="shared" si="12"/>
        <v>102847.59809999999</v>
      </c>
      <c r="T26" s="258">
        <f t="shared" si="13"/>
        <v>6496595.6243999992</v>
      </c>
      <c r="U26" s="258">
        <v>30000</v>
      </c>
      <c r="V26" s="258">
        <f t="shared" si="14"/>
        <v>730224.62783999986</v>
      </c>
      <c r="W26" s="258">
        <f t="shared" si="15"/>
        <v>37025.135315999993</v>
      </c>
      <c r="X26" s="258">
        <f t="shared" si="16"/>
        <v>426000</v>
      </c>
      <c r="Y26" s="258">
        <v>6000</v>
      </c>
      <c r="Z26" s="258">
        <f t="shared" si="17"/>
        <v>7725845.3875559997</v>
      </c>
      <c r="AA26" s="258"/>
      <c r="AB26" s="258"/>
      <c r="AC26" s="258"/>
      <c r="AD26" s="258"/>
      <c r="AE26" s="258"/>
      <c r="AF26" s="242">
        <v>280</v>
      </c>
      <c r="AG26" s="243" t="s">
        <v>609</v>
      </c>
      <c r="AH26" s="242" t="s">
        <v>40</v>
      </c>
      <c r="AI26" s="268" t="s">
        <v>45</v>
      </c>
      <c r="AJ26" s="239" t="s">
        <v>608</v>
      </c>
    </row>
    <row r="27" spans="1:36" ht="15.75" customHeight="1" x14ac:dyDescent="0.2">
      <c r="A27" s="257" t="s">
        <v>421</v>
      </c>
      <c r="B27" s="259">
        <f t="shared" si="18"/>
        <v>68.28</v>
      </c>
      <c r="C27" s="258">
        <v>60.88</v>
      </c>
      <c r="D27" s="259">
        <f t="shared" si="1"/>
        <v>655.31232</v>
      </c>
      <c r="E27" s="258">
        <v>7.4</v>
      </c>
      <c r="F27" s="259">
        <f t="shared" si="2"/>
        <v>79.653599999999997</v>
      </c>
      <c r="G27" s="258">
        <v>0</v>
      </c>
      <c r="H27" s="258">
        <f t="shared" si="3"/>
        <v>0</v>
      </c>
      <c r="I27" s="259">
        <f t="shared" si="4"/>
        <v>734.96591999999998</v>
      </c>
      <c r="J27" s="259">
        <f t="shared" si="5"/>
        <v>1065.7005839999999</v>
      </c>
      <c r="K27" s="258">
        <f t="shared" si="6"/>
        <v>8525604.6720000003</v>
      </c>
      <c r="L27" s="258">
        <v>400000</v>
      </c>
      <c r="M27" s="260">
        <v>200000</v>
      </c>
      <c r="N27" s="258">
        <f t="shared" si="7"/>
        <v>9125604.6720000003</v>
      </c>
      <c r="O27" s="258">
        <f t="shared" si="8"/>
        <v>0</v>
      </c>
      <c r="P27" s="258">
        <f t="shared" si="9"/>
        <v>9125604.6720000003</v>
      </c>
      <c r="Q27" s="258">
        <f t="shared" si="10"/>
        <v>266425.14600000001</v>
      </c>
      <c r="R27" s="258">
        <f t="shared" si="11"/>
        <v>213140.11679999999</v>
      </c>
      <c r="S27" s="258">
        <f t="shared" si="12"/>
        <v>159855.0876</v>
      </c>
      <c r="T27" s="258">
        <f t="shared" si="13"/>
        <v>9765025.0224000011</v>
      </c>
      <c r="U27" s="258">
        <v>30000</v>
      </c>
      <c r="V27" s="258">
        <f t="shared" si="14"/>
        <v>1095072.56064</v>
      </c>
      <c r="W27" s="258">
        <f t="shared" si="15"/>
        <v>57547.831535999998</v>
      </c>
      <c r="X27" s="258">
        <f t="shared" si="16"/>
        <v>638800</v>
      </c>
      <c r="Y27" s="258">
        <v>6000</v>
      </c>
      <c r="Z27" s="258">
        <f t="shared" si="17"/>
        <v>11592445.414576001</v>
      </c>
      <c r="AA27" s="258"/>
      <c r="AB27" s="258"/>
      <c r="AC27" s="258"/>
      <c r="AD27" s="258"/>
      <c r="AE27" s="258"/>
      <c r="AF27" s="242">
        <v>281</v>
      </c>
      <c r="AG27" s="243" t="s">
        <v>610</v>
      </c>
      <c r="AH27" s="242" t="s">
        <v>40</v>
      </c>
      <c r="AI27" s="268" t="s">
        <v>45</v>
      </c>
      <c r="AJ27" s="239" t="s">
        <v>608</v>
      </c>
    </row>
    <row r="28" spans="1:36" ht="15.75" customHeight="1" x14ac:dyDescent="0.2">
      <c r="A28" s="261"/>
      <c r="B28" s="261">
        <f t="shared" ref="B28:J28" si="19">SUM(B4:B27)</f>
        <v>1659.28</v>
      </c>
      <c r="C28" s="261">
        <f t="shared" si="19"/>
        <v>1428.05</v>
      </c>
      <c r="D28" s="261">
        <f t="shared" si="19"/>
        <v>15371.530200000001</v>
      </c>
      <c r="E28" s="261">
        <f t="shared" si="19"/>
        <v>231.23000000000008</v>
      </c>
      <c r="F28" s="261">
        <f t="shared" si="19"/>
        <v>2488.9597200000003</v>
      </c>
      <c r="G28" s="261">
        <f t="shared" si="19"/>
        <v>0</v>
      </c>
      <c r="H28" s="261">
        <f t="shared" si="19"/>
        <v>0</v>
      </c>
      <c r="I28" s="261">
        <f t="shared" si="19"/>
        <v>17860.489919999993</v>
      </c>
      <c r="J28" s="261">
        <f t="shared" si="19"/>
        <v>25897.710383999998</v>
      </c>
      <c r="K28" s="261"/>
      <c r="L28" s="261"/>
      <c r="M28" s="261"/>
      <c r="N28" s="261"/>
      <c r="O28" s="261"/>
      <c r="P28" s="261">
        <f>SUM(P4:P25)</f>
        <v>207170873.16800004</v>
      </c>
      <c r="Q28" s="261"/>
      <c r="R28" s="261"/>
      <c r="S28" s="261"/>
      <c r="T28" s="261"/>
      <c r="U28" s="261"/>
      <c r="V28" s="261"/>
      <c r="W28" s="261"/>
      <c r="X28" s="261"/>
      <c r="Y28" s="261"/>
      <c r="Z28" s="261">
        <f>SUM(Z4:Z25)</f>
        <v>263117696.82964391</v>
      </c>
      <c r="AA28" s="261"/>
      <c r="AB28" s="261"/>
      <c r="AC28" s="261"/>
      <c r="AD28" s="261"/>
      <c r="AE28" s="261"/>
      <c r="AF28" s="261"/>
      <c r="AG28" s="261"/>
      <c r="AH28" s="261"/>
      <c r="AI28" s="265"/>
      <c r="AJ28" s="281"/>
    </row>
    <row r="29" spans="1:36" ht="15.75" customHeight="1" x14ac:dyDescent="0.2">
      <c r="A29" s="166"/>
      <c r="B29" s="218"/>
      <c r="C29" s="218"/>
      <c r="D29" s="41"/>
      <c r="E29" s="41"/>
      <c r="F29" s="41"/>
      <c r="G29" s="41"/>
      <c r="H29" s="41"/>
      <c r="I29" s="41"/>
      <c r="J29" s="166"/>
      <c r="K29" s="41"/>
      <c r="L29" s="41"/>
      <c r="M29" s="41"/>
      <c r="N29" s="166"/>
      <c r="O29" s="166"/>
      <c r="P29" s="41"/>
      <c r="Q29" s="41"/>
      <c r="R29" s="41"/>
      <c r="S29" s="41"/>
      <c r="T29" s="41"/>
      <c r="U29" s="41"/>
      <c r="V29" s="41"/>
      <c r="W29" s="41"/>
      <c r="X29" s="41"/>
      <c r="Y29" s="166"/>
      <c r="Z29" s="166"/>
      <c r="AA29" s="41"/>
      <c r="AB29" s="41"/>
      <c r="AC29" s="41"/>
      <c r="AD29" s="41"/>
      <c r="AE29" s="41"/>
      <c r="AF29" s="41"/>
      <c r="AG29" s="41"/>
      <c r="AH29" s="41"/>
      <c r="AI29" s="41"/>
    </row>
    <row r="30" spans="1:36" ht="15.75" customHeight="1" x14ac:dyDescent="0.2">
      <c r="A30" s="166"/>
      <c r="B30" s="218"/>
      <c r="C30" s="218"/>
      <c r="D30" s="41"/>
      <c r="E30" s="41"/>
      <c r="F30" s="41"/>
      <c r="G30" s="41"/>
      <c r="H30" s="41"/>
      <c r="I30" s="41"/>
      <c r="J30" s="166"/>
      <c r="K30" s="41"/>
      <c r="L30" s="41"/>
      <c r="M30" s="41" t="s">
        <v>0</v>
      </c>
      <c r="N30" s="166"/>
      <c r="O30" s="166"/>
      <c r="P30" s="41"/>
      <c r="Q30" s="41"/>
      <c r="R30" s="41"/>
      <c r="S30" s="41"/>
      <c r="T30" s="41"/>
      <c r="U30" s="41"/>
      <c r="V30" s="41"/>
      <c r="W30" s="41"/>
      <c r="X30" s="41"/>
      <c r="Y30" s="166"/>
      <c r="Z30" s="166"/>
      <c r="AA30" s="41"/>
      <c r="AB30" s="41"/>
      <c r="AC30" s="41"/>
      <c r="AD30" s="41"/>
      <c r="AE30" s="41"/>
      <c r="AF30" s="41"/>
      <c r="AG30" s="41"/>
      <c r="AH30" s="41"/>
      <c r="AI30" s="41"/>
    </row>
    <row r="31" spans="1:36" ht="15.75" customHeight="1" x14ac:dyDescent="0.2">
      <c r="A31" s="166"/>
      <c r="B31" s="218"/>
      <c r="C31" s="218"/>
      <c r="D31" s="41"/>
      <c r="E31" s="41"/>
      <c r="F31" s="41"/>
      <c r="G31" s="41"/>
      <c r="H31" s="41"/>
      <c r="I31" s="41" t="s">
        <v>516</v>
      </c>
      <c r="J31" s="166">
        <f>SUM(J25:J27)+J4</f>
        <v>5147.7645959999991</v>
      </c>
      <c r="K31" s="41"/>
      <c r="L31" s="41"/>
      <c r="M31" s="41"/>
      <c r="N31" s="166"/>
      <c r="O31" s="166"/>
      <c r="P31" s="41"/>
      <c r="Q31" s="41"/>
      <c r="R31" s="41"/>
      <c r="S31" s="41"/>
      <c r="T31" s="41"/>
      <c r="U31" s="41"/>
      <c r="V31" s="41"/>
      <c r="W31" s="41"/>
      <c r="X31" s="41"/>
      <c r="Y31" s="166"/>
      <c r="Z31" s="166"/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6" ht="15.75" customHeight="1" x14ac:dyDescent="0.2">
      <c r="A32" s="166"/>
      <c r="B32" s="218"/>
      <c r="C32" s="218"/>
      <c r="D32" s="41"/>
      <c r="E32" s="41"/>
      <c r="F32" s="41"/>
      <c r="G32" s="41"/>
      <c r="H32" s="41"/>
      <c r="I32" s="41" t="s">
        <v>517</v>
      </c>
      <c r="J32" s="166">
        <f>J28-J31</f>
        <v>20749.945787999997</v>
      </c>
      <c r="K32" s="41"/>
      <c r="L32" s="41"/>
      <c r="M32" s="41"/>
      <c r="N32" s="166"/>
      <c r="O32" s="166"/>
      <c r="P32" s="41"/>
      <c r="Q32" s="41"/>
      <c r="R32" s="41"/>
      <c r="S32" s="41"/>
      <c r="T32" s="41"/>
      <c r="U32" s="41"/>
      <c r="V32" s="41"/>
      <c r="W32" s="41"/>
      <c r="X32" s="41"/>
      <c r="Y32" s="166"/>
      <c r="Z32" s="166"/>
      <c r="AA32" s="41"/>
      <c r="AB32" s="41"/>
      <c r="AC32" s="41"/>
      <c r="AD32" s="41"/>
      <c r="AE32" s="41"/>
      <c r="AF32" s="41"/>
      <c r="AG32" s="41"/>
      <c r="AH32" s="41"/>
      <c r="AI32" s="41"/>
    </row>
    <row r="33" spans="1:35" ht="15.75" customHeight="1" x14ac:dyDescent="0.2">
      <c r="A33" s="166"/>
      <c r="B33" s="218"/>
      <c r="C33" s="218"/>
      <c r="D33" s="41"/>
      <c r="E33" s="41"/>
      <c r="F33" s="41"/>
      <c r="G33" s="41"/>
      <c r="H33" s="41"/>
      <c r="I33" s="41"/>
      <c r="J33" s="166"/>
      <c r="K33" s="41"/>
      <c r="L33" s="41"/>
      <c r="M33" s="41"/>
      <c r="N33" s="166"/>
      <c r="O33" s="166"/>
      <c r="P33" s="41"/>
      <c r="Q33" s="41"/>
      <c r="R33" s="41"/>
      <c r="S33" s="41"/>
      <c r="T33" s="41"/>
      <c r="U33" s="41"/>
      <c r="V33" s="41"/>
      <c r="W33" s="41"/>
      <c r="X33" s="41"/>
      <c r="Y33" s="166"/>
      <c r="Z33" s="166"/>
      <c r="AA33" s="41"/>
      <c r="AB33" s="41"/>
      <c r="AC33" s="41"/>
      <c r="AD33" s="41"/>
      <c r="AE33" s="41"/>
      <c r="AF33" s="41"/>
      <c r="AG33" s="41"/>
      <c r="AH33" s="41"/>
      <c r="AI33" s="41"/>
    </row>
    <row r="34" spans="1:35" ht="15.75" customHeight="1" x14ac:dyDescent="0.2">
      <c r="A34" s="166"/>
      <c r="B34" s="218"/>
      <c r="C34" s="218"/>
      <c r="D34" s="41"/>
      <c r="E34" s="41"/>
      <c r="F34" s="41"/>
      <c r="G34" s="41"/>
      <c r="H34" s="41"/>
      <c r="I34" s="41"/>
      <c r="J34" s="166"/>
      <c r="K34" s="41"/>
      <c r="L34" s="41"/>
      <c r="M34" s="41"/>
      <c r="N34" s="166"/>
      <c r="O34" s="166"/>
      <c r="P34" s="41"/>
      <c r="Q34" s="41"/>
      <c r="R34" s="41"/>
      <c r="S34" s="41"/>
      <c r="T34" s="41"/>
      <c r="U34" s="41"/>
      <c r="V34" s="41"/>
      <c r="W34" s="41"/>
      <c r="X34" s="41"/>
      <c r="Y34" s="166"/>
      <c r="Z34" s="166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ht="15.75" customHeight="1" x14ac:dyDescent="0.2">
      <c r="A35" s="166"/>
      <c r="B35" s="218"/>
      <c r="C35" s="218"/>
      <c r="D35" s="41"/>
      <c r="E35" s="41"/>
      <c r="F35" s="41"/>
      <c r="G35" s="41"/>
      <c r="H35" s="41"/>
      <c r="I35" s="41"/>
      <c r="J35" s="166"/>
      <c r="K35" s="41"/>
      <c r="L35" s="41"/>
      <c r="M35" s="41"/>
      <c r="N35" s="166"/>
      <c r="O35" s="166"/>
      <c r="P35" s="41"/>
      <c r="Q35" s="41"/>
      <c r="R35" s="41"/>
      <c r="S35" s="41"/>
      <c r="T35" s="41"/>
      <c r="U35" s="41"/>
      <c r="V35" s="41"/>
      <c r="W35" s="41"/>
      <c r="X35" s="41"/>
      <c r="Y35" s="166"/>
      <c r="Z35" s="166"/>
      <c r="AA35" s="41"/>
      <c r="AB35" s="41"/>
      <c r="AC35" s="41"/>
      <c r="AD35" s="41"/>
      <c r="AE35" s="41"/>
      <c r="AF35" s="41"/>
      <c r="AG35" s="41"/>
      <c r="AH35" s="41"/>
      <c r="AI35" s="41"/>
    </row>
    <row r="36" spans="1:35" ht="15.75" customHeight="1" x14ac:dyDescent="0.2">
      <c r="A36" s="166"/>
      <c r="B36" s="218"/>
      <c r="C36" s="218"/>
      <c r="D36" s="41"/>
      <c r="E36" s="41"/>
      <c r="F36" s="41"/>
      <c r="G36" s="41"/>
      <c r="H36" s="41"/>
      <c r="I36" s="41"/>
      <c r="J36" s="166"/>
      <c r="K36" s="41"/>
      <c r="L36" s="41"/>
      <c r="M36" s="41"/>
      <c r="N36" s="166"/>
      <c r="O36" s="166"/>
      <c r="P36" s="41"/>
      <c r="Q36" s="41"/>
      <c r="R36" s="41"/>
      <c r="S36" s="41"/>
      <c r="T36" s="41"/>
      <c r="U36" s="41"/>
      <c r="V36" s="41"/>
      <c r="W36" s="41"/>
      <c r="X36" s="41"/>
      <c r="Y36" s="166"/>
      <c r="Z36" s="166"/>
      <c r="AA36" s="41"/>
      <c r="AB36" s="41"/>
      <c r="AC36" s="41"/>
      <c r="AD36" s="41"/>
      <c r="AE36" s="41"/>
      <c r="AF36" s="41"/>
      <c r="AG36" s="41"/>
      <c r="AH36" s="41"/>
      <c r="AI36" s="41"/>
    </row>
    <row r="37" spans="1:35" ht="15.75" customHeight="1" x14ac:dyDescent="0.2">
      <c r="A37" s="166"/>
      <c r="B37" s="218"/>
      <c r="C37" s="218"/>
      <c r="D37" s="41"/>
      <c r="E37" s="41"/>
      <c r="F37" s="41"/>
      <c r="G37" s="41"/>
      <c r="H37" s="41"/>
      <c r="I37" s="41"/>
      <c r="J37" s="166"/>
      <c r="K37" s="41"/>
      <c r="L37" s="41"/>
      <c r="M37" s="41"/>
      <c r="N37" s="166"/>
      <c r="O37" s="166"/>
      <c r="P37" s="41"/>
      <c r="Q37" s="41"/>
      <c r="R37" s="41"/>
      <c r="S37" s="41"/>
      <c r="T37" s="41"/>
      <c r="U37" s="41"/>
      <c r="V37" s="41"/>
      <c r="W37" s="41"/>
      <c r="X37" s="41"/>
      <c r="Y37" s="166"/>
      <c r="Z37" s="166"/>
      <c r="AA37" s="41"/>
      <c r="AB37" s="41"/>
      <c r="AC37" s="41"/>
      <c r="AD37" s="41"/>
      <c r="AE37" s="41"/>
      <c r="AF37" s="41"/>
      <c r="AG37" s="41"/>
      <c r="AH37" s="41"/>
      <c r="AI37" s="41"/>
    </row>
    <row r="38" spans="1:35" ht="15.75" customHeight="1" x14ac:dyDescent="0.2">
      <c r="A38" s="166"/>
      <c r="B38" s="218"/>
      <c r="C38" s="218"/>
      <c r="D38" s="41"/>
      <c r="E38" s="41"/>
      <c r="F38" s="41"/>
      <c r="G38" s="41"/>
      <c r="H38" s="41"/>
      <c r="I38" s="41"/>
      <c r="J38" s="166"/>
      <c r="K38" s="41"/>
      <c r="L38" s="41"/>
      <c r="M38" s="41"/>
      <c r="N38" s="166"/>
      <c r="O38" s="166"/>
      <c r="P38" s="41"/>
      <c r="Q38" s="41"/>
      <c r="R38" s="41"/>
      <c r="S38" s="41"/>
      <c r="T38" s="41"/>
      <c r="U38" s="41"/>
      <c r="V38" s="41"/>
      <c r="W38" s="41"/>
      <c r="X38" s="41"/>
      <c r="Y38" s="166"/>
      <c r="Z38" s="166"/>
      <c r="AA38" s="41"/>
      <c r="AB38" s="41"/>
      <c r="AC38" s="41"/>
      <c r="AD38" s="41"/>
      <c r="AE38" s="41"/>
      <c r="AF38" s="41"/>
      <c r="AG38" s="41"/>
      <c r="AH38" s="41"/>
      <c r="AI38" s="41"/>
    </row>
    <row r="39" spans="1:35" ht="15.75" customHeight="1" x14ac:dyDescent="0.2">
      <c r="A39" s="166"/>
      <c r="B39" s="218"/>
      <c r="C39" s="218"/>
      <c r="D39" s="41"/>
      <c r="E39" s="41"/>
      <c r="F39" s="41"/>
      <c r="G39" s="41"/>
      <c r="H39" s="41"/>
      <c r="I39" s="41"/>
      <c r="J39" s="166"/>
      <c r="K39" s="41"/>
      <c r="L39" s="41"/>
      <c r="M39" s="41"/>
      <c r="N39" s="166"/>
      <c r="O39" s="166"/>
      <c r="P39" s="41"/>
      <c r="Q39" s="41"/>
      <c r="R39" s="41"/>
      <c r="S39" s="41"/>
      <c r="T39" s="41"/>
      <c r="U39" s="41"/>
      <c r="V39" s="41"/>
      <c r="W39" s="41"/>
      <c r="X39" s="41"/>
      <c r="Y39" s="166"/>
      <c r="Z39" s="166"/>
      <c r="AA39" s="41"/>
      <c r="AB39" s="41"/>
      <c r="AC39" s="41"/>
      <c r="AD39" s="41"/>
      <c r="AE39" s="41"/>
      <c r="AF39" s="41"/>
      <c r="AG39" s="41"/>
      <c r="AH39" s="41"/>
      <c r="AI39" s="41"/>
    </row>
    <row r="40" spans="1:35" ht="15.75" customHeight="1" x14ac:dyDescent="0.2">
      <c r="A40" s="166"/>
      <c r="B40" s="218"/>
      <c r="C40" s="218"/>
      <c r="D40" s="41"/>
      <c r="E40" s="41"/>
      <c r="F40" s="41"/>
      <c r="G40" s="41"/>
      <c r="H40" s="41"/>
      <c r="I40" s="41"/>
      <c r="J40" s="166"/>
      <c r="K40" s="41"/>
      <c r="L40" s="41"/>
      <c r="M40" s="41"/>
      <c r="N40" s="166"/>
      <c r="O40" s="166"/>
      <c r="P40" s="41"/>
      <c r="Q40" s="41"/>
      <c r="R40" s="41"/>
      <c r="S40" s="41"/>
      <c r="T40" s="41"/>
      <c r="U40" s="41"/>
      <c r="V40" s="41"/>
      <c r="W40" s="41"/>
      <c r="X40" s="41"/>
      <c r="Y40" s="166"/>
      <c r="Z40" s="166"/>
      <c r="AA40" s="41"/>
      <c r="AB40" s="41"/>
      <c r="AC40" s="41"/>
      <c r="AD40" s="41"/>
      <c r="AE40" s="41"/>
      <c r="AF40" s="41"/>
      <c r="AG40" s="41"/>
      <c r="AH40" s="41"/>
      <c r="AI40" s="41"/>
    </row>
    <row r="41" spans="1:35" ht="15.75" customHeight="1" x14ac:dyDescent="0.2">
      <c r="A41" s="166"/>
      <c r="B41" s="218"/>
      <c r="C41" s="218"/>
      <c r="D41" s="41"/>
      <c r="E41" s="41"/>
      <c r="F41" s="41"/>
      <c r="G41" s="41"/>
      <c r="H41" s="41"/>
      <c r="I41" s="41"/>
      <c r="J41" s="166"/>
      <c r="K41" s="41"/>
      <c r="L41" s="41"/>
      <c r="M41" s="41"/>
      <c r="N41" s="166"/>
      <c r="O41" s="166"/>
      <c r="P41" s="41"/>
      <c r="Q41" s="41"/>
      <c r="R41" s="41"/>
      <c r="S41" s="41"/>
      <c r="T41" s="41"/>
      <c r="U41" s="41"/>
      <c r="V41" s="41"/>
      <c r="W41" s="41"/>
      <c r="X41" s="41"/>
      <c r="Y41" s="166"/>
      <c r="Z41" s="166"/>
      <c r="AA41" s="41"/>
      <c r="AB41" s="41"/>
      <c r="AC41" s="41"/>
      <c r="AD41" s="41"/>
      <c r="AE41" s="41"/>
      <c r="AF41" s="41"/>
      <c r="AG41" s="41"/>
      <c r="AH41" s="41"/>
      <c r="AI41" s="41"/>
    </row>
    <row r="42" spans="1:35" ht="15.75" customHeight="1" x14ac:dyDescent="0.2">
      <c r="A42" s="166"/>
      <c r="B42" s="218"/>
      <c r="C42" s="218"/>
      <c r="D42" s="41"/>
      <c r="E42" s="41"/>
      <c r="F42" s="41"/>
      <c r="G42" s="41"/>
      <c r="H42" s="41"/>
      <c r="I42" s="41"/>
      <c r="J42" s="166"/>
      <c r="K42" s="41"/>
      <c r="L42" s="41"/>
      <c r="M42" s="41"/>
      <c r="N42" s="166"/>
      <c r="O42" s="166"/>
      <c r="P42" s="41"/>
      <c r="Q42" s="41"/>
      <c r="R42" s="41"/>
      <c r="S42" s="41"/>
      <c r="T42" s="41"/>
      <c r="U42" s="41"/>
      <c r="V42" s="41"/>
      <c r="W42" s="41"/>
      <c r="X42" s="41"/>
      <c r="Y42" s="166"/>
      <c r="Z42" s="166"/>
      <c r="AA42" s="41"/>
      <c r="AB42" s="41"/>
      <c r="AC42" s="41"/>
      <c r="AD42" s="41"/>
      <c r="AE42" s="41"/>
      <c r="AF42" s="41"/>
      <c r="AG42" s="41"/>
      <c r="AH42" s="41"/>
      <c r="AI42" s="41"/>
    </row>
    <row r="43" spans="1:35" ht="15.75" customHeight="1" x14ac:dyDescent="0.2">
      <c r="A43" s="166"/>
      <c r="B43" s="218"/>
      <c r="C43" s="218"/>
      <c r="D43" s="41"/>
      <c r="E43" s="41"/>
      <c r="F43" s="41"/>
      <c r="G43" s="41"/>
      <c r="H43" s="41"/>
      <c r="I43" s="41"/>
      <c r="J43" s="166"/>
      <c r="K43" s="41"/>
      <c r="L43" s="41"/>
      <c r="M43" s="41"/>
      <c r="N43" s="166"/>
      <c r="O43" s="166"/>
      <c r="P43" s="41"/>
      <c r="Q43" s="41"/>
      <c r="R43" s="41"/>
      <c r="S43" s="41"/>
      <c r="T43" s="41"/>
      <c r="U43" s="41"/>
      <c r="V43" s="41"/>
      <c r="W43" s="41"/>
      <c r="X43" s="41"/>
      <c r="Y43" s="166"/>
      <c r="Z43" s="166"/>
      <c r="AA43" s="41"/>
      <c r="AB43" s="41"/>
      <c r="AC43" s="41"/>
      <c r="AD43" s="41"/>
      <c r="AE43" s="41"/>
      <c r="AF43" s="41"/>
      <c r="AG43" s="41"/>
      <c r="AH43" s="41"/>
      <c r="AI43" s="41"/>
    </row>
    <row r="44" spans="1:35" ht="15.75" customHeight="1" x14ac:dyDescent="0.2">
      <c r="A44" s="166"/>
      <c r="B44" s="218"/>
      <c r="C44" s="218"/>
      <c r="D44" s="41"/>
      <c r="E44" s="41"/>
      <c r="F44" s="41"/>
      <c r="G44" s="41"/>
      <c r="H44" s="41"/>
      <c r="I44" s="41"/>
      <c r="J44" s="166"/>
      <c r="K44" s="41"/>
      <c r="L44" s="41"/>
      <c r="M44" s="41"/>
      <c r="N44" s="166"/>
      <c r="O44" s="166"/>
      <c r="P44" s="41"/>
      <c r="Q44" s="41"/>
      <c r="R44" s="41"/>
      <c r="S44" s="41"/>
      <c r="T44" s="41"/>
      <c r="U44" s="41"/>
      <c r="V44" s="41"/>
      <c r="W44" s="41"/>
      <c r="X44" s="41"/>
      <c r="Y44" s="166"/>
      <c r="Z44" s="166"/>
      <c r="AA44" s="41"/>
      <c r="AB44" s="41"/>
      <c r="AC44" s="41"/>
      <c r="AD44" s="41"/>
      <c r="AE44" s="41"/>
      <c r="AF44" s="41"/>
      <c r="AG44" s="41"/>
      <c r="AH44" s="41"/>
      <c r="AI44" s="41"/>
    </row>
    <row r="45" spans="1:35" ht="15.75" customHeight="1" x14ac:dyDescent="0.2">
      <c r="A45" s="166"/>
      <c r="B45" s="218"/>
      <c r="C45" s="218"/>
      <c r="D45" s="41"/>
      <c r="E45" s="41"/>
      <c r="F45" s="41"/>
      <c r="G45" s="41"/>
      <c r="H45" s="41"/>
      <c r="I45" s="41"/>
      <c r="J45" s="166"/>
      <c r="K45" s="41"/>
      <c r="L45" s="41"/>
      <c r="M45" s="41"/>
      <c r="N45" s="166"/>
      <c r="O45" s="166"/>
      <c r="P45" s="41"/>
      <c r="Q45" s="41"/>
      <c r="R45" s="41"/>
      <c r="S45" s="41"/>
      <c r="T45" s="41"/>
      <c r="U45" s="41"/>
      <c r="V45" s="41"/>
      <c r="W45" s="41"/>
      <c r="X45" s="41"/>
      <c r="Y45" s="166"/>
      <c r="Z45" s="166"/>
      <c r="AA45" s="41"/>
      <c r="AB45" s="41"/>
      <c r="AC45" s="41"/>
      <c r="AD45" s="41"/>
      <c r="AE45" s="41"/>
      <c r="AF45" s="41"/>
      <c r="AG45" s="41"/>
      <c r="AH45" s="41"/>
      <c r="AI45" s="41"/>
    </row>
    <row r="46" spans="1:35" ht="15.75" customHeight="1" x14ac:dyDescent="0.2">
      <c r="A46" s="166"/>
      <c r="B46" s="218"/>
      <c r="C46" s="218"/>
      <c r="D46" s="41"/>
      <c r="E46" s="41"/>
      <c r="F46" s="41"/>
      <c r="G46" s="41"/>
      <c r="H46" s="41"/>
      <c r="I46" s="41"/>
      <c r="J46" s="166"/>
      <c r="K46" s="41"/>
      <c r="L46" s="41"/>
      <c r="M46" s="41"/>
      <c r="N46" s="166"/>
      <c r="O46" s="166"/>
      <c r="P46" s="41"/>
      <c r="Q46" s="41"/>
      <c r="R46" s="41"/>
      <c r="S46" s="41"/>
      <c r="T46" s="41"/>
      <c r="U46" s="41"/>
      <c r="V46" s="41"/>
      <c r="W46" s="41"/>
      <c r="X46" s="41"/>
      <c r="Y46" s="166"/>
      <c r="Z46" s="166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5.75" customHeight="1" x14ac:dyDescent="0.2">
      <c r="A47" s="166"/>
      <c r="B47" s="218"/>
      <c r="C47" s="218"/>
      <c r="D47" s="41"/>
      <c r="E47" s="41"/>
      <c r="F47" s="41"/>
      <c r="G47" s="41"/>
      <c r="H47" s="41"/>
      <c r="I47" s="41"/>
      <c r="J47" s="166"/>
      <c r="K47" s="41"/>
      <c r="L47" s="41"/>
      <c r="M47" s="41"/>
      <c r="N47" s="166"/>
      <c r="O47" s="166"/>
      <c r="P47" s="41"/>
      <c r="Q47" s="41"/>
      <c r="R47" s="41"/>
      <c r="S47" s="41"/>
      <c r="T47" s="41"/>
      <c r="U47" s="41"/>
      <c r="V47" s="41"/>
      <c r="W47" s="41"/>
      <c r="X47" s="41"/>
      <c r="Y47" s="166"/>
      <c r="Z47" s="166"/>
      <c r="AA47" s="41"/>
      <c r="AB47" s="41"/>
      <c r="AC47" s="41"/>
      <c r="AD47" s="41"/>
      <c r="AE47" s="41"/>
      <c r="AF47" s="41"/>
      <c r="AG47" s="41"/>
      <c r="AH47" s="41"/>
      <c r="AI47" s="41"/>
    </row>
    <row r="48" spans="1:35" ht="15.75" customHeight="1" x14ac:dyDescent="0.2">
      <c r="A48" s="166"/>
      <c r="B48" s="218"/>
      <c r="C48" s="218"/>
      <c r="D48" s="41"/>
      <c r="E48" s="41"/>
      <c r="F48" s="41"/>
      <c r="G48" s="41"/>
      <c r="H48" s="41"/>
      <c r="I48" s="41"/>
      <c r="J48" s="166"/>
      <c r="K48" s="41"/>
      <c r="L48" s="41"/>
      <c r="M48" s="41"/>
      <c r="N48" s="166"/>
      <c r="O48" s="166"/>
      <c r="P48" s="41"/>
      <c r="Q48" s="41"/>
      <c r="R48" s="41"/>
      <c r="S48" s="41"/>
      <c r="T48" s="41"/>
      <c r="U48" s="41"/>
      <c r="V48" s="41"/>
      <c r="W48" s="41"/>
      <c r="X48" s="41"/>
      <c r="Y48" s="166"/>
      <c r="Z48" s="166"/>
      <c r="AA48" s="41"/>
      <c r="AB48" s="41"/>
      <c r="AC48" s="41"/>
      <c r="AD48" s="41"/>
      <c r="AE48" s="41"/>
      <c r="AF48" s="41"/>
      <c r="AG48" s="41"/>
      <c r="AH48" s="41"/>
      <c r="AI48" s="41"/>
    </row>
    <row r="49" spans="1:35" ht="15.75" customHeight="1" x14ac:dyDescent="0.2">
      <c r="A49" s="166"/>
      <c r="B49" s="218"/>
      <c r="C49" s="218"/>
      <c r="D49" s="41"/>
      <c r="E49" s="41"/>
      <c r="F49" s="41"/>
      <c r="G49" s="41"/>
      <c r="H49" s="41"/>
      <c r="I49" s="41"/>
      <c r="J49" s="166"/>
      <c r="K49" s="41"/>
      <c r="L49" s="41"/>
      <c r="M49" s="41"/>
      <c r="N49" s="166"/>
      <c r="O49" s="166"/>
      <c r="P49" s="41"/>
      <c r="Q49" s="41"/>
      <c r="R49" s="41"/>
      <c r="S49" s="41"/>
      <c r="T49" s="41"/>
      <c r="U49" s="41"/>
      <c r="V49" s="41"/>
      <c r="W49" s="41"/>
      <c r="X49" s="41"/>
      <c r="Y49" s="166"/>
      <c r="Z49" s="166"/>
      <c r="AA49" s="41"/>
      <c r="AB49" s="41"/>
      <c r="AC49" s="41"/>
      <c r="AD49" s="41"/>
      <c r="AE49" s="41"/>
      <c r="AF49" s="41"/>
      <c r="AG49" s="41"/>
      <c r="AH49" s="41"/>
      <c r="AI49" s="41"/>
    </row>
    <row r="50" spans="1:35" ht="15.75" customHeight="1" x14ac:dyDescent="0.2">
      <c r="A50" s="166"/>
      <c r="B50" s="218"/>
      <c r="C50" s="218"/>
      <c r="D50" s="41"/>
      <c r="E50" s="41"/>
      <c r="F50" s="41"/>
      <c r="G50" s="41"/>
      <c r="H50" s="41"/>
      <c r="I50" s="41"/>
      <c r="J50" s="166"/>
      <c r="K50" s="41"/>
      <c r="L50" s="41"/>
      <c r="M50" s="41"/>
      <c r="N50" s="166"/>
      <c r="O50" s="166"/>
      <c r="P50" s="41"/>
      <c r="Q50" s="41"/>
      <c r="R50" s="41"/>
      <c r="S50" s="41"/>
      <c r="T50" s="41"/>
      <c r="U50" s="41"/>
      <c r="V50" s="41"/>
      <c r="W50" s="41"/>
      <c r="X50" s="41"/>
      <c r="Y50" s="166"/>
      <c r="Z50" s="166"/>
      <c r="AA50" s="41"/>
      <c r="AB50" s="41"/>
      <c r="AC50" s="41"/>
      <c r="AD50" s="41"/>
      <c r="AE50" s="41"/>
      <c r="AF50" s="41"/>
      <c r="AG50" s="41"/>
      <c r="AH50" s="41"/>
      <c r="AI50" s="41"/>
    </row>
    <row r="51" spans="1:35" ht="15.75" customHeight="1" x14ac:dyDescent="0.2">
      <c r="A51" s="166"/>
      <c r="B51" s="218"/>
      <c r="C51" s="218"/>
      <c r="D51" s="41"/>
      <c r="E51" s="41"/>
      <c r="F51" s="41"/>
      <c r="G51" s="41"/>
      <c r="H51" s="41"/>
      <c r="I51" s="41"/>
      <c r="J51" s="166"/>
      <c r="K51" s="41"/>
      <c r="L51" s="41"/>
      <c r="M51" s="41"/>
      <c r="N51" s="166"/>
      <c r="O51" s="166"/>
      <c r="P51" s="41"/>
      <c r="Q51" s="41"/>
      <c r="R51" s="41"/>
      <c r="S51" s="41"/>
      <c r="T51" s="41"/>
      <c r="U51" s="41"/>
      <c r="V51" s="41"/>
      <c r="W51" s="41"/>
      <c r="X51" s="41"/>
      <c r="Y51" s="166"/>
      <c r="Z51" s="166"/>
      <c r="AA51" s="41"/>
      <c r="AB51" s="41"/>
      <c r="AC51" s="41"/>
      <c r="AD51" s="41"/>
      <c r="AE51" s="41"/>
      <c r="AF51" s="41"/>
      <c r="AG51" s="41"/>
      <c r="AH51" s="41"/>
      <c r="AI51" s="41"/>
    </row>
    <row r="52" spans="1:35" ht="15.75" customHeight="1" x14ac:dyDescent="0.2">
      <c r="A52" s="166"/>
      <c r="B52" s="218"/>
      <c r="C52" s="218"/>
      <c r="D52" s="41"/>
      <c r="E52" s="41"/>
      <c r="F52" s="41"/>
      <c r="G52" s="41"/>
      <c r="H52" s="41"/>
      <c r="I52" s="41"/>
      <c r="J52" s="166"/>
      <c r="K52" s="41"/>
      <c r="L52" s="41"/>
      <c r="M52" s="41"/>
      <c r="N52" s="166"/>
      <c r="O52" s="166"/>
      <c r="P52" s="41"/>
      <c r="Q52" s="41"/>
      <c r="R52" s="41"/>
      <c r="S52" s="41"/>
      <c r="T52" s="41"/>
      <c r="U52" s="41"/>
      <c r="V52" s="41"/>
      <c r="W52" s="41"/>
      <c r="X52" s="41"/>
      <c r="Y52" s="166"/>
      <c r="Z52" s="166"/>
      <c r="AA52" s="41"/>
      <c r="AB52" s="41"/>
      <c r="AC52" s="41"/>
      <c r="AD52" s="41"/>
      <c r="AE52" s="41"/>
      <c r="AF52" s="41"/>
      <c r="AG52" s="41"/>
      <c r="AH52" s="41"/>
      <c r="AI52" s="41"/>
    </row>
    <row r="53" spans="1:35" ht="15.75" customHeight="1" x14ac:dyDescent="0.2">
      <c r="A53" s="166"/>
      <c r="B53" s="218"/>
      <c r="C53" s="218"/>
      <c r="D53" s="41"/>
      <c r="E53" s="41"/>
      <c r="F53" s="41"/>
      <c r="G53" s="41"/>
      <c r="H53" s="41"/>
      <c r="I53" s="41"/>
      <c r="J53" s="166"/>
      <c r="K53" s="41"/>
      <c r="L53" s="41"/>
      <c r="M53" s="41"/>
      <c r="N53" s="166"/>
      <c r="O53" s="166"/>
      <c r="P53" s="41"/>
      <c r="Q53" s="41"/>
      <c r="R53" s="41"/>
      <c r="S53" s="41"/>
      <c r="T53" s="41"/>
      <c r="U53" s="41"/>
      <c r="V53" s="41"/>
      <c r="W53" s="41"/>
      <c r="X53" s="41"/>
      <c r="Y53" s="166"/>
      <c r="Z53" s="166"/>
      <c r="AA53" s="41"/>
      <c r="AB53" s="41"/>
      <c r="AC53" s="41"/>
      <c r="AD53" s="41"/>
      <c r="AE53" s="41"/>
      <c r="AF53" s="41"/>
      <c r="AG53" s="41"/>
      <c r="AH53" s="41"/>
      <c r="AI53" s="41"/>
    </row>
    <row r="54" spans="1:35" ht="15.75" customHeight="1" x14ac:dyDescent="0.2">
      <c r="A54" s="166"/>
      <c r="B54" s="218"/>
      <c r="C54" s="218"/>
      <c r="D54" s="41"/>
      <c r="E54" s="41"/>
      <c r="F54" s="41"/>
      <c r="G54" s="41"/>
      <c r="H54" s="41"/>
      <c r="I54" s="41"/>
      <c r="J54" s="166"/>
      <c r="K54" s="41"/>
      <c r="L54" s="41"/>
      <c r="M54" s="41"/>
      <c r="N54" s="166"/>
      <c r="O54" s="166"/>
      <c r="P54" s="41"/>
      <c r="Q54" s="41"/>
      <c r="R54" s="41"/>
      <c r="S54" s="41"/>
      <c r="T54" s="41"/>
      <c r="U54" s="41"/>
      <c r="V54" s="41"/>
      <c r="W54" s="41"/>
      <c r="X54" s="41"/>
      <c r="Y54" s="166"/>
      <c r="Z54" s="166"/>
      <c r="AA54" s="41"/>
      <c r="AB54" s="41"/>
      <c r="AC54" s="41"/>
      <c r="AD54" s="41"/>
      <c r="AE54" s="41"/>
      <c r="AF54" s="41"/>
      <c r="AG54" s="41"/>
      <c r="AH54" s="41"/>
      <c r="AI54" s="41"/>
    </row>
    <row r="55" spans="1:35" ht="15.75" customHeight="1" x14ac:dyDescent="0.2">
      <c r="A55" s="166"/>
      <c r="B55" s="218"/>
      <c r="C55" s="218"/>
      <c r="D55" s="41"/>
      <c r="E55" s="41"/>
      <c r="F55" s="41"/>
      <c r="G55" s="41"/>
      <c r="H55" s="41"/>
      <c r="I55" s="41"/>
      <c r="J55" s="166"/>
      <c r="K55" s="41"/>
      <c r="L55" s="41"/>
      <c r="M55" s="41"/>
      <c r="N55" s="166"/>
      <c r="O55" s="166"/>
      <c r="P55" s="41"/>
      <c r="Q55" s="41"/>
      <c r="R55" s="41"/>
      <c r="S55" s="41"/>
      <c r="T55" s="41"/>
      <c r="U55" s="41"/>
      <c r="V55" s="41"/>
      <c r="W55" s="41"/>
      <c r="X55" s="41"/>
      <c r="Y55" s="166"/>
      <c r="Z55" s="166"/>
      <c r="AA55" s="41"/>
      <c r="AB55" s="41"/>
      <c r="AC55" s="41"/>
      <c r="AD55" s="41"/>
      <c r="AE55" s="41"/>
      <c r="AF55" s="41"/>
      <c r="AG55" s="41"/>
      <c r="AH55" s="41"/>
      <c r="AI55" s="41"/>
    </row>
    <row r="56" spans="1:35" ht="15.75" customHeight="1" x14ac:dyDescent="0.2">
      <c r="A56" s="166"/>
      <c r="B56" s="218"/>
      <c r="C56" s="218"/>
      <c r="D56" s="41"/>
      <c r="E56" s="41"/>
      <c r="F56" s="41"/>
      <c r="G56" s="41"/>
      <c r="H56" s="41"/>
      <c r="I56" s="41"/>
      <c r="J56" s="166"/>
      <c r="K56" s="41"/>
      <c r="L56" s="41"/>
      <c r="M56" s="41"/>
      <c r="N56" s="166"/>
      <c r="O56" s="166"/>
      <c r="P56" s="41"/>
      <c r="Q56" s="41"/>
      <c r="R56" s="41"/>
      <c r="S56" s="41"/>
      <c r="T56" s="41"/>
      <c r="U56" s="41"/>
      <c r="V56" s="41"/>
      <c r="W56" s="41"/>
      <c r="X56" s="41"/>
      <c r="Y56" s="166"/>
      <c r="Z56" s="166"/>
      <c r="AA56" s="41"/>
      <c r="AB56" s="41"/>
      <c r="AC56" s="41"/>
      <c r="AD56" s="41"/>
      <c r="AE56" s="41"/>
      <c r="AF56" s="41"/>
      <c r="AG56" s="41"/>
      <c r="AH56" s="41"/>
      <c r="AI56" s="41"/>
    </row>
    <row r="57" spans="1:35" ht="15.75" customHeight="1" x14ac:dyDescent="0.2">
      <c r="A57" s="166"/>
      <c r="B57" s="218"/>
      <c r="C57" s="218"/>
      <c r="D57" s="41"/>
      <c r="E57" s="41"/>
      <c r="F57" s="41"/>
      <c r="G57" s="41"/>
      <c r="H57" s="41"/>
      <c r="I57" s="41"/>
      <c r="J57" s="166"/>
      <c r="K57" s="41"/>
      <c r="L57" s="41"/>
      <c r="M57" s="41"/>
      <c r="N57" s="166"/>
      <c r="O57" s="166"/>
      <c r="P57" s="41"/>
      <c r="Q57" s="41"/>
      <c r="R57" s="41"/>
      <c r="S57" s="41"/>
      <c r="T57" s="41"/>
      <c r="U57" s="41"/>
      <c r="V57" s="41"/>
      <c r="W57" s="41"/>
      <c r="X57" s="41"/>
      <c r="Y57" s="166"/>
      <c r="Z57" s="166"/>
      <c r="AA57" s="41"/>
      <c r="AB57" s="41"/>
      <c r="AC57" s="41"/>
      <c r="AD57" s="41"/>
      <c r="AE57" s="41"/>
      <c r="AF57" s="41"/>
      <c r="AG57" s="41"/>
      <c r="AH57" s="41"/>
      <c r="AI57" s="41"/>
    </row>
    <row r="58" spans="1:35" ht="15.75" customHeight="1" x14ac:dyDescent="0.2">
      <c r="A58" s="166"/>
      <c r="B58" s="218"/>
      <c r="C58" s="218"/>
      <c r="D58" s="41"/>
      <c r="E58" s="41"/>
      <c r="F58" s="41"/>
      <c r="G58" s="41"/>
      <c r="H58" s="41"/>
      <c r="I58" s="41"/>
      <c r="J58" s="166"/>
      <c r="K58" s="41"/>
      <c r="L58" s="41"/>
      <c r="M58" s="41"/>
      <c r="N58" s="166"/>
      <c r="O58" s="166"/>
      <c r="P58" s="41"/>
      <c r="Q58" s="41"/>
      <c r="R58" s="41"/>
      <c r="S58" s="41"/>
      <c r="T58" s="41"/>
      <c r="U58" s="41"/>
      <c r="V58" s="41"/>
      <c r="W58" s="41"/>
      <c r="X58" s="41"/>
      <c r="Y58" s="166"/>
      <c r="Z58" s="166"/>
      <c r="AA58" s="41"/>
      <c r="AB58" s="41"/>
      <c r="AC58" s="41"/>
      <c r="AD58" s="41"/>
      <c r="AE58" s="41"/>
      <c r="AF58" s="41"/>
      <c r="AG58" s="41"/>
      <c r="AH58" s="41"/>
      <c r="AI58" s="41"/>
    </row>
    <row r="59" spans="1:35" ht="15.75" customHeight="1" x14ac:dyDescent="0.2">
      <c r="A59" s="166"/>
      <c r="B59" s="218"/>
      <c r="C59" s="218"/>
      <c r="D59" s="41"/>
      <c r="E59" s="41"/>
      <c r="F59" s="41"/>
      <c r="G59" s="41"/>
      <c r="H59" s="41"/>
      <c r="I59" s="41"/>
      <c r="J59" s="166"/>
      <c r="K59" s="41"/>
      <c r="L59" s="41"/>
      <c r="M59" s="41"/>
      <c r="N59" s="166"/>
      <c r="O59" s="166"/>
      <c r="P59" s="41"/>
      <c r="Q59" s="41"/>
      <c r="R59" s="41"/>
      <c r="S59" s="41"/>
      <c r="T59" s="41"/>
      <c r="U59" s="41"/>
      <c r="V59" s="41"/>
      <c r="W59" s="41"/>
      <c r="X59" s="41"/>
      <c r="Y59" s="166"/>
      <c r="Z59" s="166"/>
      <c r="AA59" s="41"/>
      <c r="AB59" s="41"/>
      <c r="AC59" s="41"/>
      <c r="AD59" s="41"/>
      <c r="AE59" s="41"/>
      <c r="AF59" s="41"/>
      <c r="AG59" s="41"/>
      <c r="AH59" s="41"/>
      <c r="AI59" s="41"/>
    </row>
    <row r="60" spans="1:35" ht="15.75" customHeight="1" x14ac:dyDescent="0.2">
      <c r="A60" s="166"/>
      <c r="B60" s="218"/>
      <c r="C60" s="218"/>
      <c r="D60" s="41"/>
      <c r="E60" s="41"/>
      <c r="F60" s="41"/>
      <c r="G60" s="41"/>
      <c r="H60" s="41"/>
      <c r="I60" s="41"/>
      <c r="J60" s="166"/>
      <c r="K60" s="41"/>
      <c r="L60" s="41"/>
      <c r="M60" s="41"/>
      <c r="N60" s="166"/>
      <c r="O60" s="166"/>
      <c r="P60" s="41"/>
      <c r="Q60" s="41"/>
      <c r="R60" s="41"/>
      <c r="S60" s="41"/>
      <c r="T60" s="41"/>
      <c r="U60" s="41"/>
      <c r="V60" s="41"/>
      <c r="W60" s="41"/>
      <c r="X60" s="41"/>
      <c r="Y60" s="166"/>
      <c r="Z60" s="166"/>
      <c r="AA60" s="41"/>
      <c r="AB60" s="41"/>
      <c r="AC60" s="41"/>
      <c r="AD60" s="41"/>
      <c r="AE60" s="41"/>
      <c r="AF60" s="41"/>
      <c r="AG60" s="41"/>
      <c r="AH60" s="41"/>
      <c r="AI60" s="41"/>
    </row>
    <row r="61" spans="1:35" ht="15.75" customHeight="1" x14ac:dyDescent="0.2">
      <c r="A61" s="166"/>
      <c r="B61" s="218"/>
      <c r="C61" s="218"/>
      <c r="D61" s="41"/>
      <c r="E61" s="41"/>
      <c r="F61" s="41"/>
      <c r="G61" s="41"/>
      <c r="H61" s="41"/>
      <c r="I61" s="41"/>
      <c r="J61" s="166"/>
      <c r="K61" s="41"/>
      <c r="L61" s="41"/>
      <c r="M61" s="41"/>
      <c r="N61" s="166"/>
      <c r="O61" s="166"/>
      <c r="P61" s="41"/>
      <c r="Q61" s="41"/>
      <c r="R61" s="41"/>
      <c r="S61" s="41"/>
      <c r="T61" s="41"/>
      <c r="U61" s="41"/>
      <c r="V61" s="41"/>
      <c r="W61" s="41"/>
      <c r="X61" s="41"/>
      <c r="Y61" s="166"/>
      <c r="Z61" s="166"/>
      <c r="AA61" s="41"/>
      <c r="AB61" s="41"/>
      <c r="AC61" s="41"/>
      <c r="AD61" s="41"/>
      <c r="AE61" s="41"/>
      <c r="AF61" s="41"/>
      <c r="AG61" s="41"/>
      <c r="AH61" s="41"/>
      <c r="AI61" s="41"/>
    </row>
    <row r="62" spans="1:35" ht="15.75" customHeight="1" x14ac:dyDescent="0.2">
      <c r="A62" s="166"/>
      <c r="B62" s="218"/>
      <c r="C62" s="218"/>
      <c r="D62" s="41"/>
      <c r="E62" s="41"/>
      <c r="F62" s="41"/>
      <c r="G62" s="41"/>
      <c r="H62" s="41"/>
      <c r="I62" s="41"/>
      <c r="J62" s="166"/>
      <c r="K62" s="41"/>
      <c r="L62" s="41"/>
      <c r="M62" s="41"/>
      <c r="N62" s="166"/>
      <c r="O62" s="166"/>
      <c r="P62" s="41"/>
      <c r="Q62" s="41"/>
      <c r="R62" s="41"/>
      <c r="S62" s="41"/>
      <c r="T62" s="41"/>
      <c r="U62" s="41"/>
      <c r="V62" s="41"/>
      <c r="W62" s="41"/>
      <c r="X62" s="41"/>
      <c r="Y62" s="166"/>
      <c r="Z62" s="166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5.75" customHeight="1" x14ac:dyDescent="0.2">
      <c r="A63" s="166"/>
      <c r="B63" s="218"/>
      <c r="C63" s="218"/>
      <c r="D63" s="41"/>
      <c r="E63" s="41"/>
      <c r="F63" s="41"/>
      <c r="G63" s="41"/>
      <c r="H63" s="41"/>
      <c r="I63" s="41"/>
      <c r="J63" s="166"/>
      <c r="K63" s="41"/>
      <c r="L63" s="41"/>
      <c r="M63" s="41"/>
      <c r="N63" s="166"/>
      <c r="O63" s="166"/>
      <c r="P63" s="41"/>
      <c r="Q63" s="41"/>
      <c r="R63" s="41"/>
      <c r="S63" s="41"/>
      <c r="T63" s="41"/>
      <c r="U63" s="41"/>
      <c r="V63" s="41"/>
      <c r="W63" s="41"/>
      <c r="X63" s="41"/>
      <c r="Y63" s="166"/>
      <c r="Z63" s="166"/>
      <c r="AA63" s="41"/>
      <c r="AB63" s="41"/>
      <c r="AC63" s="41"/>
      <c r="AD63" s="41"/>
      <c r="AE63" s="41"/>
      <c r="AF63" s="41"/>
      <c r="AG63" s="41"/>
      <c r="AH63" s="41"/>
      <c r="AI63" s="41"/>
    </row>
    <row r="64" spans="1:35" ht="15.75" customHeight="1" x14ac:dyDescent="0.2">
      <c r="A64" s="166"/>
      <c r="B64" s="218"/>
      <c r="C64" s="218"/>
      <c r="D64" s="41"/>
      <c r="E64" s="41"/>
      <c r="F64" s="41"/>
      <c r="G64" s="41"/>
      <c r="H64" s="41"/>
      <c r="I64" s="41"/>
      <c r="J64" s="166"/>
      <c r="K64" s="41"/>
      <c r="L64" s="41"/>
      <c r="M64" s="41"/>
      <c r="N64" s="166"/>
      <c r="O64" s="166"/>
      <c r="P64" s="41"/>
      <c r="Q64" s="41"/>
      <c r="R64" s="41"/>
      <c r="S64" s="41"/>
      <c r="T64" s="41"/>
      <c r="U64" s="41"/>
      <c r="V64" s="41"/>
      <c r="W64" s="41"/>
      <c r="X64" s="41"/>
      <c r="Y64" s="166"/>
      <c r="Z64" s="166"/>
      <c r="AA64" s="41"/>
      <c r="AB64" s="41"/>
      <c r="AC64" s="41"/>
      <c r="AD64" s="41"/>
      <c r="AE64" s="41"/>
      <c r="AF64" s="41"/>
      <c r="AG64" s="41"/>
      <c r="AH64" s="41"/>
      <c r="AI64" s="41"/>
    </row>
    <row r="65" spans="1:35" ht="15.75" customHeight="1" x14ac:dyDescent="0.2">
      <c r="A65" s="166"/>
      <c r="B65" s="218"/>
      <c r="C65" s="218"/>
      <c r="D65" s="41"/>
      <c r="E65" s="41"/>
      <c r="F65" s="41"/>
      <c r="G65" s="41"/>
      <c r="H65" s="41"/>
      <c r="I65" s="41"/>
      <c r="J65" s="166"/>
      <c r="K65" s="41"/>
      <c r="L65" s="41"/>
      <c r="M65" s="41"/>
      <c r="N65" s="166"/>
      <c r="O65" s="166"/>
      <c r="P65" s="41"/>
      <c r="Q65" s="41"/>
      <c r="R65" s="41"/>
      <c r="S65" s="41"/>
      <c r="T65" s="41"/>
      <c r="U65" s="41"/>
      <c r="V65" s="41"/>
      <c r="W65" s="41"/>
      <c r="X65" s="41"/>
      <c r="Y65" s="166"/>
      <c r="Z65" s="166"/>
      <c r="AA65" s="41"/>
      <c r="AB65" s="41"/>
      <c r="AC65" s="41"/>
      <c r="AD65" s="41"/>
      <c r="AE65" s="41"/>
      <c r="AF65" s="41"/>
      <c r="AG65" s="41"/>
      <c r="AH65" s="41"/>
      <c r="AI65" s="41"/>
    </row>
    <row r="66" spans="1:35" ht="15.75" customHeight="1" x14ac:dyDescent="0.2">
      <c r="A66" s="166"/>
      <c r="B66" s="218"/>
      <c r="C66" s="218"/>
      <c r="D66" s="41"/>
      <c r="E66" s="41"/>
      <c r="F66" s="41"/>
      <c r="G66" s="41"/>
      <c r="H66" s="41"/>
      <c r="I66" s="41"/>
      <c r="J66" s="166"/>
      <c r="K66" s="41"/>
      <c r="L66" s="41"/>
      <c r="M66" s="41"/>
      <c r="N66" s="166"/>
      <c r="O66" s="166"/>
      <c r="P66" s="41"/>
      <c r="Q66" s="41"/>
      <c r="R66" s="41"/>
      <c r="S66" s="41"/>
      <c r="T66" s="41"/>
      <c r="U66" s="41"/>
      <c r="V66" s="41"/>
      <c r="W66" s="41"/>
      <c r="X66" s="41"/>
      <c r="Y66" s="166"/>
      <c r="Z66" s="166"/>
      <c r="AA66" s="41"/>
      <c r="AB66" s="41"/>
      <c r="AC66" s="41"/>
      <c r="AD66" s="41"/>
      <c r="AE66" s="41"/>
      <c r="AF66" s="41"/>
      <c r="AG66" s="41"/>
      <c r="AH66" s="41"/>
      <c r="AI66" s="41"/>
    </row>
    <row r="67" spans="1:35" ht="15.75" customHeight="1" x14ac:dyDescent="0.2">
      <c r="A67" s="166"/>
      <c r="B67" s="218"/>
      <c r="C67" s="218"/>
      <c r="D67" s="41"/>
      <c r="E67" s="41"/>
      <c r="F67" s="41"/>
      <c r="G67" s="41"/>
      <c r="H67" s="41"/>
      <c r="I67" s="41"/>
      <c r="J67" s="166"/>
      <c r="K67" s="41"/>
      <c r="L67" s="41"/>
      <c r="M67" s="41"/>
      <c r="N67" s="166"/>
      <c r="O67" s="166"/>
      <c r="P67" s="41"/>
      <c r="Q67" s="41"/>
      <c r="R67" s="41"/>
      <c r="S67" s="41"/>
      <c r="T67" s="41"/>
      <c r="U67" s="41"/>
      <c r="V67" s="41"/>
      <c r="W67" s="41"/>
      <c r="X67" s="41"/>
      <c r="Y67" s="166"/>
      <c r="Z67" s="166"/>
      <c r="AA67" s="41"/>
      <c r="AB67" s="41"/>
      <c r="AC67" s="41"/>
      <c r="AD67" s="41"/>
      <c r="AE67" s="41"/>
      <c r="AF67" s="41"/>
      <c r="AG67" s="41"/>
      <c r="AH67" s="41"/>
      <c r="AI67" s="41"/>
    </row>
    <row r="68" spans="1:35" ht="15.75" customHeight="1" x14ac:dyDescent="0.2">
      <c r="A68" s="166"/>
      <c r="B68" s="218"/>
      <c r="C68" s="218"/>
      <c r="D68" s="41"/>
      <c r="E68" s="41"/>
      <c r="F68" s="41"/>
      <c r="G68" s="41"/>
      <c r="H68" s="41"/>
      <c r="I68" s="41"/>
      <c r="J68" s="166"/>
      <c r="K68" s="41"/>
      <c r="L68" s="41"/>
      <c r="M68" s="41"/>
      <c r="N68" s="166"/>
      <c r="O68" s="166"/>
      <c r="P68" s="41"/>
      <c r="Q68" s="41"/>
      <c r="R68" s="41"/>
      <c r="S68" s="41"/>
      <c r="T68" s="41"/>
      <c r="U68" s="41"/>
      <c r="V68" s="41"/>
      <c r="W68" s="41"/>
      <c r="X68" s="41"/>
      <c r="Y68" s="166"/>
      <c r="Z68" s="166"/>
      <c r="AA68" s="41"/>
      <c r="AB68" s="41"/>
      <c r="AC68" s="41"/>
      <c r="AD68" s="41"/>
      <c r="AE68" s="41"/>
      <c r="AF68" s="41"/>
      <c r="AG68" s="41"/>
      <c r="AH68" s="41"/>
      <c r="AI68" s="41"/>
    </row>
    <row r="69" spans="1:35" ht="15.75" customHeight="1" x14ac:dyDescent="0.2">
      <c r="A69" s="166"/>
      <c r="B69" s="218"/>
      <c r="C69" s="218"/>
      <c r="D69" s="41"/>
      <c r="E69" s="41"/>
      <c r="F69" s="41"/>
      <c r="G69" s="41"/>
      <c r="H69" s="41"/>
      <c r="I69" s="41"/>
      <c r="J69" s="166"/>
      <c r="K69" s="41"/>
      <c r="L69" s="41"/>
      <c r="M69" s="41"/>
      <c r="N69" s="166"/>
      <c r="O69" s="166"/>
      <c r="P69" s="41"/>
      <c r="Q69" s="41"/>
      <c r="R69" s="41"/>
      <c r="S69" s="41"/>
      <c r="T69" s="41"/>
      <c r="U69" s="41"/>
      <c r="V69" s="41"/>
      <c r="W69" s="41"/>
      <c r="X69" s="41"/>
      <c r="Y69" s="166"/>
      <c r="Z69" s="166"/>
      <c r="AA69" s="41"/>
      <c r="AB69" s="41"/>
      <c r="AC69" s="41"/>
      <c r="AD69" s="41"/>
      <c r="AE69" s="41"/>
      <c r="AF69" s="41"/>
      <c r="AG69" s="41"/>
      <c r="AH69" s="41"/>
      <c r="AI69" s="41"/>
    </row>
    <row r="70" spans="1:35" ht="15.75" customHeight="1" x14ac:dyDescent="0.2">
      <c r="A70" s="166"/>
      <c r="B70" s="218"/>
      <c r="C70" s="218"/>
      <c r="D70" s="41"/>
      <c r="E70" s="41"/>
      <c r="F70" s="41"/>
      <c r="G70" s="41"/>
      <c r="H70" s="41"/>
      <c r="I70" s="41"/>
      <c r="J70" s="166"/>
      <c r="K70" s="41"/>
      <c r="L70" s="41"/>
      <c r="M70" s="41"/>
      <c r="N70" s="166"/>
      <c r="O70" s="166"/>
      <c r="P70" s="41"/>
      <c r="Q70" s="41"/>
      <c r="R70" s="41"/>
      <c r="S70" s="41"/>
      <c r="T70" s="41"/>
      <c r="U70" s="41"/>
      <c r="V70" s="41"/>
      <c r="W70" s="41"/>
      <c r="X70" s="41"/>
      <c r="Y70" s="166"/>
      <c r="Z70" s="166"/>
      <c r="AA70" s="41"/>
      <c r="AB70" s="41"/>
      <c r="AC70" s="41"/>
      <c r="AD70" s="41"/>
      <c r="AE70" s="41"/>
      <c r="AF70" s="41"/>
      <c r="AG70" s="41"/>
      <c r="AH70" s="41"/>
      <c r="AI70" s="41"/>
    </row>
    <row r="71" spans="1:35" ht="15.75" customHeight="1" x14ac:dyDescent="0.2">
      <c r="A71" s="166"/>
      <c r="B71" s="218"/>
      <c r="C71" s="218"/>
      <c r="D71" s="41"/>
      <c r="E71" s="41"/>
      <c r="F71" s="41"/>
      <c r="G71" s="41"/>
      <c r="H71" s="41"/>
      <c r="I71" s="41"/>
      <c r="J71" s="166"/>
      <c r="K71" s="41"/>
      <c r="L71" s="41"/>
      <c r="M71" s="41"/>
      <c r="N71" s="166"/>
      <c r="O71" s="166"/>
      <c r="P71" s="41"/>
      <c r="Q71" s="41"/>
      <c r="R71" s="41"/>
      <c r="S71" s="41"/>
      <c r="T71" s="41"/>
      <c r="U71" s="41"/>
      <c r="V71" s="41"/>
      <c r="W71" s="41"/>
      <c r="X71" s="41"/>
      <c r="Y71" s="166"/>
      <c r="Z71" s="166"/>
      <c r="AA71" s="41"/>
      <c r="AB71" s="41"/>
      <c r="AC71" s="41"/>
      <c r="AD71" s="41"/>
      <c r="AE71" s="41"/>
      <c r="AF71" s="41"/>
      <c r="AG71" s="41"/>
      <c r="AH71" s="41"/>
      <c r="AI71" s="41"/>
    </row>
    <row r="72" spans="1:35" ht="15.75" customHeight="1" x14ac:dyDescent="0.2">
      <c r="A72" s="166"/>
      <c r="B72" s="218"/>
      <c r="C72" s="218"/>
      <c r="D72" s="41"/>
      <c r="E72" s="41"/>
      <c r="F72" s="41"/>
      <c r="G72" s="41"/>
      <c r="H72" s="41"/>
      <c r="I72" s="41"/>
      <c r="J72" s="166"/>
      <c r="K72" s="41"/>
      <c r="L72" s="41"/>
      <c r="M72" s="41"/>
      <c r="N72" s="166"/>
      <c r="O72" s="166"/>
      <c r="P72" s="41"/>
      <c r="Q72" s="41"/>
      <c r="R72" s="41"/>
      <c r="S72" s="41"/>
      <c r="T72" s="41"/>
      <c r="U72" s="41"/>
      <c r="V72" s="41"/>
      <c r="W72" s="41"/>
      <c r="X72" s="41"/>
      <c r="Y72" s="166"/>
      <c r="Z72" s="166"/>
      <c r="AA72" s="41"/>
      <c r="AB72" s="41"/>
      <c r="AC72" s="41"/>
      <c r="AD72" s="41"/>
      <c r="AE72" s="41"/>
      <c r="AF72" s="41"/>
      <c r="AG72" s="41"/>
      <c r="AH72" s="41"/>
      <c r="AI72" s="41"/>
    </row>
    <row r="73" spans="1:35" ht="15.75" customHeight="1" x14ac:dyDescent="0.2">
      <c r="A73" s="166"/>
      <c r="B73" s="218"/>
      <c r="C73" s="218"/>
      <c r="D73" s="41"/>
      <c r="E73" s="41"/>
      <c r="F73" s="41"/>
      <c r="G73" s="41"/>
      <c r="H73" s="41"/>
      <c r="I73" s="41"/>
      <c r="J73" s="166"/>
      <c r="K73" s="41"/>
      <c r="L73" s="41"/>
      <c r="M73" s="41"/>
      <c r="N73" s="166"/>
      <c r="O73" s="166"/>
      <c r="P73" s="41"/>
      <c r="Q73" s="41"/>
      <c r="R73" s="41"/>
      <c r="S73" s="41"/>
      <c r="T73" s="41"/>
      <c r="U73" s="41"/>
      <c r="V73" s="41"/>
      <c r="W73" s="41"/>
      <c r="X73" s="41"/>
      <c r="Y73" s="166"/>
      <c r="Z73" s="166"/>
      <c r="AA73" s="41"/>
      <c r="AB73" s="41"/>
      <c r="AC73" s="41"/>
      <c r="AD73" s="41"/>
      <c r="AE73" s="41"/>
      <c r="AF73" s="41"/>
      <c r="AG73" s="41"/>
      <c r="AH73" s="41"/>
      <c r="AI73" s="41"/>
    </row>
    <row r="74" spans="1:35" ht="15.75" customHeight="1" x14ac:dyDescent="0.2">
      <c r="A74" s="166"/>
      <c r="B74" s="218"/>
      <c r="C74" s="218"/>
      <c r="D74" s="41"/>
      <c r="E74" s="41"/>
      <c r="F74" s="41"/>
      <c r="G74" s="41"/>
      <c r="H74" s="41"/>
      <c r="I74" s="41"/>
      <c r="J74" s="166"/>
      <c r="K74" s="41"/>
      <c r="L74" s="41"/>
      <c r="M74" s="41"/>
      <c r="N74" s="166"/>
      <c r="O74" s="166"/>
      <c r="P74" s="41"/>
      <c r="Q74" s="41"/>
      <c r="R74" s="41"/>
      <c r="S74" s="41"/>
      <c r="T74" s="41"/>
      <c r="U74" s="41"/>
      <c r="V74" s="41"/>
      <c r="W74" s="41"/>
      <c r="X74" s="41"/>
      <c r="Y74" s="166"/>
      <c r="Z74" s="166"/>
      <c r="AA74" s="41"/>
      <c r="AB74" s="41"/>
      <c r="AC74" s="41"/>
      <c r="AD74" s="41"/>
      <c r="AE74" s="41"/>
      <c r="AF74" s="41"/>
      <c r="AG74" s="41"/>
      <c r="AH74" s="41"/>
      <c r="AI74" s="41"/>
    </row>
    <row r="75" spans="1:35" ht="15.75" customHeight="1" x14ac:dyDescent="0.2">
      <c r="A75" s="166"/>
      <c r="B75" s="218"/>
      <c r="C75" s="218"/>
      <c r="D75" s="41"/>
      <c r="E75" s="41"/>
      <c r="F75" s="41"/>
      <c r="G75" s="41"/>
      <c r="H75" s="41"/>
      <c r="I75" s="41"/>
      <c r="J75" s="166"/>
      <c r="K75" s="41"/>
      <c r="L75" s="41"/>
      <c r="M75" s="41"/>
      <c r="N75" s="166"/>
      <c r="O75" s="166"/>
      <c r="P75" s="41"/>
      <c r="Q75" s="41"/>
      <c r="R75" s="41"/>
      <c r="S75" s="41"/>
      <c r="T75" s="41"/>
      <c r="U75" s="41"/>
      <c r="V75" s="41"/>
      <c r="W75" s="41"/>
      <c r="X75" s="41"/>
      <c r="Y75" s="166"/>
      <c r="Z75" s="166"/>
      <c r="AA75" s="41"/>
      <c r="AB75" s="41"/>
      <c r="AC75" s="41"/>
      <c r="AD75" s="41"/>
      <c r="AE75" s="41"/>
      <c r="AF75" s="41"/>
      <c r="AG75" s="41"/>
      <c r="AH75" s="41"/>
      <c r="AI75" s="41"/>
    </row>
    <row r="76" spans="1:35" ht="15.75" customHeight="1" x14ac:dyDescent="0.2">
      <c r="A76" s="166"/>
      <c r="B76" s="218"/>
      <c r="C76" s="218"/>
      <c r="D76" s="41"/>
      <c r="E76" s="41"/>
      <c r="F76" s="41"/>
      <c r="G76" s="41"/>
      <c r="H76" s="41"/>
      <c r="I76" s="41"/>
      <c r="J76" s="166"/>
      <c r="K76" s="41"/>
      <c r="L76" s="41"/>
      <c r="M76" s="41"/>
      <c r="N76" s="166"/>
      <c r="O76" s="166"/>
      <c r="P76" s="41"/>
      <c r="Q76" s="41"/>
      <c r="R76" s="41"/>
      <c r="S76" s="41"/>
      <c r="T76" s="41"/>
      <c r="U76" s="41"/>
      <c r="V76" s="41"/>
      <c r="W76" s="41"/>
      <c r="X76" s="41"/>
      <c r="Y76" s="166"/>
      <c r="Z76" s="166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5.75" customHeight="1" x14ac:dyDescent="0.2">
      <c r="A77" s="166"/>
      <c r="B77" s="218"/>
      <c r="C77" s="218"/>
      <c r="D77" s="41"/>
      <c r="E77" s="41"/>
      <c r="F77" s="41"/>
      <c r="G77" s="41"/>
      <c r="H77" s="41"/>
      <c r="I77" s="41"/>
      <c r="J77" s="166"/>
      <c r="K77" s="41"/>
      <c r="L77" s="41"/>
      <c r="M77" s="41"/>
      <c r="N77" s="166"/>
      <c r="O77" s="166"/>
      <c r="P77" s="41"/>
      <c r="Q77" s="41"/>
      <c r="R77" s="41"/>
      <c r="S77" s="41"/>
      <c r="T77" s="41"/>
      <c r="U77" s="41"/>
      <c r="V77" s="41"/>
      <c r="W77" s="41"/>
      <c r="X77" s="41"/>
      <c r="Y77" s="166"/>
      <c r="Z77" s="166"/>
      <c r="AA77" s="41"/>
      <c r="AB77" s="41"/>
      <c r="AC77" s="41"/>
      <c r="AD77" s="41"/>
      <c r="AE77" s="41"/>
      <c r="AF77" s="41"/>
      <c r="AG77" s="41"/>
      <c r="AH77" s="41"/>
      <c r="AI77" s="41"/>
    </row>
    <row r="78" spans="1:35" ht="15.75" customHeight="1" x14ac:dyDescent="0.2">
      <c r="A78" s="166"/>
      <c r="B78" s="218"/>
      <c r="C78" s="218"/>
      <c r="D78" s="41"/>
      <c r="E78" s="41"/>
      <c r="F78" s="41"/>
      <c r="G78" s="41"/>
      <c r="H78" s="41"/>
      <c r="I78" s="41"/>
      <c r="J78" s="166"/>
      <c r="K78" s="41"/>
      <c r="L78" s="41"/>
      <c r="M78" s="41"/>
      <c r="N78" s="166"/>
      <c r="O78" s="166"/>
      <c r="P78" s="41"/>
      <c r="Q78" s="41"/>
      <c r="R78" s="41"/>
      <c r="S78" s="41"/>
      <c r="T78" s="41"/>
      <c r="U78" s="41"/>
      <c r="V78" s="41"/>
      <c r="W78" s="41"/>
      <c r="X78" s="41"/>
      <c r="Y78" s="166"/>
      <c r="Z78" s="166"/>
      <c r="AA78" s="41"/>
      <c r="AB78" s="41"/>
      <c r="AC78" s="41"/>
      <c r="AD78" s="41"/>
      <c r="AE78" s="41"/>
      <c r="AF78" s="41"/>
      <c r="AG78" s="41"/>
      <c r="AH78" s="41"/>
      <c r="AI78" s="41"/>
    </row>
    <row r="79" spans="1:35" ht="15.75" customHeight="1" x14ac:dyDescent="0.2">
      <c r="A79" s="166"/>
      <c r="B79" s="218"/>
      <c r="C79" s="218"/>
      <c r="D79" s="41"/>
      <c r="E79" s="41"/>
      <c r="F79" s="41"/>
      <c r="G79" s="41"/>
      <c r="H79" s="41"/>
      <c r="I79" s="41"/>
      <c r="J79" s="166"/>
      <c r="K79" s="41"/>
      <c r="L79" s="41"/>
      <c r="M79" s="41"/>
      <c r="N79" s="166"/>
      <c r="O79" s="166"/>
      <c r="P79" s="41"/>
      <c r="Q79" s="41"/>
      <c r="R79" s="41"/>
      <c r="S79" s="41"/>
      <c r="T79" s="41"/>
      <c r="U79" s="41"/>
      <c r="V79" s="41"/>
      <c r="W79" s="41"/>
      <c r="X79" s="41"/>
      <c r="Y79" s="166"/>
      <c r="Z79" s="166"/>
      <c r="AA79" s="41"/>
      <c r="AB79" s="41"/>
      <c r="AC79" s="41"/>
      <c r="AD79" s="41"/>
      <c r="AE79" s="41"/>
      <c r="AF79" s="41"/>
      <c r="AG79" s="41"/>
      <c r="AH79" s="41"/>
      <c r="AI79" s="41"/>
    </row>
    <row r="80" spans="1:35" ht="15.75" customHeight="1" x14ac:dyDescent="0.2">
      <c r="A80" s="166"/>
      <c r="B80" s="218"/>
      <c r="C80" s="218"/>
      <c r="D80" s="41"/>
      <c r="E80" s="41"/>
      <c r="F80" s="41"/>
      <c r="G80" s="41"/>
      <c r="H80" s="41"/>
      <c r="I80" s="41"/>
      <c r="J80" s="166"/>
      <c r="K80" s="41"/>
      <c r="L80" s="41"/>
      <c r="M80" s="41"/>
      <c r="N80" s="166"/>
      <c r="O80" s="166"/>
      <c r="P80" s="41"/>
      <c r="Q80" s="41"/>
      <c r="R80" s="41"/>
      <c r="S80" s="41"/>
      <c r="T80" s="41"/>
      <c r="U80" s="41"/>
      <c r="V80" s="41"/>
      <c r="W80" s="41"/>
      <c r="X80" s="41"/>
      <c r="Y80" s="166"/>
      <c r="Z80" s="166"/>
      <c r="AA80" s="41"/>
      <c r="AB80" s="41"/>
      <c r="AC80" s="41"/>
      <c r="AD80" s="41"/>
      <c r="AE80" s="41"/>
      <c r="AF80" s="41"/>
      <c r="AG80" s="41"/>
      <c r="AH80" s="41"/>
      <c r="AI80" s="41"/>
    </row>
    <row r="81" spans="1:35" ht="15.75" customHeight="1" x14ac:dyDescent="0.2">
      <c r="A81" s="166"/>
      <c r="B81" s="218"/>
      <c r="C81" s="218"/>
      <c r="D81" s="41"/>
      <c r="E81" s="41"/>
      <c r="F81" s="41"/>
      <c r="G81" s="41"/>
      <c r="H81" s="41"/>
      <c r="I81" s="41"/>
      <c r="J81" s="166"/>
      <c r="K81" s="41"/>
      <c r="L81" s="41"/>
      <c r="M81" s="41"/>
      <c r="N81" s="166"/>
      <c r="O81" s="166"/>
      <c r="P81" s="41"/>
      <c r="Q81" s="41"/>
      <c r="R81" s="41"/>
      <c r="S81" s="41"/>
      <c r="T81" s="41"/>
      <c r="U81" s="41"/>
      <c r="V81" s="41"/>
      <c r="W81" s="41"/>
      <c r="X81" s="41"/>
      <c r="Y81" s="166"/>
      <c r="Z81" s="166"/>
      <c r="AA81" s="41"/>
      <c r="AB81" s="41"/>
      <c r="AC81" s="41"/>
      <c r="AD81" s="41"/>
      <c r="AE81" s="41"/>
      <c r="AF81" s="41"/>
      <c r="AG81" s="41"/>
      <c r="AH81" s="41"/>
      <c r="AI81" s="41"/>
    </row>
    <row r="82" spans="1:35" ht="15.75" customHeight="1" x14ac:dyDescent="0.2">
      <c r="A82" s="166"/>
      <c r="B82" s="218"/>
      <c r="C82" s="218"/>
      <c r="D82" s="41"/>
      <c r="E82" s="41"/>
      <c r="F82" s="41"/>
      <c r="G82" s="41"/>
      <c r="H82" s="41"/>
      <c r="I82" s="41"/>
      <c r="J82" s="166"/>
      <c r="K82" s="41"/>
      <c r="L82" s="41"/>
      <c r="M82" s="41"/>
      <c r="N82" s="166"/>
      <c r="O82" s="166"/>
      <c r="P82" s="41"/>
      <c r="Q82" s="41"/>
      <c r="R82" s="41"/>
      <c r="S82" s="41"/>
      <c r="T82" s="41"/>
      <c r="U82" s="41"/>
      <c r="V82" s="41"/>
      <c r="W82" s="41"/>
      <c r="X82" s="41"/>
      <c r="Y82" s="166"/>
      <c r="Z82" s="166"/>
      <c r="AA82" s="41"/>
      <c r="AB82" s="41"/>
      <c r="AC82" s="41"/>
      <c r="AD82" s="41"/>
      <c r="AE82" s="41"/>
      <c r="AF82" s="41"/>
      <c r="AG82" s="41"/>
      <c r="AH82" s="41"/>
      <c r="AI82" s="41"/>
    </row>
    <row r="83" spans="1:35" ht="15.75" customHeight="1" x14ac:dyDescent="0.2">
      <c r="A83" s="166"/>
      <c r="B83" s="218"/>
      <c r="C83" s="218"/>
      <c r="D83" s="41"/>
      <c r="E83" s="41"/>
      <c r="F83" s="41"/>
      <c r="G83" s="41"/>
      <c r="H83" s="41"/>
      <c r="I83" s="41"/>
      <c r="J83" s="166"/>
      <c r="K83" s="41"/>
      <c r="L83" s="41"/>
      <c r="M83" s="41"/>
      <c r="N83" s="166"/>
      <c r="O83" s="166"/>
      <c r="P83" s="41"/>
      <c r="Q83" s="41"/>
      <c r="R83" s="41"/>
      <c r="S83" s="41"/>
      <c r="T83" s="41"/>
      <c r="U83" s="41"/>
      <c r="V83" s="41"/>
      <c r="W83" s="41"/>
      <c r="X83" s="41"/>
      <c r="Y83" s="166"/>
      <c r="Z83" s="166"/>
      <c r="AA83" s="41"/>
      <c r="AB83" s="41"/>
      <c r="AC83" s="41"/>
      <c r="AD83" s="41"/>
      <c r="AE83" s="41"/>
      <c r="AF83" s="41"/>
      <c r="AG83" s="41"/>
      <c r="AH83" s="41"/>
      <c r="AI83" s="41"/>
    </row>
    <row r="84" spans="1:35" ht="15.75" customHeight="1" x14ac:dyDescent="0.2">
      <c r="A84" s="166"/>
      <c r="B84" s="218"/>
      <c r="C84" s="218"/>
      <c r="D84" s="41"/>
      <c r="E84" s="41"/>
      <c r="F84" s="41"/>
      <c r="G84" s="41"/>
      <c r="H84" s="41"/>
      <c r="I84" s="41"/>
      <c r="J84" s="166"/>
      <c r="K84" s="41"/>
      <c r="L84" s="41"/>
      <c r="M84" s="41"/>
      <c r="N84" s="166"/>
      <c r="O84" s="166"/>
      <c r="P84" s="41"/>
      <c r="Q84" s="41"/>
      <c r="R84" s="41"/>
      <c r="S84" s="41"/>
      <c r="T84" s="41"/>
      <c r="U84" s="41"/>
      <c r="V84" s="41"/>
      <c r="W84" s="41"/>
      <c r="X84" s="41"/>
      <c r="Y84" s="166"/>
      <c r="Z84" s="166"/>
      <c r="AA84" s="41"/>
      <c r="AB84" s="41"/>
      <c r="AC84" s="41"/>
      <c r="AD84" s="41"/>
      <c r="AE84" s="41"/>
      <c r="AF84" s="41"/>
      <c r="AG84" s="41"/>
      <c r="AH84" s="41"/>
      <c r="AI84" s="41"/>
    </row>
    <row r="85" spans="1:35" ht="15.75" customHeight="1" x14ac:dyDescent="0.2">
      <c r="A85" s="166"/>
      <c r="B85" s="218"/>
      <c r="C85" s="218"/>
      <c r="D85" s="41"/>
      <c r="E85" s="41"/>
      <c r="F85" s="41"/>
      <c r="G85" s="41"/>
      <c r="H85" s="41"/>
      <c r="I85" s="41"/>
      <c r="J85" s="166"/>
      <c r="K85" s="41"/>
      <c r="L85" s="41"/>
      <c r="M85" s="41"/>
      <c r="N85" s="166"/>
      <c r="O85" s="166"/>
      <c r="P85" s="41"/>
      <c r="Q85" s="41"/>
      <c r="R85" s="41"/>
      <c r="S85" s="41"/>
      <c r="T85" s="41"/>
      <c r="U85" s="41"/>
      <c r="V85" s="41"/>
      <c r="W85" s="41"/>
      <c r="X85" s="41"/>
      <c r="Y85" s="166"/>
      <c r="Z85" s="166"/>
      <c r="AA85" s="41"/>
      <c r="AB85" s="41"/>
      <c r="AC85" s="41"/>
      <c r="AD85" s="41"/>
      <c r="AE85" s="41"/>
      <c r="AF85" s="41"/>
      <c r="AG85" s="41"/>
      <c r="AH85" s="41"/>
      <c r="AI85" s="41"/>
    </row>
    <row r="86" spans="1:35" ht="15.75" customHeight="1" x14ac:dyDescent="0.2">
      <c r="A86" s="166"/>
      <c r="B86" s="218"/>
      <c r="C86" s="218"/>
      <c r="D86" s="41"/>
      <c r="E86" s="41"/>
      <c r="F86" s="41"/>
      <c r="G86" s="41"/>
      <c r="H86" s="41"/>
      <c r="I86" s="41"/>
      <c r="J86" s="166"/>
      <c r="K86" s="41"/>
      <c r="L86" s="41"/>
      <c r="M86" s="41"/>
      <c r="N86" s="166"/>
      <c r="O86" s="166"/>
      <c r="P86" s="41"/>
      <c r="Q86" s="41"/>
      <c r="R86" s="41"/>
      <c r="S86" s="41"/>
      <c r="T86" s="41"/>
      <c r="U86" s="41"/>
      <c r="V86" s="41"/>
      <c r="W86" s="41"/>
      <c r="X86" s="41"/>
      <c r="Y86" s="166"/>
      <c r="Z86" s="166"/>
      <c r="AA86" s="41"/>
      <c r="AB86" s="41"/>
      <c r="AC86" s="41"/>
      <c r="AD86" s="41"/>
      <c r="AE86" s="41"/>
      <c r="AF86" s="41"/>
      <c r="AG86" s="41"/>
      <c r="AH86" s="41"/>
      <c r="AI86" s="41"/>
    </row>
    <row r="87" spans="1:35" ht="15.75" customHeight="1" x14ac:dyDescent="0.2">
      <c r="A87" s="166"/>
      <c r="B87" s="218"/>
      <c r="C87" s="218"/>
      <c r="D87" s="41"/>
      <c r="E87" s="41"/>
      <c r="F87" s="41"/>
      <c r="G87" s="41"/>
      <c r="H87" s="41"/>
      <c r="I87" s="41"/>
      <c r="J87" s="166"/>
      <c r="K87" s="41"/>
      <c r="L87" s="41"/>
      <c r="M87" s="41"/>
      <c r="N87" s="166"/>
      <c r="O87" s="166"/>
      <c r="P87" s="41"/>
      <c r="Q87" s="41"/>
      <c r="R87" s="41"/>
      <c r="S87" s="41"/>
      <c r="T87" s="41"/>
      <c r="U87" s="41"/>
      <c r="V87" s="41"/>
      <c r="W87" s="41"/>
      <c r="X87" s="41"/>
      <c r="Y87" s="166"/>
      <c r="Z87" s="166"/>
      <c r="AA87" s="41"/>
      <c r="AB87" s="41"/>
      <c r="AC87" s="41"/>
      <c r="AD87" s="41"/>
      <c r="AE87" s="41"/>
      <c r="AF87" s="41"/>
      <c r="AG87" s="41"/>
      <c r="AH87" s="41"/>
      <c r="AI87" s="41"/>
    </row>
    <row r="88" spans="1:35" ht="15.75" customHeight="1" x14ac:dyDescent="0.2">
      <c r="A88" s="166"/>
      <c r="B88" s="218"/>
      <c r="C88" s="218"/>
      <c r="D88" s="41"/>
      <c r="E88" s="41"/>
      <c r="F88" s="41"/>
      <c r="G88" s="41"/>
      <c r="H88" s="41"/>
      <c r="I88" s="41"/>
      <c r="J88" s="166"/>
      <c r="K88" s="41"/>
      <c r="L88" s="41"/>
      <c r="M88" s="41"/>
      <c r="N88" s="166"/>
      <c r="O88" s="166"/>
      <c r="P88" s="41"/>
      <c r="Q88" s="41"/>
      <c r="R88" s="41"/>
      <c r="S88" s="41"/>
      <c r="T88" s="41"/>
      <c r="U88" s="41"/>
      <c r="V88" s="41"/>
      <c r="W88" s="41"/>
      <c r="X88" s="41"/>
      <c r="Y88" s="166"/>
      <c r="Z88" s="166"/>
      <c r="AA88" s="41"/>
      <c r="AB88" s="41"/>
      <c r="AC88" s="41"/>
      <c r="AD88" s="41"/>
      <c r="AE88" s="41"/>
      <c r="AF88" s="41"/>
      <c r="AG88" s="41"/>
      <c r="AH88" s="41"/>
      <c r="AI88" s="41"/>
    </row>
    <row r="89" spans="1:35" ht="15.75" customHeight="1" x14ac:dyDescent="0.2">
      <c r="A89" s="166"/>
      <c r="B89" s="218"/>
      <c r="C89" s="218"/>
      <c r="D89" s="41"/>
      <c r="E89" s="41"/>
      <c r="F89" s="41"/>
      <c r="G89" s="41"/>
      <c r="H89" s="41"/>
      <c r="I89" s="41"/>
      <c r="J89" s="166"/>
      <c r="K89" s="41"/>
      <c r="L89" s="41"/>
      <c r="M89" s="41"/>
      <c r="N89" s="166"/>
      <c r="O89" s="166"/>
      <c r="P89" s="41"/>
      <c r="Q89" s="41"/>
      <c r="R89" s="41"/>
      <c r="S89" s="41"/>
      <c r="T89" s="41"/>
      <c r="U89" s="41"/>
      <c r="V89" s="41"/>
      <c r="W89" s="41"/>
      <c r="X89" s="41"/>
      <c r="Y89" s="166"/>
      <c r="Z89" s="166"/>
      <c r="AA89" s="41"/>
      <c r="AB89" s="41"/>
      <c r="AC89" s="41"/>
      <c r="AD89" s="41"/>
      <c r="AE89" s="41"/>
      <c r="AF89" s="41"/>
      <c r="AG89" s="41"/>
      <c r="AH89" s="41"/>
      <c r="AI89" s="41"/>
    </row>
    <row r="90" spans="1:35" ht="15.75" customHeight="1" x14ac:dyDescent="0.2">
      <c r="A90" s="166"/>
      <c r="B90" s="218"/>
      <c r="C90" s="218"/>
      <c r="D90" s="41"/>
      <c r="E90" s="41"/>
      <c r="F90" s="41"/>
      <c r="G90" s="41"/>
      <c r="H90" s="41"/>
      <c r="I90" s="41"/>
      <c r="J90" s="166"/>
      <c r="K90" s="41"/>
      <c r="L90" s="41"/>
      <c r="M90" s="41"/>
      <c r="N90" s="166"/>
      <c r="O90" s="166"/>
      <c r="P90" s="41"/>
      <c r="Q90" s="41"/>
      <c r="R90" s="41"/>
      <c r="S90" s="41"/>
      <c r="T90" s="41"/>
      <c r="U90" s="41"/>
      <c r="V90" s="41"/>
      <c r="W90" s="41"/>
      <c r="X90" s="41"/>
      <c r="Y90" s="166"/>
      <c r="Z90" s="166"/>
      <c r="AA90" s="41"/>
      <c r="AB90" s="41"/>
      <c r="AC90" s="41"/>
      <c r="AD90" s="41"/>
      <c r="AE90" s="41"/>
      <c r="AF90" s="41"/>
      <c r="AG90" s="41"/>
      <c r="AH90" s="41"/>
      <c r="AI90" s="41"/>
    </row>
    <row r="91" spans="1:35" ht="15.75" customHeight="1" x14ac:dyDescent="0.2">
      <c r="A91" s="166"/>
      <c r="B91" s="218"/>
      <c r="C91" s="218"/>
      <c r="D91" s="41"/>
      <c r="E91" s="41"/>
      <c r="F91" s="41"/>
      <c r="G91" s="41"/>
      <c r="H91" s="41"/>
      <c r="I91" s="41"/>
      <c r="J91" s="166"/>
      <c r="K91" s="41"/>
      <c r="L91" s="41"/>
      <c r="M91" s="41"/>
      <c r="N91" s="166"/>
      <c r="O91" s="166"/>
      <c r="P91" s="41"/>
      <c r="Q91" s="41"/>
      <c r="R91" s="41"/>
      <c r="S91" s="41"/>
      <c r="T91" s="41"/>
      <c r="U91" s="41"/>
      <c r="V91" s="41"/>
      <c r="W91" s="41"/>
      <c r="X91" s="41"/>
      <c r="Y91" s="166"/>
      <c r="Z91" s="166"/>
      <c r="AA91" s="41"/>
      <c r="AB91" s="41"/>
      <c r="AC91" s="41"/>
      <c r="AD91" s="41"/>
      <c r="AE91" s="41"/>
      <c r="AF91" s="41"/>
      <c r="AG91" s="41"/>
      <c r="AH91" s="41"/>
      <c r="AI91" s="41"/>
    </row>
    <row r="92" spans="1:35" ht="15.75" customHeight="1" x14ac:dyDescent="0.2">
      <c r="A92" s="166"/>
      <c r="B92" s="218"/>
      <c r="C92" s="218"/>
      <c r="D92" s="41"/>
      <c r="E92" s="41"/>
      <c r="F92" s="41"/>
      <c r="G92" s="41"/>
      <c r="H92" s="41"/>
      <c r="I92" s="41"/>
      <c r="J92" s="166"/>
      <c r="K92" s="41"/>
      <c r="L92" s="41"/>
      <c r="M92" s="41"/>
      <c r="N92" s="166"/>
      <c r="O92" s="166"/>
      <c r="P92" s="41"/>
      <c r="Q92" s="41"/>
      <c r="R92" s="41"/>
      <c r="S92" s="41"/>
      <c r="T92" s="41"/>
      <c r="U92" s="41"/>
      <c r="V92" s="41"/>
      <c r="W92" s="41"/>
      <c r="X92" s="41"/>
      <c r="Y92" s="166"/>
      <c r="Z92" s="166"/>
      <c r="AA92" s="41"/>
      <c r="AB92" s="41"/>
      <c r="AC92" s="41"/>
      <c r="AD92" s="41"/>
      <c r="AE92" s="41"/>
      <c r="AF92" s="41"/>
      <c r="AG92" s="41"/>
      <c r="AH92" s="41"/>
      <c r="AI92" s="41"/>
    </row>
    <row r="93" spans="1:35" ht="15.75" customHeight="1" x14ac:dyDescent="0.2">
      <c r="A93" s="166"/>
      <c r="B93" s="218"/>
      <c r="C93" s="218"/>
      <c r="D93" s="41"/>
      <c r="E93" s="41"/>
      <c r="F93" s="41"/>
      <c r="G93" s="41"/>
      <c r="H93" s="41"/>
      <c r="I93" s="41"/>
      <c r="J93" s="166"/>
      <c r="K93" s="41"/>
      <c r="L93" s="41"/>
      <c r="M93" s="41"/>
      <c r="N93" s="166"/>
      <c r="O93" s="166"/>
      <c r="P93" s="41"/>
      <c r="Q93" s="41"/>
      <c r="R93" s="41"/>
      <c r="S93" s="41"/>
      <c r="T93" s="41"/>
      <c r="U93" s="41"/>
      <c r="V93" s="41"/>
      <c r="W93" s="41"/>
      <c r="X93" s="41"/>
      <c r="Y93" s="166"/>
      <c r="Z93" s="166"/>
      <c r="AA93" s="41"/>
      <c r="AB93" s="41"/>
      <c r="AC93" s="41"/>
      <c r="AD93" s="41"/>
      <c r="AE93" s="41"/>
      <c r="AF93" s="41"/>
      <c r="AG93" s="41"/>
      <c r="AH93" s="41"/>
      <c r="AI93" s="41"/>
    </row>
    <row r="94" spans="1:35" ht="15.75" customHeight="1" x14ac:dyDescent="0.2">
      <c r="A94" s="166"/>
      <c r="B94" s="218"/>
      <c r="C94" s="218"/>
      <c r="D94" s="41"/>
      <c r="E94" s="41"/>
      <c r="F94" s="41"/>
      <c r="G94" s="41"/>
      <c r="H94" s="41"/>
      <c r="I94" s="41"/>
      <c r="J94" s="166"/>
      <c r="K94" s="41"/>
      <c r="L94" s="41"/>
      <c r="M94" s="41"/>
      <c r="N94" s="166"/>
      <c r="O94" s="166"/>
      <c r="P94" s="41"/>
      <c r="Q94" s="41"/>
      <c r="R94" s="41"/>
      <c r="S94" s="41"/>
      <c r="T94" s="41"/>
      <c r="U94" s="41"/>
      <c r="V94" s="41"/>
      <c r="W94" s="41"/>
      <c r="X94" s="41"/>
      <c r="Y94" s="166"/>
      <c r="Z94" s="166"/>
      <c r="AA94" s="41"/>
      <c r="AB94" s="41"/>
      <c r="AC94" s="41"/>
      <c r="AD94" s="41"/>
      <c r="AE94" s="41"/>
      <c r="AF94" s="41"/>
      <c r="AG94" s="41"/>
      <c r="AH94" s="41"/>
      <c r="AI94" s="41"/>
    </row>
    <row r="95" spans="1:35" ht="15.75" customHeight="1" x14ac:dyDescent="0.2">
      <c r="A95" s="166"/>
      <c r="B95" s="218"/>
      <c r="C95" s="218"/>
      <c r="D95" s="41"/>
      <c r="E95" s="41"/>
      <c r="F95" s="41"/>
      <c r="G95" s="41"/>
      <c r="H95" s="41"/>
      <c r="I95" s="41"/>
      <c r="J95" s="166"/>
      <c r="K95" s="41"/>
      <c r="L95" s="41"/>
      <c r="M95" s="41"/>
      <c r="N95" s="166"/>
      <c r="O95" s="166"/>
      <c r="P95" s="41"/>
      <c r="Q95" s="41"/>
      <c r="R95" s="41"/>
      <c r="S95" s="41"/>
      <c r="T95" s="41"/>
      <c r="U95" s="41"/>
      <c r="V95" s="41"/>
      <c r="W95" s="41"/>
      <c r="X95" s="41"/>
      <c r="Y95" s="166"/>
      <c r="Z95" s="166"/>
      <c r="AA95" s="41"/>
      <c r="AB95" s="41"/>
      <c r="AC95" s="41"/>
      <c r="AD95" s="41"/>
      <c r="AE95" s="41"/>
      <c r="AF95" s="41"/>
      <c r="AG95" s="41"/>
      <c r="AH95" s="41"/>
      <c r="AI95" s="41"/>
    </row>
    <row r="96" spans="1:35" ht="15.75" customHeight="1" x14ac:dyDescent="0.2">
      <c r="A96" s="166"/>
      <c r="B96" s="218"/>
      <c r="C96" s="218"/>
      <c r="D96" s="41"/>
      <c r="E96" s="41"/>
      <c r="F96" s="41"/>
      <c r="G96" s="41"/>
      <c r="H96" s="41"/>
      <c r="I96" s="41"/>
      <c r="J96" s="166"/>
      <c r="K96" s="41"/>
      <c r="L96" s="41"/>
      <c r="M96" s="41"/>
      <c r="N96" s="166"/>
      <c r="O96" s="166"/>
      <c r="P96" s="41"/>
      <c r="Q96" s="41"/>
      <c r="R96" s="41"/>
      <c r="S96" s="41"/>
      <c r="T96" s="41"/>
      <c r="U96" s="41"/>
      <c r="V96" s="41"/>
      <c r="W96" s="41"/>
      <c r="X96" s="41"/>
      <c r="Y96" s="166"/>
      <c r="Z96" s="166"/>
      <c r="AA96" s="41"/>
      <c r="AB96" s="41"/>
      <c r="AC96" s="41"/>
      <c r="AD96" s="41"/>
      <c r="AE96" s="41"/>
      <c r="AF96" s="41"/>
      <c r="AG96" s="41"/>
      <c r="AH96" s="41"/>
      <c r="AI96" s="41"/>
    </row>
    <row r="97" spans="1:35" ht="15.75" customHeight="1" x14ac:dyDescent="0.2">
      <c r="A97" s="166"/>
      <c r="B97" s="218"/>
      <c r="C97" s="218"/>
      <c r="D97" s="41"/>
      <c r="E97" s="41"/>
      <c r="F97" s="41"/>
      <c r="G97" s="41"/>
      <c r="H97" s="41"/>
      <c r="I97" s="41"/>
      <c r="J97" s="166"/>
      <c r="K97" s="41"/>
      <c r="L97" s="41"/>
      <c r="M97" s="41"/>
      <c r="N97" s="166"/>
      <c r="O97" s="166"/>
      <c r="P97" s="41"/>
      <c r="Q97" s="41"/>
      <c r="R97" s="41"/>
      <c r="S97" s="41"/>
      <c r="T97" s="41"/>
      <c r="U97" s="41"/>
      <c r="V97" s="41"/>
      <c r="W97" s="41"/>
      <c r="X97" s="41"/>
      <c r="Y97" s="166"/>
      <c r="Z97" s="166"/>
      <c r="AA97" s="41"/>
      <c r="AB97" s="41"/>
      <c r="AC97" s="41"/>
      <c r="AD97" s="41"/>
      <c r="AE97" s="41"/>
      <c r="AF97" s="41"/>
      <c r="AG97" s="41"/>
      <c r="AH97" s="41"/>
      <c r="AI97" s="41"/>
    </row>
    <row r="98" spans="1:35" ht="15.75" customHeight="1" x14ac:dyDescent="0.2">
      <c r="A98" s="166"/>
      <c r="B98" s="218"/>
      <c r="C98" s="218"/>
      <c r="D98" s="41"/>
      <c r="E98" s="41"/>
      <c r="F98" s="41"/>
      <c r="G98" s="41"/>
      <c r="H98" s="41"/>
      <c r="I98" s="41"/>
      <c r="J98" s="166"/>
      <c r="K98" s="41"/>
      <c r="L98" s="41"/>
      <c r="M98" s="41"/>
      <c r="N98" s="166"/>
      <c r="O98" s="166"/>
      <c r="P98" s="41"/>
      <c r="Q98" s="41"/>
      <c r="R98" s="41"/>
      <c r="S98" s="41"/>
      <c r="T98" s="41"/>
      <c r="U98" s="41"/>
      <c r="V98" s="41"/>
      <c r="W98" s="41"/>
      <c r="X98" s="41"/>
      <c r="Y98" s="166"/>
      <c r="Z98" s="166"/>
      <c r="AA98" s="41"/>
      <c r="AB98" s="41"/>
      <c r="AC98" s="41"/>
      <c r="AD98" s="41"/>
      <c r="AE98" s="41"/>
      <c r="AF98" s="41"/>
      <c r="AG98" s="41"/>
      <c r="AH98" s="41"/>
      <c r="AI98" s="41"/>
    </row>
    <row r="99" spans="1:35" ht="15.75" customHeight="1" x14ac:dyDescent="0.2">
      <c r="A99" s="166"/>
      <c r="B99" s="218"/>
      <c r="C99" s="218"/>
      <c r="D99" s="41"/>
      <c r="E99" s="41"/>
      <c r="F99" s="41"/>
      <c r="G99" s="41"/>
      <c r="H99" s="41"/>
      <c r="I99" s="41"/>
      <c r="J99" s="166"/>
      <c r="K99" s="41"/>
      <c r="L99" s="41"/>
      <c r="M99" s="41"/>
      <c r="N99" s="166"/>
      <c r="O99" s="166"/>
      <c r="P99" s="41"/>
      <c r="Q99" s="41"/>
      <c r="R99" s="41"/>
      <c r="S99" s="41"/>
      <c r="T99" s="41"/>
      <c r="U99" s="41"/>
      <c r="V99" s="41"/>
      <c r="W99" s="41"/>
      <c r="X99" s="41"/>
      <c r="Y99" s="166"/>
      <c r="Z99" s="166"/>
      <c r="AA99" s="41"/>
      <c r="AB99" s="41"/>
      <c r="AC99" s="41"/>
      <c r="AD99" s="41"/>
      <c r="AE99" s="41"/>
      <c r="AF99" s="41"/>
      <c r="AG99" s="41"/>
      <c r="AH99" s="41"/>
      <c r="AI99" s="41"/>
    </row>
    <row r="100" spans="1:35" ht="15.75" customHeight="1" x14ac:dyDescent="0.2">
      <c r="A100" s="166"/>
      <c r="B100" s="218"/>
      <c r="C100" s="218"/>
      <c r="D100" s="41"/>
      <c r="E100" s="41"/>
      <c r="F100" s="41"/>
      <c r="G100" s="41"/>
      <c r="H100" s="41"/>
      <c r="I100" s="41"/>
      <c r="J100" s="166"/>
      <c r="K100" s="41"/>
      <c r="L100" s="41"/>
      <c r="M100" s="41"/>
      <c r="N100" s="166"/>
      <c r="O100" s="166"/>
      <c r="P100" s="41"/>
      <c r="Q100" s="41"/>
      <c r="R100" s="41"/>
      <c r="S100" s="41"/>
      <c r="T100" s="41"/>
      <c r="U100" s="41"/>
      <c r="V100" s="41"/>
      <c r="W100" s="41"/>
      <c r="X100" s="41"/>
      <c r="Y100" s="166"/>
      <c r="Z100" s="166"/>
      <c r="AA100" s="41"/>
      <c r="AB100" s="41"/>
      <c r="AC100" s="41"/>
      <c r="AD100" s="41"/>
      <c r="AE100" s="41"/>
      <c r="AF100" s="41"/>
      <c r="AG100" s="41"/>
      <c r="AH100" s="41"/>
      <c r="AI100" s="41"/>
    </row>
    <row r="101" spans="1:35" ht="15.75" customHeight="1" x14ac:dyDescent="0.2">
      <c r="A101" s="166"/>
      <c r="B101" s="218"/>
      <c r="C101" s="218"/>
      <c r="D101" s="41"/>
      <c r="E101" s="41"/>
      <c r="F101" s="41"/>
      <c r="G101" s="41"/>
      <c r="H101" s="41"/>
      <c r="I101" s="41"/>
      <c r="J101" s="166"/>
      <c r="K101" s="41"/>
      <c r="L101" s="41"/>
      <c r="M101" s="41"/>
      <c r="N101" s="166"/>
      <c r="O101" s="166"/>
      <c r="P101" s="41"/>
      <c r="Q101" s="41"/>
      <c r="R101" s="41"/>
      <c r="S101" s="41"/>
      <c r="T101" s="41"/>
      <c r="U101" s="41"/>
      <c r="V101" s="41"/>
      <c r="W101" s="41"/>
      <c r="X101" s="41"/>
      <c r="Y101" s="166"/>
      <c r="Z101" s="166"/>
      <c r="AA101" s="41"/>
      <c r="AB101" s="41"/>
      <c r="AC101" s="41"/>
      <c r="AD101" s="41"/>
      <c r="AE101" s="41"/>
      <c r="AF101" s="41"/>
      <c r="AG101" s="41"/>
      <c r="AH101" s="41"/>
      <c r="AI101" s="41"/>
    </row>
    <row r="102" spans="1:35" ht="15.75" customHeight="1" x14ac:dyDescent="0.2">
      <c r="A102" s="166"/>
      <c r="B102" s="218"/>
      <c r="C102" s="218"/>
      <c r="D102" s="41"/>
      <c r="E102" s="41"/>
      <c r="F102" s="41"/>
      <c r="G102" s="41"/>
      <c r="H102" s="41"/>
      <c r="I102" s="41"/>
      <c r="J102" s="166"/>
      <c r="K102" s="41"/>
      <c r="L102" s="41"/>
      <c r="M102" s="41"/>
      <c r="N102" s="166"/>
      <c r="O102" s="166"/>
      <c r="P102" s="41"/>
      <c r="Q102" s="41"/>
      <c r="R102" s="41"/>
      <c r="S102" s="41"/>
      <c r="T102" s="41"/>
      <c r="U102" s="41"/>
      <c r="V102" s="41"/>
      <c r="W102" s="41"/>
      <c r="X102" s="41"/>
      <c r="Y102" s="166"/>
      <c r="Z102" s="166"/>
      <c r="AA102" s="41"/>
      <c r="AB102" s="41"/>
      <c r="AC102" s="41"/>
      <c r="AD102" s="41"/>
      <c r="AE102" s="41"/>
      <c r="AF102" s="41"/>
      <c r="AG102" s="41"/>
      <c r="AH102" s="41"/>
      <c r="AI102" s="41"/>
    </row>
    <row r="103" spans="1:35" ht="15.75" customHeight="1" x14ac:dyDescent="0.2">
      <c r="A103" s="166"/>
      <c r="B103" s="218"/>
      <c r="C103" s="218"/>
      <c r="D103" s="41"/>
      <c r="E103" s="41"/>
      <c r="F103" s="41"/>
      <c r="G103" s="41"/>
      <c r="H103" s="41"/>
      <c r="I103" s="41"/>
      <c r="J103" s="166"/>
      <c r="K103" s="41"/>
      <c r="L103" s="41"/>
      <c r="M103" s="41"/>
      <c r="N103" s="166"/>
      <c r="O103" s="166"/>
      <c r="P103" s="41"/>
      <c r="Q103" s="41"/>
      <c r="R103" s="41"/>
      <c r="S103" s="41"/>
      <c r="T103" s="41"/>
      <c r="U103" s="41"/>
      <c r="V103" s="41"/>
      <c r="W103" s="41"/>
      <c r="X103" s="41"/>
      <c r="Y103" s="166"/>
      <c r="Z103" s="166"/>
      <c r="AA103" s="41"/>
      <c r="AB103" s="41"/>
      <c r="AC103" s="41"/>
      <c r="AD103" s="41"/>
      <c r="AE103" s="41"/>
      <c r="AF103" s="41"/>
      <c r="AG103" s="41"/>
      <c r="AH103" s="41"/>
      <c r="AI103" s="41"/>
    </row>
    <row r="104" spans="1:35" ht="15.75" customHeight="1" x14ac:dyDescent="0.2">
      <c r="A104" s="166"/>
      <c r="B104" s="218"/>
      <c r="C104" s="218"/>
      <c r="D104" s="41"/>
      <c r="E104" s="41"/>
      <c r="F104" s="41"/>
      <c r="G104" s="41"/>
      <c r="H104" s="41"/>
      <c r="I104" s="41"/>
      <c r="J104" s="166"/>
      <c r="K104" s="41"/>
      <c r="L104" s="41"/>
      <c r="M104" s="41"/>
      <c r="N104" s="166"/>
      <c r="O104" s="166"/>
      <c r="P104" s="41"/>
      <c r="Q104" s="41"/>
      <c r="R104" s="41"/>
      <c r="S104" s="41"/>
      <c r="T104" s="41"/>
      <c r="U104" s="41"/>
      <c r="V104" s="41"/>
      <c r="W104" s="41"/>
      <c r="X104" s="41"/>
      <c r="Y104" s="166"/>
      <c r="Z104" s="166"/>
      <c r="AA104" s="41"/>
      <c r="AB104" s="41"/>
      <c r="AC104" s="41"/>
      <c r="AD104" s="41"/>
      <c r="AE104" s="41"/>
      <c r="AF104" s="41"/>
      <c r="AG104" s="41"/>
      <c r="AH104" s="41"/>
      <c r="AI104" s="41"/>
    </row>
    <row r="105" spans="1:35" ht="15.75" customHeight="1" x14ac:dyDescent="0.2">
      <c r="A105" s="166"/>
      <c r="B105" s="218"/>
      <c r="C105" s="218"/>
      <c r="D105" s="41"/>
      <c r="E105" s="41"/>
      <c r="F105" s="41"/>
      <c r="G105" s="41"/>
      <c r="H105" s="41"/>
      <c r="I105" s="41"/>
      <c r="J105" s="166"/>
      <c r="K105" s="41"/>
      <c r="L105" s="41"/>
      <c r="M105" s="41"/>
      <c r="N105" s="166"/>
      <c r="O105" s="166"/>
      <c r="P105" s="41"/>
      <c r="Q105" s="41"/>
      <c r="R105" s="41"/>
      <c r="S105" s="41"/>
      <c r="T105" s="41"/>
      <c r="U105" s="41"/>
      <c r="V105" s="41"/>
      <c r="W105" s="41"/>
      <c r="X105" s="41"/>
      <c r="Y105" s="166"/>
      <c r="Z105" s="166"/>
      <c r="AA105" s="41"/>
      <c r="AB105" s="41"/>
      <c r="AC105" s="41"/>
      <c r="AD105" s="41"/>
      <c r="AE105" s="41"/>
      <c r="AF105" s="41"/>
      <c r="AG105" s="41"/>
      <c r="AH105" s="41"/>
      <c r="AI105" s="41"/>
    </row>
    <row r="106" spans="1:35" ht="15.75" customHeight="1" x14ac:dyDescent="0.2">
      <c r="A106" s="166"/>
      <c r="B106" s="218"/>
      <c r="C106" s="218"/>
      <c r="D106" s="41"/>
      <c r="E106" s="41"/>
      <c r="F106" s="41"/>
      <c r="G106" s="41"/>
      <c r="H106" s="41"/>
      <c r="I106" s="41"/>
      <c r="J106" s="166"/>
      <c r="K106" s="41"/>
      <c r="L106" s="41"/>
      <c r="M106" s="41"/>
      <c r="N106" s="166"/>
      <c r="O106" s="166"/>
      <c r="P106" s="41"/>
      <c r="Q106" s="41"/>
      <c r="R106" s="41"/>
      <c r="S106" s="41"/>
      <c r="T106" s="41"/>
      <c r="U106" s="41"/>
      <c r="V106" s="41"/>
      <c r="W106" s="41"/>
      <c r="X106" s="41"/>
      <c r="Y106" s="166"/>
      <c r="Z106" s="166"/>
      <c r="AA106" s="41"/>
      <c r="AB106" s="41"/>
      <c r="AC106" s="41"/>
      <c r="AD106" s="41"/>
      <c r="AE106" s="41"/>
      <c r="AF106" s="41"/>
      <c r="AG106" s="41"/>
      <c r="AH106" s="41"/>
      <c r="AI106" s="41"/>
    </row>
    <row r="107" spans="1:35" ht="15.75" customHeight="1" x14ac:dyDescent="0.2">
      <c r="A107" s="166"/>
      <c r="B107" s="218"/>
      <c r="C107" s="218"/>
      <c r="D107" s="41"/>
      <c r="E107" s="41"/>
      <c r="F107" s="41"/>
      <c r="G107" s="41"/>
      <c r="H107" s="41"/>
      <c r="I107" s="41"/>
      <c r="J107" s="166"/>
      <c r="K107" s="41"/>
      <c r="L107" s="41"/>
      <c r="M107" s="41"/>
      <c r="N107" s="166"/>
      <c r="O107" s="166"/>
      <c r="P107" s="41"/>
      <c r="Q107" s="41"/>
      <c r="R107" s="41"/>
      <c r="S107" s="41"/>
      <c r="T107" s="41"/>
      <c r="U107" s="41"/>
      <c r="V107" s="41"/>
      <c r="W107" s="41"/>
      <c r="X107" s="41"/>
      <c r="Y107" s="166"/>
      <c r="Z107" s="166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5.75" customHeight="1" x14ac:dyDescent="0.2">
      <c r="A108" s="166"/>
      <c r="B108" s="218"/>
      <c r="C108" s="218"/>
      <c r="D108" s="41"/>
      <c r="E108" s="41"/>
      <c r="F108" s="41"/>
      <c r="G108" s="41"/>
      <c r="H108" s="41"/>
      <c r="I108" s="41"/>
      <c r="J108" s="166"/>
      <c r="K108" s="41"/>
      <c r="L108" s="41"/>
      <c r="M108" s="41"/>
      <c r="N108" s="166"/>
      <c r="O108" s="166"/>
      <c r="P108" s="41"/>
      <c r="Q108" s="41"/>
      <c r="R108" s="41"/>
      <c r="S108" s="41"/>
      <c r="T108" s="41"/>
      <c r="U108" s="41"/>
      <c r="V108" s="41"/>
      <c r="W108" s="41"/>
      <c r="X108" s="41"/>
      <c r="Y108" s="166"/>
      <c r="Z108" s="166"/>
      <c r="AA108" s="41"/>
      <c r="AB108" s="41"/>
      <c r="AC108" s="41"/>
      <c r="AD108" s="41"/>
      <c r="AE108" s="41"/>
      <c r="AF108" s="41"/>
      <c r="AG108" s="41"/>
      <c r="AH108" s="41"/>
      <c r="AI108" s="41"/>
    </row>
    <row r="109" spans="1:35" ht="15.75" customHeight="1" x14ac:dyDescent="0.2">
      <c r="A109" s="166"/>
      <c r="B109" s="218"/>
      <c r="C109" s="218"/>
      <c r="D109" s="41"/>
      <c r="E109" s="41"/>
      <c r="F109" s="41"/>
      <c r="G109" s="41"/>
      <c r="H109" s="41"/>
      <c r="I109" s="41"/>
      <c r="J109" s="166"/>
      <c r="K109" s="41"/>
      <c r="L109" s="41"/>
      <c r="M109" s="41"/>
      <c r="N109" s="166"/>
      <c r="O109" s="166"/>
      <c r="P109" s="41"/>
      <c r="Q109" s="41"/>
      <c r="R109" s="41"/>
      <c r="S109" s="41"/>
      <c r="T109" s="41"/>
      <c r="U109" s="41"/>
      <c r="V109" s="41"/>
      <c r="W109" s="41"/>
      <c r="X109" s="41"/>
      <c r="Y109" s="166"/>
      <c r="Z109" s="166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5.75" customHeight="1" x14ac:dyDescent="0.2">
      <c r="A110" s="166"/>
      <c r="B110" s="218"/>
      <c r="C110" s="218"/>
      <c r="D110" s="41"/>
      <c r="E110" s="41"/>
      <c r="F110" s="41"/>
      <c r="G110" s="41"/>
      <c r="H110" s="41"/>
      <c r="I110" s="41"/>
      <c r="J110" s="166"/>
      <c r="K110" s="41"/>
      <c r="L110" s="41"/>
      <c r="M110" s="41"/>
      <c r="N110" s="166"/>
      <c r="O110" s="166"/>
      <c r="P110" s="41"/>
      <c r="Q110" s="41"/>
      <c r="R110" s="41"/>
      <c r="S110" s="41"/>
      <c r="T110" s="41"/>
      <c r="U110" s="41"/>
      <c r="V110" s="41"/>
      <c r="W110" s="41"/>
      <c r="X110" s="41"/>
      <c r="Y110" s="166"/>
      <c r="Z110" s="166"/>
      <c r="AA110" s="41"/>
      <c r="AB110" s="41"/>
      <c r="AC110" s="41"/>
      <c r="AD110" s="41"/>
      <c r="AE110" s="41"/>
      <c r="AF110" s="41"/>
      <c r="AG110" s="41"/>
      <c r="AH110" s="41"/>
      <c r="AI110" s="41"/>
    </row>
    <row r="111" spans="1:35" ht="15.75" customHeight="1" x14ac:dyDescent="0.2">
      <c r="A111" s="166"/>
      <c r="B111" s="218"/>
      <c r="C111" s="218"/>
      <c r="D111" s="41"/>
      <c r="E111" s="41"/>
      <c r="F111" s="41"/>
      <c r="G111" s="41"/>
      <c r="H111" s="41"/>
      <c r="I111" s="41"/>
      <c r="J111" s="166"/>
      <c r="K111" s="41"/>
      <c r="L111" s="41"/>
      <c r="M111" s="41"/>
      <c r="N111" s="166"/>
      <c r="O111" s="166"/>
      <c r="P111" s="41"/>
      <c r="Q111" s="41"/>
      <c r="R111" s="41"/>
      <c r="S111" s="41"/>
      <c r="T111" s="41"/>
      <c r="U111" s="41"/>
      <c r="V111" s="41"/>
      <c r="W111" s="41"/>
      <c r="X111" s="41"/>
      <c r="Y111" s="166"/>
      <c r="Z111" s="166"/>
      <c r="AA111" s="41"/>
      <c r="AB111" s="41"/>
      <c r="AC111" s="41"/>
      <c r="AD111" s="41"/>
      <c r="AE111" s="41"/>
      <c r="AF111" s="41"/>
      <c r="AG111" s="41"/>
      <c r="AH111" s="41"/>
      <c r="AI111" s="41"/>
    </row>
    <row r="112" spans="1:35" ht="15.75" customHeight="1" x14ac:dyDescent="0.2">
      <c r="A112" s="166"/>
      <c r="B112" s="218"/>
      <c r="C112" s="218"/>
      <c r="D112" s="41"/>
      <c r="E112" s="41"/>
      <c r="F112" s="41"/>
      <c r="G112" s="41"/>
      <c r="H112" s="41"/>
      <c r="I112" s="41"/>
      <c r="J112" s="166"/>
      <c r="K112" s="41"/>
      <c r="L112" s="41"/>
      <c r="M112" s="41"/>
      <c r="N112" s="166"/>
      <c r="O112" s="166"/>
      <c r="P112" s="41"/>
      <c r="Q112" s="41"/>
      <c r="R112" s="41"/>
      <c r="S112" s="41"/>
      <c r="T112" s="41"/>
      <c r="U112" s="41"/>
      <c r="V112" s="41"/>
      <c r="W112" s="41"/>
      <c r="X112" s="41"/>
      <c r="Y112" s="166"/>
      <c r="Z112" s="166"/>
      <c r="AA112" s="41"/>
      <c r="AB112" s="41"/>
      <c r="AC112" s="41"/>
      <c r="AD112" s="41"/>
      <c r="AE112" s="41"/>
      <c r="AF112" s="41"/>
      <c r="AG112" s="41"/>
      <c r="AH112" s="41"/>
      <c r="AI112" s="41"/>
    </row>
    <row r="113" spans="1:35" ht="15.75" customHeight="1" x14ac:dyDescent="0.2">
      <c r="A113" s="166"/>
      <c r="B113" s="218"/>
      <c r="C113" s="218"/>
      <c r="D113" s="41"/>
      <c r="E113" s="41"/>
      <c r="F113" s="41"/>
      <c r="G113" s="41"/>
      <c r="H113" s="41"/>
      <c r="I113" s="41"/>
      <c r="J113" s="166"/>
      <c r="K113" s="41"/>
      <c r="L113" s="41"/>
      <c r="M113" s="41"/>
      <c r="N113" s="166"/>
      <c r="O113" s="166"/>
      <c r="P113" s="41"/>
      <c r="Q113" s="41"/>
      <c r="R113" s="41"/>
      <c r="S113" s="41"/>
      <c r="T113" s="41"/>
      <c r="U113" s="41"/>
      <c r="V113" s="41"/>
      <c r="W113" s="41"/>
      <c r="X113" s="41"/>
      <c r="Y113" s="166"/>
      <c r="Z113" s="166"/>
      <c r="AA113" s="41"/>
      <c r="AB113" s="41"/>
      <c r="AC113" s="41"/>
      <c r="AD113" s="41"/>
      <c r="AE113" s="41"/>
      <c r="AF113" s="41"/>
      <c r="AG113" s="41"/>
      <c r="AH113" s="41"/>
      <c r="AI113" s="41"/>
    </row>
    <row r="114" spans="1:35" ht="15.75" customHeight="1" x14ac:dyDescent="0.2">
      <c r="A114" s="166"/>
      <c r="B114" s="218"/>
      <c r="C114" s="218"/>
      <c r="D114" s="41"/>
      <c r="E114" s="41"/>
      <c r="F114" s="41"/>
      <c r="G114" s="41"/>
      <c r="H114" s="41"/>
      <c r="I114" s="41"/>
      <c r="J114" s="166"/>
      <c r="K114" s="41"/>
      <c r="L114" s="41"/>
      <c r="M114" s="41"/>
      <c r="N114" s="166"/>
      <c r="O114" s="166"/>
      <c r="P114" s="41"/>
      <c r="Q114" s="41"/>
      <c r="R114" s="41"/>
      <c r="S114" s="41"/>
      <c r="T114" s="41"/>
      <c r="U114" s="41"/>
      <c r="V114" s="41"/>
      <c r="W114" s="41"/>
      <c r="X114" s="41"/>
      <c r="Y114" s="166"/>
      <c r="Z114" s="166"/>
      <c r="AA114" s="41"/>
      <c r="AB114" s="41"/>
      <c r="AC114" s="41"/>
      <c r="AD114" s="41"/>
      <c r="AE114" s="41"/>
      <c r="AF114" s="41"/>
      <c r="AG114" s="41"/>
      <c r="AH114" s="41"/>
      <c r="AI114" s="41"/>
    </row>
    <row r="115" spans="1:35" ht="15.75" customHeight="1" x14ac:dyDescent="0.2">
      <c r="A115" s="166"/>
      <c r="B115" s="218"/>
      <c r="C115" s="218"/>
      <c r="D115" s="41"/>
      <c r="E115" s="41"/>
      <c r="F115" s="41"/>
      <c r="G115" s="41"/>
      <c r="H115" s="41"/>
      <c r="I115" s="41"/>
      <c r="J115" s="166"/>
      <c r="K115" s="41"/>
      <c r="L115" s="41"/>
      <c r="M115" s="41"/>
      <c r="N115" s="166"/>
      <c r="O115" s="166"/>
      <c r="P115" s="41"/>
      <c r="Q115" s="41"/>
      <c r="R115" s="41"/>
      <c r="S115" s="41"/>
      <c r="T115" s="41"/>
      <c r="U115" s="41"/>
      <c r="V115" s="41"/>
      <c r="W115" s="41"/>
      <c r="X115" s="41"/>
      <c r="Y115" s="166"/>
      <c r="Z115" s="166"/>
      <c r="AA115" s="41"/>
      <c r="AB115" s="41"/>
      <c r="AC115" s="41"/>
      <c r="AD115" s="41"/>
      <c r="AE115" s="41"/>
      <c r="AF115" s="41"/>
      <c r="AG115" s="41"/>
      <c r="AH115" s="41"/>
      <c r="AI115" s="41"/>
    </row>
    <row r="116" spans="1:35" ht="15.75" customHeight="1" x14ac:dyDescent="0.2">
      <c r="A116" s="166"/>
      <c r="B116" s="218"/>
      <c r="C116" s="218"/>
      <c r="D116" s="41"/>
      <c r="E116" s="41"/>
      <c r="F116" s="41"/>
      <c r="G116" s="41"/>
      <c r="H116" s="41"/>
      <c r="I116" s="41"/>
      <c r="J116" s="166"/>
      <c r="K116" s="41"/>
      <c r="L116" s="41"/>
      <c r="M116" s="41"/>
      <c r="N116" s="166"/>
      <c r="O116" s="166"/>
      <c r="P116" s="41"/>
      <c r="Q116" s="41"/>
      <c r="R116" s="41"/>
      <c r="S116" s="41"/>
      <c r="T116" s="41"/>
      <c r="U116" s="41"/>
      <c r="V116" s="41"/>
      <c r="W116" s="41"/>
      <c r="X116" s="41"/>
      <c r="Y116" s="166"/>
      <c r="Z116" s="166"/>
      <c r="AA116" s="41"/>
      <c r="AB116" s="41"/>
      <c r="AC116" s="41"/>
      <c r="AD116" s="41"/>
      <c r="AE116" s="41"/>
      <c r="AF116" s="41"/>
      <c r="AG116" s="41"/>
      <c r="AH116" s="41"/>
      <c r="AI116" s="41"/>
    </row>
    <row r="117" spans="1:35" ht="15.75" customHeight="1" x14ac:dyDescent="0.2">
      <c r="A117" s="166"/>
      <c r="B117" s="218"/>
      <c r="C117" s="218"/>
      <c r="D117" s="41"/>
      <c r="E117" s="41"/>
      <c r="F117" s="41"/>
      <c r="G117" s="41"/>
      <c r="H117" s="41"/>
      <c r="I117" s="41"/>
      <c r="J117" s="166"/>
      <c r="K117" s="41"/>
      <c r="L117" s="41"/>
      <c r="M117" s="41"/>
      <c r="N117" s="166"/>
      <c r="O117" s="166"/>
      <c r="P117" s="41"/>
      <c r="Q117" s="41"/>
      <c r="R117" s="41"/>
      <c r="S117" s="41"/>
      <c r="T117" s="41"/>
      <c r="U117" s="41"/>
      <c r="V117" s="41"/>
      <c r="W117" s="41"/>
      <c r="X117" s="41"/>
      <c r="Y117" s="166"/>
      <c r="Z117" s="166"/>
      <c r="AA117" s="41"/>
      <c r="AB117" s="41"/>
      <c r="AC117" s="41"/>
      <c r="AD117" s="41"/>
      <c r="AE117" s="41"/>
      <c r="AF117" s="41"/>
      <c r="AG117" s="41"/>
      <c r="AH117" s="41"/>
      <c r="AI117" s="41"/>
    </row>
    <row r="118" spans="1:35" ht="15.75" customHeight="1" x14ac:dyDescent="0.2">
      <c r="A118" s="166"/>
      <c r="B118" s="218"/>
      <c r="C118" s="218"/>
      <c r="D118" s="41"/>
      <c r="E118" s="41"/>
      <c r="F118" s="41"/>
      <c r="G118" s="41"/>
      <c r="H118" s="41"/>
      <c r="I118" s="41"/>
      <c r="J118" s="166"/>
      <c r="K118" s="41"/>
      <c r="L118" s="41"/>
      <c r="M118" s="41"/>
      <c r="N118" s="166"/>
      <c r="O118" s="166"/>
      <c r="P118" s="41"/>
      <c r="Q118" s="41"/>
      <c r="R118" s="41"/>
      <c r="S118" s="41"/>
      <c r="T118" s="41"/>
      <c r="U118" s="41"/>
      <c r="V118" s="41"/>
      <c r="W118" s="41"/>
      <c r="X118" s="41"/>
      <c r="Y118" s="166"/>
      <c r="Z118" s="166"/>
      <c r="AA118" s="41"/>
      <c r="AB118" s="41"/>
      <c r="AC118" s="41"/>
      <c r="AD118" s="41"/>
      <c r="AE118" s="41"/>
      <c r="AF118" s="41"/>
      <c r="AG118" s="41"/>
      <c r="AH118" s="41"/>
      <c r="AI118" s="41"/>
    </row>
    <row r="119" spans="1:35" ht="15.75" customHeight="1" x14ac:dyDescent="0.2">
      <c r="A119" s="166"/>
      <c r="B119" s="218"/>
      <c r="C119" s="218"/>
      <c r="D119" s="41"/>
      <c r="E119" s="41"/>
      <c r="F119" s="41"/>
      <c r="G119" s="41"/>
      <c r="H119" s="41"/>
      <c r="I119" s="41"/>
      <c r="J119" s="166"/>
      <c r="K119" s="41"/>
      <c r="L119" s="41"/>
      <c r="M119" s="41"/>
      <c r="N119" s="166"/>
      <c r="O119" s="166"/>
      <c r="P119" s="41"/>
      <c r="Q119" s="41"/>
      <c r="R119" s="41"/>
      <c r="S119" s="41"/>
      <c r="T119" s="41"/>
      <c r="U119" s="41"/>
      <c r="V119" s="41"/>
      <c r="W119" s="41"/>
      <c r="X119" s="41"/>
      <c r="Y119" s="166"/>
      <c r="Z119" s="166"/>
      <c r="AA119" s="41"/>
      <c r="AB119" s="41"/>
      <c r="AC119" s="41"/>
      <c r="AD119" s="41"/>
      <c r="AE119" s="41"/>
      <c r="AF119" s="41"/>
      <c r="AG119" s="41"/>
      <c r="AH119" s="41"/>
      <c r="AI119" s="41"/>
    </row>
    <row r="120" spans="1:35" ht="15.75" customHeight="1" x14ac:dyDescent="0.2">
      <c r="A120" s="166"/>
      <c r="B120" s="218"/>
      <c r="C120" s="218"/>
      <c r="D120" s="41"/>
      <c r="E120" s="41"/>
      <c r="F120" s="41"/>
      <c r="G120" s="41"/>
      <c r="H120" s="41"/>
      <c r="I120" s="41"/>
      <c r="J120" s="166"/>
      <c r="K120" s="41"/>
      <c r="L120" s="41"/>
      <c r="M120" s="41"/>
      <c r="N120" s="166"/>
      <c r="O120" s="166"/>
      <c r="P120" s="41"/>
      <c r="Q120" s="41"/>
      <c r="R120" s="41"/>
      <c r="S120" s="41"/>
      <c r="T120" s="41"/>
      <c r="U120" s="41"/>
      <c r="V120" s="41"/>
      <c r="W120" s="41"/>
      <c r="X120" s="41"/>
      <c r="Y120" s="166"/>
      <c r="Z120" s="166"/>
      <c r="AA120" s="41"/>
      <c r="AB120" s="41"/>
      <c r="AC120" s="41"/>
      <c r="AD120" s="41"/>
      <c r="AE120" s="41"/>
      <c r="AF120" s="41"/>
      <c r="AG120" s="41"/>
      <c r="AH120" s="41"/>
      <c r="AI120" s="41"/>
    </row>
    <row r="121" spans="1:35" ht="15.75" customHeight="1" x14ac:dyDescent="0.2">
      <c r="A121" s="166"/>
      <c r="B121" s="218"/>
      <c r="C121" s="218"/>
      <c r="D121" s="41"/>
      <c r="E121" s="41"/>
      <c r="F121" s="41"/>
      <c r="G121" s="41"/>
      <c r="H121" s="41"/>
      <c r="I121" s="41"/>
      <c r="J121" s="166"/>
      <c r="K121" s="41"/>
      <c r="L121" s="41"/>
      <c r="M121" s="41"/>
      <c r="N121" s="166"/>
      <c r="O121" s="166"/>
      <c r="P121" s="41"/>
      <c r="Q121" s="41"/>
      <c r="R121" s="41"/>
      <c r="S121" s="41"/>
      <c r="T121" s="41"/>
      <c r="U121" s="41"/>
      <c r="V121" s="41"/>
      <c r="W121" s="41"/>
      <c r="X121" s="41"/>
      <c r="Y121" s="166"/>
      <c r="Z121" s="166"/>
      <c r="AA121" s="41"/>
      <c r="AB121" s="41"/>
      <c r="AC121" s="41"/>
      <c r="AD121" s="41"/>
      <c r="AE121" s="41"/>
      <c r="AF121" s="41"/>
      <c r="AG121" s="41"/>
      <c r="AH121" s="41"/>
      <c r="AI121" s="41"/>
    </row>
    <row r="122" spans="1:35" ht="15.75" customHeight="1" x14ac:dyDescent="0.2">
      <c r="A122" s="166"/>
      <c r="B122" s="218"/>
      <c r="C122" s="218"/>
      <c r="D122" s="41"/>
      <c r="E122" s="41"/>
      <c r="F122" s="41"/>
      <c r="G122" s="41"/>
      <c r="H122" s="41"/>
      <c r="I122" s="41"/>
      <c r="J122" s="166"/>
      <c r="K122" s="41"/>
      <c r="L122" s="41"/>
      <c r="M122" s="41"/>
      <c r="N122" s="166"/>
      <c r="O122" s="166"/>
      <c r="P122" s="41"/>
      <c r="Q122" s="41"/>
      <c r="R122" s="41"/>
      <c r="S122" s="41"/>
      <c r="T122" s="41"/>
      <c r="U122" s="41"/>
      <c r="V122" s="41"/>
      <c r="W122" s="41"/>
      <c r="X122" s="41"/>
      <c r="Y122" s="166"/>
      <c r="Z122" s="166"/>
      <c r="AA122" s="41"/>
      <c r="AB122" s="41"/>
      <c r="AC122" s="41"/>
      <c r="AD122" s="41"/>
      <c r="AE122" s="41"/>
      <c r="AF122" s="41"/>
      <c r="AG122" s="41"/>
      <c r="AH122" s="41"/>
      <c r="AI122" s="41"/>
    </row>
    <row r="123" spans="1:35" ht="15.75" customHeight="1" x14ac:dyDescent="0.2">
      <c r="A123" s="166"/>
      <c r="B123" s="218"/>
      <c r="C123" s="218"/>
      <c r="D123" s="41"/>
      <c r="E123" s="41"/>
      <c r="F123" s="41"/>
      <c r="G123" s="41"/>
      <c r="H123" s="41"/>
      <c r="I123" s="41"/>
      <c r="J123" s="166"/>
      <c r="K123" s="41"/>
      <c r="L123" s="41"/>
      <c r="M123" s="41"/>
      <c r="N123" s="166"/>
      <c r="O123" s="166"/>
      <c r="P123" s="41"/>
      <c r="Q123" s="41"/>
      <c r="R123" s="41"/>
      <c r="S123" s="41"/>
      <c r="T123" s="41"/>
      <c r="U123" s="41"/>
      <c r="V123" s="41"/>
      <c r="W123" s="41"/>
      <c r="X123" s="41"/>
      <c r="Y123" s="166"/>
      <c r="Z123" s="166"/>
      <c r="AA123" s="41"/>
      <c r="AB123" s="41"/>
      <c r="AC123" s="41"/>
      <c r="AD123" s="41"/>
      <c r="AE123" s="41"/>
      <c r="AF123" s="41"/>
      <c r="AG123" s="41"/>
      <c r="AH123" s="41"/>
      <c r="AI123" s="41"/>
    </row>
    <row r="124" spans="1:35" ht="15.75" customHeight="1" x14ac:dyDescent="0.2">
      <c r="A124" s="166"/>
      <c r="B124" s="218"/>
      <c r="C124" s="218"/>
      <c r="D124" s="41"/>
      <c r="E124" s="41"/>
      <c r="F124" s="41"/>
      <c r="G124" s="41"/>
      <c r="H124" s="41"/>
      <c r="I124" s="41"/>
      <c r="J124" s="166"/>
      <c r="K124" s="41"/>
      <c r="L124" s="41"/>
      <c r="M124" s="41"/>
      <c r="N124" s="166"/>
      <c r="O124" s="166"/>
      <c r="P124" s="41"/>
      <c r="Q124" s="41"/>
      <c r="R124" s="41"/>
      <c r="S124" s="41"/>
      <c r="T124" s="41"/>
      <c r="U124" s="41"/>
      <c r="V124" s="41"/>
      <c r="W124" s="41"/>
      <c r="X124" s="41"/>
      <c r="Y124" s="166"/>
      <c r="Z124" s="166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5.75" customHeight="1" x14ac:dyDescent="0.2">
      <c r="A125" s="166"/>
      <c r="B125" s="218"/>
      <c r="C125" s="218"/>
      <c r="D125" s="41"/>
      <c r="E125" s="41"/>
      <c r="F125" s="41"/>
      <c r="G125" s="41"/>
      <c r="H125" s="41"/>
      <c r="I125" s="41"/>
      <c r="J125" s="166"/>
      <c r="K125" s="41"/>
      <c r="L125" s="41"/>
      <c r="M125" s="41"/>
      <c r="N125" s="166"/>
      <c r="O125" s="166"/>
      <c r="P125" s="41"/>
      <c r="Q125" s="41"/>
      <c r="R125" s="41"/>
      <c r="S125" s="41"/>
      <c r="T125" s="41"/>
      <c r="U125" s="41"/>
      <c r="V125" s="41"/>
      <c r="W125" s="41"/>
      <c r="X125" s="41"/>
      <c r="Y125" s="166"/>
      <c r="Z125" s="166"/>
      <c r="AA125" s="41"/>
      <c r="AB125" s="41"/>
      <c r="AC125" s="41"/>
      <c r="AD125" s="41"/>
      <c r="AE125" s="41"/>
      <c r="AF125" s="41"/>
      <c r="AG125" s="41"/>
      <c r="AH125" s="41"/>
      <c r="AI125" s="41"/>
    </row>
    <row r="126" spans="1:35" ht="15.75" customHeight="1" x14ac:dyDescent="0.2">
      <c r="A126" s="166"/>
      <c r="B126" s="218"/>
      <c r="C126" s="218"/>
      <c r="D126" s="41"/>
      <c r="E126" s="41"/>
      <c r="F126" s="41"/>
      <c r="G126" s="41"/>
      <c r="H126" s="41"/>
      <c r="I126" s="41"/>
      <c r="J126" s="166"/>
      <c r="K126" s="41"/>
      <c r="L126" s="41"/>
      <c r="M126" s="41"/>
      <c r="N126" s="166"/>
      <c r="O126" s="166"/>
      <c r="P126" s="41"/>
      <c r="Q126" s="41"/>
      <c r="R126" s="41"/>
      <c r="S126" s="41"/>
      <c r="T126" s="41"/>
      <c r="U126" s="41"/>
      <c r="V126" s="41"/>
      <c r="W126" s="41"/>
      <c r="X126" s="41"/>
      <c r="Y126" s="166"/>
      <c r="Z126" s="166"/>
      <c r="AA126" s="41"/>
      <c r="AB126" s="41"/>
      <c r="AC126" s="41"/>
      <c r="AD126" s="41"/>
      <c r="AE126" s="41"/>
      <c r="AF126" s="41"/>
      <c r="AG126" s="41"/>
      <c r="AH126" s="41"/>
      <c r="AI126" s="41"/>
    </row>
    <row r="127" spans="1:35" ht="15.75" customHeight="1" x14ac:dyDescent="0.2">
      <c r="A127" s="166"/>
      <c r="B127" s="218"/>
      <c r="C127" s="218"/>
      <c r="D127" s="41"/>
      <c r="E127" s="41"/>
      <c r="F127" s="41"/>
      <c r="G127" s="41"/>
      <c r="H127" s="41"/>
      <c r="I127" s="41"/>
      <c r="J127" s="166"/>
      <c r="K127" s="41"/>
      <c r="L127" s="41"/>
      <c r="M127" s="41"/>
      <c r="N127" s="166"/>
      <c r="O127" s="166"/>
      <c r="P127" s="41"/>
      <c r="Q127" s="41"/>
      <c r="R127" s="41"/>
      <c r="S127" s="41"/>
      <c r="T127" s="41"/>
      <c r="U127" s="41"/>
      <c r="V127" s="41"/>
      <c r="W127" s="41"/>
      <c r="X127" s="41"/>
      <c r="Y127" s="166"/>
      <c r="Z127" s="166"/>
      <c r="AA127" s="41"/>
      <c r="AB127" s="41"/>
      <c r="AC127" s="41"/>
      <c r="AD127" s="41"/>
      <c r="AE127" s="41"/>
      <c r="AF127" s="41"/>
      <c r="AG127" s="41"/>
      <c r="AH127" s="41"/>
      <c r="AI127" s="41"/>
    </row>
    <row r="128" spans="1:35" ht="15.75" customHeight="1" x14ac:dyDescent="0.2">
      <c r="A128" s="166"/>
      <c r="B128" s="218"/>
      <c r="C128" s="218"/>
      <c r="D128" s="41"/>
      <c r="E128" s="41"/>
      <c r="F128" s="41"/>
      <c r="G128" s="41"/>
      <c r="H128" s="41"/>
      <c r="I128" s="41"/>
      <c r="J128" s="166"/>
      <c r="K128" s="41"/>
      <c r="L128" s="41"/>
      <c r="M128" s="41"/>
      <c r="N128" s="166"/>
      <c r="O128" s="166"/>
      <c r="P128" s="41"/>
      <c r="Q128" s="41"/>
      <c r="R128" s="41"/>
      <c r="S128" s="41"/>
      <c r="T128" s="41"/>
      <c r="U128" s="41"/>
      <c r="V128" s="41"/>
      <c r="W128" s="41"/>
      <c r="X128" s="41"/>
      <c r="Y128" s="166"/>
      <c r="Z128" s="166"/>
      <c r="AA128" s="41"/>
      <c r="AB128" s="41"/>
      <c r="AC128" s="41"/>
      <c r="AD128" s="41"/>
      <c r="AE128" s="41"/>
      <c r="AF128" s="41"/>
      <c r="AG128" s="41"/>
      <c r="AH128" s="41"/>
      <c r="AI128" s="41"/>
    </row>
    <row r="129" spans="1:35" ht="15.75" customHeight="1" x14ac:dyDescent="0.2">
      <c r="A129" s="166"/>
      <c r="B129" s="218"/>
      <c r="C129" s="218"/>
      <c r="D129" s="41"/>
      <c r="E129" s="41"/>
      <c r="F129" s="41"/>
      <c r="G129" s="41"/>
      <c r="H129" s="41"/>
      <c r="I129" s="41"/>
      <c r="J129" s="166"/>
      <c r="K129" s="41"/>
      <c r="L129" s="41"/>
      <c r="M129" s="41"/>
      <c r="N129" s="166"/>
      <c r="O129" s="166"/>
      <c r="P129" s="41"/>
      <c r="Q129" s="41"/>
      <c r="R129" s="41"/>
      <c r="S129" s="41"/>
      <c r="T129" s="41"/>
      <c r="U129" s="41"/>
      <c r="V129" s="41"/>
      <c r="W129" s="41"/>
      <c r="X129" s="41"/>
      <c r="Y129" s="166"/>
      <c r="Z129" s="166"/>
      <c r="AA129" s="41"/>
      <c r="AB129" s="41"/>
      <c r="AC129" s="41"/>
      <c r="AD129" s="41"/>
      <c r="AE129" s="41"/>
      <c r="AF129" s="41"/>
      <c r="AG129" s="41"/>
      <c r="AH129" s="41"/>
      <c r="AI129" s="41"/>
    </row>
    <row r="130" spans="1:35" ht="15.75" customHeight="1" x14ac:dyDescent="0.2">
      <c r="A130" s="166"/>
      <c r="B130" s="218"/>
      <c r="C130" s="218"/>
      <c r="D130" s="41"/>
      <c r="E130" s="41"/>
      <c r="F130" s="41"/>
      <c r="G130" s="41"/>
      <c r="H130" s="41"/>
      <c r="I130" s="41"/>
      <c r="J130" s="166"/>
      <c r="K130" s="41"/>
      <c r="L130" s="41"/>
      <c r="M130" s="41"/>
      <c r="N130" s="166"/>
      <c r="O130" s="166"/>
      <c r="P130" s="41"/>
      <c r="Q130" s="41"/>
      <c r="R130" s="41"/>
      <c r="S130" s="41"/>
      <c r="T130" s="41"/>
      <c r="U130" s="41"/>
      <c r="V130" s="41"/>
      <c r="W130" s="41"/>
      <c r="X130" s="41"/>
      <c r="Y130" s="166"/>
      <c r="Z130" s="166"/>
      <c r="AA130" s="41"/>
      <c r="AB130" s="41"/>
      <c r="AC130" s="41"/>
      <c r="AD130" s="41"/>
      <c r="AE130" s="41"/>
      <c r="AF130" s="41"/>
      <c r="AG130" s="41"/>
      <c r="AH130" s="41"/>
      <c r="AI130" s="41"/>
    </row>
    <row r="131" spans="1:35" ht="15.75" customHeight="1" x14ac:dyDescent="0.2">
      <c r="A131" s="166"/>
      <c r="B131" s="218"/>
      <c r="C131" s="218"/>
      <c r="D131" s="41"/>
      <c r="E131" s="41"/>
      <c r="F131" s="41"/>
      <c r="G131" s="41"/>
      <c r="H131" s="41"/>
      <c r="I131" s="41"/>
      <c r="J131" s="166"/>
      <c r="K131" s="41"/>
      <c r="L131" s="41"/>
      <c r="M131" s="41"/>
      <c r="N131" s="166"/>
      <c r="O131" s="166"/>
      <c r="P131" s="41"/>
      <c r="Q131" s="41"/>
      <c r="R131" s="41"/>
      <c r="S131" s="41"/>
      <c r="T131" s="41"/>
      <c r="U131" s="41"/>
      <c r="V131" s="41"/>
      <c r="W131" s="41"/>
      <c r="X131" s="41"/>
      <c r="Y131" s="166"/>
      <c r="Z131" s="166"/>
      <c r="AA131" s="41"/>
      <c r="AB131" s="41"/>
      <c r="AC131" s="41"/>
      <c r="AD131" s="41"/>
      <c r="AE131" s="41"/>
      <c r="AF131" s="41"/>
      <c r="AG131" s="41"/>
      <c r="AH131" s="41"/>
      <c r="AI131" s="41"/>
    </row>
    <row r="132" spans="1:35" ht="15.75" customHeight="1" x14ac:dyDescent="0.2">
      <c r="A132" s="166"/>
      <c r="B132" s="218"/>
      <c r="C132" s="218"/>
      <c r="D132" s="41"/>
      <c r="E132" s="41"/>
      <c r="F132" s="41"/>
      <c r="G132" s="41"/>
      <c r="H132" s="41"/>
      <c r="I132" s="41"/>
      <c r="J132" s="166"/>
      <c r="K132" s="41"/>
      <c r="L132" s="41"/>
      <c r="M132" s="41"/>
      <c r="N132" s="166"/>
      <c r="O132" s="166"/>
      <c r="P132" s="41"/>
      <c r="Q132" s="41"/>
      <c r="R132" s="41"/>
      <c r="S132" s="41"/>
      <c r="T132" s="41"/>
      <c r="U132" s="41"/>
      <c r="V132" s="41"/>
      <c r="W132" s="41"/>
      <c r="X132" s="41"/>
      <c r="Y132" s="166"/>
      <c r="Z132" s="166"/>
      <c r="AA132" s="41"/>
      <c r="AB132" s="41"/>
      <c r="AC132" s="41"/>
      <c r="AD132" s="41"/>
      <c r="AE132" s="41"/>
      <c r="AF132" s="41"/>
      <c r="AG132" s="41"/>
      <c r="AH132" s="41"/>
      <c r="AI132" s="41"/>
    </row>
    <row r="133" spans="1:35" ht="15.75" customHeight="1" x14ac:dyDescent="0.2">
      <c r="A133" s="166"/>
      <c r="B133" s="218"/>
      <c r="C133" s="218"/>
      <c r="D133" s="41"/>
      <c r="E133" s="41"/>
      <c r="F133" s="41"/>
      <c r="G133" s="41"/>
      <c r="H133" s="41"/>
      <c r="I133" s="41"/>
      <c r="J133" s="166"/>
      <c r="K133" s="41"/>
      <c r="L133" s="41"/>
      <c r="M133" s="41"/>
      <c r="N133" s="166"/>
      <c r="O133" s="166"/>
      <c r="P133" s="41"/>
      <c r="Q133" s="41"/>
      <c r="R133" s="41"/>
      <c r="S133" s="41"/>
      <c r="T133" s="41"/>
      <c r="U133" s="41"/>
      <c r="V133" s="41"/>
      <c r="W133" s="41"/>
      <c r="X133" s="41"/>
      <c r="Y133" s="166"/>
      <c r="Z133" s="166"/>
      <c r="AA133" s="41"/>
      <c r="AB133" s="41"/>
      <c r="AC133" s="41"/>
      <c r="AD133" s="41"/>
      <c r="AE133" s="41"/>
      <c r="AF133" s="41"/>
      <c r="AG133" s="41"/>
      <c r="AH133" s="41"/>
      <c r="AI133" s="41"/>
    </row>
    <row r="134" spans="1:35" ht="15.75" customHeight="1" x14ac:dyDescent="0.2">
      <c r="A134" s="166"/>
      <c r="B134" s="218"/>
      <c r="C134" s="218"/>
      <c r="D134" s="41"/>
      <c r="E134" s="41"/>
      <c r="F134" s="41"/>
      <c r="G134" s="41"/>
      <c r="H134" s="41"/>
      <c r="I134" s="41"/>
      <c r="J134" s="166"/>
      <c r="K134" s="41"/>
      <c r="L134" s="41"/>
      <c r="M134" s="41"/>
      <c r="N134" s="166"/>
      <c r="O134" s="166"/>
      <c r="P134" s="41"/>
      <c r="Q134" s="41"/>
      <c r="R134" s="41"/>
      <c r="S134" s="41"/>
      <c r="T134" s="41"/>
      <c r="U134" s="41"/>
      <c r="V134" s="41"/>
      <c r="W134" s="41"/>
      <c r="X134" s="41"/>
      <c r="Y134" s="166"/>
      <c r="Z134" s="166"/>
      <c r="AA134" s="41"/>
      <c r="AB134" s="41"/>
      <c r="AC134" s="41"/>
      <c r="AD134" s="41"/>
      <c r="AE134" s="41"/>
      <c r="AF134" s="41"/>
      <c r="AG134" s="41"/>
      <c r="AH134" s="41"/>
      <c r="AI134" s="41"/>
    </row>
    <row r="135" spans="1:35" ht="15.75" customHeight="1" x14ac:dyDescent="0.2">
      <c r="A135" s="166"/>
      <c r="B135" s="218"/>
      <c r="C135" s="218"/>
      <c r="D135" s="41"/>
      <c r="E135" s="41"/>
      <c r="F135" s="41"/>
      <c r="G135" s="41"/>
      <c r="H135" s="41"/>
      <c r="I135" s="41"/>
      <c r="J135" s="166"/>
      <c r="K135" s="41"/>
      <c r="L135" s="41"/>
      <c r="M135" s="41"/>
      <c r="N135" s="166"/>
      <c r="O135" s="166"/>
      <c r="P135" s="41"/>
      <c r="Q135" s="41"/>
      <c r="R135" s="41"/>
      <c r="S135" s="41"/>
      <c r="T135" s="41"/>
      <c r="U135" s="41"/>
      <c r="V135" s="41"/>
      <c r="W135" s="41"/>
      <c r="X135" s="41"/>
      <c r="Y135" s="166"/>
      <c r="Z135" s="166"/>
      <c r="AA135" s="41"/>
      <c r="AB135" s="41"/>
      <c r="AC135" s="41"/>
      <c r="AD135" s="41"/>
      <c r="AE135" s="41"/>
      <c r="AF135" s="41"/>
      <c r="AG135" s="41"/>
      <c r="AH135" s="41"/>
      <c r="AI135" s="41"/>
    </row>
    <row r="136" spans="1:35" ht="15.75" customHeight="1" x14ac:dyDescent="0.2">
      <c r="A136" s="166"/>
      <c r="B136" s="218"/>
      <c r="C136" s="218"/>
      <c r="D136" s="41"/>
      <c r="E136" s="41"/>
      <c r="F136" s="41"/>
      <c r="G136" s="41"/>
      <c r="H136" s="41"/>
      <c r="I136" s="41"/>
      <c r="J136" s="166"/>
      <c r="K136" s="41"/>
      <c r="L136" s="41"/>
      <c r="M136" s="41"/>
      <c r="N136" s="166"/>
      <c r="O136" s="166"/>
      <c r="P136" s="41"/>
      <c r="Q136" s="41"/>
      <c r="R136" s="41"/>
      <c r="S136" s="41"/>
      <c r="T136" s="41"/>
      <c r="U136" s="41"/>
      <c r="V136" s="41"/>
      <c r="W136" s="41"/>
      <c r="X136" s="41"/>
      <c r="Y136" s="166"/>
      <c r="Z136" s="166"/>
      <c r="AA136" s="41"/>
      <c r="AB136" s="41"/>
      <c r="AC136" s="41"/>
      <c r="AD136" s="41"/>
      <c r="AE136" s="41"/>
      <c r="AF136" s="41"/>
      <c r="AG136" s="41"/>
      <c r="AH136" s="41"/>
      <c r="AI136" s="41"/>
    </row>
    <row r="137" spans="1:35" ht="15.75" customHeight="1" x14ac:dyDescent="0.2">
      <c r="A137" s="166"/>
      <c r="B137" s="218"/>
      <c r="C137" s="218"/>
      <c r="D137" s="41"/>
      <c r="E137" s="41"/>
      <c r="F137" s="41"/>
      <c r="G137" s="41"/>
      <c r="H137" s="41"/>
      <c r="I137" s="41"/>
      <c r="J137" s="166"/>
      <c r="K137" s="41"/>
      <c r="L137" s="41"/>
      <c r="M137" s="41"/>
      <c r="N137" s="166"/>
      <c r="O137" s="166"/>
      <c r="P137" s="41"/>
      <c r="Q137" s="41"/>
      <c r="R137" s="41"/>
      <c r="S137" s="41"/>
      <c r="T137" s="41"/>
      <c r="U137" s="41"/>
      <c r="V137" s="41"/>
      <c r="W137" s="41"/>
      <c r="X137" s="41"/>
      <c r="Y137" s="166"/>
      <c r="Z137" s="166"/>
      <c r="AA137" s="41"/>
      <c r="AB137" s="41"/>
      <c r="AC137" s="41"/>
      <c r="AD137" s="41"/>
      <c r="AE137" s="41"/>
      <c r="AF137" s="41"/>
      <c r="AG137" s="41"/>
      <c r="AH137" s="41"/>
      <c r="AI137" s="41"/>
    </row>
    <row r="138" spans="1:35" ht="15.75" customHeight="1" x14ac:dyDescent="0.2">
      <c r="A138" s="166"/>
      <c r="B138" s="218"/>
      <c r="C138" s="218"/>
      <c r="D138" s="41"/>
      <c r="E138" s="41"/>
      <c r="F138" s="41"/>
      <c r="G138" s="41"/>
      <c r="H138" s="41"/>
      <c r="I138" s="41"/>
      <c r="J138" s="166"/>
      <c r="K138" s="41"/>
      <c r="L138" s="41"/>
      <c r="M138" s="41"/>
      <c r="N138" s="166"/>
      <c r="O138" s="166"/>
      <c r="P138" s="41"/>
      <c r="Q138" s="41"/>
      <c r="R138" s="41"/>
      <c r="S138" s="41"/>
      <c r="T138" s="41"/>
      <c r="U138" s="41"/>
      <c r="V138" s="41"/>
      <c r="W138" s="41"/>
      <c r="X138" s="41"/>
      <c r="Y138" s="166"/>
      <c r="Z138" s="166"/>
      <c r="AA138" s="41"/>
      <c r="AB138" s="41"/>
      <c r="AC138" s="41"/>
      <c r="AD138" s="41"/>
      <c r="AE138" s="41"/>
      <c r="AF138" s="41"/>
      <c r="AG138" s="41"/>
      <c r="AH138" s="41"/>
      <c r="AI138" s="41"/>
    </row>
    <row r="139" spans="1:35" ht="15.75" customHeight="1" x14ac:dyDescent="0.2">
      <c r="A139" s="166"/>
      <c r="B139" s="218"/>
      <c r="C139" s="218"/>
      <c r="D139" s="41"/>
      <c r="E139" s="41"/>
      <c r="F139" s="41"/>
      <c r="G139" s="41"/>
      <c r="H139" s="41"/>
      <c r="I139" s="41"/>
      <c r="J139" s="166"/>
      <c r="K139" s="41"/>
      <c r="L139" s="41"/>
      <c r="M139" s="41"/>
      <c r="N139" s="166"/>
      <c r="O139" s="166"/>
      <c r="P139" s="41"/>
      <c r="Q139" s="41"/>
      <c r="R139" s="41"/>
      <c r="S139" s="41"/>
      <c r="T139" s="41"/>
      <c r="U139" s="41"/>
      <c r="V139" s="41"/>
      <c r="W139" s="41"/>
      <c r="X139" s="41"/>
      <c r="Y139" s="166"/>
      <c r="Z139" s="166"/>
      <c r="AA139" s="41"/>
      <c r="AB139" s="41"/>
      <c r="AC139" s="41"/>
      <c r="AD139" s="41"/>
      <c r="AE139" s="41"/>
      <c r="AF139" s="41"/>
      <c r="AG139" s="41"/>
      <c r="AH139" s="41"/>
      <c r="AI139" s="41"/>
    </row>
    <row r="140" spans="1:35" ht="15.75" customHeight="1" x14ac:dyDescent="0.2">
      <c r="A140" s="166"/>
      <c r="B140" s="218"/>
      <c r="C140" s="218"/>
      <c r="D140" s="41"/>
      <c r="E140" s="41"/>
      <c r="F140" s="41"/>
      <c r="G140" s="41"/>
      <c r="H140" s="41"/>
      <c r="I140" s="41"/>
      <c r="J140" s="166"/>
      <c r="K140" s="41"/>
      <c r="L140" s="41"/>
      <c r="M140" s="41"/>
      <c r="N140" s="166"/>
      <c r="O140" s="166"/>
      <c r="P140" s="41"/>
      <c r="Q140" s="41"/>
      <c r="R140" s="41"/>
      <c r="S140" s="41"/>
      <c r="T140" s="41"/>
      <c r="U140" s="41"/>
      <c r="V140" s="41"/>
      <c r="W140" s="41"/>
      <c r="X140" s="41"/>
      <c r="Y140" s="166"/>
      <c r="Z140" s="166"/>
      <c r="AA140" s="41"/>
      <c r="AB140" s="41"/>
      <c r="AC140" s="41"/>
      <c r="AD140" s="41"/>
      <c r="AE140" s="41"/>
      <c r="AF140" s="41"/>
      <c r="AG140" s="41"/>
      <c r="AH140" s="41"/>
      <c r="AI140" s="41"/>
    </row>
    <row r="141" spans="1:35" ht="15.75" customHeight="1" x14ac:dyDescent="0.2">
      <c r="A141" s="166"/>
      <c r="B141" s="218"/>
      <c r="C141" s="218"/>
      <c r="D141" s="41"/>
      <c r="E141" s="41"/>
      <c r="F141" s="41"/>
      <c r="G141" s="41"/>
      <c r="H141" s="41"/>
      <c r="I141" s="41"/>
      <c r="J141" s="166"/>
      <c r="K141" s="41"/>
      <c r="L141" s="41"/>
      <c r="M141" s="41"/>
      <c r="N141" s="166"/>
      <c r="O141" s="166"/>
      <c r="P141" s="41"/>
      <c r="Q141" s="41"/>
      <c r="R141" s="41"/>
      <c r="S141" s="41"/>
      <c r="T141" s="41"/>
      <c r="U141" s="41"/>
      <c r="V141" s="41"/>
      <c r="W141" s="41"/>
      <c r="X141" s="41"/>
      <c r="Y141" s="166"/>
      <c r="Z141" s="166"/>
      <c r="AA141" s="41"/>
      <c r="AB141" s="41"/>
      <c r="AC141" s="41"/>
      <c r="AD141" s="41"/>
      <c r="AE141" s="41"/>
      <c r="AF141" s="41"/>
      <c r="AG141" s="41"/>
      <c r="AH141" s="41"/>
      <c r="AI141" s="41"/>
    </row>
    <row r="142" spans="1:35" ht="15.75" customHeight="1" x14ac:dyDescent="0.2">
      <c r="A142" s="166"/>
      <c r="B142" s="218"/>
      <c r="C142" s="218"/>
      <c r="D142" s="41"/>
      <c r="E142" s="41"/>
      <c r="F142" s="41"/>
      <c r="G142" s="41"/>
      <c r="H142" s="41"/>
      <c r="I142" s="41"/>
      <c r="J142" s="166"/>
      <c r="K142" s="41"/>
      <c r="L142" s="41"/>
      <c r="M142" s="41"/>
      <c r="N142" s="166"/>
      <c r="O142" s="166"/>
      <c r="P142" s="41"/>
      <c r="Q142" s="41"/>
      <c r="R142" s="41"/>
      <c r="S142" s="41"/>
      <c r="T142" s="41"/>
      <c r="U142" s="41"/>
      <c r="V142" s="41"/>
      <c r="W142" s="41"/>
      <c r="X142" s="41"/>
      <c r="Y142" s="166"/>
      <c r="Z142" s="166"/>
      <c r="AA142" s="41"/>
      <c r="AB142" s="41"/>
      <c r="AC142" s="41"/>
      <c r="AD142" s="41"/>
      <c r="AE142" s="41"/>
      <c r="AF142" s="41"/>
      <c r="AG142" s="41"/>
      <c r="AH142" s="41"/>
      <c r="AI142" s="41"/>
    </row>
    <row r="143" spans="1:35" ht="15.75" customHeight="1" x14ac:dyDescent="0.2">
      <c r="A143" s="166"/>
      <c r="B143" s="218"/>
      <c r="C143" s="218"/>
      <c r="D143" s="41"/>
      <c r="E143" s="41"/>
      <c r="F143" s="41"/>
      <c r="G143" s="41"/>
      <c r="H143" s="41"/>
      <c r="I143" s="41"/>
      <c r="J143" s="166"/>
      <c r="K143" s="41"/>
      <c r="L143" s="41"/>
      <c r="M143" s="41"/>
      <c r="N143" s="166"/>
      <c r="O143" s="166"/>
      <c r="P143" s="41"/>
      <c r="Q143" s="41"/>
      <c r="R143" s="41"/>
      <c r="S143" s="41"/>
      <c r="T143" s="41"/>
      <c r="U143" s="41"/>
      <c r="V143" s="41"/>
      <c r="W143" s="41"/>
      <c r="X143" s="41"/>
      <c r="Y143" s="166"/>
      <c r="Z143" s="166"/>
      <c r="AA143" s="41"/>
      <c r="AB143" s="41"/>
      <c r="AC143" s="41"/>
      <c r="AD143" s="41"/>
      <c r="AE143" s="41"/>
      <c r="AF143" s="41"/>
      <c r="AG143" s="41"/>
      <c r="AH143" s="41"/>
      <c r="AI143" s="41"/>
    </row>
    <row r="144" spans="1:35" ht="15.75" customHeight="1" x14ac:dyDescent="0.2">
      <c r="A144" s="166"/>
      <c r="B144" s="218"/>
      <c r="C144" s="218"/>
      <c r="D144" s="41"/>
      <c r="E144" s="41"/>
      <c r="F144" s="41"/>
      <c r="G144" s="41"/>
      <c r="H144" s="41"/>
      <c r="I144" s="41"/>
      <c r="J144" s="166"/>
      <c r="K144" s="41"/>
      <c r="L144" s="41"/>
      <c r="M144" s="41"/>
      <c r="N144" s="166"/>
      <c r="O144" s="166"/>
      <c r="P144" s="41"/>
      <c r="Q144" s="41"/>
      <c r="R144" s="41"/>
      <c r="S144" s="41"/>
      <c r="T144" s="41"/>
      <c r="U144" s="41"/>
      <c r="V144" s="41"/>
      <c r="W144" s="41"/>
      <c r="X144" s="41"/>
      <c r="Y144" s="166"/>
      <c r="Z144" s="166"/>
      <c r="AA144" s="41"/>
      <c r="AB144" s="41"/>
      <c r="AC144" s="41"/>
      <c r="AD144" s="41"/>
      <c r="AE144" s="41"/>
      <c r="AF144" s="41"/>
      <c r="AG144" s="41"/>
      <c r="AH144" s="41"/>
      <c r="AI144" s="41"/>
    </row>
    <row r="145" spans="1:35" ht="15.75" customHeight="1" x14ac:dyDescent="0.2">
      <c r="A145" s="166"/>
      <c r="B145" s="218"/>
      <c r="C145" s="218"/>
      <c r="D145" s="41"/>
      <c r="E145" s="41"/>
      <c r="F145" s="41"/>
      <c r="G145" s="41"/>
      <c r="H145" s="41"/>
      <c r="I145" s="41"/>
      <c r="J145" s="166"/>
      <c r="K145" s="41"/>
      <c r="L145" s="41"/>
      <c r="M145" s="41"/>
      <c r="N145" s="166"/>
      <c r="O145" s="166"/>
      <c r="P145" s="41"/>
      <c r="Q145" s="41"/>
      <c r="R145" s="41"/>
      <c r="S145" s="41"/>
      <c r="T145" s="41"/>
      <c r="U145" s="41"/>
      <c r="V145" s="41"/>
      <c r="W145" s="41"/>
      <c r="X145" s="41"/>
      <c r="Y145" s="166"/>
      <c r="Z145" s="166"/>
      <c r="AA145" s="41"/>
      <c r="AB145" s="41"/>
      <c r="AC145" s="41"/>
      <c r="AD145" s="41"/>
      <c r="AE145" s="41"/>
      <c r="AF145" s="41"/>
      <c r="AG145" s="41"/>
      <c r="AH145" s="41"/>
      <c r="AI145" s="41"/>
    </row>
    <row r="146" spans="1:35" ht="15.75" customHeight="1" x14ac:dyDescent="0.2">
      <c r="A146" s="166"/>
      <c r="B146" s="218"/>
      <c r="C146" s="218"/>
      <c r="D146" s="41"/>
      <c r="E146" s="41"/>
      <c r="F146" s="41"/>
      <c r="G146" s="41"/>
      <c r="H146" s="41"/>
      <c r="I146" s="41"/>
      <c r="J146" s="166"/>
      <c r="K146" s="41"/>
      <c r="L146" s="41"/>
      <c r="M146" s="41"/>
      <c r="N146" s="166"/>
      <c r="O146" s="166"/>
      <c r="P146" s="41"/>
      <c r="Q146" s="41"/>
      <c r="R146" s="41"/>
      <c r="S146" s="41"/>
      <c r="T146" s="41"/>
      <c r="U146" s="41"/>
      <c r="V146" s="41"/>
      <c r="W146" s="41"/>
      <c r="X146" s="41"/>
      <c r="Y146" s="166"/>
      <c r="Z146" s="166"/>
      <c r="AA146" s="41"/>
      <c r="AB146" s="41"/>
      <c r="AC146" s="41"/>
      <c r="AD146" s="41"/>
      <c r="AE146" s="41"/>
      <c r="AF146" s="41"/>
      <c r="AG146" s="41"/>
      <c r="AH146" s="41"/>
      <c r="AI146" s="41"/>
    </row>
    <row r="147" spans="1:35" ht="15.75" customHeight="1" x14ac:dyDescent="0.2">
      <c r="A147" s="166"/>
      <c r="B147" s="218"/>
      <c r="C147" s="218"/>
      <c r="D147" s="41"/>
      <c r="E147" s="41"/>
      <c r="F147" s="41"/>
      <c r="G147" s="41"/>
      <c r="H147" s="41"/>
      <c r="I147" s="41"/>
      <c r="J147" s="166"/>
      <c r="K147" s="41"/>
      <c r="L147" s="41"/>
      <c r="M147" s="41"/>
      <c r="N147" s="166"/>
      <c r="O147" s="166"/>
      <c r="P147" s="41"/>
      <c r="Q147" s="41"/>
      <c r="R147" s="41"/>
      <c r="S147" s="41"/>
      <c r="T147" s="41"/>
      <c r="U147" s="41"/>
      <c r="V147" s="41"/>
      <c r="W147" s="41"/>
      <c r="X147" s="41"/>
      <c r="Y147" s="166"/>
      <c r="Z147" s="166"/>
      <c r="AA147" s="41"/>
      <c r="AB147" s="41"/>
      <c r="AC147" s="41"/>
      <c r="AD147" s="41"/>
      <c r="AE147" s="41"/>
      <c r="AF147" s="41"/>
      <c r="AG147" s="41"/>
      <c r="AH147" s="41"/>
      <c r="AI147" s="41"/>
    </row>
    <row r="148" spans="1:35" ht="15.75" customHeight="1" x14ac:dyDescent="0.2">
      <c r="A148" s="166"/>
      <c r="B148" s="218"/>
      <c r="C148" s="218"/>
      <c r="D148" s="41"/>
      <c r="E148" s="41"/>
      <c r="F148" s="41"/>
      <c r="G148" s="41"/>
      <c r="H148" s="41"/>
      <c r="I148" s="41"/>
      <c r="J148" s="166"/>
      <c r="K148" s="41"/>
      <c r="L148" s="41"/>
      <c r="M148" s="41"/>
      <c r="N148" s="166"/>
      <c r="O148" s="166"/>
      <c r="P148" s="41"/>
      <c r="Q148" s="41"/>
      <c r="R148" s="41"/>
      <c r="S148" s="41"/>
      <c r="T148" s="41"/>
      <c r="U148" s="41"/>
      <c r="V148" s="41"/>
      <c r="W148" s="41"/>
      <c r="X148" s="41"/>
      <c r="Y148" s="166"/>
      <c r="Z148" s="166"/>
      <c r="AA148" s="41"/>
      <c r="AB148" s="41"/>
      <c r="AC148" s="41"/>
      <c r="AD148" s="41"/>
      <c r="AE148" s="41"/>
      <c r="AF148" s="41"/>
      <c r="AG148" s="41"/>
      <c r="AH148" s="41"/>
      <c r="AI148" s="41"/>
    </row>
    <row r="149" spans="1:35" ht="15.75" customHeight="1" x14ac:dyDescent="0.2">
      <c r="A149" s="166"/>
      <c r="B149" s="218"/>
      <c r="C149" s="218"/>
      <c r="D149" s="41"/>
      <c r="E149" s="41"/>
      <c r="F149" s="41"/>
      <c r="G149" s="41"/>
      <c r="H149" s="41"/>
      <c r="I149" s="41"/>
      <c r="J149" s="166"/>
      <c r="K149" s="41"/>
      <c r="L149" s="41"/>
      <c r="M149" s="41"/>
      <c r="N149" s="166"/>
      <c r="O149" s="166"/>
      <c r="P149" s="41"/>
      <c r="Q149" s="41"/>
      <c r="R149" s="41"/>
      <c r="S149" s="41"/>
      <c r="T149" s="41"/>
      <c r="U149" s="41"/>
      <c r="V149" s="41"/>
      <c r="W149" s="41"/>
      <c r="X149" s="41"/>
      <c r="Y149" s="166"/>
      <c r="Z149" s="166"/>
      <c r="AA149" s="41"/>
      <c r="AB149" s="41"/>
      <c r="AC149" s="41"/>
      <c r="AD149" s="41"/>
      <c r="AE149" s="41"/>
      <c r="AF149" s="41"/>
      <c r="AG149" s="41"/>
      <c r="AH149" s="41"/>
      <c r="AI149" s="41"/>
    </row>
    <row r="150" spans="1:35" ht="15.75" customHeight="1" x14ac:dyDescent="0.2">
      <c r="A150" s="166"/>
      <c r="B150" s="218"/>
      <c r="C150" s="218"/>
      <c r="D150" s="41"/>
      <c r="E150" s="41"/>
      <c r="F150" s="41"/>
      <c r="G150" s="41"/>
      <c r="H150" s="41"/>
      <c r="I150" s="41"/>
      <c r="J150" s="166"/>
      <c r="K150" s="41"/>
      <c r="L150" s="41"/>
      <c r="M150" s="41"/>
      <c r="N150" s="166"/>
      <c r="O150" s="166"/>
      <c r="P150" s="41"/>
      <c r="Q150" s="41"/>
      <c r="R150" s="41"/>
      <c r="S150" s="41"/>
      <c r="T150" s="41"/>
      <c r="U150" s="41"/>
      <c r="V150" s="41"/>
      <c r="W150" s="41"/>
      <c r="X150" s="41"/>
      <c r="Y150" s="166"/>
      <c r="Z150" s="166"/>
      <c r="AA150" s="41"/>
      <c r="AB150" s="41"/>
      <c r="AC150" s="41"/>
      <c r="AD150" s="41"/>
      <c r="AE150" s="41"/>
      <c r="AF150" s="41"/>
      <c r="AG150" s="41"/>
      <c r="AH150" s="41"/>
      <c r="AI150" s="41"/>
    </row>
    <row r="151" spans="1:35" ht="15.75" customHeight="1" x14ac:dyDescent="0.2">
      <c r="A151" s="166"/>
      <c r="B151" s="218"/>
      <c r="C151" s="218"/>
      <c r="D151" s="41"/>
      <c r="E151" s="41"/>
      <c r="F151" s="41"/>
      <c r="G151" s="41"/>
      <c r="H151" s="41"/>
      <c r="I151" s="41"/>
      <c r="J151" s="166"/>
      <c r="K151" s="41"/>
      <c r="L151" s="41"/>
      <c r="M151" s="41"/>
      <c r="N151" s="166"/>
      <c r="O151" s="166"/>
      <c r="P151" s="41"/>
      <c r="Q151" s="41"/>
      <c r="R151" s="41"/>
      <c r="S151" s="41"/>
      <c r="T151" s="41"/>
      <c r="U151" s="41"/>
      <c r="V151" s="41"/>
      <c r="W151" s="41"/>
      <c r="X151" s="41"/>
      <c r="Y151" s="166"/>
      <c r="Z151" s="166"/>
      <c r="AA151" s="41"/>
      <c r="AB151" s="41"/>
      <c r="AC151" s="41"/>
      <c r="AD151" s="41"/>
      <c r="AE151" s="41"/>
      <c r="AF151" s="41"/>
      <c r="AG151" s="41"/>
      <c r="AH151" s="41"/>
      <c r="AI151" s="41"/>
    </row>
    <row r="152" spans="1:35" ht="15.75" customHeight="1" x14ac:dyDescent="0.2">
      <c r="A152" s="166"/>
      <c r="B152" s="218"/>
      <c r="C152" s="218"/>
      <c r="D152" s="41"/>
      <c r="E152" s="41"/>
      <c r="F152" s="41"/>
      <c r="G152" s="41"/>
      <c r="H152" s="41"/>
      <c r="I152" s="41"/>
      <c r="J152" s="166"/>
      <c r="K152" s="41"/>
      <c r="L152" s="41"/>
      <c r="M152" s="41"/>
      <c r="N152" s="166"/>
      <c r="O152" s="166"/>
      <c r="P152" s="41"/>
      <c r="Q152" s="41"/>
      <c r="R152" s="41"/>
      <c r="S152" s="41"/>
      <c r="T152" s="41"/>
      <c r="U152" s="41"/>
      <c r="V152" s="41"/>
      <c r="W152" s="41"/>
      <c r="X152" s="41"/>
      <c r="Y152" s="166"/>
      <c r="Z152" s="166"/>
      <c r="AA152" s="41"/>
      <c r="AB152" s="41"/>
      <c r="AC152" s="41"/>
      <c r="AD152" s="41"/>
      <c r="AE152" s="41"/>
      <c r="AF152" s="41"/>
      <c r="AG152" s="41"/>
      <c r="AH152" s="41"/>
      <c r="AI152" s="41"/>
    </row>
    <row r="153" spans="1:35" ht="15.75" customHeight="1" x14ac:dyDescent="0.2">
      <c r="A153" s="166"/>
      <c r="B153" s="218"/>
      <c r="C153" s="218"/>
      <c r="D153" s="41"/>
      <c r="E153" s="41"/>
      <c r="F153" s="41"/>
      <c r="G153" s="41"/>
      <c r="H153" s="41"/>
      <c r="I153" s="41"/>
      <c r="J153" s="166"/>
      <c r="K153" s="41"/>
      <c r="L153" s="41"/>
      <c r="M153" s="41"/>
      <c r="N153" s="166"/>
      <c r="O153" s="166"/>
      <c r="P153" s="41"/>
      <c r="Q153" s="41"/>
      <c r="R153" s="41"/>
      <c r="S153" s="41"/>
      <c r="T153" s="41"/>
      <c r="U153" s="41"/>
      <c r="V153" s="41"/>
      <c r="W153" s="41"/>
      <c r="X153" s="41"/>
      <c r="Y153" s="166"/>
      <c r="Z153" s="166"/>
      <c r="AA153" s="41"/>
      <c r="AB153" s="41"/>
      <c r="AC153" s="41"/>
      <c r="AD153" s="41"/>
      <c r="AE153" s="41"/>
      <c r="AF153" s="41"/>
      <c r="AG153" s="41"/>
      <c r="AH153" s="41"/>
      <c r="AI153" s="41"/>
    </row>
    <row r="154" spans="1:35" ht="15.75" customHeight="1" x14ac:dyDescent="0.2">
      <c r="A154" s="166"/>
      <c r="B154" s="218"/>
      <c r="C154" s="218"/>
      <c r="D154" s="41"/>
      <c r="E154" s="41"/>
      <c r="F154" s="41"/>
      <c r="G154" s="41"/>
      <c r="H154" s="41"/>
      <c r="I154" s="41"/>
      <c r="J154" s="166"/>
      <c r="K154" s="41"/>
      <c r="L154" s="41"/>
      <c r="M154" s="41"/>
      <c r="N154" s="166"/>
      <c r="O154" s="166"/>
      <c r="P154" s="41"/>
      <c r="Q154" s="41"/>
      <c r="R154" s="41"/>
      <c r="S154" s="41"/>
      <c r="T154" s="41"/>
      <c r="U154" s="41"/>
      <c r="V154" s="41"/>
      <c r="W154" s="41"/>
      <c r="X154" s="41"/>
      <c r="Y154" s="166"/>
      <c r="Z154" s="166"/>
      <c r="AA154" s="41"/>
      <c r="AB154" s="41"/>
      <c r="AC154" s="41"/>
      <c r="AD154" s="41"/>
      <c r="AE154" s="41"/>
      <c r="AF154" s="41"/>
      <c r="AG154" s="41"/>
      <c r="AH154" s="41"/>
      <c r="AI154" s="41"/>
    </row>
    <row r="155" spans="1:35" ht="15.75" customHeight="1" x14ac:dyDescent="0.2">
      <c r="A155" s="166"/>
      <c r="B155" s="218"/>
      <c r="C155" s="218"/>
      <c r="D155" s="41"/>
      <c r="E155" s="41"/>
      <c r="F155" s="41"/>
      <c r="G155" s="41"/>
      <c r="H155" s="41"/>
      <c r="I155" s="41"/>
      <c r="J155" s="166"/>
      <c r="K155" s="41"/>
      <c r="L155" s="41"/>
      <c r="M155" s="41"/>
      <c r="N155" s="166"/>
      <c r="O155" s="166"/>
      <c r="P155" s="41"/>
      <c r="Q155" s="41"/>
      <c r="R155" s="41"/>
      <c r="S155" s="41"/>
      <c r="T155" s="41"/>
      <c r="U155" s="41"/>
      <c r="V155" s="41"/>
      <c r="W155" s="41"/>
      <c r="X155" s="41"/>
      <c r="Y155" s="166"/>
      <c r="Z155" s="166"/>
      <c r="AA155" s="41"/>
      <c r="AB155" s="41"/>
      <c r="AC155" s="41"/>
      <c r="AD155" s="41"/>
      <c r="AE155" s="41"/>
      <c r="AF155" s="41"/>
      <c r="AG155" s="41"/>
      <c r="AH155" s="41"/>
      <c r="AI155" s="41"/>
    </row>
    <row r="156" spans="1:35" ht="15.75" customHeight="1" x14ac:dyDescent="0.2">
      <c r="A156" s="166"/>
      <c r="B156" s="218"/>
      <c r="C156" s="218"/>
      <c r="D156" s="41"/>
      <c r="E156" s="41"/>
      <c r="F156" s="41"/>
      <c r="G156" s="41"/>
      <c r="H156" s="41"/>
      <c r="I156" s="41"/>
      <c r="J156" s="166"/>
      <c r="K156" s="41"/>
      <c r="L156" s="41"/>
      <c r="M156" s="41"/>
      <c r="N156" s="166"/>
      <c r="O156" s="166"/>
      <c r="P156" s="41"/>
      <c r="Q156" s="41"/>
      <c r="R156" s="41"/>
      <c r="S156" s="41"/>
      <c r="T156" s="41"/>
      <c r="U156" s="41"/>
      <c r="V156" s="41"/>
      <c r="W156" s="41"/>
      <c r="X156" s="41"/>
      <c r="Y156" s="166"/>
      <c r="Z156" s="166"/>
      <c r="AA156" s="41"/>
      <c r="AB156" s="41"/>
      <c r="AC156" s="41"/>
      <c r="AD156" s="41"/>
      <c r="AE156" s="41"/>
      <c r="AF156" s="41"/>
      <c r="AG156" s="41"/>
      <c r="AH156" s="41"/>
      <c r="AI156" s="41"/>
    </row>
    <row r="157" spans="1:35" ht="15.75" customHeight="1" x14ac:dyDescent="0.2">
      <c r="A157" s="166"/>
      <c r="B157" s="218"/>
      <c r="C157" s="218"/>
      <c r="D157" s="41"/>
      <c r="E157" s="41"/>
      <c r="F157" s="41"/>
      <c r="G157" s="41"/>
      <c r="H157" s="41"/>
      <c r="I157" s="41"/>
      <c r="J157" s="166"/>
      <c r="K157" s="41"/>
      <c r="L157" s="41"/>
      <c r="M157" s="41"/>
      <c r="N157" s="166"/>
      <c r="O157" s="166"/>
      <c r="P157" s="41"/>
      <c r="Q157" s="41"/>
      <c r="R157" s="41"/>
      <c r="S157" s="41"/>
      <c r="T157" s="41"/>
      <c r="U157" s="41"/>
      <c r="V157" s="41"/>
      <c r="W157" s="41"/>
      <c r="X157" s="41"/>
      <c r="Y157" s="166"/>
      <c r="Z157" s="166"/>
      <c r="AA157" s="41"/>
      <c r="AB157" s="41"/>
      <c r="AC157" s="41"/>
      <c r="AD157" s="41"/>
      <c r="AE157" s="41"/>
      <c r="AF157" s="41"/>
      <c r="AG157" s="41"/>
      <c r="AH157" s="41"/>
      <c r="AI157" s="41"/>
    </row>
    <row r="158" spans="1:35" ht="15.75" customHeight="1" x14ac:dyDescent="0.2">
      <c r="A158" s="166"/>
      <c r="B158" s="218"/>
      <c r="C158" s="218"/>
      <c r="D158" s="41"/>
      <c r="E158" s="41"/>
      <c r="F158" s="41"/>
      <c r="G158" s="41"/>
      <c r="H158" s="41"/>
      <c r="I158" s="41"/>
      <c r="J158" s="166"/>
      <c r="K158" s="41"/>
      <c r="L158" s="41"/>
      <c r="M158" s="41"/>
      <c r="N158" s="166"/>
      <c r="O158" s="166"/>
      <c r="P158" s="41"/>
      <c r="Q158" s="41"/>
      <c r="R158" s="41"/>
      <c r="S158" s="41"/>
      <c r="T158" s="41"/>
      <c r="U158" s="41"/>
      <c r="V158" s="41"/>
      <c r="W158" s="41"/>
      <c r="X158" s="41"/>
      <c r="Y158" s="166"/>
      <c r="Z158" s="166"/>
      <c r="AA158" s="41"/>
      <c r="AB158" s="41"/>
      <c r="AC158" s="41"/>
      <c r="AD158" s="41"/>
      <c r="AE158" s="41"/>
      <c r="AF158" s="41"/>
      <c r="AG158" s="41"/>
      <c r="AH158" s="41"/>
      <c r="AI158" s="41"/>
    </row>
    <row r="159" spans="1:35" ht="15.75" customHeight="1" x14ac:dyDescent="0.2">
      <c r="A159" s="166"/>
      <c r="B159" s="218"/>
      <c r="C159" s="218"/>
      <c r="D159" s="41"/>
      <c r="E159" s="41"/>
      <c r="F159" s="41"/>
      <c r="G159" s="41"/>
      <c r="H159" s="41"/>
      <c r="I159" s="41"/>
      <c r="J159" s="166"/>
      <c r="K159" s="41"/>
      <c r="L159" s="41"/>
      <c r="M159" s="41"/>
      <c r="N159" s="166"/>
      <c r="O159" s="166"/>
      <c r="P159" s="41"/>
      <c r="Q159" s="41"/>
      <c r="R159" s="41"/>
      <c r="S159" s="41"/>
      <c r="T159" s="41"/>
      <c r="U159" s="41"/>
      <c r="V159" s="41"/>
      <c r="W159" s="41"/>
      <c r="X159" s="41"/>
      <c r="Y159" s="166"/>
      <c r="Z159" s="166"/>
      <c r="AA159" s="41"/>
      <c r="AB159" s="41"/>
      <c r="AC159" s="41"/>
      <c r="AD159" s="41"/>
      <c r="AE159" s="41"/>
      <c r="AF159" s="41"/>
      <c r="AG159" s="41"/>
      <c r="AH159" s="41"/>
      <c r="AI159" s="41"/>
    </row>
    <row r="160" spans="1:35" ht="15.75" customHeight="1" x14ac:dyDescent="0.2">
      <c r="A160" s="166"/>
      <c r="B160" s="218"/>
      <c r="C160" s="218"/>
      <c r="D160" s="41"/>
      <c r="E160" s="41"/>
      <c r="F160" s="41"/>
      <c r="G160" s="41"/>
      <c r="H160" s="41"/>
      <c r="I160" s="41"/>
      <c r="J160" s="166"/>
      <c r="K160" s="41"/>
      <c r="L160" s="41"/>
      <c r="M160" s="41"/>
      <c r="N160" s="166"/>
      <c r="O160" s="166"/>
      <c r="P160" s="41"/>
      <c r="Q160" s="41"/>
      <c r="R160" s="41"/>
      <c r="S160" s="41"/>
      <c r="T160" s="41"/>
      <c r="U160" s="41"/>
      <c r="V160" s="41"/>
      <c r="W160" s="41"/>
      <c r="X160" s="41"/>
      <c r="Y160" s="166"/>
      <c r="Z160" s="166"/>
      <c r="AA160" s="41"/>
      <c r="AB160" s="41"/>
      <c r="AC160" s="41"/>
      <c r="AD160" s="41"/>
      <c r="AE160" s="41"/>
      <c r="AF160" s="41"/>
      <c r="AG160" s="41"/>
      <c r="AH160" s="41"/>
      <c r="AI160" s="41"/>
    </row>
    <row r="161" spans="1:35" ht="15.75" customHeight="1" x14ac:dyDescent="0.2">
      <c r="A161" s="166"/>
      <c r="B161" s="218"/>
      <c r="C161" s="218"/>
      <c r="D161" s="41"/>
      <c r="E161" s="41"/>
      <c r="F161" s="41"/>
      <c r="G161" s="41"/>
      <c r="H161" s="41"/>
      <c r="I161" s="41"/>
      <c r="J161" s="166"/>
      <c r="K161" s="41"/>
      <c r="L161" s="41"/>
      <c r="M161" s="41"/>
      <c r="N161" s="166"/>
      <c r="O161" s="166"/>
      <c r="P161" s="41"/>
      <c r="Q161" s="41"/>
      <c r="R161" s="41"/>
      <c r="S161" s="41"/>
      <c r="T161" s="41"/>
      <c r="U161" s="41"/>
      <c r="V161" s="41"/>
      <c r="W161" s="41"/>
      <c r="X161" s="41"/>
      <c r="Y161" s="166"/>
      <c r="Z161" s="166"/>
      <c r="AA161" s="41"/>
      <c r="AB161" s="41"/>
      <c r="AC161" s="41"/>
      <c r="AD161" s="41"/>
      <c r="AE161" s="41"/>
      <c r="AF161" s="41"/>
      <c r="AG161" s="41"/>
      <c r="AH161" s="41"/>
      <c r="AI161" s="41"/>
    </row>
    <row r="162" spans="1:35" ht="15.75" customHeight="1" x14ac:dyDescent="0.2">
      <c r="A162" s="166"/>
      <c r="B162" s="218"/>
      <c r="C162" s="218"/>
      <c r="D162" s="41"/>
      <c r="E162" s="41"/>
      <c r="F162" s="41"/>
      <c r="G162" s="41"/>
      <c r="H162" s="41"/>
      <c r="I162" s="41"/>
      <c r="J162" s="166"/>
      <c r="K162" s="41"/>
      <c r="L162" s="41"/>
      <c r="M162" s="41"/>
      <c r="N162" s="166"/>
      <c r="O162" s="166"/>
      <c r="P162" s="41"/>
      <c r="Q162" s="41"/>
      <c r="R162" s="41"/>
      <c r="S162" s="41"/>
      <c r="T162" s="41"/>
      <c r="U162" s="41"/>
      <c r="V162" s="41"/>
      <c r="W162" s="41"/>
      <c r="X162" s="41"/>
      <c r="Y162" s="166"/>
      <c r="Z162" s="166"/>
      <c r="AA162" s="41"/>
      <c r="AB162" s="41"/>
      <c r="AC162" s="41"/>
      <c r="AD162" s="41"/>
      <c r="AE162" s="41"/>
      <c r="AF162" s="41"/>
      <c r="AG162" s="41"/>
      <c r="AH162" s="41"/>
      <c r="AI162" s="41"/>
    </row>
    <row r="163" spans="1:35" ht="15.75" customHeight="1" x14ac:dyDescent="0.2">
      <c r="A163" s="166"/>
      <c r="B163" s="218"/>
      <c r="C163" s="218"/>
      <c r="D163" s="41"/>
      <c r="E163" s="41"/>
      <c r="F163" s="41"/>
      <c r="G163" s="41"/>
      <c r="H163" s="41"/>
      <c r="I163" s="41"/>
      <c r="J163" s="166"/>
      <c r="K163" s="41"/>
      <c r="L163" s="41"/>
      <c r="M163" s="41"/>
      <c r="N163" s="166"/>
      <c r="O163" s="166"/>
      <c r="P163" s="41"/>
      <c r="Q163" s="41"/>
      <c r="R163" s="41"/>
      <c r="S163" s="41"/>
      <c r="T163" s="41"/>
      <c r="U163" s="41"/>
      <c r="V163" s="41"/>
      <c r="W163" s="41"/>
      <c r="X163" s="41"/>
      <c r="Y163" s="166"/>
      <c r="Z163" s="166"/>
      <c r="AA163" s="41"/>
      <c r="AB163" s="41"/>
      <c r="AC163" s="41"/>
      <c r="AD163" s="41"/>
      <c r="AE163" s="41"/>
      <c r="AF163" s="41"/>
      <c r="AG163" s="41"/>
      <c r="AH163" s="41"/>
      <c r="AI163" s="41"/>
    </row>
    <row r="164" spans="1:35" ht="15.75" customHeight="1" x14ac:dyDescent="0.2">
      <c r="A164" s="166"/>
      <c r="B164" s="218"/>
      <c r="C164" s="218"/>
      <c r="D164" s="41"/>
      <c r="E164" s="41"/>
      <c r="F164" s="41"/>
      <c r="G164" s="41"/>
      <c r="H164" s="41"/>
      <c r="I164" s="41"/>
      <c r="J164" s="166"/>
      <c r="K164" s="41"/>
      <c r="L164" s="41"/>
      <c r="M164" s="41"/>
      <c r="N164" s="166"/>
      <c r="O164" s="166"/>
      <c r="P164" s="41"/>
      <c r="Q164" s="41"/>
      <c r="R164" s="41"/>
      <c r="S164" s="41"/>
      <c r="T164" s="41"/>
      <c r="U164" s="41"/>
      <c r="V164" s="41"/>
      <c r="W164" s="41"/>
      <c r="X164" s="41"/>
      <c r="Y164" s="166"/>
      <c r="Z164" s="166"/>
      <c r="AA164" s="41"/>
      <c r="AB164" s="41"/>
      <c r="AC164" s="41"/>
      <c r="AD164" s="41"/>
      <c r="AE164" s="41"/>
      <c r="AF164" s="41"/>
      <c r="AG164" s="41"/>
      <c r="AH164" s="41"/>
      <c r="AI164" s="41"/>
    </row>
    <row r="165" spans="1:35" ht="15.75" customHeight="1" x14ac:dyDescent="0.2">
      <c r="A165" s="166"/>
      <c r="B165" s="218"/>
      <c r="C165" s="218"/>
      <c r="D165" s="41"/>
      <c r="E165" s="41"/>
      <c r="F165" s="41"/>
      <c r="G165" s="41"/>
      <c r="H165" s="41"/>
      <c r="I165" s="41"/>
      <c r="J165" s="166"/>
      <c r="K165" s="41"/>
      <c r="L165" s="41"/>
      <c r="M165" s="41"/>
      <c r="N165" s="166"/>
      <c r="O165" s="166"/>
      <c r="P165" s="41"/>
      <c r="Q165" s="41"/>
      <c r="R165" s="41"/>
      <c r="S165" s="41"/>
      <c r="T165" s="41"/>
      <c r="U165" s="41"/>
      <c r="V165" s="41"/>
      <c r="W165" s="41"/>
      <c r="X165" s="41"/>
      <c r="Y165" s="166"/>
      <c r="Z165" s="166"/>
      <c r="AA165" s="41"/>
      <c r="AB165" s="41"/>
      <c r="AC165" s="41"/>
      <c r="AD165" s="41"/>
      <c r="AE165" s="41"/>
      <c r="AF165" s="41"/>
      <c r="AG165" s="41"/>
      <c r="AH165" s="41"/>
      <c r="AI165" s="41"/>
    </row>
    <row r="166" spans="1:35" ht="15.75" customHeight="1" x14ac:dyDescent="0.2">
      <c r="A166" s="166"/>
      <c r="B166" s="218"/>
      <c r="C166" s="218"/>
      <c r="D166" s="41"/>
      <c r="E166" s="41"/>
      <c r="F166" s="41"/>
      <c r="G166" s="41"/>
      <c r="H166" s="41"/>
      <c r="I166" s="41"/>
      <c r="J166" s="166"/>
      <c r="K166" s="41"/>
      <c r="L166" s="41"/>
      <c r="M166" s="41"/>
      <c r="N166" s="166"/>
      <c r="O166" s="166"/>
      <c r="P166" s="41"/>
      <c r="Q166" s="41"/>
      <c r="R166" s="41"/>
      <c r="S166" s="41"/>
      <c r="T166" s="41"/>
      <c r="U166" s="41"/>
      <c r="V166" s="41"/>
      <c r="W166" s="41"/>
      <c r="X166" s="41"/>
      <c r="Y166" s="166"/>
      <c r="Z166" s="166"/>
      <c r="AA166" s="41"/>
      <c r="AB166" s="41"/>
      <c r="AC166" s="41"/>
      <c r="AD166" s="41"/>
      <c r="AE166" s="41"/>
      <c r="AF166" s="41"/>
      <c r="AG166" s="41"/>
      <c r="AH166" s="41"/>
      <c r="AI166" s="41"/>
    </row>
    <row r="167" spans="1:35" ht="15.75" customHeight="1" x14ac:dyDescent="0.2">
      <c r="A167" s="166"/>
      <c r="B167" s="218"/>
      <c r="C167" s="218"/>
      <c r="D167" s="41"/>
      <c r="E167" s="41"/>
      <c r="F167" s="41"/>
      <c r="G167" s="41"/>
      <c r="H167" s="41"/>
      <c r="I167" s="41"/>
      <c r="J167" s="166"/>
      <c r="K167" s="41"/>
      <c r="L167" s="41"/>
      <c r="M167" s="41"/>
      <c r="N167" s="166"/>
      <c r="O167" s="166"/>
      <c r="P167" s="41"/>
      <c r="Q167" s="41"/>
      <c r="R167" s="41"/>
      <c r="S167" s="41"/>
      <c r="T167" s="41"/>
      <c r="U167" s="41"/>
      <c r="V167" s="41"/>
      <c r="W167" s="41"/>
      <c r="X167" s="41"/>
      <c r="Y167" s="166"/>
      <c r="Z167" s="166"/>
      <c r="AA167" s="41"/>
      <c r="AB167" s="41"/>
      <c r="AC167" s="41"/>
      <c r="AD167" s="41"/>
      <c r="AE167" s="41"/>
      <c r="AF167" s="41"/>
      <c r="AG167" s="41"/>
      <c r="AH167" s="41"/>
      <c r="AI167" s="41"/>
    </row>
    <row r="168" spans="1:35" ht="15.75" customHeight="1" x14ac:dyDescent="0.2">
      <c r="A168" s="166"/>
      <c r="B168" s="218"/>
      <c r="C168" s="218"/>
      <c r="D168" s="41"/>
      <c r="E168" s="41"/>
      <c r="F168" s="41"/>
      <c r="G168" s="41"/>
      <c r="H168" s="41"/>
      <c r="I168" s="41"/>
      <c r="J168" s="166"/>
      <c r="K168" s="41"/>
      <c r="L168" s="41"/>
      <c r="M168" s="41"/>
      <c r="N168" s="166"/>
      <c r="O168" s="166"/>
      <c r="P168" s="41"/>
      <c r="Q168" s="41"/>
      <c r="R168" s="41"/>
      <c r="S168" s="41"/>
      <c r="T168" s="41"/>
      <c r="U168" s="41"/>
      <c r="V168" s="41"/>
      <c r="W168" s="41"/>
      <c r="X168" s="41"/>
      <c r="Y168" s="166"/>
      <c r="Z168" s="166"/>
      <c r="AA168" s="41"/>
      <c r="AB168" s="41"/>
      <c r="AC168" s="41"/>
      <c r="AD168" s="41"/>
      <c r="AE168" s="41"/>
      <c r="AF168" s="41"/>
      <c r="AG168" s="41"/>
      <c r="AH168" s="41"/>
      <c r="AI168" s="41"/>
    </row>
    <row r="169" spans="1:35" ht="15.75" customHeight="1" x14ac:dyDescent="0.2">
      <c r="A169" s="166"/>
      <c r="B169" s="218"/>
      <c r="C169" s="218"/>
      <c r="D169" s="41"/>
      <c r="E169" s="41"/>
      <c r="F169" s="41"/>
      <c r="G169" s="41"/>
      <c r="H169" s="41"/>
      <c r="I169" s="41"/>
      <c r="J169" s="166"/>
      <c r="K169" s="41"/>
      <c r="L169" s="41"/>
      <c r="M169" s="41"/>
      <c r="N169" s="166"/>
      <c r="O169" s="166"/>
      <c r="P169" s="41"/>
      <c r="Q169" s="41"/>
      <c r="R169" s="41"/>
      <c r="S169" s="41"/>
      <c r="T169" s="41"/>
      <c r="U169" s="41"/>
      <c r="V169" s="41"/>
      <c r="W169" s="41"/>
      <c r="X169" s="41"/>
      <c r="Y169" s="166"/>
      <c r="Z169" s="166"/>
      <c r="AA169" s="41"/>
      <c r="AB169" s="41"/>
      <c r="AC169" s="41"/>
      <c r="AD169" s="41"/>
      <c r="AE169" s="41"/>
      <c r="AF169" s="41"/>
      <c r="AG169" s="41"/>
      <c r="AH169" s="41"/>
      <c r="AI169" s="41"/>
    </row>
    <row r="170" spans="1:35" ht="15.75" customHeight="1" x14ac:dyDescent="0.2">
      <c r="A170" s="166"/>
      <c r="B170" s="218"/>
      <c r="C170" s="218"/>
      <c r="D170" s="41"/>
      <c r="E170" s="41"/>
      <c r="F170" s="41"/>
      <c r="G170" s="41"/>
      <c r="H170" s="41"/>
      <c r="I170" s="41"/>
      <c r="J170" s="166"/>
      <c r="K170" s="41"/>
      <c r="L170" s="41"/>
      <c r="M170" s="41"/>
      <c r="N170" s="166"/>
      <c r="O170" s="166"/>
      <c r="P170" s="41"/>
      <c r="Q170" s="41"/>
      <c r="R170" s="41"/>
      <c r="S170" s="41"/>
      <c r="T170" s="41"/>
      <c r="U170" s="41"/>
      <c r="V170" s="41"/>
      <c r="W170" s="41"/>
      <c r="X170" s="41"/>
      <c r="Y170" s="166"/>
      <c r="Z170" s="166"/>
      <c r="AA170" s="41"/>
      <c r="AB170" s="41"/>
      <c r="AC170" s="41"/>
      <c r="AD170" s="41"/>
      <c r="AE170" s="41"/>
      <c r="AF170" s="41"/>
      <c r="AG170" s="41"/>
      <c r="AH170" s="41"/>
      <c r="AI170" s="41"/>
    </row>
    <row r="171" spans="1:35" ht="15.75" customHeight="1" x14ac:dyDescent="0.2">
      <c r="A171" s="166"/>
      <c r="B171" s="218"/>
      <c r="C171" s="218"/>
      <c r="D171" s="41"/>
      <c r="E171" s="41"/>
      <c r="F171" s="41"/>
      <c r="G171" s="41"/>
      <c r="H171" s="41"/>
      <c r="I171" s="41"/>
      <c r="J171" s="166"/>
      <c r="K171" s="41"/>
      <c r="L171" s="41"/>
      <c r="M171" s="41"/>
      <c r="N171" s="166"/>
      <c r="O171" s="166"/>
      <c r="P171" s="41"/>
      <c r="Q171" s="41"/>
      <c r="R171" s="41"/>
      <c r="S171" s="41"/>
      <c r="T171" s="41"/>
      <c r="U171" s="41"/>
      <c r="V171" s="41"/>
      <c r="W171" s="41"/>
      <c r="X171" s="41"/>
      <c r="Y171" s="166"/>
      <c r="Z171" s="166"/>
      <c r="AA171" s="41"/>
      <c r="AB171" s="41"/>
      <c r="AC171" s="41"/>
      <c r="AD171" s="41"/>
      <c r="AE171" s="41"/>
      <c r="AF171" s="41"/>
      <c r="AG171" s="41"/>
      <c r="AH171" s="41"/>
      <c r="AI171" s="41"/>
    </row>
    <row r="172" spans="1:35" ht="15.75" customHeight="1" x14ac:dyDescent="0.2">
      <c r="A172" s="166"/>
      <c r="B172" s="218"/>
      <c r="C172" s="218"/>
      <c r="D172" s="41"/>
      <c r="E172" s="41"/>
      <c r="F172" s="41"/>
      <c r="G172" s="41"/>
      <c r="H172" s="41"/>
      <c r="I172" s="41"/>
      <c r="J172" s="166"/>
      <c r="K172" s="41"/>
      <c r="L172" s="41"/>
      <c r="M172" s="41"/>
      <c r="N172" s="166"/>
      <c r="O172" s="166"/>
      <c r="P172" s="41"/>
      <c r="Q172" s="41"/>
      <c r="R172" s="41"/>
      <c r="S172" s="41"/>
      <c r="T172" s="41"/>
      <c r="U172" s="41"/>
      <c r="V172" s="41"/>
      <c r="W172" s="41"/>
      <c r="X172" s="41"/>
      <c r="Y172" s="166"/>
      <c r="Z172" s="166"/>
      <c r="AA172" s="41"/>
      <c r="AB172" s="41"/>
      <c r="AC172" s="41"/>
      <c r="AD172" s="41"/>
      <c r="AE172" s="41"/>
      <c r="AF172" s="41"/>
      <c r="AG172" s="41"/>
      <c r="AH172" s="41"/>
      <c r="AI172" s="41"/>
    </row>
    <row r="173" spans="1:35" ht="15.75" customHeight="1" x14ac:dyDescent="0.2">
      <c r="A173" s="166"/>
      <c r="B173" s="218"/>
      <c r="C173" s="218"/>
      <c r="D173" s="41"/>
      <c r="E173" s="41"/>
      <c r="F173" s="41"/>
      <c r="G173" s="41"/>
      <c r="H173" s="41"/>
      <c r="I173" s="41"/>
      <c r="J173" s="166"/>
      <c r="K173" s="41"/>
      <c r="L173" s="41"/>
      <c r="M173" s="41"/>
      <c r="N173" s="166"/>
      <c r="O173" s="166"/>
      <c r="P173" s="41"/>
      <c r="Q173" s="41"/>
      <c r="R173" s="41"/>
      <c r="S173" s="41"/>
      <c r="T173" s="41"/>
      <c r="U173" s="41"/>
      <c r="V173" s="41"/>
      <c r="W173" s="41"/>
      <c r="X173" s="41"/>
      <c r="Y173" s="166"/>
      <c r="Z173" s="166"/>
      <c r="AA173" s="41"/>
      <c r="AB173" s="41"/>
      <c r="AC173" s="41"/>
      <c r="AD173" s="41"/>
      <c r="AE173" s="41"/>
      <c r="AF173" s="41"/>
      <c r="AG173" s="41"/>
      <c r="AH173" s="41"/>
      <c r="AI173" s="41"/>
    </row>
    <row r="174" spans="1:35" ht="15.75" customHeight="1" x14ac:dyDescent="0.2">
      <c r="A174" s="166"/>
      <c r="B174" s="218"/>
      <c r="C174" s="218"/>
      <c r="D174" s="41"/>
      <c r="E174" s="41"/>
      <c r="F174" s="41"/>
      <c r="G174" s="41"/>
      <c r="H174" s="41"/>
      <c r="I174" s="41"/>
      <c r="J174" s="166"/>
      <c r="K174" s="41"/>
      <c r="L174" s="41"/>
      <c r="M174" s="41"/>
      <c r="N174" s="166"/>
      <c r="O174" s="166"/>
      <c r="P174" s="41"/>
      <c r="Q174" s="41"/>
      <c r="R174" s="41"/>
      <c r="S174" s="41"/>
      <c r="T174" s="41"/>
      <c r="U174" s="41"/>
      <c r="V174" s="41"/>
      <c r="W174" s="41"/>
      <c r="X174" s="41"/>
      <c r="Y174" s="166"/>
      <c r="Z174" s="166"/>
      <c r="AA174" s="41"/>
      <c r="AB174" s="41"/>
      <c r="AC174" s="41"/>
      <c r="AD174" s="41"/>
      <c r="AE174" s="41"/>
      <c r="AF174" s="41"/>
      <c r="AG174" s="41"/>
      <c r="AH174" s="41"/>
      <c r="AI174" s="41"/>
    </row>
    <row r="175" spans="1:35" ht="15.75" customHeight="1" x14ac:dyDescent="0.2">
      <c r="A175" s="166"/>
      <c r="B175" s="218"/>
      <c r="C175" s="218"/>
      <c r="D175" s="41"/>
      <c r="E175" s="41"/>
      <c r="F175" s="41"/>
      <c r="G175" s="41"/>
      <c r="H175" s="41"/>
      <c r="I175" s="41"/>
      <c r="J175" s="166"/>
      <c r="K175" s="41"/>
      <c r="L175" s="41"/>
      <c r="M175" s="41"/>
      <c r="N175" s="166"/>
      <c r="O175" s="166"/>
      <c r="P175" s="41"/>
      <c r="Q175" s="41"/>
      <c r="R175" s="41"/>
      <c r="S175" s="41"/>
      <c r="T175" s="41"/>
      <c r="U175" s="41"/>
      <c r="V175" s="41"/>
      <c r="W175" s="41"/>
      <c r="X175" s="41"/>
      <c r="Y175" s="166"/>
      <c r="Z175" s="166"/>
      <c r="AA175" s="41"/>
      <c r="AB175" s="41"/>
      <c r="AC175" s="41"/>
      <c r="AD175" s="41"/>
      <c r="AE175" s="41"/>
      <c r="AF175" s="41"/>
      <c r="AG175" s="41"/>
      <c r="AH175" s="41"/>
      <c r="AI175" s="41"/>
    </row>
    <row r="176" spans="1:35" ht="15.75" customHeight="1" x14ac:dyDescent="0.2">
      <c r="A176" s="166"/>
      <c r="B176" s="218"/>
      <c r="C176" s="218"/>
      <c r="D176" s="41"/>
      <c r="E176" s="41"/>
      <c r="F176" s="41"/>
      <c r="G176" s="41"/>
      <c r="H176" s="41"/>
      <c r="I176" s="41"/>
      <c r="J176" s="166"/>
      <c r="K176" s="41"/>
      <c r="L176" s="41"/>
      <c r="M176" s="41"/>
      <c r="N176" s="166"/>
      <c r="O176" s="166"/>
      <c r="P176" s="41"/>
      <c r="Q176" s="41"/>
      <c r="R176" s="41"/>
      <c r="S176" s="41"/>
      <c r="T176" s="41"/>
      <c r="U176" s="41"/>
      <c r="V176" s="41"/>
      <c r="W176" s="41"/>
      <c r="X176" s="41"/>
      <c r="Y176" s="166"/>
      <c r="Z176" s="166"/>
      <c r="AA176" s="41"/>
      <c r="AB176" s="41"/>
      <c r="AC176" s="41"/>
      <c r="AD176" s="41"/>
      <c r="AE176" s="41"/>
      <c r="AF176" s="41"/>
      <c r="AG176" s="41"/>
      <c r="AH176" s="41"/>
      <c r="AI176" s="41"/>
    </row>
    <row r="177" spans="1:35" ht="15.75" customHeight="1" x14ac:dyDescent="0.2">
      <c r="A177" s="166"/>
      <c r="B177" s="218"/>
      <c r="C177" s="218"/>
      <c r="D177" s="41"/>
      <c r="E177" s="41"/>
      <c r="F177" s="41"/>
      <c r="G177" s="41"/>
      <c r="H177" s="41"/>
      <c r="I177" s="41"/>
      <c r="J177" s="166"/>
      <c r="K177" s="41"/>
      <c r="L177" s="41"/>
      <c r="M177" s="41"/>
      <c r="N177" s="166"/>
      <c r="O177" s="166"/>
      <c r="P177" s="41"/>
      <c r="Q177" s="41"/>
      <c r="R177" s="41"/>
      <c r="S177" s="41"/>
      <c r="T177" s="41"/>
      <c r="U177" s="41"/>
      <c r="V177" s="41"/>
      <c r="W177" s="41"/>
      <c r="X177" s="41"/>
      <c r="Y177" s="166"/>
      <c r="Z177" s="166"/>
      <c r="AA177" s="41"/>
      <c r="AB177" s="41"/>
      <c r="AC177" s="41"/>
      <c r="AD177" s="41"/>
      <c r="AE177" s="41"/>
      <c r="AF177" s="41"/>
      <c r="AG177" s="41"/>
      <c r="AH177" s="41"/>
      <c r="AI177" s="41"/>
    </row>
    <row r="178" spans="1:35" ht="15.75" customHeight="1" x14ac:dyDescent="0.2">
      <c r="A178" s="166"/>
      <c r="B178" s="218"/>
      <c r="C178" s="218"/>
      <c r="D178" s="41"/>
      <c r="E178" s="41"/>
      <c r="F178" s="41"/>
      <c r="G178" s="41"/>
      <c r="H178" s="41"/>
      <c r="I178" s="41"/>
      <c r="J178" s="166"/>
      <c r="K178" s="41"/>
      <c r="L178" s="41"/>
      <c r="M178" s="41"/>
      <c r="N178" s="166"/>
      <c r="O178" s="166"/>
      <c r="P178" s="41"/>
      <c r="Q178" s="41"/>
      <c r="R178" s="41"/>
      <c r="S178" s="41"/>
      <c r="T178" s="41"/>
      <c r="U178" s="41"/>
      <c r="V178" s="41"/>
      <c r="W178" s="41"/>
      <c r="X178" s="41"/>
      <c r="Y178" s="166"/>
      <c r="Z178" s="166"/>
      <c r="AA178" s="41"/>
      <c r="AB178" s="41"/>
      <c r="AC178" s="41"/>
      <c r="AD178" s="41"/>
      <c r="AE178" s="41"/>
      <c r="AF178" s="41"/>
      <c r="AG178" s="41"/>
      <c r="AH178" s="41"/>
      <c r="AI178" s="41"/>
    </row>
    <row r="179" spans="1:35" ht="15.75" customHeight="1" x14ac:dyDescent="0.2">
      <c r="A179" s="166"/>
      <c r="B179" s="218"/>
      <c r="C179" s="218"/>
      <c r="D179" s="41"/>
      <c r="E179" s="41"/>
      <c r="F179" s="41"/>
      <c r="G179" s="41"/>
      <c r="H179" s="41"/>
      <c r="I179" s="41"/>
      <c r="J179" s="166"/>
      <c r="K179" s="41"/>
      <c r="L179" s="41"/>
      <c r="M179" s="41"/>
      <c r="N179" s="166"/>
      <c r="O179" s="166"/>
      <c r="P179" s="41"/>
      <c r="Q179" s="41"/>
      <c r="R179" s="41"/>
      <c r="S179" s="41"/>
      <c r="T179" s="41"/>
      <c r="U179" s="41"/>
      <c r="V179" s="41"/>
      <c r="W179" s="41"/>
      <c r="X179" s="41"/>
      <c r="Y179" s="166"/>
      <c r="Z179" s="166"/>
      <c r="AA179" s="41"/>
      <c r="AB179" s="41"/>
      <c r="AC179" s="41"/>
      <c r="AD179" s="41"/>
      <c r="AE179" s="41"/>
      <c r="AF179" s="41"/>
      <c r="AG179" s="41"/>
      <c r="AH179" s="41"/>
      <c r="AI179" s="41"/>
    </row>
    <row r="180" spans="1:35" ht="15.75" customHeight="1" x14ac:dyDescent="0.2">
      <c r="A180" s="166"/>
      <c r="B180" s="218"/>
      <c r="C180" s="218"/>
      <c r="D180" s="41"/>
      <c r="E180" s="41"/>
      <c r="F180" s="41"/>
      <c r="G180" s="41"/>
      <c r="H180" s="41"/>
      <c r="I180" s="41"/>
      <c r="J180" s="166"/>
      <c r="K180" s="41"/>
      <c r="L180" s="41"/>
      <c r="M180" s="41"/>
      <c r="N180" s="166"/>
      <c r="O180" s="166"/>
      <c r="P180" s="41"/>
      <c r="Q180" s="41"/>
      <c r="R180" s="41"/>
      <c r="S180" s="41"/>
      <c r="T180" s="41"/>
      <c r="U180" s="41"/>
      <c r="V180" s="41"/>
      <c r="W180" s="41"/>
      <c r="X180" s="41"/>
      <c r="Y180" s="166"/>
      <c r="Z180" s="166"/>
      <c r="AA180" s="41"/>
      <c r="AB180" s="41"/>
      <c r="AC180" s="41"/>
      <c r="AD180" s="41"/>
      <c r="AE180" s="41"/>
      <c r="AF180" s="41"/>
      <c r="AG180" s="41"/>
      <c r="AH180" s="41"/>
      <c r="AI180" s="41"/>
    </row>
    <row r="181" spans="1:35" ht="15.75" customHeight="1" x14ac:dyDescent="0.2">
      <c r="A181" s="166"/>
      <c r="B181" s="218"/>
      <c r="C181" s="218"/>
      <c r="D181" s="41"/>
      <c r="E181" s="41"/>
      <c r="F181" s="41"/>
      <c r="G181" s="41"/>
      <c r="H181" s="41"/>
      <c r="I181" s="41"/>
      <c r="J181" s="166"/>
      <c r="K181" s="41"/>
      <c r="L181" s="41"/>
      <c r="M181" s="41"/>
      <c r="N181" s="166"/>
      <c r="O181" s="166"/>
      <c r="P181" s="41"/>
      <c r="Q181" s="41"/>
      <c r="R181" s="41"/>
      <c r="S181" s="41"/>
      <c r="T181" s="41"/>
      <c r="U181" s="41"/>
      <c r="V181" s="41"/>
      <c r="W181" s="41"/>
      <c r="X181" s="41"/>
      <c r="Y181" s="166"/>
      <c r="Z181" s="166"/>
      <c r="AA181" s="41"/>
      <c r="AB181" s="41"/>
      <c r="AC181" s="41"/>
      <c r="AD181" s="41"/>
      <c r="AE181" s="41"/>
      <c r="AF181" s="41"/>
      <c r="AG181" s="41"/>
      <c r="AH181" s="41"/>
      <c r="AI181" s="41"/>
    </row>
    <row r="182" spans="1:35" ht="15.75" customHeight="1" x14ac:dyDescent="0.2">
      <c r="A182" s="166"/>
      <c r="B182" s="218"/>
      <c r="C182" s="218"/>
      <c r="D182" s="41"/>
      <c r="E182" s="41"/>
      <c r="F182" s="41"/>
      <c r="G182" s="41"/>
      <c r="H182" s="41"/>
      <c r="I182" s="41"/>
      <c r="J182" s="166"/>
      <c r="K182" s="41"/>
      <c r="L182" s="41"/>
      <c r="M182" s="41"/>
      <c r="N182" s="166"/>
      <c r="O182" s="166"/>
      <c r="P182" s="41"/>
      <c r="Q182" s="41"/>
      <c r="R182" s="41"/>
      <c r="S182" s="41"/>
      <c r="T182" s="41"/>
      <c r="U182" s="41"/>
      <c r="V182" s="41"/>
      <c r="W182" s="41"/>
      <c r="X182" s="41"/>
      <c r="Y182" s="166"/>
      <c r="Z182" s="166"/>
      <c r="AA182" s="41"/>
      <c r="AB182" s="41"/>
      <c r="AC182" s="41"/>
      <c r="AD182" s="41"/>
      <c r="AE182" s="41"/>
      <c r="AF182" s="41"/>
      <c r="AG182" s="41"/>
      <c r="AH182" s="41"/>
      <c r="AI182" s="41"/>
    </row>
    <row r="183" spans="1:35" ht="15.75" customHeight="1" x14ac:dyDescent="0.2">
      <c r="A183" s="166"/>
      <c r="B183" s="218"/>
      <c r="C183" s="218"/>
      <c r="D183" s="41"/>
      <c r="E183" s="41"/>
      <c r="F183" s="41"/>
      <c r="G183" s="41"/>
      <c r="H183" s="41"/>
      <c r="I183" s="41"/>
      <c r="J183" s="166"/>
      <c r="K183" s="41"/>
      <c r="L183" s="41"/>
      <c r="M183" s="41"/>
      <c r="N183" s="166"/>
      <c r="O183" s="166"/>
      <c r="P183" s="41"/>
      <c r="Q183" s="41"/>
      <c r="R183" s="41"/>
      <c r="S183" s="41"/>
      <c r="T183" s="41"/>
      <c r="U183" s="41"/>
      <c r="V183" s="41"/>
      <c r="W183" s="41"/>
      <c r="X183" s="41"/>
      <c r="Y183" s="166"/>
      <c r="Z183" s="166"/>
      <c r="AA183" s="41"/>
      <c r="AB183" s="41"/>
      <c r="AC183" s="41"/>
      <c r="AD183" s="41"/>
      <c r="AE183" s="41"/>
      <c r="AF183" s="41"/>
      <c r="AG183" s="41"/>
      <c r="AH183" s="41"/>
      <c r="AI183" s="41"/>
    </row>
    <row r="184" spans="1:35" ht="15.75" customHeight="1" x14ac:dyDescent="0.2">
      <c r="A184" s="166"/>
      <c r="B184" s="218"/>
      <c r="C184" s="218"/>
      <c r="D184" s="41"/>
      <c r="E184" s="41"/>
      <c r="F184" s="41"/>
      <c r="G184" s="41"/>
      <c r="H184" s="41"/>
      <c r="I184" s="41"/>
      <c r="J184" s="166"/>
      <c r="K184" s="41"/>
      <c r="L184" s="41"/>
      <c r="M184" s="41"/>
      <c r="N184" s="166"/>
      <c r="O184" s="166"/>
      <c r="P184" s="41"/>
      <c r="Q184" s="41"/>
      <c r="R184" s="41"/>
      <c r="S184" s="41"/>
      <c r="T184" s="41"/>
      <c r="U184" s="41"/>
      <c r="V184" s="41"/>
      <c r="W184" s="41"/>
      <c r="X184" s="41"/>
      <c r="Y184" s="166"/>
      <c r="Z184" s="166"/>
      <c r="AA184" s="41"/>
      <c r="AB184" s="41"/>
      <c r="AC184" s="41"/>
      <c r="AD184" s="41"/>
      <c r="AE184" s="41"/>
      <c r="AF184" s="41"/>
      <c r="AG184" s="41"/>
      <c r="AH184" s="41"/>
      <c r="AI184" s="41"/>
    </row>
    <row r="185" spans="1:35" ht="15.75" customHeight="1" x14ac:dyDescent="0.2">
      <c r="A185" s="166"/>
      <c r="B185" s="218"/>
      <c r="C185" s="218"/>
      <c r="D185" s="41"/>
      <c r="E185" s="41"/>
      <c r="F185" s="41"/>
      <c r="G185" s="41"/>
      <c r="H185" s="41"/>
      <c r="I185" s="41"/>
      <c r="J185" s="166"/>
      <c r="K185" s="41"/>
      <c r="L185" s="41"/>
      <c r="M185" s="41"/>
      <c r="N185" s="166"/>
      <c r="O185" s="166"/>
      <c r="P185" s="41"/>
      <c r="Q185" s="41"/>
      <c r="R185" s="41"/>
      <c r="S185" s="41"/>
      <c r="T185" s="41"/>
      <c r="U185" s="41"/>
      <c r="V185" s="41"/>
      <c r="W185" s="41"/>
      <c r="X185" s="41"/>
      <c r="Y185" s="166"/>
      <c r="Z185" s="166"/>
      <c r="AA185" s="41"/>
      <c r="AB185" s="41"/>
      <c r="AC185" s="41"/>
      <c r="AD185" s="41"/>
      <c r="AE185" s="41"/>
      <c r="AF185" s="41"/>
      <c r="AG185" s="41"/>
      <c r="AH185" s="41"/>
      <c r="AI185" s="41"/>
    </row>
    <row r="186" spans="1:35" ht="15.75" customHeight="1" x14ac:dyDescent="0.2">
      <c r="A186" s="166"/>
      <c r="B186" s="218"/>
      <c r="C186" s="218"/>
      <c r="D186" s="41"/>
      <c r="E186" s="41"/>
      <c r="F186" s="41"/>
      <c r="G186" s="41"/>
      <c r="H186" s="41"/>
      <c r="I186" s="41"/>
      <c r="J186" s="166"/>
      <c r="K186" s="41"/>
      <c r="L186" s="41"/>
      <c r="M186" s="41"/>
      <c r="N186" s="166"/>
      <c r="O186" s="166"/>
      <c r="P186" s="41"/>
      <c r="Q186" s="41"/>
      <c r="R186" s="41"/>
      <c r="S186" s="41"/>
      <c r="T186" s="41"/>
      <c r="U186" s="41"/>
      <c r="V186" s="41"/>
      <c r="W186" s="41"/>
      <c r="X186" s="41"/>
      <c r="Y186" s="166"/>
      <c r="Z186" s="166"/>
      <c r="AA186" s="41"/>
      <c r="AB186" s="41"/>
      <c r="AC186" s="41"/>
      <c r="AD186" s="41"/>
      <c r="AE186" s="41"/>
      <c r="AF186" s="41"/>
      <c r="AG186" s="41"/>
      <c r="AH186" s="41"/>
      <c r="AI186" s="41"/>
    </row>
    <row r="187" spans="1:35" ht="15.75" customHeight="1" x14ac:dyDescent="0.2">
      <c r="A187" s="166"/>
      <c r="B187" s="218"/>
      <c r="C187" s="218"/>
      <c r="D187" s="41"/>
      <c r="E187" s="41"/>
      <c r="F187" s="41"/>
      <c r="G187" s="41"/>
      <c r="H187" s="41"/>
      <c r="I187" s="41"/>
      <c r="J187" s="166"/>
      <c r="K187" s="41"/>
      <c r="L187" s="41"/>
      <c r="M187" s="41"/>
      <c r="N187" s="166"/>
      <c r="O187" s="166"/>
      <c r="P187" s="41"/>
      <c r="Q187" s="41"/>
      <c r="R187" s="41"/>
      <c r="S187" s="41"/>
      <c r="T187" s="41"/>
      <c r="U187" s="41"/>
      <c r="V187" s="41"/>
      <c r="W187" s="41"/>
      <c r="X187" s="41"/>
      <c r="Y187" s="166"/>
      <c r="Z187" s="166"/>
      <c r="AA187" s="41"/>
      <c r="AB187" s="41"/>
      <c r="AC187" s="41"/>
      <c r="AD187" s="41"/>
      <c r="AE187" s="41"/>
      <c r="AF187" s="41"/>
      <c r="AG187" s="41"/>
      <c r="AH187" s="41"/>
      <c r="AI187" s="41"/>
    </row>
    <row r="188" spans="1:35" ht="15.75" customHeight="1" x14ac:dyDescent="0.2">
      <c r="A188" s="166"/>
      <c r="B188" s="218"/>
      <c r="C188" s="218"/>
      <c r="D188" s="41"/>
      <c r="E188" s="41"/>
      <c r="F188" s="41"/>
      <c r="G188" s="41"/>
      <c r="H188" s="41"/>
      <c r="I188" s="41"/>
      <c r="J188" s="166"/>
      <c r="K188" s="41"/>
      <c r="L188" s="41"/>
      <c r="M188" s="41"/>
      <c r="N188" s="166"/>
      <c r="O188" s="166"/>
      <c r="P188" s="41"/>
      <c r="Q188" s="41"/>
      <c r="R188" s="41"/>
      <c r="S188" s="41"/>
      <c r="T188" s="41"/>
      <c r="U188" s="41"/>
      <c r="V188" s="41"/>
      <c r="W188" s="41"/>
      <c r="X188" s="41"/>
      <c r="Y188" s="166"/>
      <c r="Z188" s="166"/>
      <c r="AA188" s="41"/>
      <c r="AB188" s="41"/>
      <c r="AC188" s="41"/>
      <c r="AD188" s="41"/>
      <c r="AE188" s="41"/>
      <c r="AF188" s="41"/>
      <c r="AG188" s="41"/>
      <c r="AH188" s="41"/>
      <c r="AI188" s="41"/>
    </row>
    <row r="189" spans="1:35" ht="15.75" customHeight="1" x14ac:dyDescent="0.2">
      <c r="A189" s="166"/>
      <c r="B189" s="218"/>
      <c r="C189" s="218"/>
      <c r="D189" s="41"/>
      <c r="E189" s="41"/>
      <c r="F189" s="41"/>
      <c r="G189" s="41"/>
      <c r="H189" s="41"/>
      <c r="I189" s="41"/>
      <c r="J189" s="166"/>
      <c r="K189" s="41"/>
      <c r="L189" s="41"/>
      <c r="M189" s="41"/>
      <c r="N189" s="166"/>
      <c r="O189" s="166"/>
      <c r="P189" s="41"/>
      <c r="Q189" s="41"/>
      <c r="R189" s="41"/>
      <c r="S189" s="41"/>
      <c r="T189" s="41"/>
      <c r="U189" s="41"/>
      <c r="V189" s="41"/>
      <c r="W189" s="41"/>
      <c r="X189" s="41"/>
      <c r="Y189" s="166"/>
      <c r="Z189" s="166"/>
      <c r="AA189" s="41"/>
      <c r="AB189" s="41"/>
      <c r="AC189" s="41"/>
      <c r="AD189" s="41"/>
      <c r="AE189" s="41"/>
      <c r="AF189" s="41"/>
      <c r="AG189" s="41"/>
      <c r="AH189" s="41"/>
      <c r="AI189" s="41"/>
    </row>
    <row r="190" spans="1:35" ht="15.75" customHeight="1" x14ac:dyDescent="0.2">
      <c r="A190" s="166"/>
      <c r="B190" s="218"/>
      <c r="C190" s="218"/>
      <c r="D190" s="41"/>
      <c r="E190" s="41"/>
      <c r="F190" s="41"/>
      <c r="G190" s="41"/>
      <c r="H190" s="41"/>
      <c r="I190" s="41"/>
      <c r="J190" s="166"/>
      <c r="K190" s="41"/>
      <c r="L190" s="41"/>
      <c r="M190" s="41"/>
      <c r="N190" s="166"/>
      <c r="O190" s="166"/>
      <c r="P190" s="41"/>
      <c r="Q190" s="41"/>
      <c r="R190" s="41"/>
      <c r="S190" s="41"/>
      <c r="T190" s="41"/>
      <c r="U190" s="41"/>
      <c r="V190" s="41"/>
      <c r="W190" s="41"/>
      <c r="X190" s="41"/>
      <c r="Y190" s="166"/>
      <c r="Z190" s="166"/>
      <c r="AA190" s="41"/>
      <c r="AB190" s="41"/>
      <c r="AC190" s="41"/>
      <c r="AD190" s="41"/>
      <c r="AE190" s="41"/>
      <c r="AF190" s="41"/>
      <c r="AG190" s="41"/>
      <c r="AH190" s="41"/>
      <c r="AI190" s="41"/>
    </row>
    <row r="191" spans="1:35" ht="15.75" customHeight="1" x14ac:dyDescent="0.2">
      <c r="A191" s="166"/>
      <c r="B191" s="218"/>
      <c r="C191" s="218"/>
      <c r="D191" s="41"/>
      <c r="E191" s="41"/>
      <c r="F191" s="41"/>
      <c r="G191" s="41"/>
      <c r="H191" s="41"/>
      <c r="I191" s="41"/>
      <c r="J191" s="166"/>
      <c r="K191" s="41"/>
      <c r="L191" s="41"/>
      <c r="M191" s="41"/>
      <c r="N191" s="166"/>
      <c r="O191" s="166"/>
      <c r="P191" s="41"/>
      <c r="Q191" s="41"/>
      <c r="R191" s="41"/>
      <c r="S191" s="41"/>
      <c r="T191" s="41"/>
      <c r="U191" s="41"/>
      <c r="V191" s="41"/>
      <c r="W191" s="41"/>
      <c r="X191" s="41"/>
      <c r="Y191" s="166"/>
      <c r="Z191" s="166"/>
      <c r="AA191" s="41"/>
      <c r="AB191" s="41"/>
      <c r="AC191" s="41"/>
      <c r="AD191" s="41"/>
      <c r="AE191" s="41"/>
      <c r="AF191" s="41"/>
      <c r="AG191" s="41"/>
      <c r="AH191" s="41"/>
      <c r="AI191" s="41"/>
    </row>
    <row r="192" spans="1:35" ht="15.75" customHeight="1" x14ac:dyDescent="0.2">
      <c r="A192" s="166"/>
      <c r="B192" s="218"/>
      <c r="C192" s="218"/>
      <c r="D192" s="41"/>
      <c r="E192" s="41"/>
      <c r="F192" s="41"/>
      <c r="G192" s="41"/>
      <c r="H192" s="41"/>
      <c r="I192" s="41"/>
      <c r="J192" s="166"/>
      <c r="K192" s="41"/>
      <c r="L192" s="41"/>
      <c r="M192" s="41"/>
      <c r="N192" s="166"/>
      <c r="O192" s="166"/>
      <c r="P192" s="41"/>
      <c r="Q192" s="41"/>
      <c r="R192" s="41"/>
      <c r="S192" s="41"/>
      <c r="T192" s="41"/>
      <c r="U192" s="41"/>
      <c r="V192" s="41"/>
      <c r="W192" s="41"/>
      <c r="X192" s="41"/>
      <c r="Y192" s="166"/>
      <c r="Z192" s="166"/>
      <c r="AA192" s="41"/>
      <c r="AB192" s="41"/>
      <c r="AC192" s="41"/>
      <c r="AD192" s="41"/>
      <c r="AE192" s="41"/>
      <c r="AF192" s="41"/>
      <c r="AG192" s="41"/>
      <c r="AH192" s="41"/>
      <c r="AI192" s="41"/>
    </row>
    <row r="193" spans="1:35" ht="15.75" customHeight="1" x14ac:dyDescent="0.2">
      <c r="A193" s="166"/>
      <c r="B193" s="218"/>
      <c r="C193" s="218"/>
      <c r="D193" s="41"/>
      <c r="E193" s="41"/>
      <c r="F193" s="41"/>
      <c r="G193" s="41"/>
      <c r="H193" s="41"/>
      <c r="I193" s="41"/>
      <c r="J193" s="166"/>
      <c r="K193" s="41"/>
      <c r="L193" s="41"/>
      <c r="M193" s="41"/>
      <c r="N193" s="166"/>
      <c r="O193" s="166"/>
      <c r="P193" s="41"/>
      <c r="Q193" s="41"/>
      <c r="R193" s="41"/>
      <c r="S193" s="41"/>
      <c r="T193" s="41"/>
      <c r="U193" s="41"/>
      <c r="V193" s="41"/>
      <c r="W193" s="41"/>
      <c r="X193" s="41"/>
      <c r="Y193" s="166"/>
      <c r="Z193" s="166"/>
      <c r="AA193" s="41"/>
      <c r="AB193" s="41"/>
      <c r="AC193" s="41"/>
      <c r="AD193" s="41"/>
      <c r="AE193" s="41"/>
      <c r="AF193" s="41"/>
      <c r="AG193" s="41"/>
      <c r="AH193" s="41"/>
      <c r="AI193" s="41"/>
    </row>
    <row r="194" spans="1:35" ht="15.75" customHeight="1" x14ac:dyDescent="0.2">
      <c r="A194" s="166"/>
      <c r="B194" s="218"/>
      <c r="C194" s="218"/>
      <c r="D194" s="41"/>
      <c r="E194" s="41"/>
      <c r="F194" s="41"/>
      <c r="G194" s="41"/>
      <c r="H194" s="41"/>
      <c r="I194" s="41"/>
      <c r="J194" s="166"/>
      <c r="K194" s="41"/>
      <c r="L194" s="41"/>
      <c r="M194" s="41"/>
      <c r="N194" s="166"/>
      <c r="O194" s="166"/>
      <c r="P194" s="41"/>
      <c r="Q194" s="41"/>
      <c r="R194" s="41"/>
      <c r="S194" s="41"/>
      <c r="T194" s="41"/>
      <c r="U194" s="41"/>
      <c r="V194" s="41"/>
      <c r="W194" s="41"/>
      <c r="X194" s="41"/>
      <c r="Y194" s="166"/>
      <c r="Z194" s="166"/>
      <c r="AA194" s="41"/>
      <c r="AB194" s="41"/>
      <c r="AC194" s="41"/>
      <c r="AD194" s="41"/>
      <c r="AE194" s="41"/>
      <c r="AF194" s="41"/>
      <c r="AG194" s="41"/>
      <c r="AH194" s="41"/>
      <c r="AI194" s="41"/>
    </row>
    <row r="195" spans="1:35" ht="15.75" customHeight="1" x14ac:dyDescent="0.2">
      <c r="A195" s="166"/>
      <c r="B195" s="218"/>
      <c r="C195" s="218"/>
      <c r="D195" s="41"/>
      <c r="E195" s="41"/>
      <c r="F195" s="41"/>
      <c r="G195" s="41"/>
      <c r="H195" s="41"/>
      <c r="I195" s="41"/>
      <c r="J195" s="166"/>
      <c r="K195" s="41"/>
      <c r="L195" s="41"/>
      <c r="M195" s="41"/>
      <c r="N195" s="166"/>
      <c r="O195" s="166"/>
      <c r="P195" s="41"/>
      <c r="Q195" s="41"/>
      <c r="R195" s="41"/>
      <c r="S195" s="41"/>
      <c r="T195" s="41"/>
      <c r="U195" s="41"/>
      <c r="V195" s="41"/>
      <c r="W195" s="41"/>
      <c r="X195" s="41"/>
      <c r="Y195" s="166"/>
      <c r="Z195" s="166"/>
      <c r="AA195" s="41"/>
      <c r="AB195" s="41"/>
      <c r="AC195" s="41"/>
      <c r="AD195" s="41"/>
      <c r="AE195" s="41"/>
      <c r="AF195" s="41"/>
      <c r="AG195" s="41"/>
      <c r="AH195" s="41"/>
      <c r="AI195" s="41"/>
    </row>
    <row r="196" spans="1:35" ht="15.75" customHeight="1" x14ac:dyDescent="0.2">
      <c r="A196" s="166"/>
      <c r="B196" s="218"/>
      <c r="C196" s="218"/>
      <c r="D196" s="41"/>
      <c r="E196" s="41"/>
      <c r="F196" s="41"/>
      <c r="G196" s="41"/>
      <c r="H196" s="41"/>
      <c r="I196" s="41"/>
      <c r="J196" s="166"/>
      <c r="K196" s="41"/>
      <c r="L196" s="41"/>
      <c r="M196" s="41"/>
      <c r="N196" s="166"/>
      <c r="O196" s="166"/>
      <c r="P196" s="41"/>
      <c r="Q196" s="41"/>
      <c r="R196" s="41"/>
      <c r="S196" s="41"/>
      <c r="T196" s="41"/>
      <c r="U196" s="41"/>
      <c r="V196" s="41"/>
      <c r="W196" s="41"/>
      <c r="X196" s="41"/>
      <c r="Y196" s="166"/>
      <c r="Z196" s="166"/>
      <c r="AA196" s="41"/>
      <c r="AB196" s="41"/>
      <c r="AC196" s="41"/>
      <c r="AD196" s="41"/>
      <c r="AE196" s="41"/>
      <c r="AF196" s="41"/>
      <c r="AG196" s="41"/>
      <c r="AH196" s="41"/>
      <c r="AI196" s="41"/>
    </row>
    <row r="197" spans="1:35" ht="15.75" customHeight="1" x14ac:dyDescent="0.2">
      <c r="A197" s="166"/>
      <c r="B197" s="218"/>
      <c r="C197" s="218"/>
      <c r="D197" s="41"/>
      <c r="E197" s="41"/>
      <c r="F197" s="41"/>
      <c r="G197" s="41"/>
      <c r="H197" s="41"/>
      <c r="I197" s="41"/>
      <c r="J197" s="166"/>
      <c r="K197" s="41"/>
      <c r="L197" s="41"/>
      <c r="M197" s="41"/>
      <c r="N197" s="166"/>
      <c r="O197" s="166"/>
      <c r="P197" s="41"/>
      <c r="Q197" s="41"/>
      <c r="R197" s="41"/>
      <c r="S197" s="41"/>
      <c r="T197" s="41"/>
      <c r="U197" s="41"/>
      <c r="V197" s="41"/>
      <c r="W197" s="41"/>
      <c r="X197" s="41"/>
      <c r="Y197" s="166"/>
      <c r="Z197" s="166"/>
      <c r="AA197" s="41"/>
      <c r="AB197" s="41"/>
      <c r="AC197" s="41"/>
      <c r="AD197" s="41"/>
      <c r="AE197" s="41"/>
      <c r="AF197" s="41"/>
      <c r="AG197" s="41"/>
      <c r="AH197" s="41"/>
      <c r="AI197" s="41"/>
    </row>
    <row r="198" spans="1:35" ht="15.75" customHeight="1" x14ac:dyDescent="0.2">
      <c r="A198" s="166"/>
      <c r="B198" s="218"/>
      <c r="C198" s="218"/>
      <c r="D198" s="41"/>
      <c r="E198" s="41"/>
      <c r="F198" s="41"/>
      <c r="G198" s="41"/>
      <c r="H198" s="41"/>
      <c r="I198" s="41"/>
      <c r="J198" s="166"/>
      <c r="K198" s="41"/>
      <c r="L198" s="41"/>
      <c r="M198" s="41"/>
      <c r="N198" s="166"/>
      <c r="O198" s="166"/>
      <c r="P198" s="41"/>
      <c r="Q198" s="41"/>
      <c r="R198" s="41"/>
      <c r="S198" s="41"/>
      <c r="T198" s="41"/>
      <c r="U198" s="41"/>
      <c r="V198" s="41"/>
      <c r="W198" s="41"/>
      <c r="X198" s="41"/>
      <c r="Y198" s="166"/>
      <c r="Z198" s="166"/>
      <c r="AA198" s="41"/>
      <c r="AB198" s="41"/>
      <c r="AC198" s="41"/>
      <c r="AD198" s="41"/>
      <c r="AE198" s="41"/>
      <c r="AF198" s="41"/>
      <c r="AG198" s="41"/>
      <c r="AH198" s="41"/>
      <c r="AI198" s="41"/>
    </row>
    <row r="199" spans="1:35" ht="15.75" customHeight="1" x14ac:dyDescent="0.2">
      <c r="A199" s="166"/>
      <c r="B199" s="218"/>
      <c r="C199" s="218"/>
      <c r="D199" s="41"/>
      <c r="E199" s="41"/>
      <c r="F199" s="41"/>
      <c r="G199" s="41"/>
      <c r="H199" s="41"/>
      <c r="I199" s="41"/>
      <c r="J199" s="166"/>
      <c r="K199" s="41"/>
      <c r="L199" s="41"/>
      <c r="M199" s="41"/>
      <c r="N199" s="166"/>
      <c r="O199" s="166"/>
      <c r="P199" s="41"/>
      <c r="Q199" s="41"/>
      <c r="R199" s="41"/>
      <c r="S199" s="41"/>
      <c r="T199" s="41"/>
      <c r="U199" s="41"/>
      <c r="V199" s="41"/>
      <c r="W199" s="41"/>
      <c r="X199" s="41"/>
      <c r="Y199" s="166"/>
      <c r="Z199" s="166"/>
      <c r="AA199" s="41"/>
      <c r="AB199" s="41"/>
      <c r="AC199" s="41"/>
      <c r="AD199" s="41"/>
      <c r="AE199" s="41"/>
      <c r="AF199" s="41"/>
      <c r="AG199" s="41"/>
      <c r="AH199" s="41"/>
      <c r="AI199" s="41"/>
    </row>
    <row r="200" spans="1:35" ht="15.75" customHeight="1" x14ac:dyDescent="0.2">
      <c r="A200" s="166"/>
      <c r="B200" s="218"/>
      <c r="C200" s="218"/>
      <c r="D200" s="41"/>
      <c r="E200" s="41"/>
      <c r="F200" s="41"/>
      <c r="G200" s="41"/>
      <c r="H200" s="41"/>
      <c r="I200" s="41"/>
      <c r="J200" s="166"/>
      <c r="K200" s="41"/>
      <c r="L200" s="41"/>
      <c r="M200" s="41"/>
      <c r="N200" s="166"/>
      <c r="O200" s="166"/>
      <c r="P200" s="41"/>
      <c r="Q200" s="41"/>
      <c r="R200" s="41"/>
      <c r="S200" s="41"/>
      <c r="T200" s="41"/>
      <c r="U200" s="41"/>
      <c r="V200" s="41"/>
      <c r="W200" s="41"/>
      <c r="X200" s="41"/>
      <c r="Y200" s="166"/>
      <c r="Z200" s="166"/>
      <c r="AA200" s="41"/>
      <c r="AB200" s="41"/>
      <c r="AC200" s="41"/>
      <c r="AD200" s="41"/>
      <c r="AE200" s="41"/>
      <c r="AF200" s="41"/>
      <c r="AG200" s="41"/>
      <c r="AH200" s="41"/>
      <c r="AI200" s="41"/>
    </row>
    <row r="201" spans="1:35" ht="15.75" customHeight="1" x14ac:dyDescent="0.2">
      <c r="A201" s="166"/>
      <c r="B201" s="218"/>
      <c r="C201" s="218"/>
      <c r="D201" s="41"/>
      <c r="E201" s="41"/>
      <c r="F201" s="41"/>
      <c r="G201" s="41"/>
      <c r="H201" s="41"/>
      <c r="I201" s="41"/>
      <c r="J201" s="166"/>
      <c r="K201" s="41"/>
      <c r="L201" s="41"/>
      <c r="M201" s="41"/>
      <c r="N201" s="166"/>
      <c r="O201" s="166"/>
      <c r="P201" s="41"/>
      <c r="Q201" s="41"/>
      <c r="R201" s="41"/>
      <c r="S201" s="41"/>
      <c r="T201" s="41"/>
      <c r="U201" s="41"/>
      <c r="V201" s="41"/>
      <c r="W201" s="41"/>
      <c r="X201" s="41"/>
      <c r="Y201" s="166"/>
      <c r="Z201" s="166"/>
      <c r="AA201" s="41"/>
      <c r="AB201" s="41"/>
      <c r="AC201" s="41"/>
      <c r="AD201" s="41"/>
      <c r="AE201" s="41"/>
      <c r="AF201" s="41"/>
      <c r="AG201" s="41"/>
      <c r="AH201" s="41"/>
      <c r="AI201" s="41"/>
    </row>
    <row r="202" spans="1:35" ht="15.75" customHeight="1" x14ac:dyDescent="0.2">
      <c r="A202" s="166"/>
      <c r="B202" s="218"/>
      <c r="C202" s="218"/>
      <c r="D202" s="41"/>
      <c r="E202" s="41"/>
      <c r="F202" s="41"/>
      <c r="G202" s="41"/>
      <c r="H202" s="41"/>
      <c r="I202" s="41"/>
      <c r="J202" s="166"/>
      <c r="K202" s="41"/>
      <c r="L202" s="41"/>
      <c r="M202" s="41"/>
      <c r="N202" s="166"/>
      <c r="O202" s="166"/>
      <c r="P202" s="41"/>
      <c r="Q202" s="41"/>
      <c r="R202" s="41"/>
      <c r="S202" s="41"/>
      <c r="T202" s="41"/>
      <c r="U202" s="41"/>
      <c r="V202" s="41"/>
      <c r="W202" s="41"/>
      <c r="X202" s="41"/>
      <c r="Y202" s="166"/>
      <c r="Z202" s="166"/>
      <c r="AA202" s="41"/>
      <c r="AB202" s="41"/>
      <c r="AC202" s="41"/>
      <c r="AD202" s="41"/>
      <c r="AE202" s="41"/>
      <c r="AF202" s="41"/>
      <c r="AG202" s="41"/>
      <c r="AH202" s="41"/>
      <c r="AI202" s="41"/>
    </row>
    <row r="203" spans="1:35" ht="15.75" customHeight="1" x14ac:dyDescent="0.2">
      <c r="A203" s="166"/>
      <c r="B203" s="218"/>
      <c r="C203" s="218"/>
      <c r="D203" s="41"/>
      <c r="E203" s="41"/>
      <c r="F203" s="41"/>
      <c r="G203" s="41"/>
      <c r="H203" s="41"/>
      <c r="I203" s="41"/>
      <c r="J203" s="166"/>
      <c r="K203" s="41"/>
      <c r="L203" s="41"/>
      <c r="M203" s="41"/>
      <c r="N203" s="166"/>
      <c r="O203" s="166"/>
      <c r="P203" s="41"/>
      <c r="Q203" s="41"/>
      <c r="R203" s="41"/>
      <c r="S203" s="41"/>
      <c r="T203" s="41"/>
      <c r="U203" s="41"/>
      <c r="V203" s="41"/>
      <c r="W203" s="41"/>
      <c r="X203" s="41"/>
      <c r="Y203" s="166"/>
      <c r="Z203" s="166"/>
      <c r="AA203" s="41"/>
      <c r="AB203" s="41"/>
      <c r="AC203" s="41"/>
      <c r="AD203" s="41"/>
      <c r="AE203" s="41"/>
      <c r="AF203" s="41"/>
      <c r="AG203" s="41"/>
      <c r="AH203" s="41"/>
      <c r="AI203" s="41"/>
    </row>
    <row r="204" spans="1:35" ht="15.75" customHeight="1" x14ac:dyDescent="0.2">
      <c r="A204" s="166"/>
      <c r="B204" s="218"/>
      <c r="C204" s="218"/>
      <c r="D204" s="41"/>
      <c r="E204" s="41"/>
      <c r="F204" s="41"/>
      <c r="G204" s="41"/>
      <c r="H204" s="41"/>
      <c r="I204" s="41"/>
      <c r="J204" s="166"/>
      <c r="K204" s="41"/>
      <c r="L204" s="41"/>
      <c r="M204" s="41"/>
      <c r="N204" s="166"/>
      <c r="O204" s="166"/>
      <c r="P204" s="41"/>
      <c r="Q204" s="41"/>
      <c r="R204" s="41"/>
      <c r="S204" s="41"/>
      <c r="T204" s="41"/>
      <c r="U204" s="41"/>
      <c r="V204" s="41"/>
      <c r="W204" s="41"/>
      <c r="X204" s="41"/>
      <c r="Y204" s="166"/>
      <c r="Z204" s="166"/>
      <c r="AA204" s="41"/>
      <c r="AB204" s="41"/>
      <c r="AC204" s="41"/>
      <c r="AD204" s="41"/>
      <c r="AE204" s="41"/>
      <c r="AF204" s="41"/>
      <c r="AG204" s="41"/>
      <c r="AH204" s="41"/>
      <c r="AI204" s="41"/>
    </row>
    <row r="205" spans="1:35" ht="15.75" customHeight="1" x14ac:dyDescent="0.2">
      <c r="A205" s="166"/>
      <c r="B205" s="218"/>
      <c r="C205" s="218"/>
      <c r="D205" s="41"/>
      <c r="E205" s="41"/>
      <c r="F205" s="41"/>
      <c r="G205" s="41"/>
      <c r="H205" s="41"/>
      <c r="I205" s="41"/>
      <c r="J205" s="166"/>
      <c r="K205" s="41"/>
      <c r="L205" s="41"/>
      <c r="M205" s="41"/>
      <c r="N205" s="166"/>
      <c r="O205" s="166"/>
      <c r="P205" s="41"/>
      <c r="Q205" s="41"/>
      <c r="R205" s="41"/>
      <c r="S205" s="41"/>
      <c r="T205" s="41"/>
      <c r="U205" s="41"/>
      <c r="V205" s="41"/>
      <c r="W205" s="41"/>
      <c r="X205" s="41"/>
      <c r="Y205" s="166"/>
      <c r="Z205" s="166"/>
      <c r="AA205" s="41"/>
      <c r="AB205" s="41"/>
      <c r="AC205" s="41"/>
      <c r="AD205" s="41"/>
      <c r="AE205" s="41"/>
      <c r="AF205" s="41"/>
      <c r="AG205" s="41"/>
      <c r="AH205" s="41"/>
      <c r="AI205" s="41"/>
    </row>
    <row r="206" spans="1:35" ht="15.75" customHeight="1" x14ac:dyDescent="0.2">
      <c r="A206" s="166"/>
      <c r="B206" s="218"/>
      <c r="C206" s="218"/>
      <c r="D206" s="41"/>
      <c r="E206" s="41"/>
      <c r="F206" s="41"/>
      <c r="G206" s="41"/>
      <c r="H206" s="41"/>
      <c r="I206" s="41"/>
      <c r="J206" s="166"/>
      <c r="K206" s="41"/>
      <c r="L206" s="41"/>
      <c r="M206" s="41"/>
      <c r="N206" s="166"/>
      <c r="O206" s="166"/>
      <c r="P206" s="41"/>
      <c r="Q206" s="41"/>
      <c r="R206" s="41"/>
      <c r="S206" s="41"/>
      <c r="T206" s="41"/>
      <c r="U206" s="41"/>
      <c r="V206" s="41"/>
      <c r="W206" s="41"/>
      <c r="X206" s="41"/>
      <c r="Y206" s="166"/>
      <c r="Z206" s="166"/>
      <c r="AA206" s="41"/>
      <c r="AB206" s="41"/>
      <c r="AC206" s="41"/>
      <c r="AD206" s="41"/>
      <c r="AE206" s="41"/>
      <c r="AF206" s="41"/>
      <c r="AG206" s="41"/>
      <c r="AH206" s="41"/>
      <c r="AI206" s="41"/>
    </row>
    <row r="207" spans="1:35" ht="15.75" customHeight="1" x14ac:dyDescent="0.2">
      <c r="A207" s="166"/>
      <c r="B207" s="218"/>
      <c r="C207" s="218"/>
      <c r="D207" s="41"/>
      <c r="E207" s="41"/>
      <c r="F207" s="41"/>
      <c r="G207" s="41"/>
      <c r="H207" s="41"/>
      <c r="I207" s="41"/>
      <c r="J207" s="166"/>
      <c r="K207" s="41"/>
      <c r="L207" s="41"/>
      <c r="M207" s="41"/>
      <c r="N207" s="166"/>
      <c r="O207" s="166"/>
      <c r="P207" s="41"/>
      <c r="Q207" s="41"/>
      <c r="R207" s="41"/>
      <c r="S207" s="41"/>
      <c r="T207" s="41"/>
      <c r="U207" s="41"/>
      <c r="V207" s="41"/>
      <c r="W207" s="41"/>
      <c r="X207" s="41"/>
      <c r="Y207" s="166"/>
      <c r="Z207" s="166"/>
      <c r="AA207" s="41"/>
      <c r="AB207" s="41"/>
      <c r="AC207" s="41"/>
      <c r="AD207" s="41"/>
      <c r="AE207" s="41"/>
      <c r="AF207" s="41"/>
      <c r="AG207" s="41"/>
      <c r="AH207" s="41"/>
      <c r="AI207" s="41"/>
    </row>
    <row r="208" spans="1:35" ht="15.75" customHeight="1" x14ac:dyDescent="0.2">
      <c r="A208" s="166"/>
      <c r="B208" s="218"/>
      <c r="C208" s="218"/>
      <c r="D208" s="41"/>
      <c r="E208" s="41"/>
      <c r="F208" s="41"/>
      <c r="G208" s="41"/>
      <c r="H208" s="41"/>
      <c r="I208" s="41"/>
      <c r="J208" s="166"/>
      <c r="K208" s="41"/>
      <c r="L208" s="41"/>
      <c r="M208" s="41"/>
      <c r="N208" s="166"/>
      <c r="O208" s="166"/>
      <c r="P208" s="41"/>
      <c r="Q208" s="41"/>
      <c r="R208" s="41"/>
      <c r="S208" s="41"/>
      <c r="T208" s="41"/>
      <c r="U208" s="41"/>
      <c r="V208" s="41"/>
      <c r="W208" s="41"/>
      <c r="X208" s="41"/>
      <c r="Y208" s="166"/>
      <c r="Z208" s="166"/>
      <c r="AA208" s="41"/>
      <c r="AB208" s="41"/>
      <c r="AC208" s="41"/>
      <c r="AD208" s="41"/>
      <c r="AE208" s="41"/>
      <c r="AF208" s="41"/>
      <c r="AG208" s="41"/>
      <c r="AH208" s="41"/>
      <c r="AI208" s="41"/>
    </row>
    <row r="209" spans="1:35" ht="15.75" customHeight="1" x14ac:dyDescent="0.2">
      <c r="A209" s="166"/>
      <c r="B209" s="218"/>
      <c r="C209" s="218"/>
      <c r="D209" s="41"/>
      <c r="E209" s="41"/>
      <c r="F209" s="41"/>
      <c r="G209" s="41"/>
      <c r="H209" s="41"/>
      <c r="I209" s="41"/>
      <c r="J209" s="166"/>
      <c r="K209" s="41"/>
      <c r="L209" s="41"/>
      <c r="M209" s="41"/>
      <c r="N209" s="166"/>
      <c r="O209" s="166"/>
      <c r="P209" s="41"/>
      <c r="Q209" s="41"/>
      <c r="R209" s="41"/>
      <c r="S209" s="41"/>
      <c r="T209" s="41"/>
      <c r="U209" s="41"/>
      <c r="V209" s="41"/>
      <c r="W209" s="41"/>
      <c r="X209" s="41"/>
      <c r="Y209" s="166"/>
      <c r="Z209" s="166"/>
      <c r="AA209" s="41"/>
      <c r="AB209" s="41"/>
      <c r="AC209" s="41"/>
      <c r="AD209" s="41"/>
      <c r="AE209" s="41"/>
      <c r="AF209" s="41"/>
      <c r="AG209" s="41"/>
      <c r="AH209" s="41"/>
      <c r="AI209" s="41"/>
    </row>
    <row r="210" spans="1:35" ht="15.75" customHeight="1" x14ac:dyDescent="0.2">
      <c r="A210" s="166"/>
      <c r="B210" s="218"/>
      <c r="C210" s="218"/>
      <c r="D210" s="41"/>
      <c r="E210" s="41"/>
      <c r="F210" s="41"/>
      <c r="G210" s="41"/>
      <c r="H210" s="41"/>
      <c r="I210" s="41"/>
      <c r="J210" s="166"/>
      <c r="K210" s="41"/>
      <c r="L210" s="41"/>
      <c r="M210" s="41"/>
      <c r="N210" s="166"/>
      <c r="O210" s="166"/>
      <c r="P210" s="41"/>
      <c r="Q210" s="41"/>
      <c r="R210" s="41"/>
      <c r="S210" s="41"/>
      <c r="T210" s="41"/>
      <c r="U210" s="41"/>
      <c r="V210" s="41"/>
      <c r="W210" s="41"/>
      <c r="X210" s="41"/>
      <c r="Y210" s="166"/>
      <c r="Z210" s="166"/>
      <c r="AA210" s="41"/>
      <c r="AB210" s="41"/>
      <c r="AC210" s="41"/>
      <c r="AD210" s="41"/>
      <c r="AE210" s="41"/>
      <c r="AF210" s="41"/>
      <c r="AG210" s="41"/>
      <c r="AH210" s="41"/>
      <c r="AI210" s="41"/>
    </row>
    <row r="211" spans="1:35" ht="15.75" customHeight="1" x14ac:dyDescent="0.2">
      <c r="A211" s="166"/>
      <c r="B211" s="218"/>
      <c r="C211" s="218"/>
      <c r="D211" s="41"/>
      <c r="E211" s="41"/>
      <c r="F211" s="41"/>
      <c r="G211" s="41"/>
      <c r="H211" s="41"/>
      <c r="I211" s="41"/>
      <c r="J211" s="166"/>
      <c r="K211" s="41"/>
      <c r="L211" s="41"/>
      <c r="M211" s="41"/>
      <c r="N211" s="166"/>
      <c r="O211" s="166"/>
      <c r="P211" s="41"/>
      <c r="Q211" s="41"/>
      <c r="R211" s="41"/>
      <c r="S211" s="41"/>
      <c r="T211" s="41"/>
      <c r="U211" s="41"/>
      <c r="V211" s="41"/>
      <c r="W211" s="41"/>
      <c r="X211" s="41"/>
      <c r="Y211" s="166"/>
      <c r="Z211" s="166"/>
      <c r="AA211" s="41"/>
      <c r="AB211" s="41"/>
      <c r="AC211" s="41"/>
      <c r="AD211" s="41"/>
      <c r="AE211" s="41"/>
      <c r="AF211" s="41"/>
      <c r="AG211" s="41"/>
      <c r="AH211" s="41"/>
      <c r="AI211" s="41"/>
    </row>
    <row r="212" spans="1:35" ht="15.75" customHeight="1" x14ac:dyDescent="0.2">
      <c r="A212" s="166"/>
      <c r="B212" s="218"/>
      <c r="C212" s="218"/>
      <c r="D212" s="41"/>
      <c r="E212" s="41"/>
      <c r="F212" s="41"/>
      <c r="G212" s="41"/>
      <c r="H212" s="41"/>
      <c r="I212" s="41"/>
      <c r="J212" s="166"/>
      <c r="K212" s="41"/>
      <c r="L212" s="41"/>
      <c r="M212" s="41"/>
      <c r="N212" s="166"/>
      <c r="O212" s="166"/>
      <c r="P212" s="41"/>
      <c r="Q212" s="41"/>
      <c r="R212" s="41"/>
      <c r="S212" s="41"/>
      <c r="T212" s="41"/>
      <c r="U212" s="41"/>
      <c r="V212" s="41"/>
      <c r="W212" s="41"/>
      <c r="X212" s="41"/>
      <c r="Y212" s="166"/>
      <c r="Z212" s="166"/>
      <c r="AA212" s="41"/>
      <c r="AB212" s="41"/>
      <c r="AC212" s="41"/>
      <c r="AD212" s="41"/>
      <c r="AE212" s="41"/>
      <c r="AF212" s="41"/>
      <c r="AG212" s="41"/>
      <c r="AH212" s="41"/>
      <c r="AI212" s="41"/>
    </row>
    <row r="213" spans="1:35" ht="15.75" customHeight="1" x14ac:dyDescent="0.2">
      <c r="A213" s="166"/>
      <c r="B213" s="218"/>
      <c r="C213" s="218"/>
      <c r="D213" s="41"/>
      <c r="E213" s="41"/>
      <c r="F213" s="41"/>
      <c r="G213" s="41"/>
      <c r="H213" s="41"/>
      <c r="I213" s="41"/>
      <c r="J213" s="166"/>
      <c r="K213" s="41"/>
      <c r="L213" s="41"/>
      <c r="M213" s="41"/>
      <c r="N213" s="166"/>
      <c r="O213" s="166"/>
      <c r="P213" s="41"/>
      <c r="Q213" s="41"/>
      <c r="R213" s="41"/>
      <c r="S213" s="41"/>
      <c r="T213" s="41"/>
      <c r="U213" s="41"/>
      <c r="V213" s="41"/>
      <c r="W213" s="41"/>
      <c r="X213" s="41"/>
      <c r="Y213" s="166"/>
      <c r="Z213" s="166"/>
      <c r="AA213" s="41"/>
      <c r="AB213" s="41"/>
      <c r="AC213" s="41"/>
      <c r="AD213" s="41"/>
      <c r="AE213" s="41"/>
      <c r="AF213" s="41"/>
      <c r="AG213" s="41"/>
      <c r="AH213" s="41"/>
      <c r="AI213" s="41"/>
    </row>
    <row r="214" spans="1:35" ht="15.75" customHeight="1" x14ac:dyDescent="0.2">
      <c r="A214" s="166"/>
      <c r="B214" s="218"/>
      <c r="C214" s="218"/>
      <c r="D214" s="41"/>
      <c r="E214" s="41"/>
      <c r="F214" s="41"/>
      <c r="G214" s="41"/>
      <c r="H214" s="41"/>
      <c r="I214" s="41"/>
      <c r="J214" s="166"/>
      <c r="K214" s="41"/>
      <c r="L214" s="41"/>
      <c r="M214" s="41"/>
      <c r="N214" s="166"/>
      <c r="O214" s="166"/>
      <c r="P214" s="41"/>
      <c r="Q214" s="41"/>
      <c r="R214" s="41"/>
      <c r="S214" s="41"/>
      <c r="T214" s="41"/>
      <c r="U214" s="41"/>
      <c r="V214" s="41"/>
      <c r="W214" s="41"/>
      <c r="X214" s="41"/>
      <c r="Y214" s="166"/>
      <c r="Z214" s="166"/>
      <c r="AA214" s="41"/>
      <c r="AB214" s="41"/>
      <c r="AC214" s="41"/>
      <c r="AD214" s="41"/>
      <c r="AE214" s="41"/>
      <c r="AF214" s="41"/>
      <c r="AG214" s="41"/>
      <c r="AH214" s="41"/>
      <c r="AI214" s="41"/>
    </row>
    <row r="215" spans="1:35" ht="15.75" customHeight="1" x14ac:dyDescent="0.2">
      <c r="A215" s="166"/>
      <c r="B215" s="218"/>
      <c r="C215" s="218"/>
      <c r="D215" s="41"/>
      <c r="E215" s="41"/>
      <c r="F215" s="41"/>
      <c r="G215" s="41"/>
      <c r="H215" s="41"/>
      <c r="I215" s="41"/>
      <c r="J215" s="166"/>
      <c r="K215" s="41"/>
      <c r="L215" s="41"/>
      <c r="M215" s="41"/>
      <c r="N215" s="166"/>
      <c r="O215" s="166"/>
      <c r="P215" s="41"/>
      <c r="Q215" s="41"/>
      <c r="R215" s="41"/>
      <c r="S215" s="41"/>
      <c r="T215" s="41"/>
      <c r="U215" s="41"/>
      <c r="V215" s="41"/>
      <c r="W215" s="41"/>
      <c r="X215" s="41"/>
      <c r="Y215" s="166"/>
      <c r="Z215" s="166"/>
      <c r="AA215" s="41"/>
      <c r="AB215" s="41"/>
      <c r="AC215" s="41"/>
      <c r="AD215" s="41"/>
      <c r="AE215" s="41"/>
      <c r="AF215" s="41"/>
      <c r="AG215" s="41"/>
      <c r="AH215" s="41"/>
      <c r="AI215" s="41"/>
    </row>
    <row r="216" spans="1:35" ht="15.75" customHeight="1" x14ac:dyDescent="0.2">
      <c r="A216" s="166"/>
      <c r="B216" s="218"/>
      <c r="C216" s="218"/>
      <c r="D216" s="41"/>
      <c r="E216" s="41"/>
      <c r="F216" s="41"/>
      <c r="G216" s="41"/>
      <c r="H216" s="41"/>
      <c r="I216" s="41"/>
      <c r="J216" s="166"/>
      <c r="K216" s="41"/>
      <c r="L216" s="41"/>
      <c r="M216" s="41"/>
      <c r="N216" s="166"/>
      <c r="O216" s="166"/>
      <c r="P216" s="41"/>
      <c r="Q216" s="41"/>
      <c r="R216" s="41"/>
      <c r="S216" s="41"/>
      <c r="T216" s="41"/>
      <c r="U216" s="41"/>
      <c r="V216" s="41"/>
      <c r="W216" s="41"/>
      <c r="X216" s="41"/>
      <c r="Y216" s="166"/>
      <c r="Z216" s="166"/>
      <c r="AA216" s="41"/>
      <c r="AB216" s="41"/>
      <c r="AC216" s="41"/>
      <c r="AD216" s="41"/>
      <c r="AE216" s="41"/>
      <c r="AF216" s="41"/>
      <c r="AG216" s="41"/>
      <c r="AH216" s="41"/>
      <c r="AI216" s="41"/>
    </row>
    <row r="217" spans="1:35" ht="15.75" customHeight="1" x14ac:dyDescent="0.2">
      <c r="A217" s="166"/>
      <c r="B217" s="218"/>
      <c r="C217" s="218"/>
      <c r="D217" s="41"/>
      <c r="E217" s="41"/>
      <c r="F217" s="41"/>
      <c r="G217" s="41"/>
      <c r="H217" s="41"/>
      <c r="I217" s="41"/>
      <c r="J217" s="166"/>
      <c r="K217" s="41"/>
      <c r="L217" s="41"/>
      <c r="M217" s="41"/>
      <c r="N217" s="166"/>
      <c r="O217" s="166"/>
      <c r="P217" s="41"/>
      <c r="Q217" s="41"/>
      <c r="R217" s="41"/>
      <c r="S217" s="41"/>
      <c r="T217" s="41"/>
      <c r="U217" s="41"/>
      <c r="V217" s="41"/>
      <c r="W217" s="41"/>
      <c r="X217" s="41"/>
      <c r="Y217" s="166"/>
      <c r="Z217" s="166"/>
      <c r="AA217" s="41"/>
      <c r="AB217" s="41"/>
      <c r="AC217" s="41"/>
      <c r="AD217" s="41"/>
      <c r="AE217" s="41"/>
      <c r="AF217" s="41"/>
      <c r="AG217" s="41"/>
      <c r="AH217" s="41"/>
      <c r="AI217" s="41"/>
    </row>
    <row r="218" spans="1:35" ht="15.75" customHeight="1" x14ac:dyDescent="0.2">
      <c r="A218" s="166"/>
      <c r="B218" s="218"/>
      <c r="C218" s="218"/>
      <c r="D218" s="41"/>
      <c r="E218" s="41"/>
      <c r="F218" s="41"/>
      <c r="G218" s="41"/>
      <c r="H218" s="41"/>
      <c r="I218" s="41"/>
      <c r="J218" s="166"/>
      <c r="K218" s="41"/>
      <c r="L218" s="41"/>
      <c r="M218" s="41"/>
      <c r="N218" s="166"/>
      <c r="O218" s="166"/>
      <c r="P218" s="41"/>
      <c r="Q218" s="41"/>
      <c r="R218" s="41"/>
      <c r="S218" s="41"/>
      <c r="T218" s="41"/>
      <c r="U218" s="41"/>
      <c r="V218" s="41"/>
      <c r="W218" s="41"/>
      <c r="X218" s="41"/>
      <c r="Y218" s="166"/>
      <c r="Z218" s="166"/>
      <c r="AA218" s="41"/>
      <c r="AB218" s="41"/>
      <c r="AC218" s="41"/>
      <c r="AD218" s="41"/>
      <c r="AE218" s="41"/>
      <c r="AF218" s="41"/>
      <c r="AG218" s="41"/>
      <c r="AH218" s="41"/>
      <c r="AI218" s="41"/>
    </row>
    <row r="219" spans="1:35" ht="15.75" customHeight="1" x14ac:dyDescent="0.2">
      <c r="A219" s="166"/>
      <c r="B219" s="218"/>
      <c r="C219" s="218"/>
      <c r="D219" s="41"/>
      <c r="E219" s="41"/>
      <c r="F219" s="41"/>
      <c r="G219" s="41"/>
      <c r="H219" s="41"/>
      <c r="I219" s="41"/>
      <c r="J219" s="166"/>
      <c r="K219" s="41"/>
      <c r="L219" s="41"/>
      <c r="M219" s="41"/>
      <c r="N219" s="166"/>
      <c r="O219" s="166"/>
      <c r="P219" s="41"/>
      <c r="Q219" s="41"/>
      <c r="R219" s="41"/>
      <c r="S219" s="41"/>
      <c r="T219" s="41"/>
      <c r="U219" s="41"/>
      <c r="V219" s="41"/>
      <c r="W219" s="41"/>
      <c r="X219" s="41"/>
      <c r="Y219" s="166"/>
      <c r="Z219" s="166"/>
      <c r="AA219" s="41"/>
      <c r="AB219" s="41"/>
      <c r="AC219" s="41"/>
      <c r="AD219" s="41"/>
      <c r="AE219" s="41"/>
      <c r="AF219" s="41"/>
      <c r="AG219" s="41"/>
      <c r="AH219" s="41"/>
      <c r="AI219" s="41"/>
    </row>
    <row r="220" spans="1:35" ht="15.75" customHeight="1" x14ac:dyDescent="0.2">
      <c r="A220" s="166"/>
      <c r="B220" s="218"/>
      <c r="C220" s="218"/>
      <c r="D220" s="41"/>
      <c r="E220" s="41"/>
      <c r="F220" s="41"/>
      <c r="G220" s="41"/>
      <c r="H220" s="41"/>
      <c r="I220" s="41"/>
      <c r="J220" s="166"/>
      <c r="K220" s="41"/>
      <c r="L220" s="41"/>
      <c r="M220" s="41"/>
      <c r="N220" s="166"/>
      <c r="O220" s="166"/>
      <c r="P220" s="41"/>
      <c r="Q220" s="41"/>
      <c r="R220" s="41"/>
      <c r="S220" s="41"/>
      <c r="T220" s="41"/>
      <c r="U220" s="41"/>
      <c r="V220" s="41"/>
      <c r="W220" s="41"/>
      <c r="X220" s="41"/>
      <c r="Y220" s="166"/>
      <c r="Z220" s="166"/>
      <c r="AA220" s="41"/>
      <c r="AB220" s="41"/>
      <c r="AC220" s="41"/>
      <c r="AD220" s="41"/>
      <c r="AE220" s="41"/>
      <c r="AF220" s="41"/>
      <c r="AG220" s="41"/>
      <c r="AH220" s="41"/>
      <c r="AI220" s="41"/>
    </row>
    <row r="221" spans="1:35" ht="15.75" customHeight="1" x14ac:dyDescent="0.2">
      <c r="A221" s="166"/>
      <c r="B221" s="218"/>
      <c r="C221" s="218"/>
      <c r="D221" s="41"/>
      <c r="E221" s="41"/>
      <c r="F221" s="41"/>
      <c r="G221" s="41"/>
      <c r="H221" s="41"/>
      <c r="I221" s="41"/>
      <c r="J221" s="166"/>
      <c r="K221" s="41"/>
      <c r="L221" s="41"/>
      <c r="M221" s="41"/>
      <c r="N221" s="166"/>
      <c r="O221" s="166"/>
      <c r="P221" s="41"/>
      <c r="Q221" s="41"/>
      <c r="R221" s="41"/>
      <c r="S221" s="41"/>
      <c r="T221" s="41"/>
      <c r="U221" s="41"/>
      <c r="V221" s="41"/>
      <c r="W221" s="41"/>
      <c r="X221" s="41"/>
      <c r="Y221" s="166"/>
      <c r="Z221" s="166"/>
      <c r="AA221" s="41"/>
      <c r="AB221" s="41"/>
      <c r="AC221" s="41"/>
      <c r="AD221" s="41"/>
      <c r="AE221" s="41"/>
      <c r="AF221" s="41"/>
      <c r="AG221" s="41"/>
      <c r="AH221" s="41"/>
      <c r="AI221" s="41"/>
    </row>
    <row r="222" spans="1:35" ht="15.75" customHeight="1" x14ac:dyDescent="0.2">
      <c r="A222" s="166"/>
      <c r="B222" s="218"/>
      <c r="C222" s="218"/>
      <c r="D222" s="41"/>
      <c r="E222" s="41"/>
      <c r="F222" s="41"/>
      <c r="G222" s="41"/>
      <c r="H222" s="41"/>
      <c r="I222" s="41"/>
      <c r="J222" s="166"/>
      <c r="K222" s="41"/>
      <c r="L222" s="41"/>
      <c r="M222" s="41"/>
      <c r="N222" s="166"/>
      <c r="O222" s="166"/>
      <c r="P222" s="41"/>
      <c r="Q222" s="41"/>
      <c r="R222" s="41"/>
      <c r="S222" s="41"/>
      <c r="T222" s="41"/>
      <c r="U222" s="41"/>
      <c r="V222" s="41"/>
      <c r="W222" s="41"/>
      <c r="X222" s="41"/>
      <c r="Y222" s="166"/>
      <c r="Z222" s="166"/>
      <c r="AA222" s="41"/>
      <c r="AB222" s="41"/>
      <c r="AC222" s="41"/>
      <c r="AD222" s="41"/>
      <c r="AE222" s="41"/>
      <c r="AF222" s="41"/>
      <c r="AG222" s="41"/>
      <c r="AH222" s="41"/>
      <c r="AI222" s="41"/>
    </row>
    <row r="223" spans="1:35" ht="15.75" customHeight="1" x14ac:dyDescent="0.2">
      <c r="A223" s="166"/>
      <c r="B223" s="218"/>
      <c r="C223" s="218"/>
      <c r="D223" s="41"/>
      <c r="E223" s="41"/>
      <c r="F223" s="41"/>
      <c r="G223" s="41"/>
      <c r="H223" s="41"/>
      <c r="I223" s="41"/>
      <c r="J223" s="166"/>
      <c r="K223" s="41"/>
      <c r="L223" s="41"/>
      <c r="M223" s="41"/>
      <c r="N223" s="166"/>
      <c r="O223" s="166"/>
      <c r="P223" s="41"/>
      <c r="Q223" s="41"/>
      <c r="R223" s="41"/>
      <c r="S223" s="41"/>
      <c r="T223" s="41"/>
      <c r="U223" s="41"/>
      <c r="V223" s="41"/>
      <c r="W223" s="41"/>
      <c r="X223" s="41"/>
      <c r="Y223" s="166"/>
      <c r="Z223" s="166"/>
      <c r="AA223" s="41"/>
      <c r="AB223" s="41"/>
      <c r="AC223" s="41"/>
      <c r="AD223" s="41"/>
      <c r="AE223" s="41"/>
      <c r="AF223" s="41"/>
      <c r="AG223" s="41"/>
      <c r="AH223" s="41"/>
      <c r="AI223" s="41"/>
    </row>
    <row r="224" spans="1:35" ht="15.75" customHeight="1" x14ac:dyDescent="0.2">
      <c r="A224" s="166"/>
      <c r="B224" s="218"/>
      <c r="C224" s="218"/>
      <c r="D224" s="41"/>
      <c r="E224" s="41"/>
      <c r="F224" s="41"/>
      <c r="G224" s="41"/>
      <c r="H224" s="41"/>
      <c r="I224" s="41"/>
      <c r="J224" s="166"/>
      <c r="K224" s="41"/>
      <c r="L224" s="41"/>
      <c r="M224" s="41"/>
      <c r="N224" s="166"/>
      <c r="O224" s="166"/>
      <c r="P224" s="41"/>
      <c r="Q224" s="41"/>
      <c r="R224" s="41"/>
      <c r="S224" s="41"/>
      <c r="T224" s="41"/>
      <c r="U224" s="41"/>
      <c r="V224" s="41"/>
      <c r="W224" s="41"/>
      <c r="X224" s="41"/>
      <c r="Y224" s="166"/>
      <c r="Z224" s="166"/>
      <c r="AA224" s="41"/>
      <c r="AB224" s="41"/>
      <c r="AC224" s="41"/>
      <c r="AD224" s="41"/>
      <c r="AE224" s="41"/>
      <c r="AF224" s="41"/>
      <c r="AG224" s="41"/>
      <c r="AH224" s="41"/>
      <c r="AI224" s="41"/>
    </row>
    <row r="225" spans="1:35" ht="15.75" customHeight="1" x14ac:dyDescent="0.2">
      <c r="A225" s="166"/>
      <c r="B225" s="218"/>
      <c r="C225" s="218"/>
      <c r="D225" s="41"/>
      <c r="E225" s="41"/>
      <c r="F225" s="41"/>
      <c r="G225" s="41"/>
      <c r="H225" s="41"/>
      <c r="I225" s="41"/>
      <c r="J225" s="166"/>
      <c r="K225" s="41"/>
      <c r="L225" s="41"/>
      <c r="M225" s="41"/>
      <c r="N225" s="166"/>
      <c r="O225" s="166"/>
      <c r="P225" s="41"/>
      <c r="Q225" s="41"/>
      <c r="R225" s="41"/>
      <c r="S225" s="41"/>
      <c r="T225" s="41"/>
      <c r="U225" s="41"/>
      <c r="V225" s="41"/>
      <c r="W225" s="41"/>
      <c r="X225" s="41"/>
      <c r="Y225" s="166"/>
      <c r="Z225" s="166"/>
      <c r="AA225" s="41"/>
      <c r="AB225" s="41"/>
      <c r="AC225" s="41"/>
      <c r="AD225" s="41"/>
      <c r="AE225" s="41"/>
      <c r="AF225" s="41"/>
      <c r="AG225" s="41"/>
      <c r="AH225" s="41"/>
      <c r="AI225" s="41"/>
    </row>
    <row r="226" spans="1:35" ht="15.75" customHeight="1" x14ac:dyDescent="0.2">
      <c r="A226" s="166"/>
      <c r="B226" s="218"/>
      <c r="C226" s="218"/>
      <c r="D226" s="41"/>
      <c r="E226" s="41"/>
      <c r="F226" s="41"/>
      <c r="G226" s="41"/>
      <c r="H226" s="41"/>
      <c r="I226" s="41"/>
      <c r="J226" s="166"/>
      <c r="K226" s="41"/>
      <c r="L226" s="41"/>
      <c r="M226" s="41"/>
      <c r="N226" s="166"/>
      <c r="O226" s="166"/>
      <c r="P226" s="41"/>
      <c r="Q226" s="41"/>
      <c r="R226" s="41"/>
      <c r="S226" s="41"/>
      <c r="T226" s="41"/>
      <c r="U226" s="41"/>
      <c r="V226" s="41"/>
      <c r="W226" s="41"/>
      <c r="X226" s="41"/>
      <c r="Y226" s="166"/>
      <c r="Z226" s="166"/>
      <c r="AA226" s="41"/>
      <c r="AB226" s="41"/>
      <c r="AC226" s="41"/>
      <c r="AD226" s="41"/>
      <c r="AE226" s="41"/>
      <c r="AF226" s="41"/>
      <c r="AG226" s="41"/>
      <c r="AH226" s="41"/>
      <c r="AI226" s="41"/>
    </row>
    <row r="227" spans="1:35" ht="15.75" customHeight="1" x14ac:dyDescent="0.2">
      <c r="A227" s="166"/>
      <c r="B227" s="218"/>
      <c r="C227" s="218"/>
      <c r="D227" s="41"/>
      <c r="E227" s="41"/>
      <c r="F227" s="41"/>
      <c r="G227" s="41"/>
      <c r="H227" s="41"/>
      <c r="I227" s="41"/>
      <c r="J227" s="166"/>
      <c r="K227" s="41"/>
      <c r="L227" s="41"/>
      <c r="M227" s="41"/>
      <c r="N227" s="166"/>
      <c r="O227" s="166"/>
      <c r="P227" s="41"/>
      <c r="Q227" s="41"/>
      <c r="R227" s="41"/>
      <c r="S227" s="41"/>
      <c r="T227" s="41"/>
      <c r="U227" s="41"/>
      <c r="V227" s="41"/>
      <c r="W227" s="41"/>
      <c r="X227" s="41"/>
      <c r="Y227" s="166"/>
      <c r="Z227" s="166"/>
      <c r="AA227" s="41"/>
      <c r="AB227" s="41"/>
      <c r="AC227" s="41"/>
      <c r="AD227" s="41"/>
      <c r="AE227" s="41"/>
      <c r="AF227" s="41"/>
      <c r="AG227" s="41"/>
      <c r="AH227" s="41"/>
      <c r="AI227" s="41"/>
    </row>
    <row r="228" spans="1:35" ht="15.75" customHeight="1" x14ac:dyDescent="0.2">
      <c r="A228" s="166"/>
      <c r="B228" s="218"/>
      <c r="C228" s="218"/>
      <c r="D228" s="41"/>
      <c r="E228" s="41"/>
      <c r="F228" s="41"/>
      <c r="G228" s="41"/>
      <c r="H228" s="41"/>
      <c r="I228" s="41"/>
      <c r="J228" s="166"/>
      <c r="K228" s="41"/>
      <c r="L228" s="41"/>
      <c r="M228" s="41"/>
      <c r="N228" s="166"/>
      <c r="O228" s="166"/>
      <c r="P228" s="41"/>
      <c r="Q228" s="41"/>
      <c r="R228" s="41"/>
      <c r="S228" s="41"/>
      <c r="T228" s="41"/>
      <c r="U228" s="41"/>
      <c r="V228" s="41"/>
      <c r="W228" s="41"/>
      <c r="X228" s="41"/>
      <c r="Y228" s="166"/>
      <c r="Z228" s="166"/>
      <c r="AA228" s="41"/>
      <c r="AB228" s="41"/>
      <c r="AC228" s="41"/>
      <c r="AD228" s="41"/>
      <c r="AE228" s="41"/>
      <c r="AF228" s="41"/>
      <c r="AG228" s="41"/>
      <c r="AH228" s="41"/>
      <c r="AI228" s="41"/>
    </row>
    <row r="229" spans="1:35" ht="15.75" customHeight="1" x14ac:dyDescent="0.2">
      <c r="A229" s="166"/>
      <c r="B229" s="218"/>
      <c r="C229" s="218"/>
      <c r="D229" s="41"/>
      <c r="E229" s="41"/>
      <c r="F229" s="41"/>
      <c r="G229" s="41"/>
      <c r="H229" s="41"/>
      <c r="I229" s="41"/>
      <c r="J229" s="166"/>
      <c r="K229" s="41"/>
      <c r="L229" s="41"/>
      <c r="M229" s="41"/>
      <c r="N229" s="166"/>
      <c r="O229" s="166"/>
      <c r="P229" s="41"/>
      <c r="Q229" s="41"/>
      <c r="R229" s="41"/>
      <c r="S229" s="41"/>
      <c r="T229" s="41"/>
      <c r="U229" s="41"/>
      <c r="V229" s="41"/>
      <c r="W229" s="41"/>
      <c r="X229" s="41"/>
      <c r="Y229" s="166"/>
      <c r="Z229" s="166"/>
      <c r="AA229" s="41"/>
      <c r="AB229" s="41"/>
      <c r="AC229" s="41"/>
      <c r="AD229" s="41"/>
      <c r="AE229" s="41"/>
      <c r="AF229" s="41"/>
      <c r="AG229" s="41"/>
      <c r="AH229" s="41"/>
      <c r="AI229" s="41"/>
    </row>
    <row r="230" spans="1:35" ht="15.75" customHeight="1" x14ac:dyDescent="0.2">
      <c r="A230" s="166"/>
      <c r="B230" s="218"/>
      <c r="C230" s="218"/>
      <c r="D230" s="41"/>
      <c r="E230" s="41"/>
      <c r="F230" s="41"/>
      <c r="G230" s="41"/>
      <c r="H230" s="41"/>
      <c r="I230" s="41"/>
      <c r="J230" s="166"/>
      <c r="K230" s="41"/>
      <c r="L230" s="41"/>
      <c r="M230" s="41"/>
      <c r="N230" s="166"/>
      <c r="O230" s="166"/>
      <c r="P230" s="41"/>
      <c r="Q230" s="41"/>
      <c r="R230" s="41"/>
      <c r="S230" s="41"/>
      <c r="T230" s="41"/>
      <c r="U230" s="41"/>
      <c r="V230" s="41"/>
      <c r="W230" s="41"/>
      <c r="X230" s="41"/>
      <c r="Y230" s="166"/>
      <c r="Z230" s="166"/>
      <c r="AA230" s="41"/>
      <c r="AB230" s="41"/>
      <c r="AC230" s="41"/>
      <c r="AD230" s="41"/>
      <c r="AE230" s="41"/>
      <c r="AF230" s="41"/>
      <c r="AG230" s="41"/>
      <c r="AH230" s="41"/>
      <c r="AI230" s="41"/>
    </row>
    <row r="231" spans="1:35" ht="15.75" customHeight="1" x14ac:dyDescent="0.2">
      <c r="A231" s="166"/>
      <c r="B231" s="218"/>
      <c r="C231" s="218"/>
      <c r="D231" s="41"/>
      <c r="E231" s="41"/>
      <c r="F231" s="41"/>
      <c r="G231" s="41"/>
      <c r="H231" s="41"/>
      <c r="I231" s="41"/>
      <c r="J231" s="166"/>
      <c r="K231" s="41"/>
      <c r="L231" s="41"/>
      <c r="M231" s="41"/>
      <c r="N231" s="166"/>
      <c r="O231" s="166"/>
      <c r="P231" s="41"/>
      <c r="Q231" s="41"/>
      <c r="R231" s="41"/>
      <c r="S231" s="41"/>
      <c r="T231" s="41"/>
      <c r="U231" s="41"/>
      <c r="V231" s="41"/>
      <c r="W231" s="41"/>
      <c r="X231" s="41"/>
      <c r="Y231" s="166"/>
      <c r="Z231" s="166"/>
      <c r="AA231" s="41"/>
      <c r="AB231" s="41"/>
      <c r="AC231" s="41"/>
      <c r="AD231" s="41"/>
      <c r="AE231" s="41"/>
      <c r="AF231" s="41"/>
      <c r="AG231" s="41"/>
      <c r="AH231" s="41"/>
      <c r="AI231" s="41"/>
    </row>
    <row r="232" spans="1:35" ht="15.75" customHeight="1" x14ac:dyDescent="0.2">
      <c r="A232" s="166"/>
      <c r="B232" s="218"/>
      <c r="C232" s="218"/>
      <c r="D232" s="41"/>
      <c r="E232" s="41"/>
      <c r="F232" s="41"/>
      <c r="G232" s="41"/>
      <c r="H232" s="41"/>
      <c r="I232" s="41"/>
      <c r="J232" s="166"/>
      <c r="K232" s="41"/>
      <c r="L232" s="41"/>
      <c r="M232" s="41"/>
      <c r="N232" s="166"/>
      <c r="O232" s="166"/>
      <c r="P232" s="41"/>
      <c r="Q232" s="41"/>
      <c r="R232" s="41"/>
      <c r="S232" s="41"/>
      <c r="T232" s="41"/>
      <c r="U232" s="41"/>
      <c r="V232" s="41"/>
      <c r="W232" s="41"/>
      <c r="X232" s="41"/>
      <c r="Y232" s="166"/>
      <c r="Z232" s="166"/>
      <c r="AA232" s="41"/>
      <c r="AB232" s="41"/>
      <c r="AC232" s="41"/>
      <c r="AD232" s="41"/>
      <c r="AE232" s="41"/>
      <c r="AF232" s="41"/>
      <c r="AG232" s="41"/>
      <c r="AH232" s="41"/>
      <c r="AI232" s="41"/>
    </row>
    <row r="233" spans="1:35" ht="15.75" customHeight="1" x14ac:dyDescent="0.2"/>
    <row r="234" spans="1:35" ht="15.75" customHeight="1" x14ac:dyDescent="0.2"/>
    <row r="235" spans="1:35" ht="15.75" customHeight="1" x14ac:dyDescent="0.2"/>
    <row r="236" spans="1:35" ht="15.75" customHeight="1" x14ac:dyDescent="0.2"/>
    <row r="237" spans="1:35" ht="15.75" customHeight="1" x14ac:dyDescent="0.2"/>
    <row r="238" spans="1:35" ht="15.75" customHeight="1" x14ac:dyDescent="0.2"/>
    <row r="239" spans="1:35" ht="15.75" customHeight="1" x14ac:dyDescent="0.2"/>
    <row r="240" spans="1:35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1000"/>
  <sheetViews>
    <sheetView topLeftCell="H1" workbookViewId="0">
      <selection activeCell="Y2" sqref="Y2"/>
    </sheetView>
  </sheetViews>
  <sheetFormatPr defaultColWidth="12.5703125" defaultRowHeight="15" customHeight="1" x14ac:dyDescent="0.2"/>
  <cols>
    <col min="1" max="1" width="18.42578125" customWidth="1"/>
    <col min="2" max="2" width="10.42578125" customWidth="1"/>
    <col min="3" max="3" width="8.28515625" customWidth="1"/>
    <col min="4" max="4" width="8.7109375" customWidth="1"/>
    <col min="5" max="5" width="10.28515625" customWidth="1"/>
    <col min="6" max="6" width="7.5703125" customWidth="1"/>
    <col min="7" max="8" width="9.7109375" customWidth="1"/>
    <col min="9" max="9" width="7.7109375" customWidth="1"/>
    <col min="10" max="10" width="9.140625" customWidth="1"/>
    <col min="11" max="11" width="8.42578125" customWidth="1"/>
    <col min="12" max="12" width="9.42578125" customWidth="1"/>
    <col min="13" max="13" width="9" customWidth="1"/>
    <col min="14" max="14" width="8.42578125" customWidth="1"/>
    <col min="15" max="15" width="10.7109375" hidden="1" customWidth="1"/>
    <col min="16" max="16" width="11.42578125" customWidth="1"/>
    <col min="17" max="19" width="6.42578125" customWidth="1"/>
    <col min="20" max="20" width="9.42578125" customWidth="1"/>
    <col min="21" max="21" width="8.28515625" customWidth="1"/>
    <col min="22" max="22" width="7.7109375" customWidth="1"/>
    <col min="23" max="23" width="8.85546875" customWidth="1"/>
    <col min="24" max="24" width="8.140625" customWidth="1"/>
    <col min="25" max="26" width="12.28515625" customWidth="1"/>
    <col min="27" max="27" width="14" customWidth="1"/>
    <col min="28" max="28" width="12.7109375" customWidth="1"/>
    <col min="29" max="29" width="10" customWidth="1"/>
    <col min="30" max="30" width="12.42578125" customWidth="1"/>
    <col min="31" max="31" width="7" customWidth="1"/>
  </cols>
  <sheetData>
    <row r="1" spans="1:36" ht="20.25" customHeight="1" x14ac:dyDescent="0.2">
      <c r="A1" s="129"/>
      <c r="B1" s="168"/>
      <c r="C1" s="168"/>
      <c r="D1" s="130"/>
      <c r="E1" s="130"/>
      <c r="F1" s="130"/>
      <c r="G1" s="130"/>
      <c r="H1" s="130"/>
      <c r="I1" s="130"/>
      <c r="J1" s="129"/>
      <c r="K1" s="129"/>
      <c r="L1" s="129"/>
      <c r="M1" s="88" t="s">
        <v>1</v>
      </c>
      <c r="N1" s="129"/>
      <c r="O1" s="129"/>
      <c r="P1" s="130"/>
      <c r="Q1" s="130"/>
      <c r="R1" s="130"/>
      <c r="S1" s="130"/>
      <c r="T1" s="130"/>
      <c r="U1" s="130"/>
      <c r="V1" s="130"/>
      <c r="W1" s="130"/>
      <c r="X1" s="130"/>
      <c r="Y1" s="129"/>
      <c r="Z1" s="129"/>
      <c r="AA1" s="130"/>
      <c r="AB1" s="130"/>
      <c r="AC1" s="130"/>
      <c r="AD1" s="130"/>
      <c r="AE1" s="130"/>
      <c r="AF1" s="130"/>
      <c r="AG1" s="130"/>
      <c r="AH1" s="130"/>
      <c r="AI1" s="130"/>
    </row>
    <row r="2" spans="1:36" ht="15.75" customHeight="1" x14ac:dyDescent="0.2">
      <c r="A2" s="129"/>
      <c r="B2" s="168"/>
      <c r="C2" s="168"/>
      <c r="D2" s="130"/>
      <c r="E2" s="130"/>
      <c r="F2" s="130"/>
      <c r="G2" s="130"/>
      <c r="H2" s="130"/>
      <c r="I2" s="130"/>
      <c r="J2" s="133" t="s">
        <v>2</v>
      </c>
      <c r="K2" s="133">
        <v>8000</v>
      </c>
      <c r="L2" s="41"/>
      <c r="M2" s="135">
        <v>200000</v>
      </c>
      <c r="N2" s="129"/>
      <c r="O2" s="8">
        <v>0</v>
      </c>
      <c r="P2" s="130"/>
      <c r="Q2" s="130">
        <v>250</v>
      </c>
      <c r="R2" s="130">
        <v>200</v>
      </c>
      <c r="S2" s="130">
        <v>150</v>
      </c>
      <c r="T2" s="130"/>
      <c r="U2" s="130"/>
      <c r="V2" s="9">
        <v>0.12</v>
      </c>
      <c r="W2" s="130"/>
      <c r="X2" s="9">
        <v>7.0000000000000007E-2</v>
      </c>
      <c r="Y2" s="129"/>
      <c r="Z2" s="129"/>
      <c r="AA2" s="130"/>
      <c r="AB2" s="130"/>
      <c r="AC2" s="130"/>
      <c r="AD2" s="130"/>
      <c r="AE2" s="130"/>
      <c r="AF2" s="130"/>
      <c r="AG2" s="130"/>
      <c r="AH2" s="130"/>
      <c r="AI2" s="130"/>
    </row>
    <row r="3" spans="1:36" ht="29.25" customHeight="1" x14ac:dyDescent="0.2">
      <c r="A3" s="136" t="s">
        <v>336</v>
      </c>
      <c r="B3" s="171" t="s">
        <v>4</v>
      </c>
      <c r="C3" s="171" t="s">
        <v>337</v>
      </c>
      <c r="D3" s="136" t="s">
        <v>338</v>
      </c>
      <c r="E3" s="221" t="s">
        <v>481</v>
      </c>
      <c r="F3" s="136" t="s">
        <v>340</v>
      </c>
      <c r="G3" s="136" t="s">
        <v>341</v>
      </c>
      <c r="H3" s="136" t="s">
        <v>342</v>
      </c>
      <c r="I3" s="136" t="s">
        <v>9</v>
      </c>
      <c r="J3" s="136" t="s">
        <v>10</v>
      </c>
      <c r="K3" s="136" t="s">
        <v>11</v>
      </c>
      <c r="L3" s="10" t="s">
        <v>12</v>
      </c>
      <c r="M3" s="136" t="s">
        <v>13</v>
      </c>
      <c r="N3" s="136" t="s">
        <v>14</v>
      </c>
      <c r="O3" s="136"/>
      <c r="P3" s="136" t="s">
        <v>15</v>
      </c>
      <c r="Q3" s="136" t="s">
        <v>16</v>
      </c>
      <c r="R3" s="136" t="s">
        <v>17</v>
      </c>
      <c r="S3" s="10" t="s">
        <v>18</v>
      </c>
      <c r="T3" s="136" t="s">
        <v>19</v>
      </c>
      <c r="U3" s="136" t="s">
        <v>20</v>
      </c>
      <c r="V3" s="136" t="s">
        <v>21</v>
      </c>
      <c r="W3" s="136" t="s">
        <v>22</v>
      </c>
      <c r="X3" s="136" t="s">
        <v>23</v>
      </c>
      <c r="Y3" s="136" t="s">
        <v>24</v>
      </c>
      <c r="Z3" s="136" t="s">
        <v>25</v>
      </c>
      <c r="AA3" s="136"/>
      <c r="AB3" s="136" t="s">
        <v>26</v>
      </c>
      <c r="AC3" s="136" t="s">
        <v>27</v>
      </c>
      <c r="AD3" s="136" t="s">
        <v>28</v>
      </c>
      <c r="AE3" s="136" t="s">
        <v>29</v>
      </c>
      <c r="AF3" s="10" t="s">
        <v>30</v>
      </c>
      <c r="AG3" s="45" t="s">
        <v>31</v>
      </c>
      <c r="AH3" s="45" t="s">
        <v>32</v>
      </c>
      <c r="AI3" s="45" t="s">
        <v>33</v>
      </c>
      <c r="AJ3" s="45" t="s">
        <v>34</v>
      </c>
    </row>
    <row r="4" spans="1:36" ht="15.75" customHeight="1" x14ac:dyDescent="0.2">
      <c r="A4" s="257" t="s">
        <v>343</v>
      </c>
      <c r="B4" s="264">
        <f t="shared" ref="B4:B13" si="0">C4+E4+G4</f>
        <v>175.25</v>
      </c>
      <c r="C4" s="257">
        <v>157.41</v>
      </c>
      <c r="D4" s="264">
        <f t="shared" ref="D4:D28" si="1">C4*10.764</f>
        <v>1694.36124</v>
      </c>
      <c r="E4" s="257">
        <v>17.84</v>
      </c>
      <c r="F4" s="264">
        <f t="shared" ref="F4:F28" si="2">E4*10.764</f>
        <v>192.02975999999998</v>
      </c>
      <c r="G4" s="257">
        <v>0</v>
      </c>
      <c r="H4" s="257">
        <f t="shared" ref="H4:H28" si="3">G4*10.764</f>
        <v>0</v>
      </c>
      <c r="I4" s="264">
        <f t="shared" ref="I4:I28" si="4">D4+F4+H4</f>
        <v>1886.3909999999998</v>
      </c>
      <c r="J4" s="264">
        <f t="shared" ref="J4:J28" si="5">(D4+F4+(H4/2))*1.45</f>
        <v>2735.2669499999997</v>
      </c>
      <c r="K4" s="257">
        <f t="shared" ref="K4:K28" si="6">J4*$K$2</f>
        <v>21882135.599999998</v>
      </c>
      <c r="L4" s="257">
        <v>500000</v>
      </c>
      <c r="M4" s="265">
        <v>400000</v>
      </c>
      <c r="N4" s="257">
        <f t="shared" ref="N4:N28" si="7">SUM(K4:M4)</f>
        <v>22782135.599999998</v>
      </c>
      <c r="O4" s="257">
        <f t="shared" ref="O4:O28" si="8">($O$2*N4)</f>
        <v>0</v>
      </c>
      <c r="P4" s="257">
        <f t="shared" ref="P4:P28" si="9">N4-O4</f>
        <v>22782135.599999998</v>
      </c>
      <c r="Q4" s="257">
        <f t="shared" ref="Q4:Q28" si="10">J4*$Q$2</f>
        <v>683816.73749999993</v>
      </c>
      <c r="R4" s="257">
        <f t="shared" ref="R4:R28" si="11">J4*$R$2</f>
        <v>547053.3899999999</v>
      </c>
      <c r="S4" s="257">
        <f t="shared" ref="S4:S28" si="12">J4*$S$2</f>
        <v>410290.04249999998</v>
      </c>
      <c r="T4" s="257">
        <f t="shared" ref="T4:T28" si="13">SUM(P4:S4)</f>
        <v>24423295.77</v>
      </c>
      <c r="U4" s="257">
        <v>30000</v>
      </c>
      <c r="V4" s="257">
        <f t="shared" ref="V4:V28" si="14">$V$2*P4</f>
        <v>2733856.2719999994</v>
      </c>
      <c r="W4" s="257">
        <f t="shared" ref="W4:W28" si="15">(12%*Q4)+(12%*R4)</f>
        <v>147704.41529999996</v>
      </c>
      <c r="X4" s="257">
        <f t="shared" ref="X4:X28" si="16">CEILING(($X$2*P4),100)</f>
        <v>1594800</v>
      </c>
      <c r="Y4" s="257">
        <v>6000</v>
      </c>
      <c r="Z4" s="257">
        <f t="shared" ref="Z4:Z28" si="17">SUM(T4:Y4)</f>
        <v>28935656.4573</v>
      </c>
      <c r="AA4" s="257"/>
      <c r="AB4" s="257"/>
      <c r="AC4" s="257"/>
      <c r="AD4" s="257"/>
      <c r="AE4" s="257"/>
      <c r="AF4" s="240" t="s">
        <v>611</v>
      </c>
      <c r="AG4" s="241" t="s">
        <v>612</v>
      </c>
      <c r="AH4" s="240" t="s">
        <v>45</v>
      </c>
      <c r="AI4" s="268" t="s">
        <v>45</v>
      </c>
      <c r="AJ4" s="188" t="s">
        <v>462</v>
      </c>
    </row>
    <row r="5" spans="1:36" ht="15.75" customHeight="1" x14ac:dyDescent="0.2">
      <c r="A5" s="244" t="s">
        <v>350</v>
      </c>
      <c r="B5" s="245">
        <f t="shared" si="0"/>
        <v>162.51</v>
      </c>
      <c r="C5" s="245">
        <v>141.72</v>
      </c>
      <c r="D5" s="245">
        <f t="shared" si="1"/>
        <v>1525.47408</v>
      </c>
      <c r="E5" s="245">
        <v>20.79</v>
      </c>
      <c r="F5" s="245">
        <f t="shared" si="2"/>
        <v>223.78355999999997</v>
      </c>
      <c r="G5" s="245">
        <v>0</v>
      </c>
      <c r="H5" s="245">
        <f t="shared" si="3"/>
        <v>0</v>
      </c>
      <c r="I5" s="245">
        <f t="shared" si="4"/>
        <v>1749.2576399999998</v>
      </c>
      <c r="J5" s="245">
        <f t="shared" si="5"/>
        <v>2536.4235779999995</v>
      </c>
      <c r="K5" s="246">
        <f t="shared" si="6"/>
        <v>20291388.623999994</v>
      </c>
      <c r="L5" s="246">
        <v>500000</v>
      </c>
      <c r="M5" s="247">
        <v>400000</v>
      </c>
      <c r="N5" s="248">
        <f t="shared" si="7"/>
        <v>21191388.623999994</v>
      </c>
      <c r="O5" s="248">
        <f t="shared" si="8"/>
        <v>0</v>
      </c>
      <c r="P5" s="246">
        <f t="shared" si="9"/>
        <v>21191388.623999994</v>
      </c>
      <c r="Q5" s="246">
        <f t="shared" si="10"/>
        <v>634105.89449999982</v>
      </c>
      <c r="R5" s="246">
        <f t="shared" si="11"/>
        <v>507284.71559999988</v>
      </c>
      <c r="S5" s="246">
        <f t="shared" si="12"/>
        <v>380463.53669999994</v>
      </c>
      <c r="T5" s="246">
        <f t="shared" si="13"/>
        <v>22713242.770799991</v>
      </c>
      <c r="U5" s="246">
        <v>30000</v>
      </c>
      <c r="V5" s="246">
        <f t="shared" si="14"/>
        <v>2542966.6348799993</v>
      </c>
      <c r="W5" s="246">
        <f t="shared" si="15"/>
        <v>136966.87321199995</v>
      </c>
      <c r="X5" s="246">
        <f t="shared" si="16"/>
        <v>1483400</v>
      </c>
      <c r="Y5" s="248">
        <v>6000</v>
      </c>
      <c r="Z5" s="248">
        <f t="shared" si="17"/>
        <v>26912576.278891988</v>
      </c>
      <c r="AA5" s="249" t="s">
        <v>487</v>
      </c>
      <c r="AB5" s="250"/>
      <c r="AC5" s="250"/>
      <c r="AD5" s="250"/>
      <c r="AE5" s="250"/>
      <c r="AF5" s="251" t="s">
        <v>613</v>
      </c>
      <c r="AG5" s="252" t="s">
        <v>614</v>
      </c>
      <c r="AH5" s="251" t="s">
        <v>45</v>
      </c>
      <c r="AI5" s="274" t="s">
        <v>45</v>
      </c>
      <c r="AJ5" s="253" t="s">
        <v>462</v>
      </c>
    </row>
    <row r="6" spans="1:36" ht="15.75" customHeight="1" x14ac:dyDescent="0.2">
      <c r="A6" s="244" t="s">
        <v>355</v>
      </c>
      <c r="B6" s="245">
        <f t="shared" si="0"/>
        <v>102.72</v>
      </c>
      <c r="C6" s="245">
        <v>86.13</v>
      </c>
      <c r="D6" s="245">
        <f t="shared" si="1"/>
        <v>927.10331999999994</v>
      </c>
      <c r="E6" s="245">
        <v>16.59</v>
      </c>
      <c r="F6" s="245">
        <f t="shared" si="2"/>
        <v>178.57476</v>
      </c>
      <c r="G6" s="245">
        <v>0</v>
      </c>
      <c r="H6" s="245">
        <f t="shared" si="3"/>
        <v>0</v>
      </c>
      <c r="I6" s="245">
        <f t="shared" si="4"/>
        <v>1105.6780799999999</v>
      </c>
      <c r="J6" s="245">
        <f t="shared" si="5"/>
        <v>1603.2332159999999</v>
      </c>
      <c r="K6" s="246">
        <f t="shared" si="6"/>
        <v>12825865.727999998</v>
      </c>
      <c r="L6" s="246">
        <v>500000</v>
      </c>
      <c r="M6" s="247">
        <v>400000</v>
      </c>
      <c r="N6" s="248">
        <f t="shared" si="7"/>
        <v>13725865.727999998</v>
      </c>
      <c r="O6" s="248">
        <f t="shared" si="8"/>
        <v>0</v>
      </c>
      <c r="P6" s="246">
        <f t="shared" si="9"/>
        <v>13725865.727999998</v>
      </c>
      <c r="Q6" s="246">
        <f t="shared" si="10"/>
        <v>400808.30399999995</v>
      </c>
      <c r="R6" s="246">
        <f t="shared" si="11"/>
        <v>320646.64319999999</v>
      </c>
      <c r="S6" s="246">
        <f t="shared" si="12"/>
        <v>240484.98239999998</v>
      </c>
      <c r="T6" s="246">
        <f t="shared" si="13"/>
        <v>14687805.657599999</v>
      </c>
      <c r="U6" s="246">
        <v>30000</v>
      </c>
      <c r="V6" s="246">
        <f t="shared" si="14"/>
        <v>1647103.8873599998</v>
      </c>
      <c r="W6" s="246">
        <f t="shared" si="15"/>
        <v>86574.593663999985</v>
      </c>
      <c r="X6" s="246">
        <f t="shared" si="16"/>
        <v>960900</v>
      </c>
      <c r="Y6" s="248">
        <v>6000</v>
      </c>
      <c r="Z6" s="248">
        <f t="shared" si="17"/>
        <v>17418384.138623998</v>
      </c>
      <c r="AA6" s="249" t="s">
        <v>487</v>
      </c>
      <c r="AB6" s="250"/>
      <c r="AC6" s="250"/>
      <c r="AD6" s="250"/>
      <c r="AE6" s="250"/>
      <c r="AF6" s="251" t="s">
        <v>615</v>
      </c>
      <c r="AG6" s="252" t="s">
        <v>616</v>
      </c>
      <c r="AH6" s="251" t="s">
        <v>45</v>
      </c>
      <c r="AI6" s="274" t="s">
        <v>45</v>
      </c>
      <c r="AJ6" s="253" t="s">
        <v>462</v>
      </c>
    </row>
    <row r="7" spans="1:36" ht="15.75" customHeight="1" x14ac:dyDescent="0.2">
      <c r="A7" s="244" t="s">
        <v>359</v>
      </c>
      <c r="B7" s="245">
        <f t="shared" si="0"/>
        <v>117.42999999999999</v>
      </c>
      <c r="C7" s="245">
        <v>100.69</v>
      </c>
      <c r="D7" s="245">
        <f t="shared" si="1"/>
        <v>1083.8271599999998</v>
      </c>
      <c r="E7" s="245">
        <v>16.739999999999998</v>
      </c>
      <c r="F7" s="245">
        <f t="shared" si="2"/>
        <v>180.18935999999997</v>
      </c>
      <c r="G7" s="245">
        <v>0</v>
      </c>
      <c r="H7" s="245">
        <f t="shared" si="3"/>
        <v>0</v>
      </c>
      <c r="I7" s="245">
        <f t="shared" si="4"/>
        <v>1264.0165199999997</v>
      </c>
      <c r="J7" s="245">
        <f t="shared" si="5"/>
        <v>1832.8239539999995</v>
      </c>
      <c r="K7" s="246">
        <f t="shared" si="6"/>
        <v>14662591.631999996</v>
      </c>
      <c r="L7" s="247">
        <v>800000</v>
      </c>
      <c r="M7" s="247">
        <v>400000</v>
      </c>
      <c r="N7" s="248">
        <f t="shared" si="7"/>
        <v>15862591.631999996</v>
      </c>
      <c r="O7" s="248">
        <f t="shared" si="8"/>
        <v>0</v>
      </c>
      <c r="P7" s="246">
        <f t="shared" si="9"/>
        <v>15862591.631999996</v>
      </c>
      <c r="Q7" s="246">
        <f t="shared" si="10"/>
        <v>458205.98849999986</v>
      </c>
      <c r="R7" s="246">
        <f t="shared" si="11"/>
        <v>366564.7907999999</v>
      </c>
      <c r="S7" s="246">
        <f t="shared" si="12"/>
        <v>274923.59309999994</v>
      </c>
      <c r="T7" s="246">
        <f t="shared" si="13"/>
        <v>16962286.004399993</v>
      </c>
      <c r="U7" s="246">
        <v>30000</v>
      </c>
      <c r="V7" s="246">
        <f t="shared" si="14"/>
        <v>1903510.9958399993</v>
      </c>
      <c r="W7" s="246">
        <f t="shared" si="15"/>
        <v>98972.493515999959</v>
      </c>
      <c r="X7" s="246">
        <f t="shared" si="16"/>
        <v>1110400</v>
      </c>
      <c r="Y7" s="248">
        <v>6000</v>
      </c>
      <c r="Z7" s="248">
        <f t="shared" si="17"/>
        <v>20111169.493755989</v>
      </c>
      <c r="AA7" s="249" t="s">
        <v>487</v>
      </c>
      <c r="AB7" s="250"/>
      <c r="AC7" s="250"/>
      <c r="AD7" s="250"/>
      <c r="AE7" s="250"/>
      <c r="AF7" s="251" t="s">
        <v>617</v>
      </c>
      <c r="AG7" s="252" t="s">
        <v>618</v>
      </c>
      <c r="AH7" s="251" t="s">
        <v>50</v>
      </c>
      <c r="AI7" s="274" t="s">
        <v>45</v>
      </c>
      <c r="AJ7" s="274" t="s">
        <v>453</v>
      </c>
    </row>
    <row r="8" spans="1:36" ht="15.75" customHeight="1" x14ac:dyDescent="0.2">
      <c r="A8" s="244" t="s">
        <v>363</v>
      </c>
      <c r="B8" s="245">
        <f t="shared" si="0"/>
        <v>51.209999999999994</v>
      </c>
      <c r="C8" s="245">
        <v>44.12</v>
      </c>
      <c r="D8" s="245">
        <f t="shared" si="1"/>
        <v>474.90767999999997</v>
      </c>
      <c r="E8" s="245">
        <v>7.09</v>
      </c>
      <c r="F8" s="245">
        <f t="shared" si="2"/>
        <v>76.316759999999988</v>
      </c>
      <c r="G8" s="245">
        <v>0</v>
      </c>
      <c r="H8" s="245">
        <f t="shared" si="3"/>
        <v>0</v>
      </c>
      <c r="I8" s="245">
        <f t="shared" si="4"/>
        <v>551.22443999999996</v>
      </c>
      <c r="J8" s="245">
        <f t="shared" si="5"/>
        <v>799.27543799999989</v>
      </c>
      <c r="K8" s="246">
        <f t="shared" si="6"/>
        <v>6394203.5039999988</v>
      </c>
      <c r="L8" s="246">
        <v>400000</v>
      </c>
      <c r="M8" s="247">
        <v>200000</v>
      </c>
      <c r="N8" s="248">
        <f t="shared" si="7"/>
        <v>6994203.5039999988</v>
      </c>
      <c r="O8" s="248">
        <f t="shared" si="8"/>
        <v>0</v>
      </c>
      <c r="P8" s="246">
        <f t="shared" si="9"/>
        <v>6994203.5039999988</v>
      </c>
      <c r="Q8" s="246">
        <f t="shared" si="10"/>
        <v>199818.85949999996</v>
      </c>
      <c r="R8" s="246">
        <f t="shared" si="11"/>
        <v>159855.08759999997</v>
      </c>
      <c r="S8" s="246">
        <f t="shared" si="12"/>
        <v>119891.31569999998</v>
      </c>
      <c r="T8" s="246">
        <f t="shared" si="13"/>
        <v>7473768.7667999994</v>
      </c>
      <c r="U8" s="246">
        <v>30000</v>
      </c>
      <c r="V8" s="246">
        <f t="shared" si="14"/>
        <v>839304.42047999986</v>
      </c>
      <c r="W8" s="246">
        <f t="shared" si="15"/>
        <v>43160.873651999995</v>
      </c>
      <c r="X8" s="246">
        <f t="shared" si="16"/>
        <v>489600</v>
      </c>
      <c r="Y8" s="248">
        <v>6000</v>
      </c>
      <c r="Z8" s="248">
        <f t="shared" si="17"/>
        <v>8881834.0609319992</v>
      </c>
      <c r="AA8" s="249" t="s">
        <v>487</v>
      </c>
      <c r="AB8" s="250"/>
      <c r="AC8" s="250"/>
      <c r="AD8" s="250"/>
      <c r="AE8" s="250"/>
      <c r="AF8" s="251">
        <v>282</v>
      </c>
      <c r="AG8" s="252" t="s">
        <v>619</v>
      </c>
      <c r="AH8" s="251" t="s">
        <v>40</v>
      </c>
      <c r="AI8" s="274" t="s">
        <v>45</v>
      </c>
      <c r="AJ8" s="244" t="s">
        <v>608</v>
      </c>
    </row>
    <row r="9" spans="1:36" ht="15.75" customHeight="1" x14ac:dyDescent="0.2">
      <c r="A9" s="244" t="s">
        <v>367</v>
      </c>
      <c r="B9" s="245">
        <f t="shared" si="0"/>
        <v>51.209999999999994</v>
      </c>
      <c r="C9" s="245">
        <v>44.12</v>
      </c>
      <c r="D9" s="245">
        <f t="shared" si="1"/>
        <v>474.90767999999997</v>
      </c>
      <c r="E9" s="245">
        <v>7.09</v>
      </c>
      <c r="F9" s="245">
        <f t="shared" si="2"/>
        <v>76.316759999999988</v>
      </c>
      <c r="G9" s="245">
        <v>0</v>
      </c>
      <c r="H9" s="245">
        <f t="shared" si="3"/>
        <v>0</v>
      </c>
      <c r="I9" s="245">
        <f t="shared" si="4"/>
        <v>551.22443999999996</v>
      </c>
      <c r="J9" s="245">
        <f t="shared" si="5"/>
        <v>799.27543799999989</v>
      </c>
      <c r="K9" s="246">
        <f t="shared" si="6"/>
        <v>6394203.5039999988</v>
      </c>
      <c r="L9" s="246">
        <v>400000</v>
      </c>
      <c r="M9" s="247">
        <v>200000</v>
      </c>
      <c r="N9" s="248">
        <f t="shared" si="7"/>
        <v>6994203.5039999988</v>
      </c>
      <c r="O9" s="248">
        <f t="shared" si="8"/>
        <v>0</v>
      </c>
      <c r="P9" s="246">
        <f t="shared" si="9"/>
        <v>6994203.5039999988</v>
      </c>
      <c r="Q9" s="246">
        <f t="shared" si="10"/>
        <v>199818.85949999996</v>
      </c>
      <c r="R9" s="246">
        <f t="shared" si="11"/>
        <v>159855.08759999997</v>
      </c>
      <c r="S9" s="246">
        <f t="shared" si="12"/>
        <v>119891.31569999998</v>
      </c>
      <c r="T9" s="246">
        <f t="shared" si="13"/>
        <v>7473768.7667999994</v>
      </c>
      <c r="U9" s="246">
        <v>30000</v>
      </c>
      <c r="V9" s="246">
        <f t="shared" si="14"/>
        <v>839304.42047999986</v>
      </c>
      <c r="W9" s="246">
        <f t="shared" si="15"/>
        <v>43160.873651999995</v>
      </c>
      <c r="X9" s="246">
        <f t="shared" si="16"/>
        <v>489600</v>
      </c>
      <c r="Y9" s="248">
        <v>6000</v>
      </c>
      <c r="Z9" s="248">
        <f t="shared" si="17"/>
        <v>8881834.0609319992</v>
      </c>
      <c r="AA9" s="249" t="s">
        <v>487</v>
      </c>
      <c r="AB9" s="250"/>
      <c r="AC9" s="250"/>
      <c r="AD9" s="250"/>
      <c r="AE9" s="250"/>
      <c r="AF9" s="251">
        <v>283</v>
      </c>
      <c r="AG9" s="252" t="s">
        <v>620</v>
      </c>
      <c r="AH9" s="251" t="s">
        <v>40</v>
      </c>
      <c r="AI9" s="274" t="s">
        <v>45</v>
      </c>
      <c r="AJ9" s="244" t="s">
        <v>608</v>
      </c>
    </row>
    <row r="10" spans="1:36" ht="15.75" customHeight="1" x14ac:dyDescent="0.2">
      <c r="A10" s="244" t="s">
        <v>370</v>
      </c>
      <c r="B10" s="245">
        <f t="shared" si="0"/>
        <v>51.209999999999994</v>
      </c>
      <c r="C10" s="245">
        <v>44.12</v>
      </c>
      <c r="D10" s="245">
        <f t="shared" si="1"/>
        <v>474.90767999999997</v>
      </c>
      <c r="E10" s="245">
        <v>7.09</v>
      </c>
      <c r="F10" s="245">
        <f t="shared" si="2"/>
        <v>76.316759999999988</v>
      </c>
      <c r="G10" s="245">
        <v>0</v>
      </c>
      <c r="H10" s="245">
        <f t="shared" si="3"/>
        <v>0</v>
      </c>
      <c r="I10" s="245">
        <f t="shared" si="4"/>
        <v>551.22443999999996</v>
      </c>
      <c r="J10" s="245">
        <f t="shared" si="5"/>
        <v>799.27543799999989</v>
      </c>
      <c r="K10" s="246">
        <f t="shared" si="6"/>
        <v>6394203.5039999988</v>
      </c>
      <c r="L10" s="246">
        <v>400000</v>
      </c>
      <c r="M10" s="247">
        <v>200000</v>
      </c>
      <c r="N10" s="248">
        <f t="shared" si="7"/>
        <v>6994203.5039999988</v>
      </c>
      <c r="O10" s="248">
        <f t="shared" si="8"/>
        <v>0</v>
      </c>
      <c r="P10" s="246">
        <f t="shared" si="9"/>
        <v>6994203.5039999988</v>
      </c>
      <c r="Q10" s="246">
        <f t="shared" si="10"/>
        <v>199818.85949999996</v>
      </c>
      <c r="R10" s="246">
        <f t="shared" si="11"/>
        <v>159855.08759999997</v>
      </c>
      <c r="S10" s="246">
        <f t="shared" si="12"/>
        <v>119891.31569999998</v>
      </c>
      <c r="T10" s="246">
        <f t="shared" si="13"/>
        <v>7473768.7667999994</v>
      </c>
      <c r="U10" s="246">
        <v>30000</v>
      </c>
      <c r="V10" s="246">
        <f t="shared" si="14"/>
        <v>839304.42047999986</v>
      </c>
      <c r="W10" s="246">
        <f t="shared" si="15"/>
        <v>43160.873651999995</v>
      </c>
      <c r="X10" s="246">
        <f t="shared" si="16"/>
        <v>489600</v>
      </c>
      <c r="Y10" s="248">
        <v>6000</v>
      </c>
      <c r="Z10" s="248">
        <f t="shared" si="17"/>
        <v>8881834.0609319992</v>
      </c>
      <c r="AA10" s="249" t="s">
        <v>487</v>
      </c>
      <c r="AB10" s="250"/>
      <c r="AC10" s="250"/>
      <c r="AD10" s="250"/>
      <c r="AE10" s="250"/>
      <c r="AF10" s="251">
        <v>284</v>
      </c>
      <c r="AG10" s="252" t="s">
        <v>621</v>
      </c>
      <c r="AH10" s="251" t="s">
        <v>40</v>
      </c>
      <c r="AI10" s="274" t="s">
        <v>45</v>
      </c>
      <c r="AJ10" s="244" t="s">
        <v>608</v>
      </c>
    </row>
    <row r="11" spans="1:36" ht="15.75" customHeight="1" x14ac:dyDescent="0.2">
      <c r="A11" s="244" t="s">
        <v>372</v>
      </c>
      <c r="B11" s="245">
        <f t="shared" si="0"/>
        <v>62.88</v>
      </c>
      <c r="C11" s="245">
        <v>54.09</v>
      </c>
      <c r="D11" s="245">
        <f t="shared" si="1"/>
        <v>582.22475999999995</v>
      </c>
      <c r="E11" s="245">
        <v>8.7899999999999991</v>
      </c>
      <c r="F11" s="245">
        <f t="shared" si="2"/>
        <v>94.615559999999988</v>
      </c>
      <c r="G11" s="245">
        <v>0</v>
      </c>
      <c r="H11" s="245">
        <f t="shared" si="3"/>
        <v>0</v>
      </c>
      <c r="I11" s="245">
        <f t="shared" si="4"/>
        <v>676.84031999999991</v>
      </c>
      <c r="J11" s="245">
        <f t="shared" si="5"/>
        <v>981.41846399999986</v>
      </c>
      <c r="K11" s="246">
        <f t="shared" si="6"/>
        <v>7851347.7119999984</v>
      </c>
      <c r="L11" s="246">
        <v>400000</v>
      </c>
      <c r="M11" s="247">
        <v>200000</v>
      </c>
      <c r="N11" s="248">
        <f t="shared" si="7"/>
        <v>8451347.7119999975</v>
      </c>
      <c r="O11" s="248">
        <f t="shared" si="8"/>
        <v>0</v>
      </c>
      <c r="P11" s="246">
        <f t="shared" si="9"/>
        <v>8451347.7119999975</v>
      </c>
      <c r="Q11" s="246">
        <f t="shared" si="10"/>
        <v>245354.61599999995</v>
      </c>
      <c r="R11" s="246">
        <f t="shared" si="11"/>
        <v>196283.69279999996</v>
      </c>
      <c r="S11" s="246">
        <f t="shared" si="12"/>
        <v>147212.76959999997</v>
      </c>
      <c r="T11" s="246">
        <f t="shared" si="13"/>
        <v>9040198.7903999984</v>
      </c>
      <c r="U11" s="246">
        <v>30000</v>
      </c>
      <c r="V11" s="246">
        <f t="shared" si="14"/>
        <v>1014161.7254399997</v>
      </c>
      <c r="W11" s="246">
        <f t="shared" si="15"/>
        <v>52996.597055999984</v>
      </c>
      <c r="X11" s="246">
        <f t="shared" si="16"/>
        <v>591600</v>
      </c>
      <c r="Y11" s="248">
        <v>6000</v>
      </c>
      <c r="Z11" s="248">
        <f t="shared" si="17"/>
        <v>10734957.112895997</v>
      </c>
      <c r="AA11" s="249" t="s">
        <v>487</v>
      </c>
      <c r="AB11" s="250"/>
      <c r="AC11" s="250"/>
      <c r="AD11" s="250"/>
      <c r="AE11" s="250"/>
      <c r="AF11" s="251">
        <v>285</v>
      </c>
      <c r="AG11" s="252" t="s">
        <v>622</v>
      </c>
      <c r="AH11" s="251" t="s">
        <v>40</v>
      </c>
      <c r="AI11" s="274" t="s">
        <v>45</v>
      </c>
      <c r="AJ11" s="244" t="s">
        <v>608</v>
      </c>
    </row>
    <row r="12" spans="1:36" ht="15.75" customHeight="1" x14ac:dyDescent="0.2">
      <c r="A12" s="244" t="s">
        <v>374</v>
      </c>
      <c r="B12" s="245">
        <f t="shared" si="0"/>
        <v>62.88</v>
      </c>
      <c r="C12" s="245">
        <v>54.09</v>
      </c>
      <c r="D12" s="245">
        <f t="shared" si="1"/>
        <v>582.22475999999995</v>
      </c>
      <c r="E12" s="245">
        <v>8.7899999999999991</v>
      </c>
      <c r="F12" s="245">
        <f t="shared" si="2"/>
        <v>94.615559999999988</v>
      </c>
      <c r="G12" s="245">
        <v>0</v>
      </c>
      <c r="H12" s="245">
        <f t="shared" si="3"/>
        <v>0</v>
      </c>
      <c r="I12" s="245">
        <f t="shared" si="4"/>
        <v>676.84031999999991</v>
      </c>
      <c r="J12" s="245">
        <f t="shared" si="5"/>
        <v>981.41846399999986</v>
      </c>
      <c r="K12" s="246">
        <f t="shared" si="6"/>
        <v>7851347.7119999984</v>
      </c>
      <c r="L12" s="246">
        <v>400000</v>
      </c>
      <c r="M12" s="247">
        <v>200000</v>
      </c>
      <c r="N12" s="248">
        <f t="shared" si="7"/>
        <v>8451347.7119999975</v>
      </c>
      <c r="O12" s="248">
        <f t="shared" si="8"/>
        <v>0</v>
      </c>
      <c r="P12" s="246">
        <f t="shared" si="9"/>
        <v>8451347.7119999975</v>
      </c>
      <c r="Q12" s="246">
        <f t="shared" si="10"/>
        <v>245354.61599999995</v>
      </c>
      <c r="R12" s="246">
        <f t="shared" si="11"/>
        <v>196283.69279999996</v>
      </c>
      <c r="S12" s="246">
        <f t="shared" si="12"/>
        <v>147212.76959999997</v>
      </c>
      <c r="T12" s="246">
        <f t="shared" si="13"/>
        <v>9040198.7903999984</v>
      </c>
      <c r="U12" s="246">
        <v>30000</v>
      </c>
      <c r="V12" s="246">
        <f t="shared" si="14"/>
        <v>1014161.7254399997</v>
      </c>
      <c r="W12" s="246">
        <f t="shared" si="15"/>
        <v>52996.597055999984</v>
      </c>
      <c r="X12" s="246">
        <f t="shared" si="16"/>
        <v>591600</v>
      </c>
      <c r="Y12" s="248">
        <v>6000</v>
      </c>
      <c r="Z12" s="248">
        <f t="shared" si="17"/>
        <v>10734957.112895997</v>
      </c>
      <c r="AA12" s="249" t="s">
        <v>487</v>
      </c>
      <c r="AB12" s="250"/>
      <c r="AC12" s="250"/>
      <c r="AD12" s="250"/>
      <c r="AE12" s="250"/>
      <c r="AF12" s="251">
        <v>286</v>
      </c>
      <c r="AG12" s="252" t="s">
        <v>623</v>
      </c>
      <c r="AH12" s="251" t="s">
        <v>40</v>
      </c>
      <c r="AI12" s="274" t="s">
        <v>45</v>
      </c>
      <c r="AJ12" s="244" t="s">
        <v>608</v>
      </c>
    </row>
    <row r="13" spans="1:36" ht="15.75" customHeight="1" x14ac:dyDescent="0.2">
      <c r="A13" s="244" t="s">
        <v>377</v>
      </c>
      <c r="B13" s="245">
        <f t="shared" si="0"/>
        <v>64.25</v>
      </c>
      <c r="C13" s="245">
        <v>55.26</v>
      </c>
      <c r="D13" s="245">
        <f t="shared" si="1"/>
        <v>594.81863999999996</v>
      </c>
      <c r="E13" s="245">
        <v>8.99</v>
      </c>
      <c r="F13" s="245">
        <f t="shared" si="2"/>
        <v>96.768360000000001</v>
      </c>
      <c r="G13" s="245">
        <v>0</v>
      </c>
      <c r="H13" s="245">
        <f t="shared" si="3"/>
        <v>0</v>
      </c>
      <c r="I13" s="245">
        <f t="shared" si="4"/>
        <v>691.58699999999999</v>
      </c>
      <c r="J13" s="245">
        <f t="shared" si="5"/>
        <v>1002.80115</v>
      </c>
      <c r="K13" s="246">
        <f t="shared" si="6"/>
        <v>8022409.2000000002</v>
      </c>
      <c r="L13" s="246">
        <v>400000</v>
      </c>
      <c r="M13" s="247">
        <v>200000</v>
      </c>
      <c r="N13" s="248">
        <f t="shared" si="7"/>
        <v>8622409.1999999993</v>
      </c>
      <c r="O13" s="248">
        <f t="shared" si="8"/>
        <v>0</v>
      </c>
      <c r="P13" s="246">
        <f t="shared" si="9"/>
        <v>8622409.1999999993</v>
      </c>
      <c r="Q13" s="246">
        <f t="shared" si="10"/>
        <v>250700.28750000001</v>
      </c>
      <c r="R13" s="246">
        <f t="shared" si="11"/>
        <v>200560.23</v>
      </c>
      <c r="S13" s="246">
        <f t="shared" si="12"/>
        <v>150420.17250000002</v>
      </c>
      <c r="T13" s="246">
        <f t="shared" si="13"/>
        <v>9224089.8899999987</v>
      </c>
      <c r="U13" s="246">
        <v>30000</v>
      </c>
      <c r="V13" s="246">
        <f t="shared" si="14"/>
        <v>1034689.1039999998</v>
      </c>
      <c r="W13" s="246">
        <f t="shared" si="15"/>
        <v>54151.2621</v>
      </c>
      <c r="X13" s="246">
        <f t="shared" si="16"/>
        <v>603600</v>
      </c>
      <c r="Y13" s="248">
        <v>6000</v>
      </c>
      <c r="Z13" s="248">
        <f t="shared" si="17"/>
        <v>10952530.256099999</v>
      </c>
      <c r="AA13" s="249" t="s">
        <v>487</v>
      </c>
      <c r="AB13" s="250"/>
      <c r="AC13" s="250"/>
      <c r="AD13" s="250"/>
      <c r="AE13" s="250"/>
      <c r="AF13" s="251">
        <v>287</v>
      </c>
      <c r="AG13" s="252" t="s">
        <v>624</v>
      </c>
      <c r="AH13" s="251" t="s">
        <v>40</v>
      </c>
      <c r="AI13" s="274" t="s">
        <v>45</v>
      </c>
      <c r="AJ13" s="244" t="s">
        <v>608</v>
      </c>
    </row>
    <row r="14" spans="1:36" ht="15.75" customHeight="1" x14ac:dyDescent="0.2">
      <c r="A14" s="254" t="s">
        <v>532</v>
      </c>
      <c r="B14" s="155">
        <v>79.180000000000007</v>
      </c>
      <c r="C14" s="155">
        <v>53.16</v>
      </c>
      <c r="D14" s="156">
        <f t="shared" si="1"/>
        <v>572.2142399999999</v>
      </c>
      <c r="E14" s="155">
        <v>26.02</v>
      </c>
      <c r="F14" s="156">
        <f t="shared" si="2"/>
        <v>280.07927999999998</v>
      </c>
      <c r="G14" s="156">
        <v>0</v>
      </c>
      <c r="H14" s="156">
        <f t="shared" si="3"/>
        <v>0</v>
      </c>
      <c r="I14" s="156">
        <f t="shared" si="4"/>
        <v>852.29351999999994</v>
      </c>
      <c r="J14" s="156">
        <f t="shared" si="5"/>
        <v>1235.8256039999999</v>
      </c>
      <c r="K14" s="158">
        <f t="shared" si="6"/>
        <v>9886604.8319999985</v>
      </c>
      <c r="L14" s="158">
        <v>400000</v>
      </c>
      <c r="M14" s="159">
        <v>400000</v>
      </c>
      <c r="N14" s="160">
        <f t="shared" si="7"/>
        <v>10686604.831999999</v>
      </c>
      <c r="O14" s="160">
        <f t="shared" si="8"/>
        <v>0</v>
      </c>
      <c r="P14" s="158">
        <f t="shared" si="9"/>
        <v>10686604.831999999</v>
      </c>
      <c r="Q14" s="158">
        <f t="shared" si="10"/>
        <v>308956.40099999995</v>
      </c>
      <c r="R14" s="158">
        <f t="shared" si="11"/>
        <v>247165.12079999998</v>
      </c>
      <c r="S14" s="158">
        <f t="shared" si="12"/>
        <v>185373.8406</v>
      </c>
      <c r="T14" s="158">
        <f t="shared" si="13"/>
        <v>11428100.194399999</v>
      </c>
      <c r="U14" s="158">
        <v>30000</v>
      </c>
      <c r="V14" s="158">
        <f t="shared" si="14"/>
        <v>1282392.5798399998</v>
      </c>
      <c r="W14" s="158">
        <f t="shared" si="15"/>
        <v>66734.582615999985</v>
      </c>
      <c r="X14" s="158">
        <f t="shared" si="16"/>
        <v>748100</v>
      </c>
      <c r="Y14" s="160">
        <v>6000</v>
      </c>
      <c r="Z14" s="160">
        <f t="shared" si="17"/>
        <v>13561327.356855998</v>
      </c>
      <c r="AA14" s="154" t="s">
        <v>487</v>
      </c>
      <c r="AB14" s="161"/>
      <c r="AC14" s="161"/>
      <c r="AD14" s="161"/>
      <c r="AE14" s="161"/>
      <c r="AF14" s="255">
        <v>288</v>
      </c>
      <c r="AG14" s="256" t="s">
        <v>625</v>
      </c>
      <c r="AH14" s="255" t="s">
        <v>40</v>
      </c>
      <c r="AI14" s="254" t="s">
        <v>45</v>
      </c>
      <c r="AJ14" s="224" t="s">
        <v>608</v>
      </c>
    </row>
    <row r="15" spans="1:36" ht="15.75" customHeight="1" x14ac:dyDescent="0.2">
      <c r="A15" s="254" t="s">
        <v>500</v>
      </c>
      <c r="B15" s="155">
        <v>87.91</v>
      </c>
      <c r="C15" s="156">
        <v>74.92</v>
      </c>
      <c r="D15" s="156">
        <f t="shared" si="1"/>
        <v>806.43887999999993</v>
      </c>
      <c r="E15" s="155">
        <v>12.99</v>
      </c>
      <c r="F15" s="156">
        <f t="shared" si="2"/>
        <v>139.82435999999998</v>
      </c>
      <c r="G15" s="156">
        <v>0</v>
      </c>
      <c r="H15" s="156">
        <f t="shared" si="3"/>
        <v>0</v>
      </c>
      <c r="I15" s="156">
        <f t="shared" si="4"/>
        <v>946.26323999999988</v>
      </c>
      <c r="J15" s="156">
        <f t="shared" si="5"/>
        <v>1372.0816979999997</v>
      </c>
      <c r="K15" s="158">
        <f t="shared" si="6"/>
        <v>10976653.583999997</v>
      </c>
      <c r="L15" s="159">
        <v>500000</v>
      </c>
      <c r="M15" s="159">
        <v>400000</v>
      </c>
      <c r="N15" s="160">
        <f t="shared" si="7"/>
        <v>11876653.583999997</v>
      </c>
      <c r="O15" s="160">
        <f t="shared" si="8"/>
        <v>0</v>
      </c>
      <c r="P15" s="158">
        <f t="shared" si="9"/>
        <v>11876653.583999997</v>
      </c>
      <c r="Q15" s="158">
        <f t="shared" si="10"/>
        <v>343020.42449999991</v>
      </c>
      <c r="R15" s="158">
        <f t="shared" si="11"/>
        <v>274416.33959999995</v>
      </c>
      <c r="S15" s="158">
        <f t="shared" si="12"/>
        <v>205812.25469999996</v>
      </c>
      <c r="T15" s="158">
        <f t="shared" si="13"/>
        <v>12699902.602799997</v>
      </c>
      <c r="U15" s="158">
        <v>30000</v>
      </c>
      <c r="V15" s="158">
        <f t="shared" si="14"/>
        <v>1425198.4300799996</v>
      </c>
      <c r="W15" s="158">
        <f t="shared" si="15"/>
        <v>74092.41169199998</v>
      </c>
      <c r="X15" s="158">
        <f t="shared" si="16"/>
        <v>831400</v>
      </c>
      <c r="Y15" s="160">
        <v>6000</v>
      </c>
      <c r="Z15" s="160">
        <f t="shared" si="17"/>
        <v>15066593.444571996</v>
      </c>
      <c r="AA15" s="154" t="s">
        <v>487</v>
      </c>
      <c r="AB15" s="161"/>
      <c r="AC15" s="161"/>
      <c r="AD15" s="161"/>
      <c r="AE15" s="161"/>
      <c r="AF15" s="255" t="s">
        <v>626</v>
      </c>
      <c r="AG15" s="256" t="s">
        <v>627</v>
      </c>
      <c r="AH15" s="255" t="s">
        <v>45</v>
      </c>
      <c r="AI15" s="254" t="s">
        <v>45</v>
      </c>
      <c r="AJ15" s="254" t="s">
        <v>462</v>
      </c>
    </row>
    <row r="16" spans="1:36" ht="15.75" customHeight="1" x14ac:dyDescent="0.2">
      <c r="A16" s="244" t="s">
        <v>387</v>
      </c>
      <c r="B16" s="245">
        <f t="shared" ref="B16:B28" si="18">C16+E16+G16</f>
        <v>65.930000000000007</v>
      </c>
      <c r="C16" s="245">
        <v>56.78</v>
      </c>
      <c r="D16" s="245">
        <f t="shared" si="1"/>
        <v>611.17991999999992</v>
      </c>
      <c r="E16" s="245">
        <v>9.15</v>
      </c>
      <c r="F16" s="245">
        <f t="shared" si="2"/>
        <v>98.490600000000001</v>
      </c>
      <c r="G16" s="245">
        <v>0</v>
      </c>
      <c r="H16" s="245">
        <f t="shared" si="3"/>
        <v>0</v>
      </c>
      <c r="I16" s="245">
        <f t="shared" si="4"/>
        <v>709.6705199999999</v>
      </c>
      <c r="J16" s="245">
        <f t="shared" si="5"/>
        <v>1029.0222539999997</v>
      </c>
      <c r="K16" s="246">
        <f t="shared" si="6"/>
        <v>8232178.0319999978</v>
      </c>
      <c r="L16" s="246">
        <v>400000</v>
      </c>
      <c r="M16" s="247">
        <v>200000</v>
      </c>
      <c r="N16" s="248">
        <f t="shared" si="7"/>
        <v>8832178.0319999978</v>
      </c>
      <c r="O16" s="248">
        <f t="shared" si="8"/>
        <v>0</v>
      </c>
      <c r="P16" s="246">
        <f t="shared" si="9"/>
        <v>8832178.0319999978</v>
      </c>
      <c r="Q16" s="246">
        <f t="shared" si="10"/>
        <v>257255.56349999993</v>
      </c>
      <c r="R16" s="246">
        <f t="shared" si="11"/>
        <v>205804.45079999996</v>
      </c>
      <c r="S16" s="246">
        <f t="shared" si="12"/>
        <v>154353.33809999996</v>
      </c>
      <c r="T16" s="246">
        <f t="shared" si="13"/>
        <v>9449591.3843999971</v>
      </c>
      <c r="U16" s="246">
        <v>30000</v>
      </c>
      <c r="V16" s="246">
        <f t="shared" si="14"/>
        <v>1059861.3638399998</v>
      </c>
      <c r="W16" s="246">
        <f t="shared" si="15"/>
        <v>55567.201715999981</v>
      </c>
      <c r="X16" s="246">
        <f t="shared" si="16"/>
        <v>618300</v>
      </c>
      <c r="Y16" s="248">
        <v>6000</v>
      </c>
      <c r="Z16" s="248">
        <f t="shared" si="17"/>
        <v>11219319.949955998</v>
      </c>
      <c r="AA16" s="249" t="s">
        <v>487</v>
      </c>
      <c r="AB16" s="250"/>
      <c r="AC16" s="250"/>
      <c r="AD16" s="250"/>
      <c r="AE16" s="250"/>
      <c r="AF16" s="251">
        <v>289</v>
      </c>
      <c r="AG16" s="252" t="s">
        <v>628</v>
      </c>
      <c r="AH16" s="251" t="s">
        <v>40</v>
      </c>
      <c r="AI16" s="274" t="s">
        <v>45</v>
      </c>
      <c r="AJ16" s="244" t="s">
        <v>608</v>
      </c>
    </row>
    <row r="17" spans="1:36" ht="15.75" customHeight="1" x14ac:dyDescent="0.2">
      <c r="A17" s="244" t="s">
        <v>389</v>
      </c>
      <c r="B17" s="245">
        <f t="shared" si="18"/>
        <v>51.07</v>
      </c>
      <c r="C17" s="245">
        <v>44.52</v>
      </c>
      <c r="D17" s="245">
        <f t="shared" si="1"/>
        <v>479.21328</v>
      </c>
      <c r="E17" s="245">
        <v>6.55</v>
      </c>
      <c r="F17" s="245">
        <f t="shared" si="2"/>
        <v>70.504199999999997</v>
      </c>
      <c r="G17" s="245">
        <v>0</v>
      </c>
      <c r="H17" s="245">
        <f t="shared" si="3"/>
        <v>0</v>
      </c>
      <c r="I17" s="245">
        <f t="shared" si="4"/>
        <v>549.71748000000002</v>
      </c>
      <c r="J17" s="245">
        <f t="shared" si="5"/>
        <v>797.09034599999995</v>
      </c>
      <c r="K17" s="246">
        <f t="shared" si="6"/>
        <v>6376722.7679999992</v>
      </c>
      <c r="L17" s="246">
        <v>400000</v>
      </c>
      <c r="M17" s="247">
        <v>200000</v>
      </c>
      <c r="N17" s="248">
        <f t="shared" si="7"/>
        <v>6976722.7679999992</v>
      </c>
      <c r="O17" s="248">
        <f t="shared" si="8"/>
        <v>0</v>
      </c>
      <c r="P17" s="246">
        <f t="shared" si="9"/>
        <v>6976722.7679999992</v>
      </c>
      <c r="Q17" s="246">
        <f t="shared" si="10"/>
        <v>199272.58649999998</v>
      </c>
      <c r="R17" s="246">
        <f t="shared" si="11"/>
        <v>159418.0692</v>
      </c>
      <c r="S17" s="246">
        <f t="shared" si="12"/>
        <v>119563.55189999999</v>
      </c>
      <c r="T17" s="246">
        <f t="shared" si="13"/>
        <v>7454976.9755999995</v>
      </c>
      <c r="U17" s="246">
        <v>30000</v>
      </c>
      <c r="V17" s="246">
        <f t="shared" si="14"/>
        <v>837206.7321599999</v>
      </c>
      <c r="W17" s="246">
        <f t="shared" si="15"/>
        <v>43042.878683999996</v>
      </c>
      <c r="X17" s="246">
        <f t="shared" si="16"/>
        <v>488400</v>
      </c>
      <c r="Y17" s="248">
        <v>6000</v>
      </c>
      <c r="Z17" s="248">
        <f t="shared" si="17"/>
        <v>8859626.5864439998</v>
      </c>
      <c r="AA17" s="249" t="s">
        <v>487</v>
      </c>
      <c r="AB17" s="250"/>
      <c r="AC17" s="250"/>
      <c r="AD17" s="250"/>
      <c r="AE17" s="250"/>
      <c r="AF17" s="251">
        <v>290</v>
      </c>
      <c r="AG17" s="252" t="s">
        <v>629</v>
      </c>
      <c r="AH17" s="251" t="s">
        <v>40</v>
      </c>
      <c r="AI17" s="274" t="s">
        <v>45</v>
      </c>
      <c r="AJ17" s="244" t="s">
        <v>608</v>
      </c>
    </row>
    <row r="18" spans="1:36" ht="15.75" customHeight="1" x14ac:dyDescent="0.2">
      <c r="A18" s="244" t="s">
        <v>394</v>
      </c>
      <c r="B18" s="245">
        <f t="shared" si="18"/>
        <v>51.07</v>
      </c>
      <c r="C18" s="245">
        <v>44.52</v>
      </c>
      <c r="D18" s="245">
        <f t="shared" si="1"/>
        <v>479.21328</v>
      </c>
      <c r="E18" s="245">
        <v>6.55</v>
      </c>
      <c r="F18" s="245">
        <f t="shared" si="2"/>
        <v>70.504199999999997</v>
      </c>
      <c r="G18" s="245">
        <v>0</v>
      </c>
      <c r="H18" s="245">
        <f t="shared" si="3"/>
        <v>0</v>
      </c>
      <c r="I18" s="245">
        <f t="shared" si="4"/>
        <v>549.71748000000002</v>
      </c>
      <c r="J18" s="245">
        <f t="shared" si="5"/>
        <v>797.09034599999995</v>
      </c>
      <c r="K18" s="246">
        <f t="shared" si="6"/>
        <v>6376722.7679999992</v>
      </c>
      <c r="L18" s="246">
        <v>400000</v>
      </c>
      <c r="M18" s="247">
        <v>200000</v>
      </c>
      <c r="N18" s="248">
        <f t="shared" si="7"/>
        <v>6976722.7679999992</v>
      </c>
      <c r="O18" s="248">
        <f t="shared" si="8"/>
        <v>0</v>
      </c>
      <c r="P18" s="246">
        <f t="shared" si="9"/>
        <v>6976722.7679999992</v>
      </c>
      <c r="Q18" s="246">
        <f t="shared" si="10"/>
        <v>199272.58649999998</v>
      </c>
      <c r="R18" s="246">
        <f t="shared" si="11"/>
        <v>159418.0692</v>
      </c>
      <c r="S18" s="246">
        <f t="shared" si="12"/>
        <v>119563.55189999999</v>
      </c>
      <c r="T18" s="246">
        <f t="shared" si="13"/>
        <v>7454976.9755999995</v>
      </c>
      <c r="U18" s="246">
        <v>30000</v>
      </c>
      <c r="V18" s="246">
        <f t="shared" si="14"/>
        <v>837206.7321599999</v>
      </c>
      <c r="W18" s="246">
        <f t="shared" si="15"/>
        <v>43042.878683999996</v>
      </c>
      <c r="X18" s="246">
        <f t="shared" si="16"/>
        <v>488400</v>
      </c>
      <c r="Y18" s="248">
        <v>6000</v>
      </c>
      <c r="Z18" s="248">
        <f t="shared" si="17"/>
        <v>8859626.5864439998</v>
      </c>
      <c r="AA18" s="249" t="s">
        <v>487</v>
      </c>
      <c r="AB18" s="250"/>
      <c r="AC18" s="250"/>
      <c r="AD18" s="250"/>
      <c r="AE18" s="250"/>
      <c r="AF18" s="251">
        <v>291</v>
      </c>
      <c r="AG18" s="252" t="s">
        <v>630</v>
      </c>
      <c r="AH18" s="251" t="s">
        <v>40</v>
      </c>
      <c r="AI18" s="274" t="s">
        <v>45</v>
      </c>
      <c r="AJ18" s="244" t="s">
        <v>608</v>
      </c>
    </row>
    <row r="19" spans="1:36" ht="15.75" customHeight="1" x14ac:dyDescent="0.2">
      <c r="A19" s="244" t="s">
        <v>395</v>
      </c>
      <c r="B19" s="245">
        <f t="shared" si="18"/>
        <v>40.75</v>
      </c>
      <c r="C19" s="245">
        <v>36.01</v>
      </c>
      <c r="D19" s="245">
        <f t="shared" si="1"/>
        <v>387.61163999999997</v>
      </c>
      <c r="E19" s="245">
        <v>4.74</v>
      </c>
      <c r="F19" s="245">
        <f t="shared" si="2"/>
        <v>51.021360000000001</v>
      </c>
      <c r="G19" s="245">
        <v>0</v>
      </c>
      <c r="H19" s="245">
        <f t="shared" si="3"/>
        <v>0</v>
      </c>
      <c r="I19" s="245">
        <f t="shared" si="4"/>
        <v>438.63299999999998</v>
      </c>
      <c r="J19" s="245">
        <f t="shared" si="5"/>
        <v>636.01784999999995</v>
      </c>
      <c r="K19" s="246">
        <f t="shared" si="6"/>
        <v>5088142.8</v>
      </c>
      <c r="L19" s="246">
        <v>400000</v>
      </c>
      <c r="M19" s="247">
        <v>200000</v>
      </c>
      <c r="N19" s="248">
        <f t="shared" si="7"/>
        <v>5688142.7999999998</v>
      </c>
      <c r="O19" s="248">
        <f t="shared" si="8"/>
        <v>0</v>
      </c>
      <c r="P19" s="246">
        <f t="shared" si="9"/>
        <v>5688142.7999999998</v>
      </c>
      <c r="Q19" s="246">
        <f t="shared" si="10"/>
        <v>159004.46249999999</v>
      </c>
      <c r="R19" s="246">
        <f t="shared" si="11"/>
        <v>127203.56999999999</v>
      </c>
      <c r="S19" s="246">
        <f t="shared" si="12"/>
        <v>95402.677499999991</v>
      </c>
      <c r="T19" s="246">
        <f t="shared" si="13"/>
        <v>6069753.5100000007</v>
      </c>
      <c r="U19" s="246">
        <v>30000</v>
      </c>
      <c r="V19" s="246">
        <f t="shared" si="14"/>
        <v>682577.13599999994</v>
      </c>
      <c r="W19" s="246">
        <f t="shared" si="15"/>
        <v>34344.963899999995</v>
      </c>
      <c r="X19" s="246">
        <f t="shared" si="16"/>
        <v>398200</v>
      </c>
      <c r="Y19" s="248">
        <v>6000</v>
      </c>
      <c r="Z19" s="248">
        <f t="shared" si="17"/>
        <v>7220875.6099000005</v>
      </c>
      <c r="AA19" s="249" t="s">
        <v>487</v>
      </c>
      <c r="AB19" s="250"/>
      <c r="AC19" s="250"/>
      <c r="AD19" s="250"/>
      <c r="AE19" s="250"/>
      <c r="AF19" s="251">
        <v>292</v>
      </c>
      <c r="AG19" s="252" t="s">
        <v>631</v>
      </c>
      <c r="AH19" s="251" t="s">
        <v>40</v>
      </c>
      <c r="AI19" s="274" t="s">
        <v>45</v>
      </c>
      <c r="AJ19" s="244" t="s">
        <v>608</v>
      </c>
    </row>
    <row r="20" spans="1:36" ht="15.75" customHeight="1" x14ac:dyDescent="0.2">
      <c r="A20" s="244" t="s">
        <v>401</v>
      </c>
      <c r="B20" s="245">
        <f t="shared" si="18"/>
        <v>85.63</v>
      </c>
      <c r="C20" s="245">
        <v>73.03</v>
      </c>
      <c r="D20" s="245">
        <f t="shared" si="1"/>
        <v>786.09492</v>
      </c>
      <c r="E20" s="245">
        <v>12.6</v>
      </c>
      <c r="F20" s="245">
        <f t="shared" si="2"/>
        <v>135.62639999999999</v>
      </c>
      <c r="G20" s="245">
        <v>0</v>
      </c>
      <c r="H20" s="245">
        <f t="shared" si="3"/>
        <v>0</v>
      </c>
      <c r="I20" s="245">
        <f t="shared" si="4"/>
        <v>921.72131999999999</v>
      </c>
      <c r="J20" s="245">
        <f t="shared" si="5"/>
        <v>1336.4959139999999</v>
      </c>
      <c r="K20" s="246">
        <f t="shared" si="6"/>
        <v>10691967.311999999</v>
      </c>
      <c r="L20" s="246">
        <v>400000</v>
      </c>
      <c r="M20" s="247">
        <v>400000</v>
      </c>
      <c r="N20" s="248">
        <f t="shared" si="7"/>
        <v>11491967.311999999</v>
      </c>
      <c r="O20" s="248">
        <f t="shared" si="8"/>
        <v>0</v>
      </c>
      <c r="P20" s="246">
        <f t="shared" si="9"/>
        <v>11491967.311999999</v>
      </c>
      <c r="Q20" s="246">
        <f t="shared" si="10"/>
        <v>334123.97849999997</v>
      </c>
      <c r="R20" s="246">
        <f t="shared" si="11"/>
        <v>267299.18279999995</v>
      </c>
      <c r="S20" s="246">
        <f t="shared" si="12"/>
        <v>200474.38709999999</v>
      </c>
      <c r="T20" s="246">
        <f t="shared" si="13"/>
        <v>12293864.860399999</v>
      </c>
      <c r="U20" s="246">
        <v>30000</v>
      </c>
      <c r="V20" s="246">
        <f t="shared" si="14"/>
        <v>1379036.0774399999</v>
      </c>
      <c r="W20" s="246">
        <f t="shared" si="15"/>
        <v>72170.779355999985</v>
      </c>
      <c r="X20" s="246">
        <f t="shared" si="16"/>
        <v>804500</v>
      </c>
      <c r="Y20" s="248">
        <v>6000</v>
      </c>
      <c r="Z20" s="248">
        <f t="shared" si="17"/>
        <v>14585571.717195997</v>
      </c>
      <c r="AA20" s="249" t="s">
        <v>487</v>
      </c>
      <c r="AB20" s="250"/>
      <c r="AC20" s="250"/>
      <c r="AD20" s="250"/>
      <c r="AE20" s="250"/>
      <c r="AF20" s="251">
        <v>293</v>
      </c>
      <c r="AG20" s="252" t="s">
        <v>632</v>
      </c>
      <c r="AH20" s="251" t="s">
        <v>40</v>
      </c>
      <c r="AI20" s="274" t="s">
        <v>45</v>
      </c>
      <c r="AJ20" s="244" t="s">
        <v>608</v>
      </c>
    </row>
    <row r="21" spans="1:36" ht="15.75" customHeight="1" x14ac:dyDescent="0.2">
      <c r="A21" s="244" t="s">
        <v>402</v>
      </c>
      <c r="B21" s="245">
        <f t="shared" si="18"/>
        <v>96.2</v>
      </c>
      <c r="C21" s="245">
        <v>81.75</v>
      </c>
      <c r="D21" s="245">
        <f t="shared" si="1"/>
        <v>879.95699999999999</v>
      </c>
      <c r="E21" s="245">
        <v>14.45</v>
      </c>
      <c r="F21" s="245">
        <f t="shared" si="2"/>
        <v>155.53979999999999</v>
      </c>
      <c r="G21" s="245">
        <v>0</v>
      </c>
      <c r="H21" s="245">
        <f t="shared" si="3"/>
        <v>0</v>
      </c>
      <c r="I21" s="245">
        <f t="shared" si="4"/>
        <v>1035.4967999999999</v>
      </c>
      <c r="J21" s="245">
        <f t="shared" si="5"/>
        <v>1501.4703599999998</v>
      </c>
      <c r="K21" s="246">
        <f t="shared" si="6"/>
        <v>12011762.879999999</v>
      </c>
      <c r="L21" s="247">
        <v>800000</v>
      </c>
      <c r="M21" s="247">
        <v>400000</v>
      </c>
      <c r="N21" s="248">
        <f t="shared" si="7"/>
        <v>13211762.879999999</v>
      </c>
      <c r="O21" s="248">
        <f t="shared" si="8"/>
        <v>0</v>
      </c>
      <c r="P21" s="246">
        <f t="shared" si="9"/>
        <v>13211762.879999999</v>
      </c>
      <c r="Q21" s="246">
        <f t="shared" si="10"/>
        <v>375367.58999999997</v>
      </c>
      <c r="R21" s="246">
        <f t="shared" si="11"/>
        <v>300294.07199999999</v>
      </c>
      <c r="S21" s="246">
        <f t="shared" si="12"/>
        <v>225220.55399999997</v>
      </c>
      <c r="T21" s="246">
        <f t="shared" si="13"/>
        <v>14112645.095999999</v>
      </c>
      <c r="U21" s="246">
        <v>30000</v>
      </c>
      <c r="V21" s="246">
        <f t="shared" si="14"/>
        <v>1585411.5455999998</v>
      </c>
      <c r="W21" s="246">
        <f t="shared" si="15"/>
        <v>81079.399439999994</v>
      </c>
      <c r="X21" s="246">
        <f t="shared" si="16"/>
        <v>924900</v>
      </c>
      <c r="Y21" s="248">
        <v>6000</v>
      </c>
      <c r="Z21" s="248">
        <f t="shared" si="17"/>
        <v>16740036.041039998</v>
      </c>
      <c r="AA21" s="249" t="s">
        <v>487</v>
      </c>
      <c r="AB21" s="250"/>
      <c r="AC21" s="250"/>
      <c r="AD21" s="250"/>
      <c r="AE21" s="250"/>
      <c r="AF21" s="251" t="s">
        <v>633</v>
      </c>
      <c r="AG21" s="252" t="s">
        <v>634</v>
      </c>
      <c r="AH21" s="251" t="s">
        <v>40</v>
      </c>
      <c r="AI21" s="274" t="s">
        <v>45</v>
      </c>
      <c r="AJ21" s="244" t="s">
        <v>608</v>
      </c>
    </row>
    <row r="22" spans="1:36" ht="15.75" customHeight="1" x14ac:dyDescent="0.2">
      <c r="A22" s="244" t="s">
        <v>408</v>
      </c>
      <c r="B22" s="245">
        <f t="shared" si="18"/>
        <v>50.22</v>
      </c>
      <c r="C22" s="245">
        <v>43.82</v>
      </c>
      <c r="D22" s="245">
        <f t="shared" si="1"/>
        <v>471.67847999999998</v>
      </c>
      <c r="E22" s="245">
        <v>6.4</v>
      </c>
      <c r="F22" s="245">
        <f t="shared" si="2"/>
        <v>68.889600000000002</v>
      </c>
      <c r="G22" s="245">
        <v>0</v>
      </c>
      <c r="H22" s="245">
        <f t="shared" si="3"/>
        <v>0</v>
      </c>
      <c r="I22" s="245">
        <f t="shared" si="4"/>
        <v>540.56808000000001</v>
      </c>
      <c r="J22" s="245">
        <f t="shared" si="5"/>
        <v>783.82371599999999</v>
      </c>
      <c r="K22" s="246">
        <f t="shared" si="6"/>
        <v>6270589.7280000001</v>
      </c>
      <c r="L22" s="246">
        <v>400000</v>
      </c>
      <c r="M22" s="247">
        <v>200000</v>
      </c>
      <c r="N22" s="248">
        <f t="shared" si="7"/>
        <v>6870589.7280000001</v>
      </c>
      <c r="O22" s="248">
        <f t="shared" si="8"/>
        <v>0</v>
      </c>
      <c r="P22" s="246">
        <f t="shared" si="9"/>
        <v>6870589.7280000001</v>
      </c>
      <c r="Q22" s="246">
        <f t="shared" si="10"/>
        <v>195955.929</v>
      </c>
      <c r="R22" s="246">
        <f t="shared" si="11"/>
        <v>156764.7432</v>
      </c>
      <c r="S22" s="246">
        <f t="shared" si="12"/>
        <v>117573.55740000001</v>
      </c>
      <c r="T22" s="246">
        <f t="shared" si="13"/>
        <v>7340883.9576000003</v>
      </c>
      <c r="U22" s="246">
        <v>30000</v>
      </c>
      <c r="V22" s="246">
        <f t="shared" si="14"/>
        <v>824470.76735999994</v>
      </c>
      <c r="W22" s="246">
        <f t="shared" si="15"/>
        <v>42326.480664000002</v>
      </c>
      <c r="X22" s="246">
        <f t="shared" si="16"/>
        <v>481000</v>
      </c>
      <c r="Y22" s="248">
        <v>6000</v>
      </c>
      <c r="Z22" s="248">
        <f t="shared" si="17"/>
        <v>8724681.2056239992</v>
      </c>
      <c r="AA22" s="249" t="s">
        <v>487</v>
      </c>
      <c r="AB22" s="250"/>
      <c r="AC22" s="250"/>
      <c r="AD22" s="250"/>
      <c r="AE22" s="250"/>
      <c r="AF22" s="251">
        <v>296</v>
      </c>
      <c r="AG22" s="252" t="s">
        <v>635</v>
      </c>
      <c r="AH22" s="251" t="s">
        <v>40</v>
      </c>
      <c r="AI22" s="274" t="s">
        <v>45</v>
      </c>
      <c r="AJ22" s="244" t="s">
        <v>608</v>
      </c>
    </row>
    <row r="23" spans="1:36" ht="15.75" customHeight="1" x14ac:dyDescent="0.2">
      <c r="A23" s="244" t="s">
        <v>411</v>
      </c>
      <c r="B23" s="245">
        <f t="shared" si="18"/>
        <v>41.21</v>
      </c>
      <c r="C23" s="245">
        <v>36.39</v>
      </c>
      <c r="D23" s="245">
        <f t="shared" si="1"/>
        <v>391.70195999999999</v>
      </c>
      <c r="E23" s="245">
        <v>4.82</v>
      </c>
      <c r="F23" s="245">
        <f t="shared" si="2"/>
        <v>51.882480000000001</v>
      </c>
      <c r="G23" s="245">
        <v>0</v>
      </c>
      <c r="H23" s="245">
        <f t="shared" si="3"/>
        <v>0</v>
      </c>
      <c r="I23" s="245">
        <f t="shared" si="4"/>
        <v>443.58443999999997</v>
      </c>
      <c r="J23" s="245">
        <f t="shared" si="5"/>
        <v>643.19743799999992</v>
      </c>
      <c r="K23" s="246">
        <f t="shared" si="6"/>
        <v>5145579.5039999997</v>
      </c>
      <c r="L23" s="246">
        <v>400000</v>
      </c>
      <c r="M23" s="247">
        <v>200000</v>
      </c>
      <c r="N23" s="248">
        <f t="shared" si="7"/>
        <v>5745579.5039999997</v>
      </c>
      <c r="O23" s="248">
        <f t="shared" si="8"/>
        <v>0</v>
      </c>
      <c r="P23" s="246">
        <f t="shared" si="9"/>
        <v>5745579.5039999997</v>
      </c>
      <c r="Q23" s="246">
        <f t="shared" si="10"/>
        <v>160799.35949999999</v>
      </c>
      <c r="R23" s="246">
        <f t="shared" si="11"/>
        <v>128639.48759999998</v>
      </c>
      <c r="S23" s="246">
        <f t="shared" si="12"/>
        <v>96479.615699999995</v>
      </c>
      <c r="T23" s="246">
        <f t="shared" si="13"/>
        <v>6131497.9667999996</v>
      </c>
      <c r="U23" s="246">
        <v>30000</v>
      </c>
      <c r="V23" s="246">
        <f t="shared" si="14"/>
        <v>689469.54047999997</v>
      </c>
      <c r="W23" s="246">
        <f t="shared" si="15"/>
        <v>34732.661651999995</v>
      </c>
      <c r="X23" s="246">
        <f t="shared" si="16"/>
        <v>402200</v>
      </c>
      <c r="Y23" s="248">
        <v>6000</v>
      </c>
      <c r="Z23" s="248">
        <f t="shared" si="17"/>
        <v>7293900.1689319992</v>
      </c>
      <c r="AA23" s="249" t="s">
        <v>487</v>
      </c>
      <c r="AB23" s="250"/>
      <c r="AC23" s="250"/>
      <c r="AD23" s="250"/>
      <c r="AE23" s="250"/>
      <c r="AF23" s="251">
        <v>297</v>
      </c>
      <c r="AG23" s="252" t="s">
        <v>636</v>
      </c>
      <c r="AH23" s="251" t="s">
        <v>40</v>
      </c>
      <c r="AI23" s="274" t="s">
        <v>45</v>
      </c>
      <c r="AJ23" s="244" t="s">
        <v>608</v>
      </c>
    </row>
    <row r="24" spans="1:36" ht="15.75" customHeight="1" x14ac:dyDescent="0.2">
      <c r="A24" s="244" t="s">
        <v>413</v>
      </c>
      <c r="B24" s="245">
        <f t="shared" si="18"/>
        <v>41.21</v>
      </c>
      <c r="C24" s="245">
        <v>36.39</v>
      </c>
      <c r="D24" s="245">
        <f t="shared" si="1"/>
        <v>391.70195999999999</v>
      </c>
      <c r="E24" s="245">
        <v>4.82</v>
      </c>
      <c r="F24" s="245">
        <f t="shared" si="2"/>
        <v>51.882480000000001</v>
      </c>
      <c r="G24" s="245">
        <v>0</v>
      </c>
      <c r="H24" s="245">
        <f t="shared" si="3"/>
        <v>0</v>
      </c>
      <c r="I24" s="245">
        <f t="shared" si="4"/>
        <v>443.58443999999997</v>
      </c>
      <c r="J24" s="245">
        <f t="shared" si="5"/>
        <v>643.19743799999992</v>
      </c>
      <c r="K24" s="246">
        <f t="shared" si="6"/>
        <v>5145579.5039999997</v>
      </c>
      <c r="L24" s="246">
        <v>400000</v>
      </c>
      <c r="M24" s="247">
        <v>200000</v>
      </c>
      <c r="N24" s="248">
        <f t="shared" si="7"/>
        <v>5745579.5039999997</v>
      </c>
      <c r="O24" s="248">
        <f t="shared" si="8"/>
        <v>0</v>
      </c>
      <c r="P24" s="246">
        <f t="shared" si="9"/>
        <v>5745579.5039999997</v>
      </c>
      <c r="Q24" s="246">
        <f t="shared" si="10"/>
        <v>160799.35949999999</v>
      </c>
      <c r="R24" s="246">
        <f t="shared" si="11"/>
        <v>128639.48759999998</v>
      </c>
      <c r="S24" s="246">
        <f t="shared" si="12"/>
        <v>96479.615699999995</v>
      </c>
      <c r="T24" s="246">
        <f t="shared" si="13"/>
        <v>6131497.9667999996</v>
      </c>
      <c r="U24" s="246">
        <v>30000</v>
      </c>
      <c r="V24" s="246">
        <f t="shared" si="14"/>
        <v>689469.54047999997</v>
      </c>
      <c r="W24" s="246">
        <f t="shared" si="15"/>
        <v>34732.661651999995</v>
      </c>
      <c r="X24" s="246">
        <f t="shared" si="16"/>
        <v>402200</v>
      </c>
      <c r="Y24" s="248">
        <v>6000</v>
      </c>
      <c r="Z24" s="248">
        <f t="shared" si="17"/>
        <v>7293900.1689319992</v>
      </c>
      <c r="AA24" s="249" t="s">
        <v>487</v>
      </c>
      <c r="AB24" s="250"/>
      <c r="AC24" s="250"/>
      <c r="AD24" s="250"/>
      <c r="AE24" s="250"/>
      <c r="AF24" s="251">
        <v>298</v>
      </c>
      <c r="AG24" s="252" t="s">
        <v>637</v>
      </c>
      <c r="AH24" s="251" t="s">
        <v>40</v>
      </c>
      <c r="AI24" s="274" t="s">
        <v>45</v>
      </c>
      <c r="AJ24" s="244" t="s">
        <v>608</v>
      </c>
    </row>
    <row r="25" spans="1:36" ht="15.75" customHeight="1" x14ac:dyDescent="0.2">
      <c r="A25" s="244" t="s">
        <v>415</v>
      </c>
      <c r="B25" s="245">
        <f t="shared" si="18"/>
        <v>42.36</v>
      </c>
      <c r="C25" s="245">
        <v>37.340000000000003</v>
      </c>
      <c r="D25" s="245">
        <f t="shared" si="1"/>
        <v>401.92776000000003</v>
      </c>
      <c r="E25" s="245">
        <v>5.0199999999999996</v>
      </c>
      <c r="F25" s="245">
        <f t="shared" si="2"/>
        <v>54.035279999999993</v>
      </c>
      <c r="G25" s="245">
        <v>0</v>
      </c>
      <c r="H25" s="245">
        <f t="shared" si="3"/>
        <v>0</v>
      </c>
      <c r="I25" s="245">
        <f t="shared" si="4"/>
        <v>455.96304000000003</v>
      </c>
      <c r="J25" s="245">
        <f t="shared" si="5"/>
        <v>661.14640800000006</v>
      </c>
      <c r="K25" s="246">
        <f t="shared" si="6"/>
        <v>5289171.2640000004</v>
      </c>
      <c r="L25" s="246">
        <v>400000</v>
      </c>
      <c r="M25" s="247">
        <v>200000</v>
      </c>
      <c r="N25" s="248">
        <f t="shared" si="7"/>
        <v>5889171.2640000004</v>
      </c>
      <c r="O25" s="248">
        <f t="shared" si="8"/>
        <v>0</v>
      </c>
      <c r="P25" s="246">
        <f t="shared" si="9"/>
        <v>5889171.2640000004</v>
      </c>
      <c r="Q25" s="246">
        <f t="shared" si="10"/>
        <v>165286.60200000001</v>
      </c>
      <c r="R25" s="246">
        <f t="shared" si="11"/>
        <v>132229.28160000002</v>
      </c>
      <c r="S25" s="246">
        <f t="shared" si="12"/>
        <v>99171.961200000005</v>
      </c>
      <c r="T25" s="246">
        <f t="shared" si="13"/>
        <v>6285859.1088000005</v>
      </c>
      <c r="U25" s="246">
        <v>30000</v>
      </c>
      <c r="V25" s="246">
        <f t="shared" si="14"/>
        <v>706700.55168000003</v>
      </c>
      <c r="W25" s="246">
        <f t="shared" si="15"/>
        <v>35701.906031999999</v>
      </c>
      <c r="X25" s="246">
        <f t="shared" si="16"/>
        <v>412300</v>
      </c>
      <c r="Y25" s="248">
        <v>6000</v>
      </c>
      <c r="Z25" s="248">
        <f t="shared" si="17"/>
        <v>7476561.5665119998</v>
      </c>
      <c r="AA25" s="249" t="s">
        <v>487</v>
      </c>
      <c r="AB25" s="250"/>
      <c r="AC25" s="250"/>
      <c r="AD25" s="250"/>
      <c r="AE25" s="250"/>
      <c r="AF25" s="251">
        <v>299</v>
      </c>
      <c r="AG25" s="252" t="s">
        <v>638</v>
      </c>
      <c r="AH25" s="251" t="s">
        <v>40</v>
      </c>
      <c r="AI25" s="274" t="s">
        <v>45</v>
      </c>
      <c r="AJ25" s="244" t="s">
        <v>608</v>
      </c>
    </row>
    <row r="26" spans="1:36" ht="12" customHeight="1" x14ac:dyDescent="0.2">
      <c r="A26" s="257" t="s">
        <v>417</v>
      </c>
      <c r="B26" s="259">
        <f t="shared" si="18"/>
        <v>42.36</v>
      </c>
      <c r="C26" s="258">
        <v>37.340000000000003</v>
      </c>
      <c r="D26" s="259">
        <f t="shared" si="1"/>
        <v>401.92776000000003</v>
      </c>
      <c r="E26" s="258">
        <v>5.0199999999999996</v>
      </c>
      <c r="F26" s="259">
        <f t="shared" si="2"/>
        <v>54.035279999999993</v>
      </c>
      <c r="G26" s="258">
        <v>0</v>
      </c>
      <c r="H26" s="258">
        <f t="shared" si="3"/>
        <v>0</v>
      </c>
      <c r="I26" s="259">
        <f t="shared" si="4"/>
        <v>455.96304000000003</v>
      </c>
      <c r="J26" s="259">
        <f t="shared" si="5"/>
        <v>661.14640800000006</v>
      </c>
      <c r="K26" s="258">
        <f t="shared" si="6"/>
        <v>5289171.2640000004</v>
      </c>
      <c r="L26" s="258">
        <v>400000</v>
      </c>
      <c r="M26" s="260">
        <v>200000</v>
      </c>
      <c r="N26" s="258">
        <f t="shared" si="7"/>
        <v>5889171.2640000004</v>
      </c>
      <c r="O26" s="258">
        <f t="shared" si="8"/>
        <v>0</v>
      </c>
      <c r="P26" s="258">
        <f t="shared" si="9"/>
        <v>5889171.2640000004</v>
      </c>
      <c r="Q26" s="258">
        <f t="shared" si="10"/>
        <v>165286.60200000001</v>
      </c>
      <c r="R26" s="258">
        <f t="shared" si="11"/>
        <v>132229.28160000002</v>
      </c>
      <c r="S26" s="258">
        <f t="shared" si="12"/>
        <v>99171.961200000005</v>
      </c>
      <c r="T26" s="258">
        <f t="shared" si="13"/>
        <v>6285859.1088000005</v>
      </c>
      <c r="U26" s="258">
        <v>30000</v>
      </c>
      <c r="V26" s="258">
        <f t="shared" si="14"/>
        <v>706700.55168000003</v>
      </c>
      <c r="W26" s="258">
        <f t="shared" si="15"/>
        <v>35701.906031999999</v>
      </c>
      <c r="X26" s="258">
        <f t="shared" si="16"/>
        <v>412300</v>
      </c>
      <c r="Y26" s="258">
        <v>6000</v>
      </c>
      <c r="Z26" s="258">
        <f t="shared" si="17"/>
        <v>7476561.5665119998</v>
      </c>
      <c r="AA26" s="258"/>
      <c r="AB26" s="258"/>
      <c r="AC26" s="258"/>
      <c r="AD26" s="258"/>
      <c r="AE26" s="258"/>
      <c r="AF26" s="242">
        <v>300</v>
      </c>
      <c r="AG26" s="243" t="s">
        <v>639</v>
      </c>
      <c r="AH26" s="242" t="s">
        <v>40</v>
      </c>
      <c r="AI26" s="265" t="s">
        <v>45</v>
      </c>
      <c r="AJ26" s="257" t="s">
        <v>608</v>
      </c>
    </row>
    <row r="27" spans="1:36" ht="12" customHeight="1" x14ac:dyDescent="0.2">
      <c r="A27" s="257" t="s">
        <v>419</v>
      </c>
      <c r="B27" s="259">
        <f t="shared" si="18"/>
        <v>43.93</v>
      </c>
      <c r="C27" s="258">
        <v>38.630000000000003</v>
      </c>
      <c r="D27" s="259">
        <f t="shared" si="1"/>
        <v>415.81331999999998</v>
      </c>
      <c r="E27" s="258">
        <v>5.3</v>
      </c>
      <c r="F27" s="259">
        <f t="shared" si="2"/>
        <v>57.049199999999992</v>
      </c>
      <c r="G27" s="258">
        <v>0</v>
      </c>
      <c r="H27" s="258">
        <f t="shared" si="3"/>
        <v>0</v>
      </c>
      <c r="I27" s="259">
        <f t="shared" si="4"/>
        <v>472.86251999999996</v>
      </c>
      <c r="J27" s="259">
        <f t="shared" si="5"/>
        <v>685.65065399999992</v>
      </c>
      <c r="K27" s="258">
        <f t="shared" si="6"/>
        <v>5485205.2319999989</v>
      </c>
      <c r="L27" s="258">
        <v>400000</v>
      </c>
      <c r="M27" s="260">
        <v>200000</v>
      </c>
      <c r="N27" s="258">
        <f t="shared" si="7"/>
        <v>6085205.2319999989</v>
      </c>
      <c r="O27" s="258">
        <f t="shared" si="8"/>
        <v>0</v>
      </c>
      <c r="P27" s="258">
        <f t="shared" si="9"/>
        <v>6085205.2319999989</v>
      </c>
      <c r="Q27" s="258">
        <f t="shared" si="10"/>
        <v>171412.66349999997</v>
      </c>
      <c r="R27" s="258">
        <f t="shared" si="11"/>
        <v>137130.13079999998</v>
      </c>
      <c r="S27" s="258">
        <f t="shared" si="12"/>
        <v>102847.59809999999</v>
      </c>
      <c r="T27" s="258">
        <f t="shared" si="13"/>
        <v>6496595.6243999992</v>
      </c>
      <c r="U27" s="258">
        <v>30000</v>
      </c>
      <c r="V27" s="258">
        <f t="shared" si="14"/>
        <v>730224.62783999986</v>
      </c>
      <c r="W27" s="258">
        <f t="shared" si="15"/>
        <v>37025.135315999993</v>
      </c>
      <c r="X27" s="258">
        <f t="shared" si="16"/>
        <v>426000</v>
      </c>
      <c r="Y27" s="258">
        <v>6000</v>
      </c>
      <c r="Z27" s="258">
        <f t="shared" si="17"/>
        <v>7725845.3875559997</v>
      </c>
      <c r="AA27" s="258"/>
      <c r="AB27" s="258"/>
      <c r="AC27" s="258"/>
      <c r="AD27" s="258"/>
      <c r="AE27" s="258"/>
      <c r="AF27" s="242">
        <v>301</v>
      </c>
      <c r="AG27" s="243" t="s">
        <v>640</v>
      </c>
      <c r="AH27" s="242" t="s">
        <v>40</v>
      </c>
      <c r="AI27" s="265" t="s">
        <v>45</v>
      </c>
      <c r="AJ27" s="257" t="s">
        <v>608</v>
      </c>
    </row>
    <row r="28" spans="1:36" ht="12" customHeight="1" x14ac:dyDescent="0.2">
      <c r="A28" s="257" t="s">
        <v>421</v>
      </c>
      <c r="B28" s="259">
        <f t="shared" si="18"/>
        <v>68.28</v>
      </c>
      <c r="C28" s="258">
        <v>60.88</v>
      </c>
      <c r="D28" s="259">
        <f t="shared" si="1"/>
        <v>655.31232</v>
      </c>
      <c r="E28" s="258">
        <v>7.4</v>
      </c>
      <c r="F28" s="259">
        <f t="shared" si="2"/>
        <v>79.653599999999997</v>
      </c>
      <c r="G28" s="258">
        <v>0</v>
      </c>
      <c r="H28" s="258">
        <f t="shared" si="3"/>
        <v>0</v>
      </c>
      <c r="I28" s="259">
        <f t="shared" si="4"/>
        <v>734.96591999999998</v>
      </c>
      <c r="J28" s="259">
        <f t="shared" si="5"/>
        <v>1065.7005839999999</v>
      </c>
      <c r="K28" s="258">
        <f t="shared" si="6"/>
        <v>8525604.6720000003</v>
      </c>
      <c r="L28" s="258">
        <v>400000</v>
      </c>
      <c r="M28" s="260">
        <v>200000</v>
      </c>
      <c r="N28" s="258">
        <f t="shared" si="7"/>
        <v>9125604.6720000003</v>
      </c>
      <c r="O28" s="258">
        <f t="shared" si="8"/>
        <v>0</v>
      </c>
      <c r="P28" s="258">
        <f t="shared" si="9"/>
        <v>9125604.6720000003</v>
      </c>
      <c r="Q28" s="258">
        <f t="shared" si="10"/>
        <v>266425.14600000001</v>
      </c>
      <c r="R28" s="258">
        <f t="shared" si="11"/>
        <v>213140.11679999999</v>
      </c>
      <c r="S28" s="258">
        <f t="shared" si="12"/>
        <v>159855.0876</v>
      </c>
      <c r="T28" s="258">
        <f t="shared" si="13"/>
        <v>9765025.0224000011</v>
      </c>
      <c r="U28" s="258">
        <v>30000</v>
      </c>
      <c r="V28" s="258">
        <f t="shared" si="14"/>
        <v>1095072.56064</v>
      </c>
      <c r="W28" s="258">
        <f t="shared" si="15"/>
        <v>57547.831535999998</v>
      </c>
      <c r="X28" s="258">
        <f t="shared" si="16"/>
        <v>638800</v>
      </c>
      <c r="Y28" s="258">
        <v>6000</v>
      </c>
      <c r="Z28" s="258">
        <f t="shared" si="17"/>
        <v>11592445.414576001</v>
      </c>
      <c r="AA28" s="258"/>
      <c r="AB28" s="258"/>
      <c r="AC28" s="258"/>
      <c r="AD28" s="258"/>
      <c r="AE28" s="258"/>
      <c r="AF28" s="242">
        <v>302</v>
      </c>
      <c r="AG28" s="243" t="s">
        <v>641</v>
      </c>
      <c r="AH28" s="242" t="s">
        <v>40</v>
      </c>
      <c r="AI28" s="265" t="s">
        <v>45</v>
      </c>
      <c r="AJ28" s="257" t="s">
        <v>608</v>
      </c>
    </row>
    <row r="29" spans="1:36" ht="12" customHeight="1" x14ac:dyDescent="0.2">
      <c r="A29" s="261"/>
      <c r="B29" s="261">
        <f t="shared" ref="B29:J29" si="19">SUM(B4:B28)</f>
        <v>1788.8600000000001</v>
      </c>
      <c r="C29" s="261">
        <f t="shared" si="19"/>
        <v>1537.23</v>
      </c>
      <c r="D29" s="261">
        <f t="shared" si="19"/>
        <v>16546.743720000002</v>
      </c>
      <c r="E29" s="261">
        <f t="shared" si="19"/>
        <v>251.63000000000005</v>
      </c>
      <c r="F29" s="261">
        <f t="shared" si="19"/>
        <v>2708.5453200000006</v>
      </c>
      <c r="G29" s="261">
        <f t="shared" si="19"/>
        <v>0</v>
      </c>
      <c r="H29" s="261">
        <f t="shared" si="19"/>
        <v>0</v>
      </c>
      <c r="I29" s="261">
        <f t="shared" si="19"/>
        <v>19255.289039999989</v>
      </c>
      <c r="J29" s="261">
        <f t="shared" si="19"/>
        <v>27920.169107999998</v>
      </c>
      <c r="K29" s="261"/>
      <c r="L29" s="261"/>
      <c r="M29" s="261"/>
      <c r="N29" s="261"/>
      <c r="O29" s="261"/>
      <c r="P29" s="261">
        <f>SUM(P4:P26)</f>
        <v>225950542.96000004</v>
      </c>
      <c r="Q29" s="261"/>
      <c r="R29" s="261"/>
      <c r="S29" s="261"/>
      <c r="T29" s="261"/>
      <c r="U29" s="261"/>
      <c r="V29" s="261"/>
      <c r="W29" s="261"/>
      <c r="X29" s="261"/>
      <c r="Y29" s="261"/>
      <c r="Z29" s="261">
        <f>SUM(Z4:Z26)</f>
        <v>286824315.00217986</v>
      </c>
      <c r="AA29" s="261"/>
      <c r="AB29" s="261"/>
      <c r="AC29" s="261"/>
      <c r="AD29" s="261"/>
      <c r="AE29" s="261"/>
      <c r="AF29" s="261"/>
      <c r="AG29" s="261"/>
      <c r="AH29" s="261"/>
      <c r="AI29" s="261"/>
      <c r="AJ29" s="283"/>
    </row>
    <row r="30" spans="1:36" ht="12" customHeight="1" x14ac:dyDescent="0.2">
      <c r="A30" s="166"/>
      <c r="B30" s="218"/>
      <c r="C30" s="218"/>
      <c r="D30" s="41"/>
      <c r="E30" s="41"/>
      <c r="F30" s="41"/>
      <c r="G30" s="41"/>
      <c r="H30" s="41"/>
      <c r="I30" s="41"/>
      <c r="J30" s="166"/>
      <c r="K30" s="41"/>
      <c r="L30" s="41"/>
      <c r="M30" s="41"/>
      <c r="N30" s="166"/>
      <c r="O30" s="166"/>
      <c r="P30" s="41"/>
      <c r="Q30" s="41"/>
      <c r="R30" s="41"/>
      <c r="S30" s="41"/>
      <c r="T30" s="41"/>
      <c r="U30" s="41"/>
      <c r="V30" s="41"/>
      <c r="W30" s="41"/>
      <c r="X30" s="41"/>
      <c r="Y30" s="166"/>
      <c r="Z30" s="166"/>
      <c r="AA30" s="41"/>
      <c r="AB30" s="41"/>
      <c r="AC30" s="41"/>
      <c r="AD30" s="41"/>
      <c r="AE30" s="41"/>
      <c r="AF30" s="41"/>
      <c r="AG30" s="41"/>
      <c r="AH30" s="41"/>
      <c r="AI30" s="41"/>
    </row>
    <row r="31" spans="1:36" ht="12" customHeight="1" x14ac:dyDescent="0.2">
      <c r="A31" s="166"/>
      <c r="B31" s="218"/>
      <c r="C31" s="218"/>
      <c r="D31" s="41"/>
      <c r="E31" s="41"/>
      <c r="F31" s="41"/>
      <c r="G31" s="41"/>
      <c r="H31" s="41"/>
      <c r="I31" s="41"/>
      <c r="J31" s="166"/>
      <c r="K31" s="41"/>
      <c r="L31" s="41"/>
      <c r="M31" s="41" t="s">
        <v>0</v>
      </c>
      <c r="N31" s="166"/>
      <c r="O31" s="166"/>
      <c r="P31" s="41"/>
      <c r="Q31" s="41"/>
      <c r="R31" s="41"/>
      <c r="S31" s="41"/>
      <c r="T31" s="41"/>
      <c r="U31" s="41"/>
      <c r="V31" s="41"/>
      <c r="W31" s="41"/>
      <c r="X31" s="41"/>
      <c r="Y31" s="166"/>
      <c r="Z31" s="166"/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6" ht="12" customHeight="1" x14ac:dyDescent="0.2">
      <c r="A32" s="166"/>
      <c r="B32" s="218"/>
      <c r="C32" s="218"/>
      <c r="D32" s="41"/>
      <c r="E32" s="41"/>
      <c r="F32" s="41"/>
      <c r="G32" s="41"/>
      <c r="H32" s="41"/>
      <c r="I32" s="41" t="s">
        <v>516</v>
      </c>
      <c r="J32" s="166">
        <f>SUM(J26:J28)+J4</f>
        <v>5147.7645959999991</v>
      </c>
      <c r="K32" s="41"/>
      <c r="L32" s="41"/>
      <c r="M32" s="41"/>
      <c r="N32" s="166"/>
      <c r="O32" s="166"/>
      <c r="P32" s="41"/>
      <c r="Q32" s="41"/>
      <c r="R32" s="41"/>
      <c r="S32" s="41"/>
      <c r="T32" s="41"/>
      <c r="U32" s="41"/>
      <c r="V32" s="41"/>
      <c r="W32" s="41"/>
      <c r="X32" s="41"/>
      <c r="Y32" s="166"/>
      <c r="Z32" s="166"/>
      <c r="AA32" s="41"/>
      <c r="AB32" s="41"/>
      <c r="AC32" s="41"/>
      <c r="AD32" s="41"/>
      <c r="AE32" s="41"/>
      <c r="AF32" s="41"/>
      <c r="AG32" s="41"/>
      <c r="AH32" s="41"/>
      <c r="AI32" s="41"/>
    </row>
    <row r="33" spans="1:35" ht="12" customHeight="1" x14ac:dyDescent="0.2">
      <c r="A33" s="166"/>
      <c r="B33" s="218"/>
      <c r="C33" s="218"/>
      <c r="D33" s="41"/>
      <c r="E33" s="41"/>
      <c r="F33" s="41"/>
      <c r="G33" s="41"/>
      <c r="H33" s="41"/>
      <c r="I33" s="41" t="s">
        <v>517</v>
      </c>
      <c r="J33" s="166">
        <f>J29-J32</f>
        <v>22772.404512000001</v>
      </c>
      <c r="K33" s="41"/>
      <c r="L33" s="41"/>
      <c r="M33" s="41"/>
      <c r="N33" s="166"/>
      <c r="O33" s="166"/>
      <c r="P33" s="41"/>
      <c r="Q33" s="41"/>
      <c r="R33" s="41"/>
      <c r="S33" s="41"/>
      <c r="T33" s="41"/>
      <c r="U33" s="41"/>
      <c r="V33" s="41"/>
      <c r="W33" s="41"/>
      <c r="X33" s="41"/>
      <c r="Y33" s="166"/>
      <c r="Z33" s="166"/>
      <c r="AA33" s="41"/>
      <c r="AB33" s="41"/>
      <c r="AC33" s="41"/>
      <c r="AD33" s="41"/>
      <c r="AE33" s="41"/>
      <c r="AF33" s="41"/>
      <c r="AG33" s="41"/>
      <c r="AH33" s="41"/>
      <c r="AI33" s="41"/>
    </row>
    <row r="34" spans="1:35" ht="12" customHeight="1" x14ac:dyDescent="0.2">
      <c r="A34" s="166"/>
      <c r="B34" s="218"/>
      <c r="C34" s="218"/>
      <c r="D34" s="41"/>
      <c r="E34" s="41"/>
      <c r="F34" s="41"/>
      <c r="G34" s="41"/>
      <c r="H34" s="41"/>
      <c r="I34" s="41"/>
      <c r="J34" s="166"/>
      <c r="K34" s="41"/>
      <c r="L34" s="41"/>
      <c r="M34" s="41"/>
      <c r="N34" s="166"/>
      <c r="O34" s="166"/>
      <c r="P34" s="41"/>
      <c r="Q34" s="41"/>
      <c r="R34" s="41"/>
      <c r="S34" s="41"/>
      <c r="T34" s="41"/>
      <c r="U34" s="41"/>
      <c r="V34" s="41"/>
      <c r="W34" s="41"/>
      <c r="X34" s="41"/>
      <c r="Y34" s="166"/>
      <c r="Z34" s="166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ht="12" customHeight="1" x14ac:dyDescent="0.2">
      <c r="A35" s="166"/>
      <c r="B35" s="218"/>
      <c r="C35" s="218"/>
      <c r="D35" s="41"/>
      <c r="E35" s="41"/>
      <c r="F35" s="41"/>
      <c r="G35" s="41"/>
      <c r="H35" s="41"/>
      <c r="I35" s="41"/>
      <c r="J35" s="166"/>
      <c r="K35" s="41"/>
      <c r="L35" s="41"/>
      <c r="M35" s="41"/>
      <c r="N35" s="166"/>
      <c r="O35" s="166"/>
      <c r="P35" s="41"/>
      <c r="Q35" s="41"/>
      <c r="R35" s="41"/>
      <c r="S35" s="41"/>
      <c r="T35" s="41"/>
      <c r="U35" s="41"/>
      <c r="V35" s="41"/>
      <c r="W35" s="41"/>
      <c r="X35" s="41"/>
      <c r="Y35" s="166"/>
      <c r="Z35" s="166"/>
      <c r="AA35" s="41"/>
      <c r="AB35" s="41"/>
      <c r="AC35" s="41"/>
      <c r="AD35" s="41"/>
      <c r="AE35" s="41"/>
      <c r="AF35" s="41"/>
      <c r="AG35" s="41"/>
      <c r="AH35" s="41"/>
      <c r="AI35" s="41"/>
    </row>
    <row r="36" spans="1:35" ht="12" customHeight="1" x14ac:dyDescent="0.2">
      <c r="A36" s="166"/>
      <c r="B36" s="218"/>
      <c r="C36" s="218"/>
      <c r="D36" s="41"/>
      <c r="E36" s="41"/>
      <c r="F36" s="41"/>
      <c r="G36" s="41"/>
      <c r="H36" s="41"/>
      <c r="I36" s="41"/>
      <c r="J36" s="166"/>
      <c r="K36" s="41"/>
      <c r="L36" s="41"/>
      <c r="M36" s="41"/>
      <c r="N36" s="166"/>
      <c r="O36" s="166"/>
      <c r="P36" s="41"/>
      <c r="Q36" s="41"/>
      <c r="R36" s="41"/>
      <c r="S36" s="41"/>
      <c r="T36" s="41"/>
      <c r="U36" s="41"/>
      <c r="V36" s="41"/>
      <c r="W36" s="41"/>
      <c r="X36" s="41"/>
      <c r="Y36" s="166"/>
      <c r="Z36" s="166"/>
      <c r="AA36" s="41"/>
      <c r="AB36" s="41"/>
      <c r="AC36" s="41"/>
      <c r="AD36" s="41"/>
      <c r="AE36" s="41"/>
      <c r="AF36" s="41"/>
      <c r="AG36" s="41"/>
      <c r="AH36" s="41"/>
      <c r="AI36" s="41"/>
    </row>
    <row r="37" spans="1:35" ht="12" customHeight="1" x14ac:dyDescent="0.2">
      <c r="A37" s="166"/>
      <c r="B37" s="218"/>
      <c r="C37" s="218"/>
      <c r="D37" s="41"/>
      <c r="E37" s="41"/>
      <c r="F37" s="41"/>
      <c r="G37" s="41"/>
      <c r="H37" s="41"/>
      <c r="I37" s="41"/>
      <c r="J37" s="166"/>
      <c r="K37" s="41"/>
      <c r="L37" s="41"/>
      <c r="M37" s="41"/>
      <c r="N37" s="166"/>
      <c r="O37" s="166"/>
      <c r="P37" s="41"/>
      <c r="Q37" s="41"/>
      <c r="R37" s="41"/>
      <c r="S37" s="41"/>
      <c r="T37" s="41"/>
      <c r="U37" s="41"/>
      <c r="V37" s="41"/>
      <c r="W37" s="41"/>
      <c r="X37" s="41"/>
      <c r="Y37" s="166"/>
      <c r="Z37" s="166"/>
      <c r="AA37" s="41"/>
      <c r="AB37" s="41"/>
      <c r="AC37" s="41"/>
      <c r="AD37" s="41"/>
      <c r="AE37" s="41"/>
      <c r="AF37" s="41"/>
      <c r="AG37" s="41"/>
      <c r="AH37" s="41"/>
      <c r="AI37" s="41"/>
    </row>
    <row r="38" spans="1:35" ht="12" customHeight="1" x14ac:dyDescent="0.2">
      <c r="A38" s="166"/>
      <c r="B38" s="218"/>
      <c r="C38" s="218"/>
      <c r="D38" s="41"/>
      <c r="E38" s="41"/>
      <c r="F38" s="41"/>
      <c r="G38" s="41"/>
      <c r="H38" s="41"/>
      <c r="I38" s="41"/>
      <c r="J38" s="166"/>
      <c r="K38" s="41"/>
      <c r="L38" s="41"/>
      <c r="M38" s="41"/>
      <c r="N38" s="166"/>
      <c r="O38" s="166"/>
      <c r="P38" s="41"/>
      <c r="Q38" s="41"/>
      <c r="R38" s="41"/>
      <c r="S38" s="41"/>
      <c r="T38" s="41"/>
      <c r="U38" s="41"/>
      <c r="V38" s="41"/>
      <c r="W38" s="41"/>
      <c r="X38" s="41"/>
      <c r="Y38" s="166"/>
      <c r="Z38" s="166"/>
      <c r="AA38" s="41"/>
      <c r="AB38" s="41"/>
      <c r="AC38" s="41"/>
      <c r="AD38" s="41"/>
      <c r="AE38" s="41"/>
      <c r="AF38" s="41"/>
      <c r="AG38" s="41"/>
      <c r="AH38" s="41"/>
      <c r="AI38" s="41"/>
    </row>
    <row r="39" spans="1:35" ht="12" customHeight="1" x14ac:dyDescent="0.2">
      <c r="A39" s="166"/>
      <c r="B39" s="218"/>
      <c r="C39" s="218"/>
      <c r="D39" s="41"/>
      <c r="E39" s="41"/>
      <c r="F39" s="41"/>
      <c r="G39" s="41"/>
      <c r="H39" s="41"/>
      <c r="I39" s="41"/>
      <c r="J39" s="166"/>
      <c r="K39" s="41"/>
      <c r="L39" s="41"/>
      <c r="M39" s="41"/>
      <c r="N39" s="166"/>
      <c r="O39" s="166"/>
      <c r="P39" s="41"/>
      <c r="Q39" s="41"/>
      <c r="R39" s="41"/>
      <c r="S39" s="41"/>
      <c r="T39" s="41"/>
      <c r="U39" s="41"/>
      <c r="V39" s="41"/>
      <c r="W39" s="41"/>
      <c r="X39" s="41"/>
      <c r="Y39" s="166"/>
      <c r="Z39" s="166"/>
      <c r="AA39" s="41"/>
      <c r="AB39" s="41"/>
      <c r="AC39" s="41"/>
      <c r="AD39" s="41"/>
      <c r="AE39" s="41"/>
      <c r="AF39" s="41"/>
      <c r="AG39" s="41"/>
      <c r="AH39" s="41"/>
      <c r="AI39" s="41"/>
    </row>
    <row r="40" spans="1:35" ht="12" customHeight="1" x14ac:dyDescent="0.2">
      <c r="A40" s="166"/>
      <c r="B40" s="218"/>
      <c r="C40" s="218"/>
      <c r="D40" s="41"/>
      <c r="E40" s="41"/>
      <c r="F40" s="41"/>
      <c r="G40" s="41"/>
      <c r="H40" s="41"/>
      <c r="I40" s="41"/>
      <c r="J40" s="166"/>
      <c r="K40" s="41"/>
      <c r="L40" s="41"/>
      <c r="M40" s="41"/>
      <c r="N40" s="166"/>
      <c r="O40" s="166"/>
      <c r="P40" s="41"/>
      <c r="Q40" s="41"/>
      <c r="R40" s="41"/>
      <c r="S40" s="41"/>
      <c r="T40" s="41"/>
      <c r="U40" s="41"/>
      <c r="V40" s="41"/>
      <c r="W40" s="41"/>
      <c r="X40" s="41"/>
      <c r="Y40" s="166"/>
      <c r="Z40" s="166"/>
      <c r="AA40" s="41"/>
      <c r="AB40" s="41"/>
      <c r="AC40" s="41"/>
      <c r="AD40" s="41"/>
      <c r="AE40" s="41"/>
      <c r="AF40" s="41"/>
      <c r="AG40" s="41"/>
      <c r="AH40" s="41"/>
      <c r="AI40" s="41"/>
    </row>
    <row r="41" spans="1:35" ht="12" customHeight="1" x14ac:dyDescent="0.2">
      <c r="A41" s="166"/>
      <c r="B41" s="218"/>
      <c r="C41" s="218"/>
      <c r="D41" s="41"/>
      <c r="E41" s="41"/>
      <c r="F41" s="41"/>
      <c r="G41" s="41"/>
      <c r="H41" s="41"/>
      <c r="I41" s="41"/>
      <c r="J41" s="166"/>
      <c r="K41" s="41"/>
      <c r="L41" s="41"/>
      <c r="M41" s="41"/>
      <c r="N41" s="166"/>
      <c r="O41" s="166"/>
      <c r="P41" s="41"/>
      <c r="Q41" s="41"/>
      <c r="R41" s="41"/>
      <c r="S41" s="41"/>
      <c r="T41" s="41"/>
      <c r="U41" s="41"/>
      <c r="V41" s="41"/>
      <c r="W41" s="41"/>
      <c r="X41" s="41"/>
      <c r="Y41" s="166"/>
      <c r="Z41" s="166"/>
      <c r="AA41" s="41"/>
      <c r="AB41" s="41"/>
      <c r="AC41" s="41"/>
      <c r="AD41" s="41"/>
      <c r="AE41" s="41"/>
      <c r="AF41" s="41"/>
      <c r="AG41" s="41"/>
      <c r="AH41" s="41"/>
      <c r="AI41" s="41"/>
    </row>
    <row r="42" spans="1:35" ht="12" customHeight="1" x14ac:dyDescent="0.2">
      <c r="A42" s="166"/>
      <c r="B42" s="218"/>
      <c r="C42" s="218"/>
      <c r="D42" s="41"/>
      <c r="E42" s="41"/>
      <c r="F42" s="41"/>
      <c r="G42" s="41"/>
      <c r="H42" s="41"/>
      <c r="I42" s="41"/>
      <c r="J42" s="166"/>
      <c r="K42" s="41"/>
      <c r="L42" s="41"/>
      <c r="M42" s="41"/>
      <c r="N42" s="166"/>
      <c r="O42" s="166"/>
      <c r="P42" s="41"/>
      <c r="Q42" s="41"/>
      <c r="R42" s="41"/>
      <c r="S42" s="41"/>
      <c r="T42" s="41"/>
      <c r="U42" s="41"/>
      <c r="V42" s="41"/>
      <c r="W42" s="41"/>
      <c r="X42" s="41"/>
      <c r="Y42" s="166"/>
      <c r="Z42" s="166"/>
      <c r="AA42" s="41"/>
      <c r="AB42" s="41"/>
      <c r="AC42" s="41"/>
      <c r="AD42" s="41"/>
      <c r="AE42" s="41"/>
      <c r="AF42" s="41"/>
      <c r="AG42" s="41"/>
      <c r="AH42" s="41"/>
      <c r="AI42" s="41"/>
    </row>
    <row r="43" spans="1:35" ht="12" customHeight="1" x14ac:dyDescent="0.2">
      <c r="A43" s="166"/>
      <c r="B43" s="218"/>
      <c r="C43" s="218"/>
      <c r="D43" s="41"/>
      <c r="E43" s="41"/>
      <c r="F43" s="41"/>
      <c r="G43" s="41"/>
      <c r="H43" s="41"/>
      <c r="I43" s="41"/>
      <c r="J43" s="166"/>
      <c r="K43" s="41"/>
      <c r="L43" s="41"/>
      <c r="M43" s="41"/>
      <c r="N43" s="166"/>
      <c r="O43" s="166"/>
      <c r="P43" s="41"/>
      <c r="Q43" s="41"/>
      <c r="R43" s="41"/>
      <c r="S43" s="41"/>
      <c r="T43" s="41"/>
      <c r="U43" s="41"/>
      <c r="V43" s="41"/>
      <c r="W43" s="41"/>
      <c r="X43" s="41"/>
      <c r="Y43" s="166"/>
      <c r="Z43" s="166"/>
      <c r="AA43" s="41"/>
      <c r="AB43" s="41"/>
      <c r="AC43" s="41"/>
      <c r="AD43" s="41"/>
      <c r="AE43" s="41"/>
      <c r="AF43" s="41"/>
      <c r="AG43" s="41"/>
      <c r="AH43" s="41"/>
      <c r="AI43" s="41"/>
    </row>
    <row r="44" spans="1:35" ht="12" customHeight="1" x14ac:dyDescent="0.2">
      <c r="A44" s="166"/>
      <c r="B44" s="218"/>
      <c r="C44" s="218"/>
      <c r="D44" s="41"/>
      <c r="E44" s="41"/>
      <c r="F44" s="41"/>
      <c r="G44" s="41"/>
      <c r="H44" s="41"/>
      <c r="I44" s="41"/>
      <c r="J44" s="166"/>
      <c r="K44" s="41"/>
      <c r="L44" s="41"/>
      <c r="M44" s="41"/>
      <c r="N44" s="166"/>
      <c r="O44" s="166"/>
      <c r="P44" s="41"/>
      <c r="Q44" s="41"/>
      <c r="R44" s="41"/>
      <c r="S44" s="41"/>
      <c r="T44" s="41"/>
      <c r="U44" s="41"/>
      <c r="V44" s="41"/>
      <c r="W44" s="41"/>
      <c r="X44" s="41"/>
      <c r="Y44" s="166"/>
      <c r="Z44" s="166"/>
      <c r="AA44" s="41"/>
      <c r="AB44" s="41"/>
      <c r="AC44" s="41"/>
      <c r="AD44" s="41"/>
      <c r="AE44" s="41"/>
      <c r="AF44" s="41"/>
      <c r="AG44" s="41"/>
      <c r="AH44" s="41"/>
      <c r="AI44" s="41"/>
    </row>
    <row r="45" spans="1:35" ht="12" customHeight="1" x14ac:dyDescent="0.2">
      <c r="A45" s="166"/>
      <c r="B45" s="218"/>
      <c r="C45" s="218"/>
      <c r="D45" s="41"/>
      <c r="E45" s="41"/>
      <c r="F45" s="41"/>
      <c r="G45" s="41"/>
      <c r="H45" s="41"/>
      <c r="I45" s="41"/>
      <c r="J45" s="166"/>
      <c r="K45" s="41"/>
      <c r="L45" s="41"/>
      <c r="M45" s="41"/>
      <c r="N45" s="166"/>
      <c r="O45" s="166"/>
      <c r="P45" s="41"/>
      <c r="Q45" s="41"/>
      <c r="R45" s="41"/>
      <c r="S45" s="41"/>
      <c r="T45" s="41"/>
      <c r="U45" s="41"/>
      <c r="V45" s="41"/>
      <c r="W45" s="41"/>
      <c r="X45" s="41"/>
      <c r="Y45" s="166"/>
      <c r="Z45" s="166"/>
      <c r="AA45" s="41"/>
      <c r="AB45" s="41"/>
      <c r="AC45" s="41"/>
      <c r="AD45" s="41"/>
      <c r="AE45" s="41"/>
      <c r="AF45" s="41"/>
      <c r="AG45" s="41"/>
      <c r="AH45" s="41"/>
      <c r="AI45" s="41"/>
    </row>
    <row r="46" spans="1:35" ht="12" customHeight="1" x14ac:dyDescent="0.2">
      <c r="A46" s="166"/>
      <c r="B46" s="218"/>
      <c r="C46" s="218"/>
      <c r="D46" s="41"/>
      <c r="E46" s="41"/>
      <c r="F46" s="41"/>
      <c r="G46" s="41"/>
      <c r="H46" s="41"/>
      <c r="I46" s="41"/>
      <c r="J46" s="166"/>
      <c r="K46" s="41"/>
      <c r="L46" s="41"/>
      <c r="M46" s="41"/>
      <c r="N46" s="166"/>
      <c r="O46" s="166"/>
      <c r="P46" s="41"/>
      <c r="Q46" s="41"/>
      <c r="R46" s="41"/>
      <c r="S46" s="41"/>
      <c r="T46" s="41"/>
      <c r="U46" s="41"/>
      <c r="V46" s="41"/>
      <c r="W46" s="41"/>
      <c r="X46" s="41"/>
      <c r="Y46" s="166"/>
      <c r="Z46" s="166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2" customHeight="1" x14ac:dyDescent="0.2">
      <c r="A47" s="166"/>
      <c r="B47" s="218"/>
      <c r="C47" s="218"/>
      <c r="D47" s="41"/>
      <c r="E47" s="41"/>
      <c r="F47" s="41"/>
      <c r="G47" s="41"/>
      <c r="H47" s="41"/>
      <c r="I47" s="41"/>
      <c r="J47" s="166"/>
      <c r="K47" s="41"/>
      <c r="L47" s="41"/>
      <c r="M47" s="41"/>
      <c r="N47" s="166"/>
      <c r="O47" s="166"/>
      <c r="P47" s="41"/>
      <c r="Q47" s="41"/>
      <c r="R47" s="41"/>
      <c r="S47" s="41"/>
      <c r="T47" s="41"/>
      <c r="U47" s="41"/>
      <c r="V47" s="41"/>
      <c r="W47" s="41"/>
      <c r="X47" s="41"/>
      <c r="Y47" s="166"/>
      <c r="Z47" s="166"/>
      <c r="AA47" s="41"/>
      <c r="AB47" s="41"/>
      <c r="AC47" s="41"/>
      <c r="AD47" s="41"/>
      <c r="AE47" s="41"/>
      <c r="AF47" s="41"/>
      <c r="AG47" s="41"/>
      <c r="AH47" s="41"/>
      <c r="AI47" s="41"/>
    </row>
    <row r="48" spans="1:35" ht="12" customHeight="1" x14ac:dyDescent="0.2">
      <c r="A48" s="166"/>
      <c r="B48" s="218"/>
      <c r="C48" s="218"/>
      <c r="D48" s="41"/>
      <c r="E48" s="41"/>
      <c r="F48" s="41"/>
      <c r="G48" s="41"/>
      <c r="H48" s="41"/>
      <c r="I48" s="41"/>
      <c r="J48" s="166"/>
      <c r="K48" s="41"/>
      <c r="L48" s="41"/>
      <c r="M48" s="41"/>
      <c r="N48" s="166"/>
      <c r="O48" s="166"/>
      <c r="P48" s="41"/>
      <c r="Q48" s="41"/>
      <c r="R48" s="41"/>
      <c r="S48" s="41"/>
      <c r="T48" s="41"/>
      <c r="U48" s="41"/>
      <c r="V48" s="41"/>
      <c r="W48" s="41"/>
      <c r="X48" s="41"/>
      <c r="Y48" s="166"/>
      <c r="Z48" s="166"/>
      <c r="AA48" s="41"/>
      <c r="AB48" s="41"/>
      <c r="AC48" s="41"/>
      <c r="AD48" s="41"/>
      <c r="AE48" s="41"/>
      <c r="AF48" s="41"/>
      <c r="AG48" s="41"/>
      <c r="AH48" s="41"/>
      <c r="AI48" s="41"/>
    </row>
    <row r="49" spans="1:35" ht="12" customHeight="1" x14ac:dyDescent="0.2">
      <c r="A49" s="166"/>
      <c r="B49" s="218"/>
      <c r="C49" s="218"/>
      <c r="D49" s="41"/>
      <c r="E49" s="41"/>
      <c r="F49" s="41"/>
      <c r="G49" s="41"/>
      <c r="H49" s="41"/>
      <c r="I49" s="41"/>
      <c r="J49" s="166"/>
      <c r="K49" s="41"/>
      <c r="L49" s="41"/>
      <c r="M49" s="41"/>
      <c r="N49" s="166"/>
      <c r="O49" s="166"/>
      <c r="P49" s="41"/>
      <c r="Q49" s="41"/>
      <c r="R49" s="41"/>
      <c r="S49" s="41"/>
      <c r="T49" s="41"/>
      <c r="U49" s="41"/>
      <c r="V49" s="41"/>
      <c r="W49" s="41"/>
      <c r="X49" s="41"/>
      <c r="Y49" s="166"/>
      <c r="Z49" s="166"/>
      <c r="AA49" s="41"/>
      <c r="AB49" s="41"/>
      <c r="AC49" s="41"/>
      <c r="AD49" s="41"/>
      <c r="AE49" s="41"/>
      <c r="AF49" s="41"/>
      <c r="AG49" s="41"/>
      <c r="AH49" s="41"/>
      <c r="AI49" s="41"/>
    </row>
    <row r="50" spans="1:35" ht="12" customHeight="1" x14ac:dyDescent="0.2">
      <c r="A50" s="166"/>
      <c r="B50" s="218"/>
      <c r="C50" s="218"/>
      <c r="D50" s="41"/>
      <c r="E50" s="41"/>
      <c r="F50" s="41"/>
      <c r="G50" s="41"/>
      <c r="H50" s="41"/>
      <c r="I50" s="41"/>
      <c r="J50" s="166"/>
      <c r="K50" s="41"/>
      <c r="L50" s="41"/>
      <c r="M50" s="41"/>
      <c r="N50" s="166"/>
      <c r="O50" s="166"/>
      <c r="P50" s="41"/>
      <c r="Q50" s="41"/>
      <c r="R50" s="41"/>
      <c r="S50" s="41"/>
      <c r="T50" s="41"/>
      <c r="U50" s="41"/>
      <c r="V50" s="41"/>
      <c r="W50" s="41"/>
      <c r="X50" s="41"/>
      <c r="Y50" s="166"/>
      <c r="Z50" s="166"/>
      <c r="AA50" s="41"/>
      <c r="AB50" s="41"/>
      <c r="AC50" s="41"/>
      <c r="AD50" s="41"/>
      <c r="AE50" s="41"/>
      <c r="AF50" s="41"/>
      <c r="AG50" s="41"/>
      <c r="AH50" s="41"/>
      <c r="AI50" s="41"/>
    </row>
    <row r="51" spans="1:35" ht="12" customHeight="1" x14ac:dyDescent="0.2">
      <c r="A51" s="166"/>
      <c r="B51" s="218"/>
      <c r="C51" s="218"/>
      <c r="D51" s="41"/>
      <c r="E51" s="41"/>
      <c r="F51" s="41"/>
      <c r="G51" s="41"/>
      <c r="H51" s="41"/>
      <c r="I51" s="41"/>
      <c r="J51" s="166"/>
      <c r="K51" s="41"/>
      <c r="L51" s="41"/>
      <c r="M51" s="41"/>
      <c r="N51" s="166"/>
      <c r="O51" s="166"/>
      <c r="P51" s="41"/>
      <c r="Q51" s="41"/>
      <c r="R51" s="41"/>
      <c r="S51" s="41"/>
      <c r="T51" s="41"/>
      <c r="U51" s="41"/>
      <c r="V51" s="41"/>
      <c r="W51" s="41"/>
      <c r="X51" s="41"/>
      <c r="Y51" s="166"/>
      <c r="Z51" s="166"/>
      <c r="AA51" s="41"/>
      <c r="AB51" s="41"/>
      <c r="AC51" s="41"/>
      <c r="AD51" s="41"/>
      <c r="AE51" s="41"/>
      <c r="AF51" s="41"/>
      <c r="AG51" s="41"/>
      <c r="AH51" s="41"/>
      <c r="AI51" s="41"/>
    </row>
    <row r="52" spans="1:35" ht="12" customHeight="1" x14ac:dyDescent="0.2">
      <c r="A52" s="166"/>
      <c r="B52" s="218"/>
      <c r="C52" s="218"/>
      <c r="D52" s="41"/>
      <c r="E52" s="41"/>
      <c r="F52" s="41"/>
      <c r="G52" s="41"/>
      <c r="H52" s="41"/>
      <c r="I52" s="41"/>
      <c r="J52" s="166"/>
      <c r="K52" s="41"/>
      <c r="L52" s="41"/>
      <c r="M52" s="41"/>
      <c r="N52" s="166"/>
      <c r="O52" s="166"/>
      <c r="P52" s="41"/>
      <c r="Q52" s="41"/>
      <c r="R52" s="41"/>
      <c r="S52" s="41"/>
      <c r="T52" s="41"/>
      <c r="U52" s="41"/>
      <c r="V52" s="41"/>
      <c r="W52" s="41"/>
      <c r="X52" s="41"/>
      <c r="Y52" s="166"/>
      <c r="Z52" s="166"/>
      <c r="AA52" s="41"/>
      <c r="AB52" s="41"/>
      <c r="AC52" s="41"/>
      <c r="AD52" s="41"/>
      <c r="AE52" s="41"/>
      <c r="AF52" s="41"/>
      <c r="AG52" s="41"/>
      <c r="AH52" s="41"/>
      <c r="AI52" s="41"/>
    </row>
    <row r="53" spans="1:35" ht="12" customHeight="1" x14ac:dyDescent="0.2">
      <c r="A53" s="166"/>
      <c r="B53" s="218"/>
      <c r="C53" s="218"/>
      <c r="D53" s="41"/>
      <c r="E53" s="41"/>
      <c r="F53" s="41"/>
      <c r="G53" s="41"/>
      <c r="H53" s="41"/>
      <c r="I53" s="41"/>
      <c r="J53" s="166"/>
      <c r="K53" s="41"/>
      <c r="L53" s="41"/>
      <c r="M53" s="41"/>
      <c r="N53" s="166"/>
      <c r="O53" s="166"/>
      <c r="P53" s="41"/>
      <c r="Q53" s="41"/>
      <c r="R53" s="41"/>
      <c r="S53" s="41"/>
      <c r="T53" s="41"/>
      <c r="U53" s="41"/>
      <c r="V53" s="41"/>
      <c r="W53" s="41"/>
      <c r="X53" s="41"/>
      <c r="Y53" s="166"/>
      <c r="Z53" s="166"/>
      <c r="AA53" s="41"/>
      <c r="AB53" s="41"/>
      <c r="AC53" s="41"/>
      <c r="AD53" s="41"/>
      <c r="AE53" s="41"/>
      <c r="AF53" s="41"/>
      <c r="AG53" s="41"/>
      <c r="AH53" s="41"/>
      <c r="AI53" s="41"/>
    </row>
    <row r="54" spans="1:35" ht="12" customHeight="1" x14ac:dyDescent="0.2">
      <c r="A54" s="166"/>
      <c r="B54" s="218"/>
      <c r="C54" s="218"/>
      <c r="D54" s="41"/>
      <c r="E54" s="41"/>
      <c r="F54" s="41"/>
      <c r="G54" s="41"/>
      <c r="H54" s="41"/>
      <c r="I54" s="41"/>
      <c r="J54" s="166"/>
      <c r="K54" s="41"/>
      <c r="L54" s="41"/>
      <c r="M54" s="41"/>
      <c r="N54" s="166"/>
      <c r="O54" s="166"/>
      <c r="P54" s="41"/>
      <c r="Q54" s="41"/>
      <c r="R54" s="41"/>
      <c r="S54" s="41"/>
      <c r="T54" s="41"/>
      <c r="U54" s="41"/>
      <c r="V54" s="41"/>
      <c r="W54" s="41"/>
      <c r="X54" s="41"/>
      <c r="Y54" s="166"/>
      <c r="Z54" s="166"/>
      <c r="AA54" s="41"/>
      <c r="AB54" s="41"/>
      <c r="AC54" s="41"/>
      <c r="AD54" s="41"/>
      <c r="AE54" s="41"/>
      <c r="AF54" s="41"/>
      <c r="AG54" s="41"/>
      <c r="AH54" s="41"/>
      <c r="AI54" s="41"/>
    </row>
    <row r="55" spans="1:35" ht="12" customHeight="1" x14ac:dyDescent="0.2">
      <c r="A55" s="166"/>
      <c r="B55" s="218"/>
      <c r="C55" s="218"/>
      <c r="D55" s="41"/>
      <c r="E55" s="41"/>
      <c r="F55" s="41"/>
      <c r="G55" s="41"/>
      <c r="H55" s="41"/>
      <c r="I55" s="41"/>
      <c r="J55" s="166"/>
      <c r="K55" s="41"/>
      <c r="L55" s="41"/>
      <c r="M55" s="41"/>
      <c r="N55" s="166"/>
      <c r="O55" s="166"/>
      <c r="P55" s="41"/>
      <c r="Q55" s="41"/>
      <c r="R55" s="41"/>
      <c r="S55" s="41"/>
      <c r="T55" s="41"/>
      <c r="U55" s="41"/>
      <c r="V55" s="41"/>
      <c r="W55" s="41"/>
      <c r="X55" s="41"/>
      <c r="Y55" s="166"/>
      <c r="Z55" s="166"/>
      <c r="AA55" s="41"/>
      <c r="AB55" s="41"/>
      <c r="AC55" s="41"/>
      <c r="AD55" s="41"/>
      <c r="AE55" s="41"/>
      <c r="AF55" s="41"/>
      <c r="AG55" s="41"/>
      <c r="AH55" s="41"/>
      <c r="AI55" s="41"/>
    </row>
    <row r="56" spans="1:35" ht="12" customHeight="1" x14ac:dyDescent="0.2">
      <c r="A56" s="166"/>
      <c r="B56" s="218"/>
      <c r="C56" s="218"/>
      <c r="D56" s="41"/>
      <c r="E56" s="41"/>
      <c r="F56" s="41"/>
      <c r="G56" s="41"/>
      <c r="H56" s="41"/>
      <c r="I56" s="41"/>
      <c r="J56" s="166"/>
      <c r="K56" s="41"/>
      <c r="L56" s="41"/>
      <c r="M56" s="41"/>
      <c r="N56" s="166"/>
      <c r="O56" s="166"/>
      <c r="P56" s="41"/>
      <c r="Q56" s="41"/>
      <c r="R56" s="41"/>
      <c r="S56" s="41"/>
      <c r="T56" s="41"/>
      <c r="U56" s="41"/>
      <c r="V56" s="41"/>
      <c r="W56" s="41"/>
      <c r="X56" s="41"/>
      <c r="Y56" s="166"/>
      <c r="Z56" s="166"/>
      <c r="AA56" s="41"/>
      <c r="AB56" s="41"/>
      <c r="AC56" s="41"/>
      <c r="AD56" s="41"/>
      <c r="AE56" s="41"/>
      <c r="AF56" s="41"/>
      <c r="AG56" s="41"/>
      <c r="AH56" s="41"/>
      <c r="AI56" s="41"/>
    </row>
    <row r="57" spans="1:35" ht="12" customHeight="1" x14ac:dyDescent="0.2">
      <c r="A57" s="166"/>
      <c r="B57" s="218"/>
      <c r="C57" s="218"/>
      <c r="D57" s="41"/>
      <c r="E57" s="41"/>
      <c r="F57" s="41"/>
      <c r="G57" s="41"/>
      <c r="H57" s="41"/>
      <c r="I57" s="41"/>
      <c r="J57" s="166"/>
      <c r="K57" s="41"/>
      <c r="L57" s="41"/>
      <c r="M57" s="41"/>
      <c r="N57" s="166"/>
      <c r="O57" s="166"/>
      <c r="P57" s="41"/>
      <c r="Q57" s="41"/>
      <c r="R57" s="41"/>
      <c r="S57" s="41"/>
      <c r="T57" s="41"/>
      <c r="U57" s="41"/>
      <c r="V57" s="41"/>
      <c r="W57" s="41"/>
      <c r="X57" s="41"/>
      <c r="Y57" s="166"/>
      <c r="Z57" s="166"/>
      <c r="AA57" s="41"/>
      <c r="AB57" s="41"/>
      <c r="AC57" s="41"/>
      <c r="AD57" s="41"/>
      <c r="AE57" s="41"/>
      <c r="AF57" s="41"/>
      <c r="AG57" s="41"/>
      <c r="AH57" s="41"/>
      <c r="AI57" s="41"/>
    </row>
    <row r="58" spans="1:35" ht="12" customHeight="1" x14ac:dyDescent="0.2">
      <c r="A58" s="166"/>
      <c r="B58" s="218"/>
      <c r="C58" s="218"/>
      <c r="D58" s="41"/>
      <c r="E58" s="41"/>
      <c r="F58" s="41"/>
      <c r="G58" s="41"/>
      <c r="H58" s="41"/>
      <c r="I58" s="41"/>
      <c r="J58" s="166"/>
      <c r="K58" s="41"/>
      <c r="L58" s="41"/>
      <c r="M58" s="41"/>
      <c r="N58" s="166"/>
      <c r="O58" s="166"/>
      <c r="P58" s="41"/>
      <c r="Q58" s="41"/>
      <c r="R58" s="41"/>
      <c r="S58" s="41"/>
      <c r="T58" s="41"/>
      <c r="U58" s="41"/>
      <c r="V58" s="41"/>
      <c r="W58" s="41"/>
      <c r="X58" s="41"/>
      <c r="Y58" s="166"/>
      <c r="Z58" s="166"/>
      <c r="AA58" s="41"/>
      <c r="AB58" s="41"/>
      <c r="AC58" s="41"/>
      <c r="AD58" s="41"/>
      <c r="AE58" s="41"/>
      <c r="AF58" s="41"/>
      <c r="AG58" s="41"/>
      <c r="AH58" s="41"/>
      <c r="AI58" s="41"/>
    </row>
    <row r="59" spans="1:35" ht="12" customHeight="1" x14ac:dyDescent="0.2">
      <c r="A59" s="166"/>
      <c r="B59" s="218"/>
      <c r="C59" s="218"/>
      <c r="D59" s="41"/>
      <c r="E59" s="41"/>
      <c r="F59" s="41"/>
      <c r="G59" s="41"/>
      <c r="H59" s="41"/>
      <c r="I59" s="41"/>
      <c r="J59" s="166"/>
      <c r="K59" s="41"/>
      <c r="L59" s="41"/>
      <c r="M59" s="41"/>
      <c r="N59" s="166"/>
      <c r="O59" s="166"/>
      <c r="P59" s="41"/>
      <c r="Q59" s="41"/>
      <c r="R59" s="41"/>
      <c r="S59" s="41"/>
      <c r="T59" s="41"/>
      <c r="U59" s="41"/>
      <c r="V59" s="41"/>
      <c r="W59" s="41"/>
      <c r="X59" s="41"/>
      <c r="Y59" s="166"/>
      <c r="Z59" s="166"/>
      <c r="AA59" s="41"/>
      <c r="AB59" s="41"/>
      <c r="AC59" s="41"/>
      <c r="AD59" s="41"/>
      <c r="AE59" s="41"/>
      <c r="AF59" s="41"/>
      <c r="AG59" s="41"/>
      <c r="AH59" s="41"/>
      <c r="AI59" s="41"/>
    </row>
    <row r="60" spans="1:35" ht="12" customHeight="1" x14ac:dyDescent="0.2">
      <c r="A60" s="166"/>
      <c r="B60" s="218"/>
      <c r="C60" s="218"/>
      <c r="D60" s="41"/>
      <c r="E60" s="41"/>
      <c r="F60" s="41"/>
      <c r="G60" s="41"/>
      <c r="H60" s="41"/>
      <c r="I60" s="41"/>
      <c r="J60" s="166"/>
      <c r="K60" s="41"/>
      <c r="L60" s="41"/>
      <c r="M60" s="41"/>
      <c r="N60" s="166"/>
      <c r="O60" s="166"/>
      <c r="P60" s="41"/>
      <c r="Q60" s="41"/>
      <c r="R60" s="41"/>
      <c r="S60" s="41"/>
      <c r="T60" s="41"/>
      <c r="U60" s="41"/>
      <c r="V60" s="41"/>
      <c r="W60" s="41"/>
      <c r="X60" s="41"/>
      <c r="Y60" s="166"/>
      <c r="Z60" s="166"/>
      <c r="AA60" s="41"/>
      <c r="AB60" s="41"/>
      <c r="AC60" s="41"/>
      <c r="AD60" s="41"/>
      <c r="AE60" s="41"/>
      <c r="AF60" s="41"/>
      <c r="AG60" s="41"/>
      <c r="AH60" s="41"/>
      <c r="AI60" s="41"/>
    </row>
    <row r="61" spans="1:35" ht="12" customHeight="1" x14ac:dyDescent="0.2">
      <c r="A61" s="166"/>
      <c r="B61" s="218"/>
      <c r="C61" s="218"/>
      <c r="D61" s="41"/>
      <c r="E61" s="41"/>
      <c r="F61" s="41"/>
      <c r="G61" s="41"/>
      <c r="H61" s="41"/>
      <c r="I61" s="41"/>
      <c r="J61" s="166"/>
      <c r="K61" s="41"/>
      <c r="L61" s="41"/>
      <c r="M61" s="41"/>
      <c r="N61" s="166"/>
      <c r="O61" s="166"/>
      <c r="P61" s="41"/>
      <c r="Q61" s="41"/>
      <c r="R61" s="41"/>
      <c r="S61" s="41"/>
      <c r="T61" s="41"/>
      <c r="U61" s="41"/>
      <c r="V61" s="41"/>
      <c r="W61" s="41"/>
      <c r="X61" s="41"/>
      <c r="Y61" s="166"/>
      <c r="Z61" s="166"/>
      <c r="AA61" s="41"/>
      <c r="AB61" s="41"/>
      <c r="AC61" s="41"/>
      <c r="AD61" s="41"/>
      <c r="AE61" s="41"/>
      <c r="AF61" s="41"/>
      <c r="AG61" s="41"/>
      <c r="AH61" s="41"/>
      <c r="AI61" s="41"/>
    </row>
    <row r="62" spans="1:35" ht="12" customHeight="1" x14ac:dyDescent="0.2">
      <c r="A62" s="166"/>
      <c r="B62" s="218"/>
      <c r="C62" s="218"/>
      <c r="D62" s="41"/>
      <c r="E62" s="41"/>
      <c r="F62" s="41"/>
      <c r="G62" s="41"/>
      <c r="H62" s="41"/>
      <c r="I62" s="41"/>
      <c r="J62" s="166"/>
      <c r="K62" s="41"/>
      <c r="L62" s="41"/>
      <c r="M62" s="41"/>
      <c r="N62" s="166"/>
      <c r="O62" s="166"/>
      <c r="P62" s="41"/>
      <c r="Q62" s="41"/>
      <c r="R62" s="41"/>
      <c r="S62" s="41"/>
      <c r="T62" s="41"/>
      <c r="U62" s="41"/>
      <c r="V62" s="41"/>
      <c r="W62" s="41"/>
      <c r="X62" s="41"/>
      <c r="Y62" s="166"/>
      <c r="Z62" s="166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2" customHeight="1" x14ac:dyDescent="0.2">
      <c r="A63" s="166"/>
      <c r="B63" s="218"/>
      <c r="C63" s="218"/>
      <c r="D63" s="41"/>
      <c r="E63" s="41"/>
      <c r="F63" s="41"/>
      <c r="G63" s="41"/>
      <c r="H63" s="41"/>
      <c r="I63" s="41"/>
      <c r="J63" s="166"/>
      <c r="K63" s="41"/>
      <c r="L63" s="41"/>
      <c r="M63" s="41"/>
      <c r="N63" s="166"/>
      <c r="O63" s="166"/>
      <c r="P63" s="41"/>
      <c r="Q63" s="41"/>
      <c r="R63" s="41"/>
      <c r="S63" s="41"/>
      <c r="T63" s="41"/>
      <c r="U63" s="41"/>
      <c r="V63" s="41"/>
      <c r="W63" s="41"/>
      <c r="X63" s="41"/>
      <c r="Y63" s="166"/>
      <c r="Z63" s="166"/>
      <c r="AA63" s="41"/>
      <c r="AB63" s="41"/>
      <c r="AC63" s="41"/>
      <c r="AD63" s="41"/>
      <c r="AE63" s="41"/>
      <c r="AF63" s="41"/>
      <c r="AG63" s="41"/>
      <c r="AH63" s="41"/>
      <c r="AI63" s="41"/>
    </row>
    <row r="64" spans="1:35" ht="12" customHeight="1" x14ac:dyDescent="0.2">
      <c r="A64" s="166"/>
      <c r="B64" s="218"/>
      <c r="C64" s="218"/>
      <c r="D64" s="41"/>
      <c r="E64" s="41"/>
      <c r="F64" s="41"/>
      <c r="G64" s="41"/>
      <c r="H64" s="41"/>
      <c r="I64" s="41"/>
      <c r="J64" s="166"/>
      <c r="K64" s="41"/>
      <c r="L64" s="41"/>
      <c r="M64" s="41"/>
      <c r="N64" s="166"/>
      <c r="O64" s="166"/>
      <c r="P64" s="41"/>
      <c r="Q64" s="41"/>
      <c r="R64" s="41"/>
      <c r="S64" s="41"/>
      <c r="T64" s="41"/>
      <c r="U64" s="41"/>
      <c r="V64" s="41"/>
      <c r="W64" s="41"/>
      <c r="X64" s="41"/>
      <c r="Y64" s="166"/>
      <c r="Z64" s="166"/>
      <c r="AA64" s="41"/>
      <c r="AB64" s="41"/>
      <c r="AC64" s="41"/>
      <c r="AD64" s="41"/>
      <c r="AE64" s="41"/>
      <c r="AF64" s="41"/>
      <c r="AG64" s="41"/>
      <c r="AH64" s="41"/>
      <c r="AI64" s="41"/>
    </row>
    <row r="65" spans="1:35" ht="12" customHeight="1" x14ac:dyDescent="0.2">
      <c r="A65" s="166"/>
      <c r="B65" s="218"/>
      <c r="C65" s="218"/>
      <c r="D65" s="41"/>
      <c r="E65" s="41"/>
      <c r="F65" s="41"/>
      <c r="G65" s="41"/>
      <c r="H65" s="41"/>
      <c r="I65" s="41"/>
      <c r="J65" s="166"/>
      <c r="K65" s="41"/>
      <c r="L65" s="41"/>
      <c r="M65" s="41"/>
      <c r="N65" s="166"/>
      <c r="O65" s="166"/>
      <c r="P65" s="41"/>
      <c r="Q65" s="41"/>
      <c r="R65" s="41"/>
      <c r="S65" s="41"/>
      <c r="T65" s="41"/>
      <c r="U65" s="41"/>
      <c r="V65" s="41"/>
      <c r="W65" s="41"/>
      <c r="X65" s="41"/>
      <c r="Y65" s="166"/>
      <c r="Z65" s="166"/>
      <c r="AA65" s="41"/>
      <c r="AB65" s="41"/>
      <c r="AC65" s="41"/>
      <c r="AD65" s="41"/>
      <c r="AE65" s="41"/>
      <c r="AF65" s="41"/>
      <c r="AG65" s="41"/>
      <c r="AH65" s="41"/>
      <c r="AI65" s="41"/>
    </row>
    <row r="66" spans="1:35" ht="12" customHeight="1" x14ac:dyDescent="0.2">
      <c r="A66" s="166"/>
      <c r="B66" s="218"/>
      <c r="C66" s="218"/>
      <c r="D66" s="41"/>
      <c r="E66" s="41"/>
      <c r="F66" s="41"/>
      <c r="G66" s="41"/>
      <c r="H66" s="41"/>
      <c r="I66" s="41"/>
      <c r="J66" s="166"/>
      <c r="K66" s="41"/>
      <c r="L66" s="41"/>
      <c r="M66" s="41"/>
      <c r="N66" s="166"/>
      <c r="O66" s="166"/>
      <c r="P66" s="41"/>
      <c r="Q66" s="41"/>
      <c r="R66" s="41"/>
      <c r="S66" s="41"/>
      <c r="T66" s="41"/>
      <c r="U66" s="41"/>
      <c r="V66" s="41"/>
      <c r="W66" s="41"/>
      <c r="X66" s="41"/>
      <c r="Y66" s="166"/>
      <c r="Z66" s="166"/>
      <c r="AA66" s="41"/>
      <c r="AB66" s="41"/>
      <c r="AC66" s="41"/>
      <c r="AD66" s="41"/>
      <c r="AE66" s="41"/>
      <c r="AF66" s="41"/>
      <c r="AG66" s="41"/>
      <c r="AH66" s="41"/>
      <c r="AI66" s="41"/>
    </row>
    <row r="67" spans="1:35" ht="12" customHeight="1" x14ac:dyDescent="0.2">
      <c r="A67" s="166"/>
      <c r="B67" s="218"/>
      <c r="C67" s="218"/>
      <c r="D67" s="41"/>
      <c r="E67" s="41"/>
      <c r="F67" s="41"/>
      <c r="G67" s="41"/>
      <c r="H67" s="41"/>
      <c r="I67" s="41"/>
      <c r="J67" s="166"/>
      <c r="K67" s="41"/>
      <c r="L67" s="41"/>
      <c r="M67" s="41"/>
      <c r="N67" s="166"/>
      <c r="O67" s="166"/>
      <c r="P67" s="41"/>
      <c r="Q67" s="41"/>
      <c r="R67" s="41"/>
      <c r="S67" s="41"/>
      <c r="T67" s="41"/>
      <c r="U67" s="41"/>
      <c r="V67" s="41"/>
      <c r="W67" s="41"/>
      <c r="X67" s="41"/>
      <c r="Y67" s="166"/>
      <c r="Z67" s="166"/>
      <c r="AA67" s="41"/>
      <c r="AB67" s="41"/>
      <c r="AC67" s="41"/>
      <c r="AD67" s="41"/>
      <c r="AE67" s="41"/>
      <c r="AF67" s="41"/>
      <c r="AG67" s="41"/>
      <c r="AH67" s="41"/>
      <c r="AI67" s="41"/>
    </row>
    <row r="68" spans="1:35" ht="12" customHeight="1" x14ac:dyDescent="0.2">
      <c r="A68" s="166"/>
      <c r="B68" s="218"/>
      <c r="C68" s="218"/>
      <c r="D68" s="41"/>
      <c r="E68" s="41"/>
      <c r="F68" s="41"/>
      <c r="G68" s="41"/>
      <c r="H68" s="41"/>
      <c r="I68" s="41"/>
      <c r="J68" s="166"/>
      <c r="K68" s="41"/>
      <c r="L68" s="41"/>
      <c r="M68" s="41"/>
      <c r="N68" s="166"/>
      <c r="O68" s="166"/>
      <c r="P68" s="41"/>
      <c r="Q68" s="41"/>
      <c r="R68" s="41"/>
      <c r="S68" s="41"/>
      <c r="T68" s="41"/>
      <c r="U68" s="41"/>
      <c r="V68" s="41"/>
      <c r="W68" s="41"/>
      <c r="X68" s="41"/>
      <c r="Y68" s="166"/>
      <c r="Z68" s="166"/>
      <c r="AA68" s="41"/>
      <c r="AB68" s="41"/>
      <c r="AC68" s="41"/>
      <c r="AD68" s="41"/>
      <c r="AE68" s="41"/>
      <c r="AF68" s="41"/>
      <c r="AG68" s="41"/>
      <c r="AH68" s="41"/>
      <c r="AI68" s="41"/>
    </row>
    <row r="69" spans="1:35" ht="12" customHeight="1" x14ac:dyDescent="0.2">
      <c r="A69" s="166"/>
      <c r="B69" s="218"/>
      <c r="C69" s="218"/>
      <c r="D69" s="41"/>
      <c r="E69" s="41"/>
      <c r="F69" s="41"/>
      <c r="G69" s="41"/>
      <c r="H69" s="41"/>
      <c r="I69" s="41"/>
      <c r="J69" s="166"/>
      <c r="K69" s="41"/>
      <c r="L69" s="41"/>
      <c r="M69" s="41"/>
      <c r="N69" s="166"/>
      <c r="O69" s="166"/>
      <c r="P69" s="41"/>
      <c r="Q69" s="41"/>
      <c r="R69" s="41"/>
      <c r="S69" s="41"/>
      <c r="T69" s="41"/>
      <c r="U69" s="41"/>
      <c r="V69" s="41"/>
      <c r="W69" s="41"/>
      <c r="X69" s="41"/>
      <c r="Y69" s="166"/>
      <c r="Z69" s="166"/>
      <c r="AA69" s="41"/>
      <c r="AB69" s="41"/>
      <c r="AC69" s="41"/>
      <c r="AD69" s="41"/>
      <c r="AE69" s="41"/>
      <c r="AF69" s="41"/>
      <c r="AG69" s="41"/>
      <c r="AH69" s="41"/>
      <c r="AI69" s="41"/>
    </row>
    <row r="70" spans="1:35" ht="12" customHeight="1" x14ac:dyDescent="0.2">
      <c r="A70" s="166"/>
      <c r="B70" s="218"/>
      <c r="C70" s="218"/>
      <c r="D70" s="41"/>
      <c r="E70" s="41"/>
      <c r="F70" s="41"/>
      <c r="G70" s="41"/>
      <c r="H70" s="41"/>
      <c r="I70" s="41"/>
      <c r="J70" s="166"/>
      <c r="K70" s="41"/>
      <c r="L70" s="41"/>
      <c r="M70" s="41"/>
      <c r="N70" s="166"/>
      <c r="O70" s="166"/>
      <c r="P70" s="41"/>
      <c r="Q70" s="41"/>
      <c r="R70" s="41"/>
      <c r="S70" s="41"/>
      <c r="T70" s="41"/>
      <c r="U70" s="41"/>
      <c r="V70" s="41"/>
      <c r="W70" s="41"/>
      <c r="X70" s="41"/>
      <c r="Y70" s="166"/>
      <c r="Z70" s="166"/>
      <c r="AA70" s="41"/>
      <c r="AB70" s="41"/>
      <c r="AC70" s="41"/>
      <c r="AD70" s="41"/>
      <c r="AE70" s="41"/>
      <c r="AF70" s="41"/>
      <c r="AG70" s="41"/>
      <c r="AH70" s="41"/>
      <c r="AI70" s="41"/>
    </row>
    <row r="71" spans="1:35" ht="12" customHeight="1" x14ac:dyDescent="0.2">
      <c r="A71" s="166"/>
      <c r="B71" s="218"/>
      <c r="C71" s="218"/>
      <c r="D71" s="41"/>
      <c r="E71" s="41"/>
      <c r="F71" s="41"/>
      <c r="G71" s="41"/>
      <c r="H71" s="41"/>
      <c r="I71" s="41"/>
      <c r="J71" s="166"/>
      <c r="K71" s="41"/>
      <c r="L71" s="41"/>
      <c r="M71" s="41"/>
      <c r="N71" s="166"/>
      <c r="O71" s="166"/>
      <c r="P71" s="41"/>
      <c r="Q71" s="41"/>
      <c r="R71" s="41"/>
      <c r="S71" s="41"/>
      <c r="T71" s="41"/>
      <c r="U71" s="41"/>
      <c r="V71" s="41"/>
      <c r="W71" s="41"/>
      <c r="X71" s="41"/>
      <c r="Y71" s="166"/>
      <c r="Z71" s="166"/>
      <c r="AA71" s="41"/>
      <c r="AB71" s="41"/>
      <c r="AC71" s="41"/>
      <c r="AD71" s="41"/>
      <c r="AE71" s="41"/>
      <c r="AF71" s="41"/>
      <c r="AG71" s="41"/>
      <c r="AH71" s="41"/>
      <c r="AI71" s="41"/>
    </row>
    <row r="72" spans="1:35" ht="12" customHeight="1" x14ac:dyDescent="0.2">
      <c r="A72" s="166"/>
      <c r="B72" s="218"/>
      <c r="C72" s="218"/>
      <c r="D72" s="41"/>
      <c r="E72" s="41"/>
      <c r="F72" s="41"/>
      <c r="G72" s="41"/>
      <c r="H72" s="41"/>
      <c r="I72" s="41"/>
      <c r="J72" s="166"/>
      <c r="K72" s="41"/>
      <c r="L72" s="41"/>
      <c r="M72" s="41"/>
      <c r="N72" s="166"/>
      <c r="O72" s="166"/>
      <c r="P72" s="41"/>
      <c r="Q72" s="41"/>
      <c r="R72" s="41"/>
      <c r="S72" s="41"/>
      <c r="T72" s="41"/>
      <c r="U72" s="41"/>
      <c r="V72" s="41"/>
      <c r="W72" s="41"/>
      <c r="X72" s="41"/>
      <c r="Y72" s="166"/>
      <c r="Z72" s="166"/>
      <c r="AA72" s="41"/>
      <c r="AB72" s="41"/>
      <c r="AC72" s="41"/>
      <c r="AD72" s="41"/>
      <c r="AE72" s="41"/>
      <c r="AF72" s="41"/>
      <c r="AG72" s="41"/>
      <c r="AH72" s="41"/>
      <c r="AI72" s="41"/>
    </row>
    <row r="73" spans="1:35" ht="12" customHeight="1" x14ac:dyDescent="0.2">
      <c r="A73" s="166"/>
      <c r="B73" s="218"/>
      <c r="C73" s="218"/>
      <c r="D73" s="41"/>
      <c r="E73" s="41"/>
      <c r="F73" s="41"/>
      <c r="G73" s="41"/>
      <c r="H73" s="41"/>
      <c r="I73" s="41"/>
      <c r="J73" s="166"/>
      <c r="K73" s="41"/>
      <c r="L73" s="41"/>
      <c r="M73" s="41"/>
      <c r="N73" s="166"/>
      <c r="O73" s="166"/>
      <c r="P73" s="41"/>
      <c r="Q73" s="41"/>
      <c r="R73" s="41"/>
      <c r="S73" s="41"/>
      <c r="T73" s="41"/>
      <c r="U73" s="41"/>
      <c r="V73" s="41"/>
      <c r="W73" s="41"/>
      <c r="X73" s="41"/>
      <c r="Y73" s="166"/>
      <c r="Z73" s="166"/>
      <c r="AA73" s="41"/>
      <c r="AB73" s="41"/>
      <c r="AC73" s="41"/>
      <c r="AD73" s="41"/>
      <c r="AE73" s="41"/>
      <c r="AF73" s="41"/>
      <c r="AG73" s="41"/>
      <c r="AH73" s="41"/>
      <c r="AI73" s="41"/>
    </row>
    <row r="74" spans="1:35" ht="12" customHeight="1" x14ac:dyDescent="0.2">
      <c r="A74" s="166"/>
      <c r="B74" s="218"/>
      <c r="C74" s="218"/>
      <c r="D74" s="41"/>
      <c r="E74" s="41"/>
      <c r="F74" s="41"/>
      <c r="G74" s="41"/>
      <c r="H74" s="41"/>
      <c r="I74" s="41"/>
      <c r="J74" s="166"/>
      <c r="K74" s="41"/>
      <c r="L74" s="41"/>
      <c r="M74" s="41"/>
      <c r="N74" s="166"/>
      <c r="O74" s="166"/>
      <c r="P74" s="41"/>
      <c r="Q74" s="41"/>
      <c r="R74" s="41"/>
      <c r="S74" s="41"/>
      <c r="T74" s="41"/>
      <c r="U74" s="41"/>
      <c r="V74" s="41"/>
      <c r="W74" s="41"/>
      <c r="X74" s="41"/>
      <c r="Y74" s="166"/>
      <c r="Z74" s="166"/>
      <c r="AA74" s="41"/>
      <c r="AB74" s="41"/>
      <c r="AC74" s="41"/>
      <c r="AD74" s="41"/>
      <c r="AE74" s="41"/>
      <c r="AF74" s="41"/>
      <c r="AG74" s="41"/>
      <c r="AH74" s="41"/>
      <c r="AI74" s="41"/>
    </row>
    <row r="75" spans="1:35" ht="12" customHeight="1" x14ac:dyDescent="0.2">
      <c r="A75" s="166"/>
      <c r="B75" s="218"/>
      <c r="C75" s="218"/>
      <c r="D75" s="41"/>
      <c r="E75" s="41"/>
      <c r="F75" s="41"/>
      <c r="G75" s="41"/>
      <c r="H75" s="41"/>
      <c r="I75" s="41"/>
      <c r="J75" s="166"/>
      <c r="K75" s="41"/>
      <c r="L75" s="41"/>
      <c r="M75" s="41"/>
      <c r="N75" s="166"/>
      <c r="O75" s="166"/>
      <c r="P75" s="41"/>
      <c r="Q75" s="41"/>
      <c r="R75" s="41"/>
      <c r="S75" s="41"/>
      <c r="T75" s="41"/>
      <c r="U75" s="41"/>
      <c r="V75" s="41"/>
      <c r="W75" s="41"/>
      <c r="X75" s="41"/>
      <c r="Y75" s="166"/>
      <c r="Z75" s="166"/>
      <c r="AA75" s="41"/>
      <c r="AB75" s="41"/>
      <c r="AC75" s="41"/>
      <c r="AD75" s="41"/>
      <c r="AE75" s="41"/>
      <c r="AF75" s="41"/>
      <c r="AG75" s="41"/>
      <c r="AH75" s="41"/>
      <c r="AI75" s="41"/>
    </row>
    <row r="76" spans="1:35" ht="12" customHeight="1" x14ac:dyDescent="0.2">
      <c r="A76" s="166"/>
      <c r="B76" s="218"/>
      <c r="C76" s="218"/>
      <c r="D76" s="41"/>
      <c r="E76" s="41"/>
      <c r="F76" s="41"/>
      <c r="G76" s="41"/>
      <c r="H76" s="41"/>
      <c r="I76" s="41"/>
      <c r="J76" s="166"/>
      <c r="K76" s="41"/>
      <c r="L76" s="41"/>
      <c r="M76" s="41"/>
      <c r="N76" s="166"/>
      <c r="O76" s="166"/>
      <c r="P76" s="41"/>
      <c r="Q76" s="41"/>
      <c r="R76" s="41"/>
      <c r="S76" s="41"/>
      <c r="T76" s="41"/>
      <c r="U76" s="41"/>
      <c r="V76" s="41"/>
      <c r="W76" s="41"/>
      <c r="X76" s="41"/>
      <c r="Y76" s="166"/>
      <c r="Z76" s="166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2" customHeight="1" x14ac:dyDescent="0.2">
      <c r="A77" s="166"/>
      <c r="B77" s="218"/>
      <c r="C77" s="218"/>
      <c r="D77" s="41"/>
      <c r="E77" s="41"/>
      <c r="F77" s="41"/>
      <c r="G77" s="41"/>
      <c r="H77" s="41"/>
      <c r="I77" s="41"/>
      <c r="J77" s="166"/>
      <c r="K77" s="41"/>
      <c r="L77" s="41"/>
      <c r="M77" s="41"/>
      <c r="N77" s="166"/>
      <c r="O77" s="166"/>
      <c r="P77" s="41"/>
      <c r="Q77" s="41"/>
      <c r="R77" s="41"/>
      <c r="S77" s="41"/>
      <c r="T77" s="41"/>
      <c r="U77" s="41"/>
      <c r="V77" s="41"/>
      <c r="W77" s="41"/>
      <c r="X77" s="41"/>
      <c r="Y77" s="166"/>
      <c r="Z77" s="166"/>
      <c r="AA77" s="41"/>
      <c r="AB77" s="41"/>
      <c r="AC77" s="41"/>
      <c r="AD77" s="41"/>
      <c r="AE77" s="41"/>
      <c r="AF77" s="41"/>
      <c r="AG77" s="41"/>
      <c r="AH77" s="41"/>
      <c r="AI77" s="41"/>
    </row>
    <row r="78" spans="1:35" ht="12" customHeight="1" x14ac:dyDescent="0.2">
      <c r="A78" s="166"/>
      <c r="B78" s="218"/>
      <c r="C78" s="218"/>
      <c r="D78" s="41"/>
      <c r="E78" s="41"/>
      <c r="F78" s="41"/>
      <c r="G78" s="41"/>
      <c r="H78" s="41"/>
      <c r="I78" s="41"/>
      <c r="J78" s="166"/>
      <c r="K78" s="41"/>
      <c r="L78" s="41"/>
      <c r="M78" s="41"/>
      <c r="N78" s="166"/>
      <c r="O78" s="166"/>
      <c r="P78" s="41"/>
      <c r="Q78" s="41"/>
      <c r="R78" s="41"/>
      <c r="S78" s="41"/>
      <c r="T78" s="41"/>
      <c r="U78" s="41"/>
      <c r="V78" s="41"/>
      <c r="W78" s="41"/>
      <c r="X78" s="41"/>
      <c r="Y78" s="166"/>
      <c r="Z78" s="166"/>
      <c r="AA78" s="41"/>
      <c r="AB78" s="41"/>
      <c r="AC78" s="41"/>
      <c r="AD78" s="41"/>
      <c r="AE78" s="41"/>
      <c r="AF78" s="41"/>
      <c r="AG78" s="41"/>
      <c r="AH78" s="41"/>
      <c r="AI78" s="41"/>
    </row>
    <row r="79" spans="1:35" ht="12" customHeight="1" x14ac:dyDescent="0.2">
      <c r="A79" s="166"/>
      <c r="B79" s="218"/>
      <c r="C79" s="218"/>
      <c r="D79" s="41"/>
      <c r="E79" s="41"/>
      <c r="F79" s="41"/>
      <c r="G79" s="41"/>
      <c r="H79" s="41"/>
      <c r="I79" s="41"/>
      <c r="J79" s="166"/>
      <c r="K79" s="41"/>
      <c r="L79" s="41"/>
      <c r="M79" s="41"/>
      <c r="N79" s="166"/>
      <c r="O79" s="166"/>
      <c r="P79" s="41"/>
      <c r="Q79" s="41"/>
      <c r="R79" s="41"/>
      <c r="S79" s="41"/>
      <c r="T79" s="41"/>
      <c r="U79" s="41"/>
      <c r="V79" s="41"/>
      <c r="W79" s="41"/>
      <c r="X79" s="41"/>
      <c r="Y79" s="166"/>
      <c r="Z79" s="166"/>
      <c r="AA79" s="41"/>
      <c r="AB79" s="41"/>
      <c r="AC79" s="41"/>
      <c r="AD79" s="41"/>
      <c r="AE79" s="41"/>
      <c r="AF79" s="41"/>
      <c r="AG79" s="41"/>
      <c r="AH79" s="41"/>
      <c r="AI79" s="41"/>
    </row>
    <row r="80" spans="1:35" ht="12" customHeight="1" x14ac:dyDescent="0.2">
      <c r="A80" s="166"/>
      <c r="B80" s="218"/>
      <c r="C80" s="218"/>
      <c r="D80" s="41"/>
      <c r="E80" s="41"/>
      <c r="F80" s="41"/>
      <c r="G80" s="41"/>
      <c r="H80" s="41"/>
      <c r="I80" s="41"/>
      <c r="J80" s="166"/>
      <c r="K80" s="41"/>
      <c r="L80" s="41"/>
      <c r="M80" s="41"/>
      <c r="N80" s="166"/>
      <c r="O80" s="166"/>
      <c r="P80" s="41"/>
      <c r="Q80" s="41"/>
      <c r="R80" s="41"/>
      <c r="S80" s="41"/>
      <c r="T80" s="41"/>
      <c r="U80" s="41"/>
      <c r="V80" s="41"/>
      <c r="W80" s="41"/>
      <c r="X80" s="41"/>
      <c r="Y80" s="166"/>
      <c r="Z80" s="166"/>
      <c r="AA80" s="41"/>
      <c r="AB80" s="41"/>
      <c r="AC80" s="41"/>
      <c r="AD80" s="41"/>
      <c r="AE80" s="41"/>
      <c r="AF80" s="41"/>
      <c r="AG80" s="41"/>
      <c r="AH80" s="41"/>
      <c r="AI80" s="41"/>
    </row>
    <row r="81" spans="1:35" ht="12" customHeight="1" x14ac:dyDescent="0.2">
      <c r="A81" s="166"/>
      <c r="B81" s="218"/>
      <c r="C81" s="218"/>
      <c r="D81" s="41"/>
      <c r="E81" s="41"/>
      <c r="F81" s="41"/>
      <c r="G81" s="41"/>
      <c r="H81" s="41"/>
      <c r="I81" s="41"/>
      <c r="J81" s="166"/>
      <c r="K81" s="41"/>
      <c r="L81" s="41"/>
      <c r="M81" s="41"/>
      <c r="N81" s="166"/>
      <c r="O81" s="166"/>
      <c r="P81" s="41"/>
      <c r="Q81" s="41"/>
      <c r="R81" s="41"/>
      <c r="S81" s="41"/>
      <c r="T81" s="41"/>
      <c r="U81" s="41"/>
      <c r="V81" s="41"/>
      <c r="W81" s="41"/>
      <c r="X81" s="41"/>
      <c r="Y81" s="166"/>
      <c r="Z81" s="166"/>
      <c r="AA81" s="41"/>
      <c r="AB81" s="41"/>
      <c r="AC81" s="41"/>
      <c r="AD81" s="41"/>
      <c r="AE81" s="41"/>
      <c r="AF81" s="41"/>
      <c r="AG81" s="41"/>
      <c r="AH81" s="41"/>
      <c r="AI81" s="41"/>
    </row>
    <row r="82" spans="1:35" ht="12" customHeight="1" x14ac:dyDescent="0.2">
      <c r="A82" s="166"/>
      <c r="B82" s="218"/>
      <c r="C82" s="218"/>
      <c r="D82" s="41"/>
      <c r="E82" s="41"/>
      <c r="F82" s="41"/>
      <c r="G82" s="41"/>
      <c r="H82" s="41"/>
      <c r="I82" s="41"/>
      <c r="J82" s="166"/>
      <c r="K82" s="41"/>
      <c r="L82" s="41"/>
      <c r="M82" s="41"/>
      <c r="N82" s="166"/>
      <c r="O82" s="166"/>
      <c r="P82" s="41"/>
      <c r="Q82" s="41"/>
      <c r="R82" s="41"/>
      <c r="S82" s="41"/>
      <c r="T82" s="41"/>
      <c r="U82" s="41"/>
      <c r="V82" s="41"/>
      <c r="W82" s="41"/>
      <c r="X82" s="41"/>
      <c r="Y82" s="166"/>
      <c r="Z82" s="166"/>
      <c r="AA82" s="41"/>
      <c r="AB82" s="41"/>
      <c r="AC82" s="41"/>
      <c r="AD82" s="41"/>
      <c r="AE82" s="41"/>
      <c r="AF82" s="41"/>
      <c r="AG82" s="41"/>
      <c r="AH82" s="41"/>
      <c r="AI82" s="41"/>
    </row>
    <row r="83" spans="1:35" ht="12" customHeight="1" x14ac:dyDescent="0.2">
      <c r="A83" s="166"/>
      <c r="B83" s="218"/>
      <c r="C83" s="218"/>
      <c r="D83" s="41"/>
      <c r="E83" s="41"/>
      <c r="F83" s="41"/>
      <c r="G83" s="41"/>
      <c r="H83" s="41"/>
      <c r="I83" s="41"/>
      <c r="J83" s="166"/>
      <c r="K83" s="41"/>
      <c r="L83" s="41"/>
      <c r="M83" s="41"/>
      <c r="N83" s="166"/>
      <c r="O83" s="166"/>
      <c r="P83" s="41"/>
      <c r="Q83" s="41"/>
      <c r="R83" s="41"/>
      <c r="S83" s="41"/>
      <c r="T83" s="41"/>
      <c r="U83" s="41"/>
      <c r="V83" s="41"/>
      <c r="W83" s="41"/>
      <c r="X83" s="41"/>
      <c r="Y83" s="166"/>
      <c r="Z83" s="166"/>
      <c r="AA83" s="41"/>
      <c r="AB83" s="41"/>
      <c r="AC83" s="41"/>
      <c r="AD83" s="41"/>
      <c r="AE83" s="41"/>
      <c r="AF83" s="41"/>
      <c r="AG83" s="41"/>
      <c r="AH83" s="41"/>
      <c r="AI83" s="41"/>
    </row>
    <row r="84" spans="1:35" ht="12" customHeight="1" x14ac:dyDescent="0.2">
      <c r="A84" s="166"/>
      <c r="B84" s="218"/>
      <c r="C84" s="218"/>
      <c r="D84" s="41"/>
      <c r="E84" s="41"/>
      <c r="F84" s="41"/>
      <c r="G84" s="41"/>
      <c r="H84" s="41"/>
      <c r="I84" s="41"/>
      <c r="J84" s="166"/>
      <c r="K84" s="41"/>
      <c r="L84" s="41"/>
      <c r="M84" s="41"/>
      <c r="N84" s="166"/>
      <c r="O84" s="166"/>
      <c r="P84" s="41"/>
      <c r="Q84" s="41"/>
      <c r="R84" s="41"/>
      <c r="S84" s="41"/>
      <c r="T84" s="41"/>
      <c r="U84" s="41"/>
      <c r="V84" s="41"/>
      <c r="W84" s="41"/>
      <c r="X84" s="41"/>
      <c r="Y84" s="166"/>
      <c r="Z84" s="166"/>
      <c r="AA84" s="41"/>
      <c r="AB84" s="41"/>
      <c r="AC84" s="41"/>
      <c r="AD84" s="41"/>
      <c r="AE84" s="41"/>
      <c r="AF84" s="41"/>
      <c r="AG84" s="41"/>
      <c r="AH84" s="41"/>
      <c r="AI84" s="41"/>
    </row>
    <row r="85" spans="1:35" ht="12" customHeight="1" x14ac:dyDescent="0.2">
      <c r="A85" s="166"/>
      <c r="B85" s="218"/>
      <c r="C85" s="218"/>
      <c r="D85" s="41"/>
      <c r="E85" s="41"/>
      <c r="F85" s="41"/>
      <c r="G85" s="41"/>
      <c r="H85" s="41"/>
      <c r="I85" s="41"/>
      <c r="J85" s="166"/>
      <c r="K85" s="41"/>
      <c r="L85" s="41"/>
      <c r="M85" s="41"/>
      <c r="N85" s="166"/>
      <c r="O85" s="166"/>
      <c r="P85" s="41"/>
      <c r="Q85" s="41"/>
      <c r="R85" s="41"/>
      <c r="S85" s="41"/>
      <c r="T85" s="41"/>
      <c r="U85" s="41"/>
      <c r="V85" s="41"/>
      <c r="W85" s="41"/>
      <c r="X85" s="41"/>
      <c r="Y85" s="166"/>
      <c r="Z85" s="166"/>
      <c r="AA85" s="41"/>
      <c r="AB85" s="41"/>
      <c r="AC85" s="41"/>
      <c r="AD85" s="41"/>
      <c r="AE85" s="41"/>
      <c r="AF85" s="41"/>
      <c r="AG85" s="41"/>
      <c r="AH85" s="41"/>
      <c r="AI85" s="41"/>
    </row>
    <row r="86" spans="1:35" ht="12" customHeight="1" x14ac:dyDescent="0.2">
      <c r="A86" s="166"/>
      <c r="B86" s="218"/>
      <c r="C86" s="218"/>
      <c r="D86" s="41"/>
      <c r="E86" s="41"/>
      <c r="F86" s="41"/>
      <c r="G86" s="41"/>
      <c r="H86" s="41"/>
      <c r="I86" s="41"/>
      <c r="J86" s="166"/>
      <c r="K86" s="41"/>
      <c r="L86" s="41"/>
      <c r="M86" s="41"/>
      <c r="N86" s="166"/>
      <c r="O86" s="166"/>
      <c r="P86" s="41"/>
      <c r="Q86" s="41"/>
      <c r="R86" s="41"/>
      <c r="S86" s="41"/>
      <c r="T86" s="41"/>
      <c r="U86" s="41"/>
      <c r="V86" s="41"/>
      <c r="W86" s="41"/>
      <c r="X86" s="41"/>
      <c r="Y86" s="166"/>
      <c r="Z86" s="166"/>
      <c r="AA86" s="41"/>
      <c r="AB86" s="41"/>
      <c r="AC86" s="41"/>
      <c r="AD86" s="41"/>
      <c r="AE86" s="41"/>
      <c r="AF86" s="41"/>
      <c r="AG86" s="41"/>
      <c r="AH86" s="41"/>
      <c r="AI86" s="41"/>
    </row>
    <row r="87" spans="1:35" ht="12" customHeight="1" x14ac:dyDescent="0.2">
      <c r="A87" s="166"/>
      <c r="B87" s="218"/>
      <c r="C87" s="218"/>
      <c r="D87" s="41"/>
      <c r="E87" s="41"/>
      <c r="F87" s="41"/>
      <c r="G87" s="41"/>
      <c r="H87" s="41"/>
      <c r="I87" s="41"/>
      <c r="J87" s="166"/>
      <c r="K87" s="41"/>
      <c r="L87" s="41"/>
      <c r="M87" s="41"/>
      <c r="N87" s="166"/>
      <c r="O87" s="166"/>
      <c r="P87" s="41"/>
      <c r="Q87" s="41"/>
      <c r="R87" s="41"/>
      <c r="S87" s="41"/>
      <c r="T87" s="41"/>
      <c r="U87" s="41"/>
      <c r="V87" s="41"/>
      <c r="W87" s="41"/>
      <c r="X87" s="41"/>
      <c r="Y87" s="166"/>
      <c r="Z87" s="166"/>
      <c r="AA87" s="41"/>
      <c r="AB87" s="41"/>
      <c r="AC87" s="41"/>
      <c r="AD87" s="41"/>
      <c r="AE87" s="41"/>
      <c r="AF87" s="41"/>
      <c r="AG87" s="41"/>
      <c r="AH87" s="41"/>
      <c r="AI87" s="41"/>
    </row>
    <row r="88" spans="1:35" ht="12" customHeight="1" x14ac:dyDescent="0.2">
      <c r="A88" s="166"/>
      <c r="B88" s="218"/>
      <c r="C88" s="218"/>
      <c r="D88" s="41"/>
      <c r="E88" s="41"/>
      <c r="F88" s="41"/>
      <c r="G88" s="41"/>
      <c r="H88" s="41"/>
      <c r="I88" s="41"/>
      <c r="J88" s="166"/>
      <c r="K88" s="41"/>
      <c r="L88" s="41"/>
      <c r="M88" s="41"/>
      <c r="N88" s="166"/>
      <c r="O88" s="166"/>
      <c r="P88" s="41"/>
      <c r="Q88" s="41"/>
      <c r="R88" s="41"/>
      <c r="S88" s="41"/>
      <c r="T88" s="41"/>
      <c r="U88" s="41"/>
      <c r="V88" s="41"/>
      <c r="W88" s="41"/>
      <c r="X88" s="41"/>
      <c r="Y88" s="166"/>
      <c r="Z88" s="166"/>
      <c r="AA88" s="41"/>
      <c r="AB88" s="41"/>
      <c r="AC88" s="41"/>
      <c r="AD88" s="41"/>
      <c r="AE88" s="41"/>
      <c r="AF88" s="41"/>
      <c r="AG88" s="41"/>
      <c r="AH88" s="41"/>
      <c r="AI88" s="41"/>
    </row>
    <row r="89" spans="1:35" ht="12" customHeight="1" x14ac:dyDescent="0.2">
      <c r="A89" s="166"/>
      <c r="B89" s="218"/>
      <c r="C89" s="218"/>
      <c r="D89" s="41"/>
      <c r="E89" s="41"/>
      <c r="F89" s="41"/>
      <c r="G89" s="41"/>
      <c r="H89" s="41"/>
      <c r="I89" s="41"/>
      <c r="J89" s="166"/>
      <c r="K89" s="41"/>
      <c r="L89" s="41"/>
      <c r="M89" s="41"/>
      <c r="N89" s="166"/>
      <c r="O89" s="166"/>
      <c r="P89" s="41"/>
      <c r="Q89" s="41"/>
      <c r="R89" s="41"/>
      <c r="S89" s="41"/>
      <c r="T89" s="41"/>
      <c r="U89" s="41"/>
      <c r="V89" s="41"/>
      <c r="W89" s="41"/>
      <c r="X89" s="41"/>
      <c r="Y89" s="166"/>
      <c r="Z89" s="166"/>
      <c r="AA89" s="41"/>
      <c r="AB89" s="41"/>
      <c r="AC89" s="41"/>
      <c r="AD89" s="41"/>
      <c r="AE89" s="41"/>
      <c r="AF89" s="41"/>
      <c r="AG89" s="41"/>
      <c r="AH89" s="41"/>
      <c r="AI89" s="41"/>
    </row>
    <row r="90" spans="1:35" ht="12" customHeight="1" x14ac:dyDescent="0.2">
      <c r="A90" s="166"/>
      <c r="B90" s="218"/>
      <c r="C90" s="218"/>
      <c r="D90" s="41"/>
      <c r="E90" s="41"/>
      <c r="F90" s="41"/>
      <c r="G90" s="41"/>
      <c r="H90" s="41"/>
      <c r="I90" s="41"/>
      <c r="J90" s="166"/>
      <c r="K90" s="41"/>
      <c r="L90" s="41"/>
      <c r="M90" s="41"/>
      <c r="N90" s="166"/>
      <c r="O90" s="166"/>
      <c r="P90" s="41"/>
      <c r="Q90" s="41"/>
      <c r="R90" s="41"/>
      <c r="S90" s="41"/>
      <c r="T90" s="41"/>
      <c r="U90" s="41"/>
      <c r="V90" s="41"/>
      <c r="W90" s="41"/>
      <c r="X90" s="41"/>
      <c r="Y90" s="166"/>
      <c r="Z90" s="166"/>
      <c r="AA90" s="41"/>
      <c r="AB90" s="41"/>
      <c r="AC90" s="41"/>
      <c r="AD90" s="41"/>
      <c r="AE90" s="41"/>
      <c r="AF90" s="41"/>
      <c r="AG90" s="41"/>
      <c r="AH90" s="41"/>
      <c r="AI90" s="41"/>
    </row>
    <row r="91" spans="1:35" ht="12" customHeight="1" x14ac:dyDescent="0.2">
      <c r="A91" s="166"/>
      <c r="B91" s="218"/>
      <c r="C91" s="218"/>
      <c r="D91" s="41"/>
      <c r="E91" s="41"/>
      <c r="F91" s="41"/>
      <c r="G91" s="41"/>
      <c r="H91" s="41"/>
      <c r="I91" s="41"/>
      <c r="J91" s="166"/>
      <c r="K91" s="41"/>
      <c r="L91" s="41"/>
      <c r="M91" s="41"/>
      <c r="N91" s="166"/>
      <c r="O91" s="166"/>
      <c r="P91" s="41"/>
      <c r="Q91" s="41"/>
      <c r="R91" s="41"/>
      <c r="S91" s="41"/>
      <c r="T91" s="41"/>
      <c r="U91" s="41"/>
      <c r="V91" s="41"/>
      <c r="W91" s="41"/>
      <c r="X91" s="41"/>
      <c r="Y91" s="166"/>
      <c r="Z91" s="166"/>
      <c r="AA91" s="41"/>
      <c r="AB91" s="41"/>
      <c r="AC91" s="41"/>
      <c r="AD91" s="41"/>
      <c r="AE91" s="41"/>
      <c r="AF91" s="41"/>
      <c r="AG91" s="41"/>
      <c r="AH91" s="41"/>
      <c r="AI91" s="41"/>
    </row>
    <row r="92" spans="1:35" ht="12" customHeight="1" x14ac:dyDescent="0.2">
      <c r="A92" s="166"/>
      <c r="B92" s="218"/>
      <c r="C92" s="218"/>
      <c r="D92" s="41"/>
      <c r="E92" s="41"/>
      <c r="F92" s="41"/>
      <c r="G92" s="41"/>
      <c r="H92" s="41"/>
      <c r="I92" s="41"/>
      <c r="J92" s="166"/>
      <c r="K92" s="41"/>
      <c r="L92" s="41"/>
      <c r="M92" s="41"/>
      <c r="N92" s="166"/>
      <c r="O92" s="166"/>
      <c r="P92" s="41"/>
      <c r="Q92" s="41"/>
      <c r="R92" s="41"/>
      <c r="S92" s="41"/>
      <c r="T92" s="41"/>
      <c r="U92" s="41"/>
      <c r="V92" s="41"/>
      <c r="W92" s="41"/>
      <c r="X92" s="41"/>
      <c r="Y92" s="166"/>
      <c r="Z92" s="166"/>
      <c r="AA92" s="41"/>
      <c r="AB92" s="41"/>
      <c r="AC92" s="41"/>
      <c r="AD92" s="41"/>
      <c r="AE92" s="41"/>
      <c r="AF92" s="41"/>
      <c r="AG92" s="41"/>
      <c r="AH92" s="41"/>
      <c r="AI92" s="41"/>
    </row>
    <row r="93" spans="1:35" ht="12" customHeight="1" x14ac:dyDescent="0.2">
      <c r="A93" s="166"/>
      <c r="B93" s="218"/>
      <c r="C93" s="218"/>
      <c r="D93" s="41"/>
      <c r="E93" s="41"/>
      <c r="F93" s="41"/>
      <c r="G93" s="41"/>
      <c r="H93" s="41"/>
      <c r="I93" s="41"/>
      <c r="J93" s="166"/>
      <c r="K93" s="41"/>
      <c r="L93" s="41"/>
      <c r="M93" s="41"/>
      <c r="N93" s="166"/>
      <c r="O93" s="166"/>
      <c r="P93" s="41"/>
      <c r="Q93" s="41"/>
      <c r="R93" s="41"/>
      <c r="S93" s="41"/>
      <c r="T93" s="41"/>
      <c r="U93" s="41"/>
      <c r="V93" s="41"/>
      <c r="W93" s="41"/>
      <c r="X93" s="41"/>
      <c r="Y93" s="166"/>
      <c r="Z93" s="166"/>
      <c r="AA93" s="41"/>
      <c r="AB93" s="41"/>
      <c r="AC93" s="41"/>
      <c r="AD93" s="41"/>
      <c r="AE93" s="41"/>
      <c r="AF93" s="41"/>
      <c r="AG93" s="41"/>
      <c r="AH93" s="41"/>
      <c r="AI93" s="41"/>
    </row>
    <row r="94" spans="1:35" ht="12" customHeight="1" x14ac:dyDescent="0.2">
      <c r="A94" s="166"/>
      <c r="B94" s="218"/>
      <c r="C94" s="218"/>
      <c r="D94" s="41"/>
      <c r="E94" s="41"/>
      <c r="F94" s="41"/>
      <c r="G94" s="41"/>
      <c r="H94" s="41"/>
      <c r="I94" s="41"/>
      <c r="J94" s="166"/>
      <c r="K94" s="41"/>
      <c r="L94" s="41"/>
      <c r="M94" s="41"/>
      <c r="N94" s="166"/>
      <c r="O94" s="166"/>
      <c r="P94" s="41"/>
      <c r="Q94" s="41"/>
      <c r="R94" s="41"/>
      <c r="S94" s="41"/>
      <c r="T94" s="41"/>
      <c r="U94" s="41"/>
      <c r="V94" s="41"/>
      <c r="W94" s="41"/>
      <c r="X94" s="41"/>
      <c r="Y94" s="166"/>
      <c r="Z94" s="166"/>
      <c r="AA94" s="41"/>
      <c r="AB94" s="41"/>
      <c r="AC94" s="41"/>
      <c r="AD94" s="41"/>
      <c r="AE94" s="41"/>
      <c r="AF94" s="41"/>
      <c r="AG94" s="41"/>
      <c r="AH94" s="41"/>
      <c r="AI94" s="41"/>
    </row>
    <row r="95" spans="1:35" ht="12" customHeight="1" x14ac:dyDescent="0.2">
      <c r="A95" s="166"/>
      <c r="B95" s="218"/>
      <c r="C95" s="218"/>
      <c r="D95" s="41"/>
      <c r="E95" s="41"/>
      <c r="F95" s="41"/>
      <c r="G95" s="41"/>
      <c r="H95" s="41"/>
      <c r="I95" s="41"/>
      <c r="J95" s="166"/>
      <c r="K95" s="41"/>
      <c r="L95" s="41"/>
      <c r="M95" s="41"/>
      <c r="N95" s="166"/>
      <c r="O95" s="166"/>
      <c r="P95" s="41"/>
      <c r="Q95" s="41"/>
      <c r="R95" s="41"/>
      <c r="S95" s="41"/>
      <c r="T95" s="41"/>
      <c r="U95" s="41"/>
      <c r="V95" s="41"/>
      <c r="W95" s="41"/>
      <c r="X95" s="41"/>
      <c r="Y95" s="166"/>
      <c r="Z95" s="166"/>
      <c r="AA95" s="41"/>
      <c r="AB95" s="41"/>
      <c r="AC95" s="41"/>
      <c r="AD95" s="41"/>
      <c r="AE95" s="41"/>
      <c r="AF95" s="41"/>
      <c r="AG95" s="41"/>
      <c r="AH95" s="41"/>
      <c r="AI95" s="41"/>
    </row>
    <row r="96" spans="1:35" ht="12" customHeight="1" x14ac:dyDescent="0.2">
      <c r="A96" s="166"/>
      <c r="B96" s="218"/>
      <c r="C96" s="218"/>
      <c r="D96" s="41"/>
      <c r="E96" s="41"/>
      <c r="F96" s="41"/>
      <c r="G96" s="41"/>
      <c r="H96" s="41"/>
      <c r="I96" s="41"/>
      <c r="J96" s="166"/>
      <c r="K96" s="41"/>
      <c r="L96" s="41"/>
      <c r="M96" s="41"/>
      <c r="N96" s="166"/>
      <c r="O96" s="166"/>
      <c r="P96" s="41"/>
      <c r="Q96" s="41"/>
      <c r="R96" s="41"/>
      <c r="S96" s="41"/>
      <c r="T96" s="41"/>
      <c r="U96" s="41"/>
      <c r="V96" s="41"/>
      <c r="W96" s="41"/>
      <c r="X96" s="41"/>
      <c r="Y96" s="166"/>
      <c r="Z96" s="166"/>
      <c r="AA96" s="41"/>
      <c r="AB96" s="41"/>
      <c r="AC96" s="41"/>
      <c r="AD96" s="41"/>
      <c r="AE96" s="41"/>
      <c r="AF96" s="41"/>
      <c r="AG96" s="41"/>
      <c r="AH96" s="41"/>
      <c r="AI96" s="41"/>
    </row>
    <row r="97" spans="1:35" ht="12" customHeight="1" x14ac:dyDescent="0.2">
      <c r="A97" s="166"/>
      <c r="B97" s="218"/>
      <c r="C97" s="218"/>
      <c r="D97" s="41"/>
      <c r="E97" s="41"/>
      <c r="F97" s="41"/>
      <c r="G97" s="41"/>
      <c r="H97" s="41"/>
      <c r="I97" s="41"/>
      <c r="J97" s="166"/>
      <c r="K97" s="41"/>
      <c r="L97" s="41"/>
      <c r="M97" s="41"/>
      <c r="N97" s="166"/>
      <c r="O97" s="166"/>
      <c r="P97" s="41"/>
      <c r="Q97" s="41"/>
      <c r="R97" s="41"/>
      <c r="S97" s="41"/>
      <c r="T97" s="41"/>
      <c r="U97" s="41"/>
      <c r="V97" s="41"/>
      <c r="W97" s="41"/>
      <c r="X97" s="41"/>
      <c r="Y97" s="166"/>
      <c r="Z97" s="166"/>
      <c r="AA97" s="41"/>
      <c r="AB97" s="41"/>
      <c r="AC97" s="41"/>
      <c r="AD97" s="41"/>
      <c r="AE97" s="41"/>
      <c r="AF97" s="41"/>
      <c r="AG97" s="41"/>
      <c r="AH97" s="41"/>
      <c r="AI97" s="41"/>
    </row>
    <row r="98" spans="1:35" ht="12" customHeight="1" x14ac:dyDescent="0.2">
      <c r="A98" s="166"/>
      <c r="B98" s="218"/>
      <c r="C98" s="218"/>
      <c r="D98" s="41"/>
      <c r="E98" s="41"/>
      <c r="F98" s="41"/>
      <c r="G98" s="41"/>
      <c r="H98" s="41"/>
      <c r="I98" s="41"/>
      <c r="J98" s="166"/>
      <c r="K98" s="41"/>
      <c r="L98" s="41"/>
      <c r="M98" s="41"/>
      <c r="N98" s="166"/>
      <c r="O98" s="166"/>
      <c r="P98" s="41"/>
      <c r="Q98" s="41"/>
      <c r="R98" s="41"/>
      <c r="S98" s="41"/>
      <c r="T98" s="41"/>
      <c r="U98" s="41"/>
      <c r="V98" s="41"/>
      <c r="W98" s="41"/>
      <c r="X98" s="41"/>
      <c r="Y98" s="166"/>
      <c r="Z98" s="166"/>
      <c r="AA98" s="41"/>
      <c r="AB98" s="41"/>
      <c r="AC98" s="41"/>
      <c r="AD98" s="41"/>
      <c r="AE98" s="41"/>
      <c r="AF98" s="41"/>
      <c r="AG98" s="41"/>
      <c r="AH98" s="41"/>
      <c r="AI98" s="41"/>
    </row>
    <row r="99" spans="1:35" ht="12" customHeight="1" x14ac:dyDescent="0.2">
      <c r="A99" s="166"/>
      <c r="B99" s="218"/>
      <c r="C99" s="218"/>
      <c r="D99" s="41"/>
      <c r="E99" s="41"/>
      <c r="F99" s="41"/>
      <c r="G99" s="41"/>
      <c r="H99" s="41"/>
      <c r="I99" s="41"/>
      <c r="J99" s="166"/>
      <c r="K99" s="41"/>
      <c r="L99" s="41"/>
      <c r="M99" s="41"/>
      <c r="N99" s="166"/>
      <c r="O99" s="166"/>
      <c r="P99" s="41"/>
      <c r="Q99" s="41"/>
      <c r="R99" s="41"/>
      <c r="S99" s="41"/>
      <c r="T99" s="41"/>
      <c r="U99" s="41"/>
      <c r="V99" s="41"/>
      <c r="W99" s="41"/>
      <c r="X99" s="41"/>
      <c r="Y99" s="166"/>
      <c r="Z99" s="166"/>
      <c r="AA99" s="41"/>
      <c r="AB99" s="41"/>
      <c r="AC99" s="41"/>
      <c r="AD99" s="41"/>
      <c r="AE99" s="41"/>
      <c r="AF99" s="41"/>
      <c r="AG99" s="41"/>
      <c r="AH99" s="41"/>
      <c r="AI99" s="41"/>
    </row>
    <row r="100" spans="1:35" ht="12" customHeight="1" x14ac:dyDescent="0.2">
      <c r="A100" s="166"/>
      <c r="B100" s="218"/>
      <c r="C100" s="218"/>
      <c r="D100" s="41"/>
      <c r="E100" s="41"/>
      <c r="F100" s="41"/>
      <c r="G100" s="41"/>
      <c r="H100" s="41"/>
      <c r="I100" s="41"/>
      <c r="J100" s="166"/>
      <c r="K100" s="41"/>
      <c r="L100" s="41"/>
      <c r="M100" s="41"/>
      <c r="N100" s="166"/>
      <c r="O100" s="166"/>
      <c r="P100" s="41"/>
      <c r="Q100" s="41"/>
      <c r="R100" s="41"/>
      <c r="S100" s="41"/>
      <c r="T100" s="41"/>
      <c r="U100" s="41"/>
      <c r="V100" s="41"/>
      <c r="W100" s="41"/>
      <c r="X100" s="41"/>
      <c r="Y100" s="166"/>
      <c r="Z100" s="166"/>
      <c r="AA100" s="41"/>
      <c r="AB100" s="41"/>
      <c r="AC100" s="41"/>
      <c r="AD100" s="41"/>
      <c r="AE100" s="41"/>
      <c r="AF100" s="41"/>
      <c r="AG100" s="41"/>
      <c r="AH100" s="41"/>
      <c r="AI100" s="41"/>
    </row>
    <row r="101" spans="1:35" ht="12" customHeight="1" x14ac:dyDescent="0.2">
      <c r="A101" s="166"/>
      <c r="B101" s="218"/>
      <c r="C101" s="218"/>
      <c r="D101" s="41"/>
      <c r="E101" s="41"/>
      <c r="F101" s="41"/>
      <c r="G101" s="41"/>
      <c r="H101" s="41"/>
      <c r="I101" s="41"/>
      <c r="J101" s="166"/>
      <c r="K101" s="41"/>
      <c r="L101" s="41"/>
      <c r="M101" s="41"/>
      <c r="N101" s="166"/>
      <c r="O101" s="166"/>
      <c r="P101" s="41"/>
      <c r="Q101" s="41"/>
      <c r="R101" s="41"/>
      <c r="S101" s="41"/>
      <c r="T101" s="41"/>
      <c r="U101" s="41"/>
      <c r="V101" s="41"/>
      <c r="W101" s="41"/>
      <c r="X101" s="41"/>
      <c r="Y101" s="166"/>
      <c r="Z101" s="166"/>
      <c r="AA101" s="41"/>
      <c r="AB101" s="41"/>
      <c r="AC101" s="41"/>
      <c r="AD101" s="41"/>
      <c r="AE101" s="41"/>
      <c r="AF101" s="41"/>
      <c r="AG101" s="41"/>
      <c r="AH101" s="41"/>
      <c r="AI101" s="41"/>
    </row>
    <row r="102" spans="1:35" ht="12" customHeight="1" x14ac:dyDescent="0.2">
      <c r="A102" s="166"/>
      <c r="B102" s="218"/>
      <c r="C102" s="218"/>
      <c r="D102" s="41"/>
      <c r="E102" s="41"/>
      <c r="F102" s="41"/>
      <c r="G102" s="41"/>
      <c r="H102" s="41"/>
      <c r="I102" s="41"/>
      <c r="J102" s="166"/>
      <c r="K102" s="41"/>
      <c r="L102" s="41"/>
      <c r="M102" s="41"/>
      <c r="N102" s="166"/>
      <c r="O102" s="166"/>
      <c r="P102" s="41"/>
      <c r="Q102" s="41"/>
      <c r="R102" s="41"/>
      <c r="S102" s="41"/>
      <c r="T102" s="41"/>
      <c r="U102" s="41"/>
      <c r="V102" s="41"/>
      <c r="W102" s="41"/>
      <c r="X102" s="41"/>
      <c r="Y102" s="166"/>
      <c r="Z102" s="166"/>
      <c r="AA102" s="41"/>
      <c r="AB102" s="41"/>
      <c r="AC102" s="41"/>
      <c r="AD102" s="41"/>
      <c r="AE102" s="41"/>
      <c r="AF102" s="41"/>
      <c r="AG102" s="41"/>
      <c r="AH102" s="41"/>
      <c r="AI102" s="41"/>
    </row>
    <row r="103" spans="1:35" ht="12" customHeight="1" x14ac:dyDescent="0.2">
      <c r="A103" s="166"/>
      <c r="B103" s="218"/>
      <c r="C103" s="218"/>
      <c r="D103" s="41"/>
      <c r="E103" s="41"/>
      <c r="F103" s="41"/>
      <c r="G103" s="41"/>
      <c r="H103" s="41"/>
      <c r="I103" s="41"/>
      <c r="J103" s="166"/>
      <c r="K103" s="41"/>
      <c r="L103" s="41"/>
      <c r="M103" s="41"/>
      <c r="N103" s="166"/>
      <c r="O103" s="166"/>
      <c r="P103" s="41"/>
      <c r="Q103" s="41"/>
      <c r="R103" s="41"/>
      <c r="S103" s="41"/>
      <c r="T103" s="41"/>
      <c r="U103" s="41"/>
      <c r="V103" s="41"/>
      <c r="W103" s="41"/>
      <c r="X103" s="41"/>
      <c r="Y103" s="166"/>
      <c r="Z103" s="166"/>
      <c r="AA103" s="41"/>
      <c r="AB103" s="41"/>
      <c r="AC103" s="41"/>
      <c r="AD103" s="41"/>
      <c r="AE103" s="41"/>
      <c r="AF103" s="41"/>
      <c r="AG103" s="41"/>
      <c r="AH103" s="41"/>
      <c r="AI103" s="41"/>
    </row>
    <row r="104" spans="1:35" ht="12" customHeight="1" x14ac:dyDescent="0.2">
      <c r="A104" s="166"/>
      <c r="B104" s="218"/>
      <c r="C104" s="218"/>
      <c r="D104" s="41"/>
      <c r="E104" s="41"/>
      <c r="F104" s="41"/>
      <c r="G104" s="41"/>
      <c r="H104" s="41"/>
      <c r="I104" s="41"/>
      <c r="J104" s="166"/>
      <c r="K104" s="41"/>
      <c r="L104" s="41"/>
      <c r="M104" s="41"/>
      <c r="N104" s="166"/>
      <c r="O104" s="166"/>
      <c r="P104" s="41"/>
      <c r="Q104" s="41"/>
      <c r="R104" s="41"/>
      <c r="S104" s="41"/>
      <c r="T104" s="41"/>
      <c r="U104" s="41"/>
      <c r="V104" s="41"/>
      <c r="W104" s="41"/>
      <c r="X104" s="41"/>
      <c r="Y104" s="166"/>
      <c r="Z104" s="166"/>
      <c r="AA104" s="41"/>
      <c r="AB104" s="41"/>
      <c r="AC104" s="41"/>
      <c r="AD104" s="41"/>
      <c r="AE104" s="41"/>
      <c r="AF104" s="41"/>
      <c r="AG104" s="41"/>
      <c r="AH104" s="41"/>
      <c r="AI104" s="41"/>
    </row>
    <row r="105" spans="1:35" ht="12" customHeight="1" x14ac:dyDescent="0.2">
      <c r="A105" s="166"/>
      <c r="B105" s="218"/>
      <c r="C105" s="218"/>
      <c r="D105" s="41"/>
      <c r="E105" s="41"/>
      <c r="F105" s="41"/>
      <c r="G105" s="41"/>
      <c r="H105" s="41"/>
      <c r="I105" s="41"/>
      <c r="J105" s="166"/>
      <c r="K105" s="41"/>
      <c r="L105" s="41"/>
      <c r="M105" s="41"/>
      <c r="N105" s="166"/>
      <c r="O105" s="166"/>
      <c r="P105" s="41"/>
      <c r="Q105" s="41"/>
      <c r="R105" s="41"/>
      <c r="S105" s="41"/>
      <c r="T105" s="41"/>
      <c r="U105" s="41"/>
      <c r="V105" s="41"/>
      <c r="W105" s="41"/>
      <c r="X105" s="41"/>
      <c r="Y105" s="166"/>
      <c r="Z105" s="166"/>
      <c r="AA105" s="41"/>
      <c r="AB105" s="41"/>
      <c r="AC105" s="41"/>
      <c r="AD105" s="41"/>
      <c r="AE105" s="41"/>
      <c r="AF105" s="41"/>
      <c r="AG105" s="41"/>
      <c r="AH105" s="41"/>
      <c r="AI105" s="41"/>
    </row>
    <row r="106" spans="1:35" ht="12" customHeight="1" x14ac:dyDescent="0.2">
      <c r="A106" s="166"/>
      <c r="B106" s="218"/>
      <c r="C106" s="218"/>
      <c r="D106" s="41"/>
      <c r="E106" s="41"/>
      <c r="F106" s="41"/>
      <c r="G106" s="41"/>
      <c r="H106" s="41"/>
      <c r="I106" s="41"/>
      <c r="J106" s="166"/>
      <c r="K106" s="41"/>
      <c r="L106" s="41"/>
      <c r="M106" s="41"/>
      <c r="N106" s="166"/>
      <c r="O106" s="166"/>
      <c r="P106" s="41"/>
      <c r="Q106" s="41"/>
      <c r="R106" s="41"/>
      <c r="S106" s="41"/>
      <c r="T106" s="41"/>
      <c r="U106" s="41"/>
      <c r="V106" s="41"/>
      <c r="W106" s="41"/>
      <c r="X106" s="41"/>
      <c r="Y106" s="166"/>
      <c r="Z106" s="166"/>
      <c r="AA106" s="41"/>
      <c r="AB106" s="41"/>
      <c r="AC106" s="41"/>
      <c r="AD106" s="41"/>
      <c r="AE106" s="41"/>
      <c r="AF106" s="41"/>
      <c r="AG106" s="41"/>
      <c r="AH106" s="41"/>
      <c r="AI106" s="41"/>
    </row>
    <row r="107" spans="1:35" ht="12" customHeight="1" x14ac:dyDescent="0.2">
      <c r="A107" s="166"/>
      <c r="B107" s="218"/>
      <c r="C107" s="218"/>
      <c r="D107" s="41"/>
      <c r="E107" s="41"/>
      <c r="F107" s="41"/>
      <c r="G107" s="41"/>
      <c r="H107" s="41"/>
      <c r="I107" s="41"/>
      <c r="J107" s="166"/>
      <c r="K107" s="41"/>
      <c r="L107" s="41"/>
      <c r="M107" s="41"/>
      <c r="N107" s="166"/>
      <c r="O107" s="166"/>
      <c r="P107" s="41"/>
      <c r="Q107" s="41"/>
      <c r="R107" s="41"/>
      <c r="S107" s="41"/>
      <c r="T107" s="41"/>
      <c r="U107" s="41"/>
      <c r="V107" s="41"/>
      <c r="W107" s="41"/>
      <c r="X107" s="41"/>
      <c r="Y107" s="166"/>
      <c r="Z107" s="166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2" customHeight="1" x14ac:dyDescent="0.2">
      <c r="A108" s="166"/>
      <c r="B108" s="218"/>
      <c r="C108" s="218"/>
      <c r="D108" s="41"/>
      <c r="E108" s="41"/>
      <c r="F108" s="41"/>
      <c r="G108" s="41"/>
      <c r="H108" s="41"/>
      <c r="I108" s="41"/>
      <c r="J108" s="166"/>
      <c r="K108" s="41"/>
      <c r="L108" s="41"/>
      <c r="M108" s="41"/>
      <c r="N108" s="166"/>
      <c r="O108" s="166"/>
      <c r="P108" s="41"/>
      <c r="Q108" s="41"/>
      <c r="R108" s="41"/>
      <c r="S108" s="41"/>
      <c r="T108" s="41"/>
      <c r="U108" s="41"/>
      <c r="V108" s="41"/>
      <c r="W108" s="41"/>
      <c r="X108" s="41"/>
      <c r="Y108" s="166"/>
      <c r="Z108" s="166"/>
      <c r="AA108" s="41"/>
      <c r="AB108" s="41"/>
      <c r="AC108" s="41"/>
      <c r="AD108" s="41"/>
      <c r="AE108" s="41"/>
      <c r="AF108" s="41"/>
      <c r="AG108" s="41"/>
      <c r="AH108" s="41"/>
      <c r="AI108" s="41"/>
    </row>
    <row r="109" spans="1:35" ht="12" customHeight="1" x14ac:dyDescent="0.2">
      <c r="A109" s="166"/>
      <c r="B109" s="218"/>
      <c r="C109" s="218"/>
      <c r="D109" s="41"/>
      <c r="E109" s="41"/>
      <c r="F109" s="41"/>
      <c r="G109" s="41"/>
      <c r="H109" s="41"/>
      <c r="I109" s="41"/>
      <c r="J109" s="166"/>
      <c r="K109" s="41"/>
      <c r="L109" s="41"/>
      <c r="M109" s="41"/>
      <c r="N109" s="166"/>
      <c r="O109" s="166"/>
      <c r="P109" s="41"/>
      <c r="Q109" s="41"/>
      <c r="R109" s="41"/>
      <c r="S109" s="41"/>
      <c r="T109" s="41"/>
      <c r="U109" s="41"/>
      <c r="V109" s="41"/>
      <c r="W109" s="41"/>
      <c r="X109" s="41"/>
      <c r="Y109" s="166"/>
      <c r="Z109" s="166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2" customHeight="1" x14ac:dyDescent="0.2">
      <c r="A110" s="166"/>
      <c r="B110" s="218"/>
      <c r="C110" s="218"/>
      <c r="D110" s="41"/>
      <c r="E110" s="41"/>
      <c r="F110" s="41"/>
      <c r="G110" s="41"/>
      <c r="H110" s="41"/>
      <c r="I110" s="41"/>
      <c r="J110" s="166"/>
      <c r="K110" s="41"/>
      <c r="L110" s="41"/>
      <c r="M110" s="41"/>
      <c r="N110" s="166"/>
      <c r="O110" s="166"/>
      <c r="P110" s="41"/>
      <c r="Q110" s="41"/>
      <c r="R110" s="41"/>
      <c r="S110" s="41"/>
      <c r="T110" s="41"/>
      <c r="U110" s="41"/>
      <c r="V110" s="41"/>
      <c r="W110" s="41"/>
      <c r="X110" s="41"/>
      <c r="Y110" s="166"/>
      <c r="Z110" s="166"/>
      <c r="AA110" s="41"/>
      <c r="AB110" s="41"/>
      <c r="AC110" s="41"/>
      <c r="AD110" s="41"/>
      <c r="AE110" s="41"/>
      <c r="AF110" s="41"/>
      <c r="AG110" s="41"/>
      <c r="AH110" s="41"/>
      <c r="AI110" s="41"/>
    </row>
    <row r="111" spans="1:35" ht="12" customHeight="1" x14ac:dyDescent="0.2">
      <c r="A111" s="166"/>
      <c r="B111" s="218"/>
      <c r="C111" s="218"/>
      <c r="D111" s="41"/>
      <c r="E111" s="41"/>
      <c r="F111" s="41"/>
      <c r="G111" s="41"/>
      <c r="H111" s="41"/>
      <c r="I111" s="41"/>
      <c r="J111" s="166"/>
      <c r="K111" s="41"/>
      <c r="L111" s="41"/>
      <c r="M111" s="41"/>
      <c r="N111" s="166"/>
      <c r="O111" s="166"/>
      <c r="P111" s="41"/>
      <c r="Q111" s="41"/>
      <c r="R111" s="41"/>
      <c r="S111" s="41"/>
      <c r="T111" s="41"/>
      <c r="U111" s="41"/>
      <c r="V111" s="41"/>
      <c r="W111" s="41"/>
      <c r="X111" s="41"/>
      <c r="Y111" s="166"/>
      <c r="Z111" s="166"/>
      <c r="AA111" s="41"/>
      <c r="AB111" s="41"/>
      <c r="AC111" s="41"/>
      <c r="AD111" s="41"/>
      <c r="AE111" s="41"/>
      <c r="AF111" s="41"/>
      <c r="AG111" s="41"/>
      <c r="AH111" s="41"/>
      <c r="AI111" s="41"/>
    </row>
    <row r="112" spans="1:35" ht="12" customHeight="1" x14ac:dyDescent="0.2">
      <c r="A112" s="166"/>
      <c r="B112" s="218"/>
      <c r="C112" s="218"/>
      <c r="D112" s="41"/>
      <c r="E112" s="41"/>
      <c r="F112" s="41"/>
      <c r="G112" s="41"/>
      <c r="H112" s="41"/>
      <c r="I112" s="41"/>
      <c r="J112" s="166"/>
      <c r="K112" s="41"/>
      <c r="L112" s="41"/>
      <c r="M112" s="41"/>
      <c r="N112" s="166"/>
      <c r="O112" s="166"/>
      <c r="P112" s="41"/>
      <c r="Q112" s="41"/>
      <c r="R112" s="41"/>
      <c r="S112" s="41"/>
      <c r="T112" s="41"/>
      <c r="U112" s="41"/>
      <c r="V112" s="41"/>
      <c r="W112" s="41"/>
      <c r="X112" s="41"/>
      <c r="Y112" s="166"/>
      <c r="Z112" s="166"/>
      <c r="AA112" s="41"/>
      <c r="AB112" s="41"/>
      <c r="AC112" s="41"/>
      <c r="AD112" s="41"/>
      <c r="AE112" s="41"/>
      <c r="AF112" s="41"/>
      <c r="AG112" s="41"/>
      <c r="AH112" s="41"/>
      <c r="AI112" s="41"/>
    </row>
    <row r="113" spans="1:35" ht="12" customHeight="1" x14ac:dyDescent="0.2">
      <c r="A113" s="166"/>
      <c r="B113" s="218"/>
      <c r="C113" s="218"/>
      <c r="D113" s="41"/>
      <c r="E113" s="41"/>
      <c r="F113" s="41"/>
      <c r="G113" s="41"/>
      <c r="H113" s="41"/>
      <c r="I113" s="41"/>
      <c r="J113" s="166"/>
      <c r="K113" s="41"/>
      <c r="L113" s="41"/>
      <c r="M113" s="41"/>
      <c r="N113" s="166"/>
      <c r="O113" s="166"/>
      <c r="P113" s="41"/>
      <c r="Q113" s="41"/>
      <c r="R113" s="41"/>
      <c r="S113" s="41"/>
      <c r="T113" s="41"/>
      <c r="U113" s="41"/>
      <c r="V113" s="41"/>
      <c r="W113" s="41"/>
      <c r="X113" s="41"/>
      <c r="Y113" s="166"/>
      <c r="Z113" s="166"/>
      <c r="AA113" s="41"/>
      <c r="AB113" s="41"/>
      <c r="AC113" s="41"/>
      <c r="AD113" s="41"/>
      <c r="AE113" s="41"/>
      <c r="AF113" s="41"/>
      <c r="AG113" s="41"/>
      <c r="AH113" s="41"/>
      <c r="AI113" s="41"/>
    </row>
    <row r="114" spans="1:35" ht="12" customHeight="1" x14ac:dyDescent="0.2">
      <c r="A114" s="166"/>
      <c r="B114" s="218"/>
      <c r="C114" s="218"/>
      <c r="D114" s="41"/>
      <c r="E114" s="41"/>
      <c r="F114" s="41"/>
      <c r="G114" s="41"/>
      <c r="H114" s="41"/>
      <c r="I114" s="41"/>
      <c r="J114" s="166"/>
      <c r="K114" s="41"/>
      <c r="L114" s="41"/>
      <c r="M114" s="41"/>
      <c r="N114" s="166"/>
      <c r="O114" s="166"/>
      <c r="P114" s="41"/>
      <c r="Q114" s="41"/>
      <c r="R114" s="41"/>
      <c r="S114" s="41"/>
      <c r="T114" s="41"/>
      <c r="U114" s="41"/>
      <c r="V114" s="41"/>
      <c r="W114" s="41"/>
      <c r="X114" s="41"/>
      <c r="Y114" s="166"/>
      <c r="Z114" s="166"/>
      <c r="AA114" s="41"/>
      <c r="AB114" s="41"/>
      <c r="AC114" s="41"/>
      <c r="AD114" s="41"/>
      <c r="AE114" s="41"/>
      <c r="AF114" s="41"/>
      <c r="AG114" s="41"/>
      <c r="AH114" s="41"/>
      <c r="AI114" s="41"/>
    </row>
    <row r="115" spans="1:35" ht="12" customHeight="1" x14ac:dyDescent="0.2">
      <c r="A115" s="166"/>
      <c r="B115" s="218"/>
      <c r="C115" s="218"/>
      <c r="D115" s="41"/>
      <c r="E115" s="41"/>
      <c r="F115" s="41"/>
      <c r="G115" s="41"/>
      <c r="H115" s="41"/>
      <c r="I115" s="41"/>
      <c r="J115" s="166"/>
      <c r="K115" s="41"/>
      <c r="L115" s="41"/>
      <c r="M115" s="41"/>
      <c r="N115" s="166"/>
      <c r="O115" s="166"/>
      <c r="P115" s="41"/>
      <c r="Q115" s="41"/>
      <c r="R115" s="41"/>
      <c r="S115" s="41"/>
      <c r="T115" s="41"/>
      <c r="U115" s="41"/>
      <c r="V115" s="41"/>
      <c r="W115" s="41"/>
      <c r="X115" s="41"/>
      <c r="Y115" s="166"/>
      <c r="Z115" s="166"/>
      <c r="AA115" s="41"/>
      <c r="AB115" s="41"/>
      <c r="AC115" s="41"/>
      <c r="AD115" s="41"/>
      <c r="AE115" s="41"/>
      <c r="AF115" s="41"/>
      <c r="AG115" s="41"/>
      <c r="AH115" s="41"/>
      <c r="AI115" s="41"/>
    </row>
    <row r="116" spans="1:35" ht="12" customHeight="1" x14ac:dyDescent="0.2">
      <c r="A116" s="166"/>
      <c r="B116" s="218"/>
      <c r="C116" s="218"/>
      <c r="D116" s="41"/>
      <c r="E116" s="41"/>
      <c r="F116" s="41"/>
      <c r="G116" s="41"/>
      <c r="H116" s="41"/>
      <c r="I116" s="41"/>
      <c r="J116" s="166"/>
      <c r="K116" s="41"/>
      <c r="L116" s="41"/>
      <c r="M116" s="41"/>
      <c r="N116" s="166"/>
      <c r="O116" s="166"/>
      <c r="P116" s="41"/>
      <c r="Q116" s="41"/>
      <c r="R116" s="41"/>
      <c r="S116" s="41"/>
      <c r="T116" s="41"/>
      <c r="U116" s="41"/>
      <c r="V116" s="41"/>
      <c r="W116" s="41"/>
      <c r="X116" s="41"/>
      <c r="Y116" s="166"/>
      <c r="Z116" s="166"/>
      <c r="AA116" s="41"/>
      <c r="AB116" s="41"/>
      <c r="AC116" s="41"/>
      <c r="AD116" s="41"/>
      <c r="AE116" s="41"/>
      <c r="AF116" s="41"/>
      <c r="AG116" s="41"/>
      <c r="AH116" s="41"/>
      <c r="AI116" s="41"/>
    </row>
    <row r="117" spans="1:35" ht="12" customHeight="1" x14ac:dyDescent="0.2">
      <c r="A117" s="166"/>
      <c r="B117" s="218"/>
      <c r="C117" s="218"/>
      <c r="D117" s="41"/>
      <c r="E117" s="41"/>
      <c r="F117" s="41"/>
      <c r="G117" s="41"/>
      <c r="H117" s="41"/>
      <c r="I117" s="41"/>
      <c r="J117" s="166"/>
      <c r="K117" s="41"/>
      <c r="L117" s="41"/>
      <c r="M117" s="41"/>
      <c r="N117" s="166"/>
      <c r="O117" s="166"/>
      <c r="P117" s="41"/>
      <c r="Q117" s="41"/>
      <c r="R117" s="41"/>
      <c r="S117" s="41"/>
      <c r="T117" s="41"/>
      <c r="U117" s="41"/>
      <c r="V117" s="41"/>
      <c r="W117" s="41"/>
      <c r="X117" s="41"/>
      <c r="Y117" s="166"/>
      <c r="Z117" s="166"/>
      <c r="AA117" s="41"/>
      <c r="AB117" s="41"/>
      <c r="AC117" s="41"/>
      <c r="AD117" s="41"/>
      <c r="AE117" s="41"/>
      <c r="AF117" s="41"/>
      <c r="AG117" s="41"/>
      <c r="AH117" s="41"/>
      <c r="AI117" s="41"/>
    </row>
    <row r="118" spans="1:35" ht="12" customHeight="1" x14ac:dyDescent="0.2">
      <c r="A118" s="166"/>
      <c r="B118" s="218"/>
      <c r="C118" s="218"/>
      <c r="D118" s="41"/>
      <c r="E118" s="41"/>
      <c r="F118" s="41"/>
      <c r="G118" s="41"/>
      <c r="H118" s="41"/>
      <c r="I118" s="41"/>
      <c r="J118" s="166"/>
      <c r="K118" s="41"/>
      <c r="L118" s="41"/>
      <c r="M118" s="41"/>
      <c r="N118" s="166"/>
      <c r="O118" s="166"/>
      <c r="P118" s="41"/>
      <c r="Q118" s="41"/>
      <c r="R118" s="41"/>
      <c r="S118" s="41"/>
      <c r="T118" s="41"/>
      <c r="U118" s="41"/>
      <c r="V118" s="41"/>
      <c r="W118" s="41"/>
      <c r="X118" s="41"/>
      <c r="Y118" s="166"/>
      <c r="Z118" s="166"/>
      <c r="AA118" s="41"/>
      <c r="AB118" s="41"/>
      <c r="AC118" s="41"/>
      <c r="AD118" s="41"/>
      <c r="AE118" s="41"/>
      <c r="AF118" s="41"/>
      <c r="AG118" s="41"/>
      <c r="AH118" s="41"/>
      <c r="AI118" s="41"/>
    </row>
    <row r="119" spans="1:35" ht="12" customHeight="1" x14ac:dyDescent="0.2">
      <c r="A119" s="166"/>
      <c r="B119" s="218"/>
      <c r="C119" s="218"/>
      <c r="D119" s="41"/>
      <c r="E119" s="41"/>
      <c r="F119" s="41"/>
      <c r="G119" s="41"/>
      <c r="H119" s="41"/>
      <c r="I119" s="41"/>
      <c r="J119" s="166"/>
      <c r="K119" s="41"/>
      <c r="L119" s="41"/>
      <c r="M119" s="41"/>
      <c r="N119" s="166"/>
      <c r="O119" s="166"/>
      <c r="P119" s="41"/>
      <c r="Q119" s="41"/>
      <c r="R119" s="41"/>
      <c r="S119" s="41"/>
      <c r="T119" s="41"/>
      <c r="U119" s="41"/>
      <c r="V119" s="41"/>
      <c r="W119" s="41"/>
      <c r="X119" s="41"/>
      <c r="Y119" s="166"/>
      <c r="Z119" s="166"/>
      <c r="AA119" s="41"/>
      <c r="AB119" s="41"/>
      <c r="AC119" s="41"/>
      <c r="AD119" s="41"/>
      <c r="AE119" s="41"/>
      <c r="AF119" s="41"/>
      <c r="AG119" s="41"/>
      <c r="AH119" s="41"/>
      <c r="AI119" s="41"/>
    </row>
    <row r="120" spans="1:35" ht="12" customHeight="1" x14ac:dyDescent="0.2">
      <c r="A120" s="166"/>
      <c r="B120" s="218"/>
      <c r="C120" s="218"/>
      <c r="D120" s="41"/>
      <c r="E120" s="41"/>
      <c r="F120" s="41"/>
      <c r="G120" s="41"/>
      <c r="H120" s="41"/>
      <c r="I120" s="41"/>
      <c r="J120" s="166"/>
      <c r="K120" s="41"/>
      <c r="L120" s="41"/>
      <c r="M120" s="41"/>
      <c r="N120" s="166"/>
      <c r="O120" s="166"/>
      <c r="P120" s="41"/>
      <c r="Q120" s="41"/>
      <c r="R120" s="41"/>
      <c r="S120" s="41"/>
      <c r="T120" s="41"/>
      <c r="U120" s="41"/>
      <c r="V120" s="41"/>
      <c r="W120" s="41"/>
      <c r="X120" s="41"/>
      <c r="Y120" s="166"/>
      <c r="Z120" s="166"/>
      <c r="AA120" s="41"/>
      <c r="AB120" s="41"/>
      <c r="AC120" s="41"/>
      <c r="AD120" s="41"/>
      <c r="AE120" s="41"/>
      <c r="AF120" s="41"/>
      <c r="AG120" s="41"/>
      <c r="AH120" s="41"/>
      <c r="AI120" s="41"/>
    </row>
    <row r="121" spans="1:35" ht="12" customHeight="1" x14ac:dyDescent="0.2">
      <c r="A121" s="166"/>
      <c r="B121" s="218"/>
      <c r="C121" s="218"/>
      <c r="D121" s="41"/>
      <c r="E121" s="41"/>
      <c r="F121" s="41"/>
      <c r="G121" s="41"/>
      <c r="H121" s="41"/>
      <c r="I121" s="41"/>
      <c r="J121" s="166"/>
      <c r="K121" s="41"/>
      <c r="L121" s="41"/>
      <c r="M121" s="41"/>
      <c r="N121" s="166"/>
      <c r="O121" s="166"/>
      <c r="P121" s="41"/>
      <c r="Q121" s="41"/>
      <c r="R121" s="41"/>
      <c r="S121" s="41"/>
      <c r="T121" s="41"/>
      <c r="U121" s="41"/>
      <c r="V121" s="41"/>
      <c r="W121" s="41"/>
      <c r="X121" s="41"/>
      <c r="Y121" s="166"/>
      <c r="Z121" s="166"/>
      <c r="AA121" s="41"/>
      <c r="AB121" s="41"/>
      <c r="AC121" s="41"/>
      <c r="AD121" s="41"/>
      <c r="AE121" s="41"/>
      <c r="AF121" s="41"/>
      <c r="AG121" s="41"/>
      <c r="AH121" s="41"/>
      <c r="AI121" s="41"/>
    </row>
    <row r="122" spans="1:35" ht="12" customHeight="1" x14ac:dyDescent="0.2">
      <c r="A122" s="166"/>
      <c r="B122" s="218"/>
      <c r="C122" s="218"/>
      <c r="D122" s="41"/>
      <c r="E122" s="41"/>
      <c r="F122" s="41"/>
      <c r="G122" s="41"/>
      <c r="H122" s="41"/>
      <c r="I122" s="41"/>
      <c r="J122" s="166"/>
      <c r="K122" s="41"/>
      <c r="L122" s="41"/>
      <c r="M122" s="41"/>
      <c r="N122" s="166"/>
      <c r="O122" s="166"/>
      <c r="P122" s="41"/>
      <c r="Q122" s="41"/>
      <c r="R122" s="41"/>
      <c r="S122" s="41"/>
      <c r="T122" s="41"/>
      <c r="U122" s="41"/>
      <c r="V122" s="41"/>
      <c r="W122" s="41"/>
      <c r="X122" s="41"/>
      <c r="Y122" s="166"/>
      <c r="Z122" s="166"/>
      <c r="AA122" s="41"/>
      <c r="AB122" s="41"/>
      <c r="AC122" s="41"/>
      <c r="AD122" s="41"/>
      <c r="AE122" s="41"/>
      <c r="AF122" s="41"/>
      <c r="AG122" s="41"/>
      <c r="AH122" s="41"/>
      <c r="AI122" s="41"/>
    </row>
    <row r="123" spans="1:35" ht="12" customHeight="1" x14ac:dyDescent="0.2">
      <c r="A123" s="166"/>
      <c r="B123" s="218"/>
      <c r="C123" s="218"/>
      <c r="D123" s="41"/>
      <c r="E123" s="41"/>
      <c r="F123" s="41"/>
      <c r="G123" s="41"/>
      <c r="H123" s="41"/>
      <c r="I123" s="41"/>
      <c r="J123" s="166"/>
      <c r="K123" s="41"/>
      <c r="L123" s="41"/>
      <c r="M123" s="41"/>
      <c r="N123" s="166"/>
      <c r="O123" s="166"/>
      <c r="P123" s="41"/>
      <c r="Q123" s="41"/>
      <c r="R123" s="41"/>
      <c r="S123" s="41"/>
      <c r="T123" s="41"/>
      <c r="U123" s="41"/>
      <c r="V123" s="41"/>
      <c r="W123" s="41"/>
      <c r="X123" s="41"/>
      <c r="Y123" s="166"/>
      <c r="Z123" s="166"/>
      <c r="AA123" s="41"/>
      <c r="AB123" s="41"/>
      <c r="AC123" s="41"/>
      <c r="AD123" s="41"/>
      <c r="AE123" s="41"/>
      <c r="AF123" s="41"/>
      <c r="AG123" s="41"/>
      <c r="AH123" s="41"/>
      <c r="AI123" s="41"/>
    </row>
    <row r="124" spans="1:35" ht="12" customHeight="1" x14ac:dyDescent="0.2">
      <c r="A124" s="166"/>
      <c r="B124" s="218"/>
      <c r="C124" s="218"/>
      <c r="D124" s="41"/>
      <c r="E124" s="41"/>
      <c r="F124" s="41"/>
      <c r="G124" s="41"/>
      <c r="H124" s="41"/>
      <c r="I124" s="41"/>
      <c r="J124" s="166"/>
      <c r="K124" s="41"/>
      <c r="L124" s="41"/>
      <c r="M124" s="41"/>
      <c r="N124" s="166"/>
      <c r="O124" s="166"/>
      <c r="P124" s="41"/>
      <c r="Q124" s="41"/>
      <c r="R124" s="41"/>
      <c r="S124" s="41"/>
      <c r="T124" s="41"/>
      <c r="U124" s="41"/>
      <c r="V124" s="41"/>
      <c r="W124" s="41"/>
      <c r="X124" s="41"/>
      <c r="Y124" s="166"/>
      <c r="Z124" s="166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2" customHeight="1" x14ac:dyDescent="0.2">
      <c r="A125" s="166"/>
      <c r="B125" s="218"/>
      <c r="C125" s="218"/>
      <c r="D125" s="41"/>
      <c r="E125" s="41"/>
      <c r="F125" s="41"/>
      <c r="G125" s="41"/>
      <c r="H125" s="41"/>
      <c r="I125" s="41"/>
      <c r="J125" s="166"/>
      <c r="K125" s="41"/>
      <c r="L125" s="41"/>
      <c r="M125" s="41"/>
      <c r="N125" s="166"/>
      <c r="O125" s="166"/>
      <c r="P125" s="41"/>
      <c r="Q125" s="41"/>
      <c r="R125" s="41"/>
      <c r="S125" s="41"/>
      <c r="T125" s="41"/>
      <c r="U125" s="41"/>
      <c r="V125" s="41"/>
      <c r="W125" s="41"/>
      <c r="X125" s="41"/>
      <c r="Y125" s="166"/>
      <c r="Z125" s="166"/>
      <c r="AA125" s="41"/>
      <c r="AB125" s="41"/>
      <c r="AC125" s="41"/>
      <c r="AD125" s="41"/>
      <c r="AE125" s="41"/>
      <c r="AF125" s="41"/>
      <c r="AG125" s="41"/>
      <c r="AH125" s="41"/>
      <c r="AI125" s="41"/>
    </row>
    <row r="126" spans="1:35" ht="12" customHeight="1" x14ac:dyDescent="0.2">
      <c r="A126" s="166"/>
      <c r="B126" s="218"/>
      <c r="C126" s="218"/>
      <c r="D126" s="41"/>
      <c r="E126" s="41"/>
      <c r="F126" s="41"/>
      <c r="G126" s="41"/>
      <c r="H126" s="41"/>
      <c r="I126" s="41"/>
      <c r="J126" s="166"/>
      <c r="K126" s="41"/>
      <c r="L126" s="41"/>
      <c r="M126" s="41"/>
      <c r="N126" s="166"/>
      <c r="O126" s="166"/>
      <c r="P126" s="41"/>
      <c r="Q126" s="41"/>
      <c r="R126" s="41"/>
      <c r="S126" s="41"/>
      <c r="T126" s="41"/>
      <c r="U126" s="41"/>
      <c r="V126" s="41"/>
      <c r="W126" s="41"/>
      <c r="X126" s="41"/>
      <c r="Y126" s="166"/>
      <c r="Z126" s="166"/>
      <c r="AA126" s="41"/>
      <c r="AB126" s="41"/>
      <c r="AC126" s="41"/>
      <c r="AD126" s="41"/>
      <c r="AE126" s="41"/>
      <c r="AF126" s="41"/>
      <c r="AG126" s="41"/>
      <c r="AH126" s="41"/>
      <c r="AI126" s="41"/>
    </row>
    <row r="127" spans="1:35" ht="12" customHeight="1" x14ac:dyDescent="0.2">
      <c r="A127" s="166"/>
      <c r="B127" s="218"/>
      <c r="C127" s="218"/>
      <c r="D127" s="41"/>
      <c r="E127" s="41"/>
      <c r="F127" s="41"/>
      <c r="G127" s="41"/>
      <c r="H127" s="41"/>
      <c r="I127" s="41"/>
      <c r="J127" s="166"/>
      <c r="K127" s="41"/>
      <c r="L127" s="41"/>
      <c r="M127" s="41"/>
      <c r="N127" s="166"/>
      <c r="O127" s="166"/>
      <c r="P127" s="41"/>
      <c r="Q127" s="41"/>
      <c r="R127" s="41"/>
      <c r="S127" s="41"/>
      <c r="T127" s="41"/>
      <c r="U127" s="41"/>
      <c r="V127" s="41"/>
      <c r="W127" s="41"/>
      <c r="X127" s="41"/>
      <c r="Y127" s="166"/>
      <c r="Z127" s="166"/>
      <c r="AA127" s="41"/>
      <c r="AB127" s="41"/>
      <c r="AC127" s="41"/>
      <c r="AD127" s="41"/>
      <c r="AE127" s="41"/>
      <c r="AF127" s="41"/>
      <c r="AG127" s="41"/>
      <c r="AH127" s="41"/>
      <c r="AI127" s="41"/>
    </row>
    <row r="128" spans="1:35" ht="12" customHeight="1" x14ac:dyDescent="0.2">
      <c r="A128" s="166"/>
      <c r="B128" s="218"/>
      <c r="C128" s="218"/>
      <c r="D128" s="41"/>
      <c r="E128" s="41"/>
      <c r="F128" s="41"/>
      <c r="G128" s="41"/>
      <c r="H128" s="41"/>
      <c r="I128" s="41"/>
      <c r="J128" s="166"/>
      <c r="K128" s="41"/>
      <c r="L128" s="41"/>
      <c r="M128" s="41"/>
      <c r="N128" s="166"/>
      <c r="O128" s="166"/>
      <c r="P128" s="41"/>
      <c r="Q128" s="41"/>
      <c r="R128" s="41"/>
      <c r="S128" s="41"/>
      <c r="T128" s="41"/>
      <c r="U128" s="41"/>
      <c r="V128" s="41"/>
      <c r="W128" s="41"/>
      <c r="X128" s="41"/>
      <c r="Y128" s="166"/>
      <c r="Z128" s="166"/>
      <c r="AA128" s="41"/>
      <c r="AB128" s="41"/>
      <c r="AC128" s="41"/>
      <c r="AD128" s="41"/>
      <c r="AE128" s="41"/>
      <c r="AF128" s="41"/>
      <c r="AG128" s="41"/>
      <c r="AH128" s="41"/>
      <c r="AI128" s="41"/>
    </row>
    <row r="129" spans="1:35" ht="12" customHeight="1" x14ac:dyDescent="0.2">
      <c r="A129" s="166"/>
      <c r="B129" s="218"/>
      <c r="C129" s="218"/>
      <c r="D129" s="41"/>
      <c r="E129" s="41"/>
      <c r="F129" s="41"/>
      <c r="G129" s="41"/>
      <c r="H129" s="41"/>
      <c r="I129" s="41"/>
      <c r="J129" s="166"/>
      <c r="K129" s="41"/>
      <c r="L129" s="41"/>
      <c r="M129" s="41"/>
      <c r="N129" s="166"/>
      <c r="O129" s="166"/>
      <c r="P129" s="41"/>
      <c r="Q129" s="41"/>
      <c r="R129" s="41"/>
      <c r="S129" s="41"/>
      <c r="T129" s="41"/>
      <c r="U129" s="41"/>
      <c r="V129" s="41"/>
      <c r="W129" s="41"/>
      <c r="X129" s="41"/>
      <c r="Y129" s="166"/>
      <c r="Z129" s="166"/>
      <c r="AA129" s="41"/>
      <c r="AB129" s="41"/>
      <c r="AC129" s="41"/>
      <c r="AD129" s="41"/>
      <c r="AE129" s="41"/>
      <c r="AF129" s="41"/>
      <c r="AG129" s="41"/>
      <c r="AH129" s="41"/>
      <c r="AI129" s="41"/>
    </row>
    <row r="130" spans="1:35" ht="12" customHeight="1" x14ac:dyDescent="0.2">
      <c r="A130" s="166"/>
      <c r="B130" s="218"/>
      <c r="C130" s="218"/>
      <c r="D130" s="41"/>
      <c r="E130" s="41"/>
      <c r="F130" s="41"/>
      <c r="G130" s="41"/>
      <c r="H130" s="41"/>
      <c r="I130" s="41"/>
      <c r="J130" s="166"/>
      <c r="K130" s="41"/>
      <c r="L130" s="41"/>
      <c r="M130" s="41"/>
      <c r="N130" s="166"/>
      <c r="O130" s="166"/>
      <c r="P130" s="41"/>
      <c r="Q130" s="41"/>
      <c r="R130" s="41"/>
      <c r="S130" s="41"/>
      <c r="T130" s="41"/>
      <c r="U130" s="41"/>
      <c r="V130" s="41"/>
      <c r="W130" s="41"/>
      <c r="X130" s="41"/>
      <c r="Y130" s="166"/>
      <c r="Z130" s="166"/>
      <c r="AA130" s="41"/>
      <c r="AB130" s="41"/>
      <c r="AC130" s="41"/>
      <c r="AD130" s="41"/>
      <c r="AE130" s="41"/>
      <c r="AF130" s="41"/>
      <c r="AG130" s="41"/>
      <c r="AH130" s="41"/>
      <c r="AI130" s="41"/>
    </row>
    <row r="131" spans="1:35" ht="12" customHeight="1" x14ac:dyDescent="0.2">
      <c r="A131" s="166"/>
      <c r="B131" s="218"/>
      <c r="C131" s="218"/>
      <c r="D131" s="41"/>
      <c r="E131" s="41"/>
      <c r="F131" s="41"/>
      <c r="G131" s="41"/>
      <c r="H131" s="41"/>
      <c r="I131" s="41"/>
      <c r="J131" s="166"/>
      <c r="K131" s="41"/>
      <c r="L131" s="41"/>
      <c r="M131" s="41"/>
      <c r="N131" s="166"/>
      <c r="O131" s="166"/>
      <c r="P131" s="41"/>
      <c r="Q131" s="41"/>
      <c r="R131" s="41"/>
      <c r="S131" s="41"/>
      <c r="T131" s="41"/>
      <c r="U131" s="41"/>
      <c r="V131" s="41"/>
      <c r="W131" s="41"/>
      <c r="X131" s="41"/>
      <c r="Y131" s="166"/>
      <c r="Z131" s="166"/>
      <c r="AA131" s="41"/>
      <c r="AB131" s="41"/>
      <c r="AC131" s="41"/>
      <c r="AD131" s="41"/>
      <c r="AE131" s="41"/>
      <c r="AF131" s="41"/>
      <c r="AG131" s="41"/>
      <c r="AH131" s="41"/>
      <c r="AI131" s="41"/>
    </row>
    <row r="132" spans="1:35" ht="12" customHeight="1" x14ac:dyDescent="0.2">
      <c r="A132" s="166"/>
      <c r="B132" s="218"/>
      <c r="C132" s="218"/>
      <c r="D132" s="41"/>
      <c r="E132" s="41"/>
      <c r="F132" s="41"/>
      <c r="G132" s="41"/>
      <c r="H132" s="41"/>
      <c r="I132" s="41"/>
      <c r="J132" s="166"/>
      <c r="K132" s="41"/>
      <c r="L132" s="41"/>
      <c r="M132" s="41"/>
      <c r="N132" s="166"/>
      <c r="O132" s="166"/>
      <c r="P132" s="41"/>
      <c r="Q132" s="41"/>
      <c r="R132" s="41"/>
      <c r="S132" s="41"/>
      <c r="T132" s="41"/>
      <c r="U132" s="41"/>
      <c r="V132" s="41"/>
      <c r="W132" s="41"/>
      <c r="X132" s="41"/>
      <c r="Y132" s="166"/>
      <c r="Z132" s="166"/>
      <c r="AA132" s="41"/>
      <c r="AB132" s="41"/>
      <c r="AC132" s="41"/>
      <c r="AD132" s="41"/>
      <c r="AE132" s="41"/>
      <c r="AF132" s="41"/>
      <c r="AG132" s="41"/>
      <c r="AH132" s="41"/>
      <c r="AI132" s="41"/>
    </row>
    <row r="133" spans="1:35" ht="12" customHeight="1" x14ac:dyDescent="0.2">
      <c r="A133" s="166"/>
      <c r="B133" s="218"/>
      <c r="C133" s="218"/>
      <c r="D133" s="41"/>
      <c r="E133" s="41"/>
      <c r="F133" s="41"/>
      <c r="G133" s="41"/>
      <c r="H133" s="41"/>
      <c r="I133" s="41"/>
      <c r="J133" s="166"/>
      <c r="K133" s="41"/>
      <c r="L133" s="41"/>
      <c r="M133" s="41"/>
      <c r="N133" s="166"/>
      <c r="O133" s="166"/>
      <c r="P133" s="41"/>
      <c r="Q133" s="41"/>
      <c r="R133" s="41"/>
      <c r="S133" s="41"/>
      <c r="T133" s="41"/>
      <c r="U133" s="41"/>
      <c r="V133" s="41"/>
      <c r="W133" s="41"/>
      <c r="X133" s="41"/>
      <c r="Y133" s="166"/>
      <c r="Z133" s="166"/>
      <c r="AA133" s="41"/>
      <c r="AB133" s="41"/>
      <c r="AC133" s="41"/>
      <c r="AD133" s="41"/>
      <c r="AE133" s="41"/>
      <c r="AF133" s="41"/>
      <c r="AG133" s="41"/>
      <c r="AH133" s="41"/>
      <c r="AI133" s="41"/>
    </row>
    <row r="134" spans="1:35" ht="12" customHeight="1" x14ac:dyDescent="0.2">
      <c r="A134" s="166"/>
      <c r="B134" s="218"/>
      <c r="C134" s="218"/>
      <c r="D134" s="41"/>
      <c r="E134" s="41"/>
      <c r="F134" s="41"/>
      <c r="G134" s="41"/>
      <c r="H134" s="41"/>
      <c r="I134" s="41"/>
      <c r="J134" s="166"/>
      <c r="K134" s="41"/>
      <c r="L134" s="41"/>
      <c r="M134" s="41"/>
      <c r="N134" s="166"/>
      <c r="O134" s="166"/>
      <c r="P134" s="41"/>
      <c r="Q134" s="41"/>
      <c r="R134" s="41"/>
      <c r="S134" s="41"/>
      <c r="T134" s="41"/>
      <c r="U134" s="41"/>
      <c r="V134" s="41"/>
      <c r="W134" s="41"/>
      <c r="X134" s="41"/>
      <c r="Y134" s="166"/>
      <c r="Z134" s="166"/>
      <c r="AA134" s="41"/>
      <c r="AB134" s="41"/>
      <c r="AC134" s="41"/>
      <c r="AD134" s="41"/>
      <c r="AE134" s="41"/>
      <c r="AF134" s="41"/>
      <c r="AG134" s="41"/>
      <c r="AH134" s="41"/>
      <c r="AI134" s="41"/>
    </row>
    <row r="135" spans="1:35" ht="12" customHeight="1" x14ac:dyDescent="0.2">
      <c r="A135" s="166"/>
      <c r="B135" s="218"/>
      <c r="C135" s="218"/>
      <c r="D135" s="41"/>
      <c r="E135" s="41"/>
      <c r="F135" s="41"/>
      <c r="G135" s="41"/>
      <c r="H135" s="41"/>
      <c r="I135" s="41"/>
      <c r="J135" s="166"/>
      <c r="K135" s="41"/>
      <c r="L135" s="41"/>
      <c r="M135" s="41"/>
      <c r="N135" s="166"/>
      <c r="O135" s="166"/>
      <c r="P135" s="41"/>
      <c r="Q135" s="41"/>
      <c r="R135" s="41"/>
      <c r="S135" s="41"/>
      <c r="T135" s="41"/>
      <c r="U135" s="41"/>
      <c r="V135" s="41"/>
      <c r="W135" s="41"/>
      <c r="X135" s="41"/>
      <c r="Y135" s="166"/>
      <c r="Z135" s="166"/>
      <c r="AA135" s="41"/>
      <c r="AB135" s="41"/>
      <c r="AC135" s="41"/>
      <c r="AD135" s="41"/>
      <c r="AE135" s="41"/>
      <c r="AF135" s="41"/>
      <c r="AG135" s="41"/>
      <c r="AH135" s="41"/>
      <c r="AI135" s="41"/>
    </row>
    <row r="136" spans="1:35" ht="12" customHeight="1" x14ac:dyDescent="0.2">
      <c r="A136" s="166"/>
      <c r="B136" s="218"/>
      <c r="C136" s="218"/>
      <c r="D136" s="41"/>
      <c r="E136" s="41"/>
      <c r="F136" s="41"/>
      <c r="G136" s="41"/>
      <c r="H136" s="41"/>
      <c r="I136" s="41"/>
      <c r="J136" s="166"/>
      <c r="K136" s="41"/>
      <c r="L136" s="41"/>
      <c r="M136" s="41"/>
      <c r="N136" s="166"/>
      <c r="O136" s="166"/>
      <c r="P136" s="41"/>
      <c r="Q136" s="41"/>
      <c r="R136" s="41"/>
      <c r="S136" s="41"/>
      <c r="T136" s="41"/>
      <c r="U136" s="41"/>
      <c r="V136" s="41"/>
      <c r="W136" s="41"/>
      <c r="X136" s="41"/>
      <c r="Y136" s="166"/>
      <c r="Z136" s="166"/>
      <c r="AA136" s="41"/>
      <c r="AB136" s="41"/>
      <c r="AC136" s="41"/>
      <c r="AD136" s="41"/>
      <c r="AE136" s="41"/>
      <c r="AF136" s="41"/>
      <c r="AG136" s="41"/>
      <c r="AH136" s="41"/>
      <c r="AI136" s="41"/>
    </row>
    <row r="137" spans="1:35" ht="12" customHeight="1" x14ac:dyDescent="0.2">
      <c r="A137" s="166"/>
      <c r="B137" s="218"/>
      <c r="C137" s="218"/>
      <c r="D137" s="41"/>
      <c r="E137" s="41"/>
      <c r="F137" s="41"/>
      <c r="G137" s="41"/>
      <c r="H137" s="41"/>
      <c r="I137" s="41"/>
      <c r="J137" s="166"/>
      <c r="K137" s="41"/>
      <c r="L137" s="41"/>
      <c r="M137" s="41"/>
      <c r="N137" s="166"/>
      <c r="O137" s="166"/>
      <c r="P137" s="41"/>
      <c r="Q137" s="41"/>
      <c r="R137" s="41"/>
      <c r="S137" s="41"/>
      <c r="T137" s="41"/>
      <c r="U137" s="41"/>
      <c r="V137" s="41"/>
      <c r="W137" s="41"/>
      <c r="X137" s="41"/>
      <c r="Y137" s="166"/>
      <c r="Z137" s="166"/>
      <c r="AA137" s="41"/>
      <c r="AB137" s="41"/>
      <c r="AC137" s="41"/>
      <c r="AD137" s="41"/>
      <c r="AE137" s="41"/>
      <c r="AF137" s="41"/>
      <c r="AG137" s="41"/>
      <c r="AH137" s="41"/>
      <c r="AI137" s="41"/>
    </row>
    <row r="138" spans="1:35" ht="12" customHeight="1" x14ac:dyDescent="0.2">
      <c r="A138" s="166"/>
      <c r="B138" s="218"/>
      <c r="C138" s="218"/>
      <c r="D138" s="41"/>
      <c r="E138" s="41"/>
      <c r="F138" s="41"/>
      <c r="G138" s="41"/>
      <c r="H138" s="41"/>
      <c r="I138" s="41"/>
      <c r="J138" s="166"/>
      <c r="K138" s="41"/>
      <c r="L138" s="41"/>
      <c r="M138" s="41"/>
      <c r="N138" s="166"/>
      <c r="O138" s="166"/>
      <c r="P138" s="41"/>
      <c r="Q138" s="41"/>
      <c r="R138" s="41"/>
      <c r="S138" s="41"/>
      <c r="T138" s="41"/>
      <c r="U138" s="41"/>
      <c r="V138" s="41"/>
      <c r="W138" s="41"/>
      <c r="X138" s="41"/>
      <c r="Y138" s="166"/>
      <c r="Z138" s="166"/>
      <c r="AA138" s="41"/>
      <c r="AB138" s="41"/>
      <c r="AC138" s="41"/>
      <c r="AD138" s="41"/>
      <c r="AE138" s="41"/>
      <c r="AF138" s="41"/>
      <c r="AG138" s="41"/>
      <c r="AH138" s="41"/>
      <c r="AI138" s="41"/>
    </row>
    <row r="139" spans="1:35" ht="12" customHeight="1" x14ac:dyDescent="0.2">
      <c r="A139" s="166"/>
      <c r="B139" s="218"/>
      <c r="C139" s="218"/>
      <c r="D139" s="41"/>
      <c r="E139" s="41"/>
      <c r="F139" s="41"/>
      <c r="G139" s="41"/>
      <c r="H139" s="41"/>
      <c r="I139" s="41"/>
      <c r="J139" s="166"/>
      <c r="K139" s="41"/>
      <c r="L139" s="41"/>
      <c r="M139" s="41"/>
      <c r="N139" s="166"/>
      <c r="O139" s="166"/>
      <c r="P139" s="41"/>
      <c r="Q139" s="41"/>
      <c r="R139" s="41"/>
      <c r="S139" s="41"/>
      <c r="T139" s="41"/>
      <c r="U139" s="41"/>
      <c r="V139" s="41"/>
      <c r="W139" s="41"/>
      <c r="X139" s="41"/>
      <c r="Y139" s="166"/>
      <c r="Z139" s="166"/>
      <c r="AA139" s="41"/>
      <c r="AB139" s="41"/>
      <c r="AC139" s="41"/>
      <c r="AD139" s="41"/>
      <c r="AE139" s="41"/>
      <c r="AF139" s="41"/>
      <c r="AG139" s="41"/>
      <c r="AH139" s="41"/>
      <c r="AI139" s="41"/>
    </row>
    <row r="140" spans="1:35" ht="12" customHeight="1" x14ac:dyDescent="0.2">
      <c r="A140" s="166"/>
      <c r="B140" s="218"/>
      <c r="C140" s="218"/>
      <c r="D140" s="41"/>
      <c r="E140" s="41"/>
      <c r="F140" s="41"/>
      <c r="G140" s="41"/>
      <c r="H140" s="41"/>
      <c r="I140" s="41"/>
      <c r="J140" s="166"/>
      <c r="K140" s="41"/>
      <c r="L140" s="41"/>
      <c r="M140" s="41"/>
      <c r="N140" s="166"/>
      <c r="O140" s="166"/>
      <c r="P140" s="41"/>
      <c r="Q140" s="41"/>
      <c r="R140" s="41"/>
      <c r="S140" s="41"/>
      <c r="T140" s="41"/>
      <c r="U140" s="41"/>
      <c r="V140" s="41"/>
      <c r="W140" s="41"/>
      <c r="X140" s="41"/>
      <c r="Y140" s="166"/>
      <c r="Z140" s="166"/>
      <c r="AA140" s="41"/>
      <c r="AB140" s="41"/>
      <c r="AC140" s="41"/>
      <c r="AD140" s="41"/>
      <c r="AE140" s="41"/>
      <c r="AF140" s="41"/>
      <c r="AG140" s="41"/>
      <c r="AH140" s="41"/>
      <c r="AI140" s="41"/>
    </row>
    <row r="141" spans="1:35" ht="12" customHeight="1" x14ac:dyDescent="0.2">
      <c r="A141" s="166"/>
      <c r="B141" s="218"/>
      <c r="C141" s="218"/>
      <c r="D141" s="41"/>
      <c r="E141" s="41"/>
      <c r="F141" s="41"/>
      <c r="G141" s="41"/>
      <c r="H141" s="41"/>
      <c r="I141" s="41"/>
      <c r="J141" s="166"/>
      <c r="K141" s="41"/>
      <c r="L141" s="41"/>
      <c r="M141" s="41"/>
      <c r="N141" s="166"/>
      <c r="O141" s="166"/>
      <c r="P141" s="41"/>
      <c r="Q141" s="41"/>
      <c r="R141" s="41"/>
      <c r="S141" s="41"/>
      <c r="T141" s="41"/>
      <c r="U141" s="41"/>
      <c r="V141" s="41"/>
      <c r="W141" s="41"/>
      <c r="X141" s="41"/>
      <c r="Y141" s="166"/>
      <c r="Z141" s="166"/>
      <c r="AA141" s="41"/>
      <c r="AB141" s="41"/>
      <c r="AC141" s="41"/>
      <c r="AD141" s="41"/>
      <c r="AE141" s="41"/>
      <c r="AF141" s="41"/>
      <c r="AG141" s="41"/>
      <c r="AH141" s="41"/>
      <c r="AI141" s="41"/>
    </row>
    <row r="142" spans="1:35" ht="12" customHeight="1" x14ac:dyDescent="0.2">
      <c r="A142" s="166"/>
      <c r="B142" s="218"/>
      <c r="C142" s="218"/>
      <c r="D142" s="41"/>
      <c r="E142" s="41"/>
      <c r="F142" s="41"/>
      <c r="G142" s="41"/>
      <c r="H142" s="41"/>
      <c r="I142" s="41"/>
      <c r="J142" s="166"/>
      <c r="K142" s="41"/>
      <c r="L142" s="41"/>
      <c r="M142" s="41"/>
      <c r="N142" s="166"/>
      <c r="O142" s="166"/>
      <c r="P142" s="41"/>
      <c r="Q142" s="41"/>
      <c r="R142" s="41"/>
      <c r="S142" s="41"/>
      <c r="T142" s="41"/>
      <c r="U142" s="41"/>
      <c r="V142" s="41"/>
      <c r="W142" s="41"/>
      <c r="X142" s="41"/>
      <c r="Y142" s="166"/>
      <c r="Z142" s="166"/>
      <c r="AA142" s="41"/>
      <c r="AB142" s="41"/>
      <c r="AC142" s="41"/>
      <c r="AD142" s="41"/>
      <c r="AE142" s="41"/>
      <c r="AF142" s="41"/>
      <c r="AG142" s="41"/>
      <c r="AH142" s="41"/>
      <c r="AI142" s="41"/>
    </row>
    <row r="143" spans="1:35" ht="12" customHeight="1" x14ac:dyDescent="0.2">
      <c r="A143" s="166"/>
      <c r="B143" s="218"/>
      <c r="C143" s="218"/>
      <c r="D143" s="41"/>
      <c r="E143" s="41"/>
      <c r="F143" s="41"/>
      <c r="G143" s="41"/>
      <c r="H143" s="41"/>
      <c r="I143" s="41"/>
      <c r="J143" s="166"/>
      <c r="K143" s="41"/>
      <c r="L143" s="41"/>
      <c r="M143" s="41"/>
      <c r="N143" s="166"/>
      <c r="O143" s="166"/>
      <c r="P143" s="41"/>
      <c r="Q143" s="41"/>
      <c r="R143" s="41"/>
      <c r="S143" s="41"/>
      <c r="T143" s="41"/>
      <c r="U143" s="41"/>
      <c r="V143" s="41"/>
      <c r="W143" s="41"/>
      <c r="X143" s="41"/>
      <c r="Y143" s="166"/>
      <c r="Z143" s="166"/>
      <c r="AA143" s="41"/>
      <c r="AB143" s="41"/>
      <c r="AC143" s="41"/>
      <c r="AD143" s="41"/>
      <c r="AE143" s="41"/>
      <c r="AF143" s="41"/>
      <c r="AG143" s="41"/>
      <c r="AH143" s="41"/>
      <c r="AI143" s="41"/>
    </row>
    <row r="144" spans="1:35" ht="12" customHeight="1" x14ac:dyDescent="0.2">
      <c r="A144" s="166"/>
      <c r="B144" s="218"/>
      <c r="C144" s="218"/>
      <c r="D144" s="41"/>
      <c r="E144" s="41"/>
      <c r="F144" s="41"/>
      <c r="G144" s="41"/>
      <c r="H144" s="41"/>
      <c r="I144" s="41"/>
      <c r="J144" s="166"/>
      <c r="K144" s="41"/>
      <c r="L144" s="41"/>
      <c r="M144" s="41"/>
      <c r="N144" s="166"/>
      <c r="O144" s="166"/>
      <c r="P144" s="41"/>
      <c r="Q144" s="41"/>
      <c r="R144" s="41"/>
      <c r="S144" s="41"/>
      <c r="T144" s="41"/>
      <c r="U144" s="41"/>
      <c r="V144" s="41"/>
      <c r="W144" s="41"/>
      <c r="X144" s="41"/>
      <c r="Y144" s="166"/>
      <c r="Z144" s="166"/>
      <c r="AA144" s="41"/>
      <c r="AB144" s="41"/>
      <c r="AC144" s="41"/>
      <c r="AD144" s="41"/>
      <c r="AE144" s="41"/>
      <c r="AF144" s="41"/>
      <c r="AG144" s="41"/>
      <c r="AH144" s="41"/>
      <c r="AI144" s="41"/>
    </row>
    <row r="145" spans="1:35" ht="12" customHeight="1" x14ac:dyDescent="0.2">
      <c r="A145" s="166"/>
      <c r="B145" s="218"/>
      <c r="C145" s="218"/>
      <c r="D145" s="41"/>
      <c r="E145" s="41"/>
      <c r="F145" s="41"/>
      <c r="G145" s="41"/>
      <c r="H145" s="41"/>
      <c r="I145" s="41"/>
      <c r="J145" s="166"/>
      <c r="K145" s="41"/>
      <c r="L145" s="41"/>
      <c r="M145" s="41"/>
      <c r="N145" s="166"/>
      <c r="O145" s="166"/>
      <c r="P145" s="41"/>
      <c r="Q145" s="41"/>
      <c r="R145" s="41"/>
      <c r="S145" s="41"/>
      <c r="T145" s="41"/>
      <c r="U145" s="41"/>
      <c r="V145" s="41"/>
      <c r="W145" s="41"/>
      <c r="X145" s="41"/>
      <c r="Y145" s="166"/>
      <c r="Z145" s="166"/>
      <c r="AA145" s="41"/>
      <c r="AB145" s="41"/>
      <c r="AC145" s="41"/>
      <c r="AD145" s="41"/>
      <c r="AE145" s="41"/>
      <c r="AF145" s="41"/>
      <c r="AG145" s="41"/>
      <c r="AH145" s="41"/>
      <c r="AI145" s="41"/>
    </row>
    <row r="146" spans="1:35" ht="12" customHeight="1" x14ac:dyDescent="0.2">
      <c r="A146" s="166"/>
      <c r="B146" s="218"/>
      <c r="C146" s="218"/>
      <c r="D146" s="41"/>
      <c r="E146" s="41"/>
      <c r="F146" s="41"/>
      <c r="G146" s="41"/>
      <c r="H146" s="41"/>
      <c r="I146" s="41"/>
      <c r="J146" s="166"/>
      <c r="K146" s="41"/>
      <c r="L146" s="41"/>
      <c r="M146" s="41"/>
      <c r="N146" s="166"/>
      <c r="O146" s="166"/>
      <c r="P146" s="41"/>
      <c r="Q146" s="41"/>
      <c r="R146" s="41"/>
      <c r="S146" s="41"/>
      <c r="T146" s="41"/>
      <c r="U146" s="41"/>
      <c r="V146" s="41"/>
      <c r="W146" s="41"/>
      <c r="X146" s="41"/>
      <c r="Y146" s="166"/>
      <c r="Z146" s="166"/>
      <c r="AA146" s="41"/>
      <c r="AB146" s="41"/>
      <c r="AC146" s="41"/>
      <c r="AD146" s="41"/>
      <c r="AE146" s="41"/>
      <c r="AF146" s="41"/>
      <c r="AG146" s="41"/>
      <c r="AH146" s="41"/>
      <c r="AI146" s="41"/>
    </row>
    <row r="147" spans="1:35" ht="12" customHeight="1" x14ac:dyDescent="0.2">
      <c r="A147" s="166"/>
      <c r="B147" s="218"/>
      <c r="C147" s="218"/>
      <c r="D147" s="41"/>
      <c r="E147" s="41"/>
      <c r="F147" s="41"/>
      <c r="G147" s="41"/>
      <c r="H147" s="41"/>
      <c r="I147" s="41"/>
      <c r="J147" s="166"/>
      <c r="K147" s="41"/>
      <c r="L147" s="41"/>
      <c r="M147" s="41"/>
      <c r="N147" s="166"/>
      <c r="O147" s="166"/>
      <c r="P147" s="41"/>
      <c r="Q147" s="41"/>
      <c r="R147" s="41"/>
      <c r="S147" s="41"/>
      <c r="T147" s="41"/>
      <c r="U147" s="41"/>
      <c r="V147" s="41"/>
      <c r="W147" s="41"/>
      <c r="X147" s="41"/>
      <c r="Y147" s="166"/>
      <c r="Z147" s="166"/>
      <c r="AA147" s="41"/>
      <c r="AB147" s="41"/>
      <c r="AC147" s="41"/>
      <c r="AD147" s="41"/>
      <c r="AE147" s="41"/>
      <c r="AF147" s="41"/>
      <c r="AG147" s="41"/>
      <c r="AH147" s="41"/>
      <c r="AI147" s="41"/>
    </row>
    <row r="148" spans="1:35" ht="12" customHeight="1" x14ac:dyDescent="0.2">
      <c r="A148" s="166"/>
      <c r="B148" s="218"/>
      <c r="C148" s="218"/>
      <c r="D148" s="41"/>
      <c r="E148" s="41"/>
      <c r="F148" s="41"/>
      <c r="G148" s="41"/>
      <c r="H148" s="41"/>
      <c r="I148" s="41"/>
      <c r="J148" s="166"/>
      <c r="K148" s="41"/>
      <c r="L148" s="41"/>
      <c r="M148" s="41"/>
      <c r="N148" s="166"/>
      <c r="O148" s="166"/>
      <c r="P148" s="41"/>
      <c r="Q148" s="41"/>
      <c r="R148" s="41"/>
      <c r="S148" s="41"/>
      <c r="T148" s="41"/>
      <c r="U148" s="41"/>
      <c r="V148" s="41"/>
      <c r="W148" s="41"/>
      <c r="X148" s="41"/>
      <c r="Y148" s="166"/>
      <c r="Z148" s="166"/>
      <c r="AA148" s="41"/>
      <c r="AB148" s="41"/>
      <c r="AC148" s="41"/>
      <c r="AD148" s="41"/>
      <c r="AE148" s="41"/>
      <c r="AF148" s="41"/>
      <c r="AG148" s="41"/>
      <c r="AH148" s="41"/>
      <c r="AI148" s="41"/>
    </row>
    <row r="149" spans="1:35" ht="12" customHeight="1" x14ac:dyDescent="0.2">
      <c r="A149" s="166"/>
      <c r="B149" s="218"/>
      <c r="C149" s="218"/>
      <c r="D149" s="41"/>
      <c r="E149" s="41"/>
      <c r="F149" s="41"/>
      <c r="G149" s="41"/>
      <c r="H149" s="41"/>
      <c r="I149" s="41"/>
      <c r="J149" s="166"/>
      <c r="K149" s="41"/>
      <c r="L149" s="41"/>
      <c r="M149" s="41"/>
      <c r="N149" s="166"/>
      <c r="O149" s="166"/>
      <c r="P149" s="41"/>
      <c r="Q149" s="41"/>
      <c r="R149" s="41"/>
      <c r="S149" s="41"/>
      <c r="T149" s="41"/>
      <c r="U149" s="41"/>
      <c r="V149" s="41"/>
      <c r="W149" s="41"/>
      <c r="X149" s="41"/>
      <c r="Y149" s="166"/>
      <c r="Z149" s="166"/>
      <c r="AA149" s="41"/>
      <c r="AB149" s="41"/>
      <c r="AC149" s="41"/>
      <c r="AD149" s="41"/>
      <c r="AE149" s="41"/>
      <c r="AF149" s="41"/>
      <c r="AG149" s="41"/>
      <c r="AH149" s="41"/>
      <c r="AI149" s="41"/>
    </row>
    <row r="150" spans="1:35" ht="12" customHeight="1" x14ac:dyDescent="0.2">
      <c r="A150" s="166"/>
      <c r="B150" s="218"/>
      <c r="C150" s="218"/>
      <c r="D150" s="41"/>
      <c r="E150" s="41"/>
      <c r="F150" s="41"/>
      <c r="G150" s="41"/>
      <c r="H150" s="41"/>
      <c r="I150" s="41"/>
      <c r="J150" s="166"/>
      <c r="K150" s="41"/>
      <c r="L150" s="41"/>
      <c r="M150" s="41"/>
      <c r="N150" s="166"/>
      <c r="O150" s="166"/>
      <c r="P150" s="41"/>
      <c r="Q150" s="41"/>
      <c r="R150" s="41"/>
      <c r="S150" s="41"/>
      <c r="T150" s="41"/>
      <c r="U150" s="41"/>
      <c r="V150" s="41"/>
      <c r="W150" s="41"/>
      <c r="X150" s="41"/>
      <c r="Y150" s="166"/>
      <c r="Z150" s="166"/>
      <c r="AA150" s="41"/>
      <c r="AB150" s="41"/>
      <c r="AC150" s="41"/>
      <c r="AD150" s="41"/>
      <c r="AE150" s="41"/>
      <c r="AF150" s="41"/>
      <c r="AG150" s="41"/>
      <c r="AH150" s="41"/>
      <c r="AI150" s="41"/>
    </row>
    <row r="151" spans="1:35" ht="12" customHeight="1" x14ac:dyDescent="0.2">
      <c r="A151" s="166"/>
      <c r="B151" s="218"/>
      <c r="C151" s="218"/>
      <c r="D151" s="41"/>
      <c r="E151" s="41"/>
      <c r="F151" s="41"/>
      <c r="G151" s="41"/>
      <c r="H151" s="41"/>
      <c r="I151" s="41"/>
      <c r="J151" s="166"/>
      <c r="K151" s="41"/>
      <c r="L151" s="41"/>
      <c r="M151" s="41"/>
      <c r="N151" s="166"/>
      <c r="O151" s="166"/>
      <c r="P151" s="41"/>
      <c r="Q151" s="41"/>
      <c r="R151" s="41"/>
      <c r="S151" s="41"/>
      <c r="T151" s="41"/>
      <c r="U151" s="41"/>
      <c r="V151" s="41"/>
      <c r="W151" s="41"/>
      <c r="X151" s="41"/>
      <c r="Y151" s="166"/>
      <c r="Z151" s="166"/>
      <c r="AA151" s="41"/>
      <c r="AB151" s="41"/>
      <c r="AC151" s="41"/>
      <c r="AD151" s="41"/>
      <c r="AE151" s="41"/>
      <c r="AF151" s="41"/>
      <c r="AG151" s="41"/>
      <c r="AH151" s="41"/>
      <c r="AI151" s="41"/>
    </row>
    <row r="152" spans="1:35" ht="12" customHeight="1" x14ac:dyDescent="0.2">
      <c r="A152" s="166"/>
      <c r="B152" s="218"/>
      <c r="C152" s="218"/>
      <c r="D152" s="41"/>
      <c r="E152" s="41"/>
      <c r="F152" s="41"/>
      <c r="G152" s="41"/>
      <c r="H152" s="41"/>
      <c r="I152" s="41"/>
      <c r="J152" s="166"/>
      <c r="K152" s="41"/>
      <c r="L152" s="41"/>
      <c r="M152" s="41"/>
      <c r="N152" s="166"/>
      <c r="O152" s="166"/>
      <c r="P152" s="41"/>
      <c r="Q152" s="41"/>
      <c r="R152" s="41"/>
      <c r="S152" s="41"/>
      <c r="T152" s="41"/>
      <c r="U152" s="41"/>
      <c r="V152" s="41"/>
      <c r="W152" s="41"/>
      <c r="X152" s="41"/>
      <c r="Y152" s="166"/>
      <c r="Z152" s="166"/>
      <c r="AA152" s="41"/>
      <c r="AB152" s="41"/>
      <c r="AC152" s="41"/>
      <c r="AD152" s="41"/>
      <c r="AE152" s="41"/>
      <c r="AF152" s="41"/>
      <c r="AG152" s="41"/>
      <c r="AH152" s="41"/>
      <c r="AI152" s="41"/>
    </row>
    <row r="153" spans="1:35" ht="12" customHeight="1" x14ac:dyDescent="0.2">
      <c r="A153" s="166"/>
      <c r="B153" s="218"/>
      <c r="C153" s="218"/>
      <c r="D153" s="41"/>
      <c r="E153" s="41"/>
      <c r="F153" s="41"/>
      <c r="G153" s="41"/>
      <c r="H153" s="41"/>
      <c r="I153" s="41"/>
      <c r="J153" s="166"/>
      <c r="K153" s="41"/>
      <c r="L153" s="41"/>
      <c r="M153" s="41"/>
      <c r="N153" s="166"/>
      <c r="O153" s="166"/>
      <c r="P153" s="41"/>
      <c r="Q153" s="41"/>
      <c r="R153" s="41"/>
      <c r="S153" s="41"/>
      <c r="T153" s="41"/>
      <c r="U153" s="41"/>
      <c r="V153" s="41"/>
      <c r="W153" s="41"/>
      <c r="X153" s="41"/>
      <c r="Y153" s="166"/>
      <c r="Z153" s="166"/>
      <c r="AA153" s="41"/>
      <c r="AB153" s="41"/>
      <c r="AC153" s="41"/>
      <c r="AD153" s="41"/>
      <c r="AE153" s="41"/>
      <c r="AF153" s="41"/>
      <c r="AG153" s="41"/>
      <c r="AH153" s="41"/>
      <c r="AI153" s="41"/>
    </row>
    <row r="154" spans="1:35" ht="12" customHeight="1" x14ac:dyDescent="0.2">
      <c r="A154" s="166"/>
      <c r="B154" s="218"/>
      <c r="C154" s="218"/>
      <c r="D154" s="41"/>
      <c r="E154" s="41"/>
      <c r="F154" s="41"/>
      <c r="G154" s="41"/>
      <c r="H154" s="41"/>
      <c r="I154" s="41"/>
      <c r="J154" s="166"/>
      <c r="K154" s="41"/>
      <c r="L154" s="41"/>
      <c r="M154" s="41"/>
      <c r="N154" s="166"/>
      <c r="O154" s="166"/>
      <c r="P154" s="41"/>
      <c r="Q154" s="41"/>
      <c r="R154" s="41"/>
      <c r="S154" s="41"/>
      <c r="T154" s="41"/>
      <c r="U154" s="41"/>
      <c r="V154" s="41"/>
      <c r="W154" s="41"/>
      <c r="X154" s="41"/>
      <c r="Y154" s="166"/>
      <c r="Z154" s="166"/>
      <c r="AA154" s="41"/>
      <c r="AB154" s="41"/>
      <c r="AC154" s="41"/>
      <c r="AD154" s="41"/>
      <c r="AE154" s="41"/>
      <c r="AF154" s="41"/>
      <c r="AG154" s="41"/>
      <c r="AH154" s="41"/>
      <c r="AI154" s="41"/>
    </row>
    <row r="155" spans="1:35" ht="12" customHeight="1" x14ac:dyDescent="0.2">
      <c r="A155" s="166"/>
      <c r="B155" s="218"/>
      <c r="C155" s="218"/>
      <c r="D155" s="41"/>
      <c r="E155" s="41"/>
      <c r="F155" s="41"/>
      <c r="G155" s="41"/>
      <c r="H155" s="41"/>
      <c r="I155" s="41"/>
      <c r="J155" s="166"/>
      <c r="K155" s="41"/>
      <c r="L155" s="41"/>
      <c r="M155" s="41"/>
      <c r="N155" s="166"/>
      <c r="O155" s="166"/>
      <c r="P155" s="41"/>
      <c r="Q155" s="41"/>
      <c r="R155" s="41"/>
      <c r="S155" s="41"/>
      <c r="T155" s="41"/>
      <c r="U155" s="41"/>
      <c r="V155" s="41"/>
      <c r="W155" s="41"/>
      <c r="X155" s="41"/>
      <c r="Y155" s="166"/>
      <c r="Z155" s="166"/>
      <c r="AA155" s="41"/>
      <c r="AB155" s="41"/>
      <c r="AC155" s="41"/>
      <c r="AD155" s="41"/>
      <c r="AE155" s="41"/>
      <c r="AF155" s="41"/>
      <c r="AG155" s="41"/>
      <c r="AH155" s="41"/>
      <c r="AI155" s="41"/>
    </row>
    <row r="156" spans="1:35" ht="12" customHeight="1" x14ac:dyDescent="0.2">
      <c r="A156" s="166"/>
      <c r="B156" s="218"/>
      <c r="C156" s="218"/>
      <c r="D156" s="41"/>
      <c r="E156" s="41"/>
      <c r="F156" s="41"/>
      <c r="G156" s="41"/>
      <c r="H156" s="41"/>
      <c r="I156" s="41"/>
      <c r="J156" s="166"/>
      <c r="K156" s="41"/>
      <c r="L156" s="41"/>
      <c r="M156" s="41"/>
      <c r="N156" s="166"/>
      <c r="O156" s="166"/>
      <c r="P156" s="41"/>
      <c r="Q156" s="41"/>
      <c r="R156" s="41"/>
      <c r="S156" s="41"/>
      <c r="T156" s="41"/>
      <c r="U156" s="41"/>
      <c r="V156" s="41"/>
      <c r="W156" s="41"/>
      <c r="X156" s="41"/>
      <c r="Y156" s="166"/>
      <c r="Z156" s="166"/>
      <c r="AA156" s="41"/>
      <c r="AB156" s="41"/>
      <c r="AC156" s="41"/>
      <c r="AD156" s="41"/>
      <c r="AE156" s="41"/>
      <c r="AF156" s="41"/>
      <c r="AG156" s="41"/>
      <c r="AH156" s="41"/>
      <c r="AI156" s="41"/>
    </row>
    <row r="157" spans="1:35" ht="12" customHeight="1" x14ac:dyDescent="0.2">
      <c r="A157" s="166"/>
      <c r="B157" s="218"/>
      <c r="C157" s="218"/>
      <c r="D157" s="41"/>
      <c r="E157" s="41"/>
      <c r="F157" s="41"/>
      <c r="G157" s="41"/>
      <c r="H157" s="41"/>
      <c r="I157" s="41"/>
      <c r="J157" s="166"/>
      <c r="K157" s="41"/>
      <c r="L157" s="41"/>
      <c r="M157" s="41"/>
      <c r="N157" s="166"/>
      <c r="O157" s="166"/>
      <c r="P157" s="41"/>
      <c r="Q157" s="41"/>
      <c r="R157" s="41"/>
      <c r="S157" s="41"/>
      <c r="T157" s="41"/>
      <c r="U157" s="41"/>
      <c r="V157" s="41"/>
      <c r="W157" s="41"/>
      <c r="X157" s="41"/>
      <c r="Y157" s="166"/>
      <c r="Z157" s="166"/>
      <c r="AA157" s="41"/>
      <c r="AB157" s="41"/>
      <c r="AC157" s="41"/>
      <c r="AD157" s="41"/>
      <c r="AE157" s="41"/>
      <c r="AF157" s="41"/>
      <c r="AG157" s="41"/>
      <c r="AH157" s="41"/>
      <c r="AI157" s="41"/>
    </row>
    <row r="158" spans="1:35" ht="12" customHeight="1" x14ac:dyDescent="0.2">
      <c r="A158" s="166"/>
      <c r="B158" s="218"/>
      <c r="C158" s="218"/>
      <c r="D158" s="41"/>
      <c r="E158" s="41"/>
      <c r="F158" s="41"/>
      <c r="G158" s="41"/>
      <c r="H158" s="41"/>
      <c r="I158" s="41"/>
      <c r="J158" s="166"/>
      <c r="K158" s="41"/>
      <c r="L158" s="41"/>
      <c r="M158" s="41"/>
      <c r="N158" s="166"/>
      <c r="O158" s="166"/>
      <c r="P158" s="41"/>
      <c r="Q158" s="41"/>
      <c r="R158" s="41"/>
      <c r="S158" s="41"/>
      <c r="T158" s="41"/>
      <c r="U158" s="41"/>
      <c r="V158" s="41"/>
      <c r="W158" s="41"/>
      <c r="X158" s="41"/>
      <c r="Y158" s="166"/>
      <c r="Z158" s="166"/>
      <c r="AA158" s="41"/>
      <c r="AB158" s="41"/>
      <c r="AC158" s="41"/>
      <c r="AD158" s="41"/>
      <c r="AE158" s="41"/>
      <c r="AF158" s="41"/>
      <c r="AG158" s="41"/>
      <c r="AH158" s="41"/>
      <c r="AI158" s="41"/>
    </row>
    <row r="159" spans="1:35" ht="12" customHeight="1" x14ac:dyDescent="0.2">
      <c r="A159" s="166"/>
      <c r="B159" s="218"/>
      <c r="C159" s="218"/>
      <c r="D159" s="41"/>
      <c r="E159" s="41"/>
      <c r="F159" s="41"/>
      <c r="G159" s="41"/>
      <c r="H159" s="41"/>
      <c r="I159" s="41"/>
      <c r="J159" s="166"/>
      <c r="K159" s="41"/>
      <c r="L159" s="41"/>
      <c r="M159" s="41"/>
      <c r="N159" s="166"/>
      <c r="O159" s="166"/>
      <c r="P159" s="41"/>
      <c r="Q159" s="41"/>
      <c r="R159" s="41"/>
      <c r="S159" s="41"/>
      <c r="T159" s="41"/>
      <c r="U159" s="41"/>
      <c r="V159" s="41"/>
      <c r="W159" s="41"/>
      <c r="X159" s="41"/>
      <c r="Y159" s="166"/>
      <c r="Z159" s="166"/>
      <c r="AA159" s="41"/>
      <c r="AB159" s="41"/>
      <c r="AC159" s="41"/>
      <c r="AD159" s="41"/>
      <c r="AE159" s="41"/>
      <c r="AF159" s="41"/>
      <c r="AG159" s="41"/>
      <c r="AH159" s="41"/>
      <c r="AI159" s="41"/>
    </row>
    <row r="160" spans="1:35" ht="12" customHeight="1" x14ac:dyDescent="0.2">
      <c r="A160" s="166"/>
      <c r="B160" s="218"/>
      <c r="C160" s="218"/>
      <c r="D160" s="41"/>
      <c r="E160" s="41"/>
      <c r="F160" s="41"/>
      <c r="G160" s="41"/>
      <c r="H160" s="41"/>
      <c r="I160" s="41"/>
      <c r="J160" s="166"/>
      <c r="K160" s="41"/>
      <c r="L160" s="41"/>
      <c r="M160" s="41"/>
      <c r="N160" s="166"/>
      <c r="O160" s="166"/>
      <c r="P160" s="41"/>
      <c r="Q160" s="41"/>
      <c r="R160" s="41"/>
      <c r="S160" s="41"/>
      <c r="T160" s="41"/>
      <c r="U160" s="41"/>
      <c r="V160" s="41"/>
      <c r="W160" s="41"/>
      <c r="X160" s="41"/>
      <c r="Y160" s="166"/>
      <c r="Z160" s="166"/>
      <c r="AA160" s="41"/>
      <c r="AB160" s="41"/>
      <c r="AC160" s="41"/>
      <c r="AD160" s="41"/>
      <c r="AE160" s="41"/>
      <c r="AF160" s="41"/>
      <c r="AG160" s="41"/>
      <c r="AH160" s="41"/>
      <c r="AI160" s="41"/>
    </row>
    <row r="161" spans="1:35" ht="12" customHeight="1" x14ac:dyDescent="0.2">
      <c r="A161" s="166"/>
      <c r="B161" s="218"/>
      <c r="C161" s="218"/>
      <c r="D161" s="41"/>
      <c r="E161" s="41"/>
      <c r="F161" s="41"/>
      <c r="G161" s="41"/>
      <c r="H161" s="41"/>
      <c r="I161" s="41"/>
      <c r="J161" s="166"/>
      <c r="K161" s="41"/>
      <c r="L161" s="41"/>
      <c r="M161" s="41"/>
      <c r="N161" s="166"/>
      <c r="O161" s="166"/>
      <c r="P161" s="41"/>
      <c r="Q161" s="41"/>
      <c r="R161" s="41"/>
      <c r="S161" s="41"/>
      <c r="T161" s="41"/>
      <c r="U161" s="41"/>
      <c r="V161" s="41"/>
      <c r="W161" s="41"/>
      <c r="X161" s="41"/>
      <c r="Y161" s="166"/>
      <c r="Z161" s="166"/>
      <c r="AA161" s="41"/>
      <c r="AB161" s="41"/>
      <c r="AC161" s="41"/>
      <c r="AD161" s="41"/>
      <c r="AE161" s="41"/>
      <c r="AF161" s="41"/>
      <c r="AG161" s="41"/>
      <c r="AH161" s="41"/>
      <c r="AI161" s="41"/>
    </row>
    <row r="162" spans="1:35" ht="12" customHeight="1" x14ac:dyDescent="0.2">
      <c r="A162" s="166"/>
      <c r="B162" s="218"/>
      <c r="C162" s="218"/>
      <c r="D162" s="41"/>
      <c r="E162" s="41"/>
      <c r="F162" s="41"/>
      <c r="G162" s="41"/>
      <c r="H162" s="41"/>
      <c r="I162" s="41"/>
      <c r="J162" s="166"/>
      <c r="K162" s="41"/>
      <c r="L162" s="41"/>
      <c r="M162" s="41"/>
      <c r="N162" s="166"/>
      <c r="O162" s="166"/>
      <c r="P162" s="41"/>
      <c r="Q162" s="41"/>
      <c r="R162" s="41"/>
      <c r="S162" s="41"/>
      <c r="T162" s="41"/>
      <c r="U162" s="41"/>
      <c r="V162" s="41"/>
      <c r="W162" s="41"/>
      <c r="X162" s="41"/>
      <c r="Y162" s="166"/>
      <c r="Z162" s="166"/>
      <c r="AA162" s="41"/>
      <c r="AB162" s="41"/>
      <c r="AC162" s="41"/>
      <c r="AD162" s="41"/>
      <c r="AE162" s="41"/>
      <c r="AF162" s="41"/>
      <c r="AG162" s="41"/>
      <c r="AH162" s="41"/>
      <c r="AI162" s="41"/>
    </row>
    <row r="163" spans="1:35" ht="12" customHeight="1" x14ac:dyDescent="0.2">
      <c r="A163" s="166"/>
      <c r="B163" s="218"/>
      <c r="C163" s="218"/>
      <c r="D163" s="41"/>
      <c r="E163" s="41"/>
      <c r="F163" s="41"/>
      <c r="G163" s="41"/>
      <c r="H163" s="41"/>
      <c r="I163" s="41"/>
      <c r="J163" s="166"/>
      <c r="K163" s="41"/>
      <c r="L163" s="41"/>
      <c r="M163" s="41"/>
      <c r="N163" s="166"/>
      <c r="O163" s="166"/>
      <c r="P163" s="41"/>
      <c r="Q163" s="41"/>
      <c r="R163" s="41"/>
      <c r="S163" s="41"/>
      <c r="T163" s="41"/>
      <c r="U163" s="41"/>
      <c r="V163" s="41"/>
      <c r="W163" s="41"/>
      <c r="X163" s="41"/>
      <c r="Y163" s="166"/>
      <c r="Z163" s="166"/>
      <c r="AA163" s="41"/>
      <c r="AB163" s="41"/>
      <c r="AC163" s="41"/>
      <c r="AD163" s="41"/>
      <c r="AE163" s="41"/>
      <c r="AF163" s="41"/>
      <c r="AG163" s="41"/>
      <c r="AH163" s="41"/>
      <c r="AI163" s="41"/>
    </row>
    <row r="164" spans="1:35" ht="12" customHeight="1" x14ac:dyDescent="0.2">
      <c r="A164" s="166"/>
      <c r="B164" s="218"/>
      <c r="C164" s="218"/>
      <c r="D164" s="41"/>
      <c r="E164" s="41"/>
      <c r="F164" s="41"/>
      <c r="G164" s="41"/>
      <c r="H164" s="41"/>
      <c r="I164" s="41"/>
      <c r="J164" s="166"/>
      <c r="K164" s="41"/>
      <c r="L164" s="41"/>
      <c r="M164" s="41"/>
      <c r="N164" s="166"/>
      <c r="O164" s="166"/>
      <c r="P164" s="41"/>
      <c r="Q164" s="41"/>
      <c r="R164" s="41"/>
      <c r="S164" s="41"/>
      <c r="T164" s="41"/>
      <c r="U164" s="41"/>
      <c r="V164" s="41"/>
      <c r="W164" s="41"/>
      <c r="X164" s="41"/>
      <c r="Y164" s="166"/>
      <c r="Z164" s="166"/>
      <c r="AA164" s="41"/>
      <c r="AB164" s="41"/>
      <c r="AC164" s="41"/>
      <c r="AD164" s="41"/>
      <c r="AE164" s="41"/>
      <c r="AF164" s="41"/>
      <c r="AG164" s="41"/>
      <c r="AH164" s="41"/>
      <c r="AI164" s="41"/>
    </row>
    <row r="165" spans="1:35" ht="12" customHeight="1" x14ac:dyDescent="0.2">
      <c r="A165" s="166"/>
      <c r="B165" s="218"/>
      <c r="C165" s="218"/>
      <c r="D165" s="41"/>
      <c r="E165" s="41"/>
      <c r="F165" s="41"/>
      <c r="G165" s="41"/>
      <c r="H165" s="41"/>
      <c r="I165" s="41"/>
      <c r="J165" s="166"/>
      <c r="K165" s="41"/>
      <c r="L165" s="41"/>
      <c r="M165" s="41"/>
      <c r="N165" s="166"/>
      <c r="O165" s="166"/>
      <c r="P165" s="41"/>
      <c r="Q165" s="41"/>
      <c r="R165" s="41"/>
      <c r="S165" s="41"/>
      <c r="T165" s="41"/>
      <c r="U165" s="41"/>
      <c r="V165" s="41"/>
      <c r="W165" s="41"/>
      <c r="X165" s="41"/>
      <c r="Y165" s="166"/>
      <c r="Z165" s="166"/>
      <c r="AA165" s="41"/>
      <c r="AB165" s="41"/>
      <c r="AC165" s="41"/>
      <c r="AD165" s="41"/>
      <c r="AE165" s="41"/>
      <c r="AF165" s="41"/>
      <c r="AG165" s="41"/>
      <c r="AH165" s="41"/>
      <c r="AI165" s="41"/>
    </row>
    <row r="166" spans="1:35" ht="12" customHeight="1" x14ac:dyDescent="0.2">
      <c r="A166" s="166"/>
      <c r="B166" s="218"/>
      <c r="C166" s="218"/>
      <c r="D166" s="41"/>
      <c r="E166" s="41"/>
      <c r="F166" s="41"/>
      <c r="G166" s="41"/>
      <c r="H166" s="41"/>
      <c r="I166" s="41"/>
      <c r="J166" s="166"/>
      <c r="K166" s="41"/>
      <c r="L166" s="41"/>
      <c r="M166" s="41"/>
      <c r="N166" s="166"/>
      <c r="O166" s="166"/>
      <c r="P166" s="41"/>
      <c r="Q166" s="41"/>
      <c r="R166" s="41"/>
      <c r="S166" s="41"/>
      <c r="T166" s="41"/>
      <c r="U166" s="41"/>
      <c r="V166" s="41"/>
      <c r="W166" s="41"/>
      <c r="X166" s="41"/>
      <c r="Y166" s="166"/>
      <c r="Z166" s="166"/>
      <c r="AA166" s="41"/>
      <c r="AB166" s="41"/>
      <c r="AC166" s="41"/>
      <c r="AD166" s="41"/>
      <c r="AE166" s="41"/>
      <c r="AF166" s="41"/>
      <c r="AG166" s="41"/>
      <c r="AH166" s="41"/>
      <c r="AI166" s="41"/>
    </row>
    <row r="167" spans="1:35" ht="12" customHeight="1" x14ac:dyDescent="0.2">
      <c r="A167" s="166"/>
      <c r="B167" s="218"/>
      <c r="C167" s="218"/>
      <c r="D167" s="41"/>
      <c r="E167" s="41"/>
      <c r="F167" s="41"/>
      <c r="G167" s="41"/>
      <c r="H167" s="41"/>
      <c r="I167" s="41"/>
      <c r="J167" s="166"/>
      <c r="K167" s="41"/>
      <c r="L167" s="41"/>
      <c r="M167" s="41"/>
      <c r="N167" s="166"/>
      <c r="O167" s="166"/>
      <c r="P167" s="41"/>
      <c r="Q167" s="41"/>
      <c r="R167" s="41"/>
      <c r="S167" s="41"/>
      <c r="T167" s="41"/>
      <c r="U167" s="41"/>
      <c r="V167" s="41"/>
      <c r="W167" s="41"/>
      <c r="X167" s="41"/>
      <c r="Y167" s="166"/>
      <c r="Z167" s="166"/>
      <c r="AA167" s="41"/>
      <c r="AB167" s="41"/>
      <c r="AC167" s="41"/>
      <c r="AD167" s="41"/>
      <c r="AE167" s="41"/>
      <c r="AF167" s="41"/>
      <c r="AG167" s="41"/>
      <c r="AH167" s="41"/>
      <c r="AI167" s="41"/>
    </row>
    <row r="168" spans="1:35" ht="12" customHeight="1" x14ac:dyDescent="0.2">
      <c r="A168" s="166"/>
      <c r="B168" s="218"/>
      <c r="C168" s="218"/>
      <c r="D168" s="41"/>
      <c r="E168" s="41"/>
      <c r="F168" s="41"/>
      <c r="G168" s="41"/>
      <c r="H168" s="41"/>
      <c r="I168" s="41"/>
      <c r="J168" s="166"/>
      <c r="K168" s="41"/>
      <c r="L168" s="41"/>
      <c r="M168" s="41"/>
      <c r="N168" s="166"/>
      <c r="O168" s="166"/>
      <c r="P168" s="41"/>
      <c r="Q168" s="41"/>
      <c r="R168" s="41"/>
      <c r="S168" s="41"/>
      <c r="T168" s="41"/>
      <c r="U168" s="41"/>
      <c r="V168" s="41"/>
      <c r="W168" s="41"/>
      <c r="X168" s="41"/>
      <c r="Y168" s="166"/>
      <c r="Z168" s="166"/>
      <c r="AA168" s="41"/>
      <c r="AB168" s="41"/>
      <c r="AC168" s="41"/>
      <c r="AD168" s="41"/>
      <c r="AE168" s="41"/>
      <c r="AF168" s="41"/>
      <c r="AG168" s="41"/>
      <c r="AH168" s="41"/>
      <c r="AI168" s="41"/>
    </row>
    <row r="169" spans="1:35" ht="12" customHeight="1" x14ac:dyDescent="0.2">
      <c r="A169" s="166"/>
      <c r="B169" s="218"/>
      <c r="C169" s="218"/>
      <c r="D169" s="41"/>
      <c r="E169" s="41"/>
      <c r="F169" s="41"/>
      <c r="G169" s="41"/>
      <c r="H169" s="41"/>
      <c r="I169" s="41"/>
      <c r="J169" s="166"/>
      <c r="K169" s="41"/>
      <c r="L169" s="41"/>
      <c r="M169" s="41"/>
      <c r="N169" s="166"/>
      <c r="O169" s="166"/>
      <c r="P169" s="41"/>
      <c r="Q169" s="41"/>
      <c r="R169" s="41"/>
      <c r="S169" s="41"/>
      <c r="T169" s="41"/>
      <c r="U169" s="41"/>
      <c r="V169" s="41"/>
      <c r="W169" s="41"/>
      <c r="X169" s="41"/>
      <c r="Y169" s="166"/>
      <c r="Z169" s="166"/>
      <c r="AA169" s="41"/>
      <c r="AB169" s="41"/>
      <c r="AC169" s="41"/>
      <c r="AD169" s="41"/>
      <c r="AE169" s="41"/>
      <c r="AF169" s="41"/>
      <c r="AG169" s="41"/>
      <c r="AH169" s="41"/>
      <c r="AI169" s="41"/>
    </row>
    <row r="170" spans="1:35" ht="12" customHeight="1" x14ac:dyDescent="0.2">
      <c r="A170" s="166"/>
      <c r="B170" s="218"/>
      <c r="C170" s="218"/>
      <c r="D170" s="41"/>
      <c r="E170" s="41"/>
      <c r="F170" s="41"/>
      <c r="G170" s="41"/>
      <c r="H170" s="41"/>
      <c r="I170" s="41"/>
      <c r="J170" s="166"/>
      <c r="K170" s="41"/>
      <c r="L170" s="41"/>
      <c r="M170" s="41"/>
      <c r="N170" s="166"/>
      <c r="O170" s="166"/>
      <c r="P170" s="41"/>
      <c r="Q170" s="41"/>
      <c r="R170" s="41"/>
      <c r="S170" s="41"/>
      <c r="T170" s="41"/>
      <c r="U170" s="41"/>
      <c r="V170" s="41"/>
      <c r="W170" s="41"/>
      <c r="X170" s="41"/>
      <c r="Y170" s="166"/>
      <c r="Z170" s="166"/>
      <c r="AA170" s="41"/>
      <c r="AB170" s="41"/>
      <c r="AC170" s="41"/>
      <c r="AD170" s="41"/>
      <c r="AE170" s="41"/>
      <c r="AF170" s="41"/>
      <c r="AG170" s="41"/>
      <c r="AH170" s="41"/>
      <c r="AI170" s="41"/>
    </row>
    <row r="171" spans="1:35" ht="12" customHeight="1" x14ac:dyDescent="0.2">
      <c r="A171" s="166"/>
      <c r="B171" s="218"/>
      <c r="C171" s="218"/>
      <c r="D171" s="41"/>
      <c r="E171" s="41"/>
      <c r="F171" s="41"/>
      <c r="G171" s="41"/>
      <c r="H171" s="41"/>
      <c r="I171" s="41"/>
      <c r="J171" s="166"/>
      <c r="K171" s="41"/>
      <c r="L171" s="41"/>
      <c r="M171" s="41"/>
      <c r="N171" s="166"/>
      <c r="O171" s="166"/>
      <c r="P171" s="41"/>
      <c r="Q171" s="41"/>
      <c r="R171" s="41"/>
      <c r="S171" s="41"/>
      <c r="T171" s="41"/>
      <c r="U171" s="41"/>
      <c r="V171" s="41"/>
      <c r="W171" s="41"/>
      <c r="X171" s="41"/>
      <c r="Y171" s="166"/>
      <c r="Z171" s="166"/>
      <c r="AA171" s="41"/>
      <c r="AB171" s="41"/>
      <c r="AC171" s="41"/>
      <c r="AD171" s="41"/>
      <c r="AE171" s="41"/>
      <c r="AF171" s="41"/>
      <c r="AG171" s="41"/>
      <c r="AH171" s="41"/>
      <c r="AI171" s="41"/>
    </row>
    <row r="172" spans="1:35" ht="12" customHeight="1" x14ac:dyDescent="0.2">
      <c r="A172" s="166"/>
      <c r="B172" s="218"/>
      <c r="C172" s="218"/>
      <c r="D172" s="41"/>
      <c r="E172" s="41"/>
      <c r="F172" s="41"/>
      <c r="G172" s="41"/>
      <c r="H172" s="41"/>
      <c r="I172" s="41"/>
      <c r="J172" s="166"/>
      <c r="K172" s="41"/>
      <c r="L172" s="41"/>
      <c r="M172" s="41"/>
      <c r="N172" s="166"/>
      <c r="O172" s="166"/>
      <c r="P172" s="41"/>
      <c r="Q172" s="41"/>
      <c r="R172" s="41"/>
      <c r="S172" s="41"/>
      <c r="T172" s="41"/>
      <c r="U172" s="41"/>
      <c r="V172" s="41"/>
      <c r="W172" s="41"/>
      <c r="X172" s="41"/>
      <c r="Y172" s="166"/>
      <c r="Z172" s="166"/>
      <c r="AA172" s="41"/>
      <c r="AB172" s="41"/>
      <c r="AC172" s="41"/>
      <c r="AD172" s="41"/>
      <c r="AE172" s="41"/>
      <c r="AF172" s="41"/>
      <c r="AG172" s="41"/>
      <c r="AH172" s="41"/>
      <c r="AI172" s="41"/>
    </row>
    <row r="173" spans="1:35" ht="12" customHeight="1" x14ac:dyDescent="0.2">
      <c r="A173" s="166"/>
      <c r="B173" s="218"/>
      <c r="C173" s="218"/>
      <c r="D173" s="41"/>
      <c r="E173" s="41"/>
      <c r="F173" s="41"/>
      <c r="G173" s="41"/>
      <c r="H173" s="41"/>
      <c r="I173" s="41"/>
      <c r="J173" s="166"/>
      <c r="K173" s="41"/>
      <c r="L173" s="41"/>
      <c r="M173" s="41"/>
      <c r="N173" s="166"/>
      <c r="O173" s="166"/>
      <c r="P173" s="41"/>
      <c r="Q173" s="41"/>
      <c r="R173" s="41"/>
      <c r="S173" s="41"/>
      <c r="T173" s="41"/>
      <c r="U173" s="41"/>
      <c r="V173" s="41"/>
      <c r="W173" s="41"/>
      <c r="X173" s="41"/>
      <c r="Y173" s="166"/>
      <c r="Z173" s="166"/>
      <c r="AA173" s="41"/>
      <c r="AB173" s="41"/>
      <c r="AC173" s="41"/>
      <c r="AD173" s="41"/>
      <c r="AE173" s="41"/>
      <c r="AF173" s="41"/>
      <c r="AG173" s="41"/>
      <c r="AH173" s="41"/>
      <c r="AI173" s="41"/>
    </row>
    <row r="174" spans="1:35" ht="12" customHeight="1" x14ac:dyDescent="0.2">
      <c r="A174" s="166"/>
      <c r="B174" s="218"/>
      <c r="C174" s="218"/>
      <c r="D174" s="41"/>
      <c r="E174" s="41"/>
      <c r="F174" s="41"/>
      <c r="G174" s="41"/>
      <c r="H174" s="41"/>
      <c r="I174" s="41"/>
      <c r="J174" s="166"/>
      <c r="K174" s="41"/>
      <c r="L174" s="41"/>
      <c r="M174" s="41"/>
      <c r="N174" s="166"/>
      <c r="O174" s="166"/>
      <c r="P174" s="41"/>
      <c r="Q174" s="41"/>
      <c r="R174" s="41"/>
      <c r="S174" s="41"/>
      <c r="T174" s="41"/>
      <c r="U174" s="41"/>
      <c r="V174" s="41"/>
      <c r="W174" s="41"/>
      <c r="X174" s="41"/>
      <c r="Y174" s="166"/>
      <c r="Z174" s="166"/>
      <c r="AA174" s="41"/>
      <c r="AB174" s="41"/>
      <c r="AC174" s="41"/>
      <c r="AD174" s="41"/>
      <c r="AE174" s="41"/>
      <c r="AF174" s="41"/>
      <c r="AG174" s="41"/>
      <c r="AH174" s="41"/>
      <c r="AI174" s="41"/>
    </row>
    <row r="175" spans="1:35" ht="12" customHeight="1" x14ac:dyDescent="0.2">
      <c r="A175" s="166"/>
      <c r="B175" s="218"/>
      <c r="C175" s="218"/>
      <c r="D175" s="41"/>
      <c r="E175" s="41"/>
      <c r="F175" s="41"/>
      <c r="G175" s="41"/>
      <c r="H175" s="41"/>
      <c r="I175" s="41"/>
      <c r="J175" s="166"/>
      <c r="K175" s="41"/>
      <c r="L175" s="41"/>
      <c r="M175" s="41"/>
      <c r="N175" s="166"/>
      <c r="O175" s="166"/>
      <c r="P175" s="41"/>
      <c r="Q175" s="41"/>
      <c r="R175" s="41"/>
      <c r="S175" s="41"/>
      <c r="T175" s="41"/>
      <c r="U175" s="41"/>
      <c r="V175" s="41"/>
      <c r="W175" s="41"/>
      <c r="X175" s="41"/>
      <c r="Y175" s="166"/>
      <c r="Z175" s="166"/>
      <c r="AA175" s="41"/>
      <c r="AB175" s="41"/>
      <c r="AC175" s="41"/>
      <c r="AD175" s="41"/>
      <c r="AE175" s="41"/>
      <c r="AF175" s="41"/>
      <c r="AG175" s="41"/>
      <c r="AH175" s="41"/>
      <c r="AI175" s="41"/>
    </row>
    <row r="176" spans="1:35" ht="12" customHeight="1" x14ac:dyDescent="0.2">
      <c r="A176" s="166"/>
      <c r="B176" s="218"/>
      <c r="C176" s="218"/>
      <c r="D176" s="41"/>
      <c r="E176" s="41"/>
      <c r="F176" s="41"/>
      <c r="G176" s="41"/>
      <c r="H176" s="41"/>
      <c r="I176" s="41"/>
      <c r="J176" s="166"/>
      <c r="K176" s="41"/>
      <c r="L176" s="41"/>
      <c r="M176" s="41"/>
      <c r="N176" s="166"/>
      <c r="O176" s="166"/>
      <c r="P176" s="41"/>
      <c r="Q176" s="41"/>
      <c r="R176" s="41"/>
      <c r="S176" s="41"/>
      <c r="T176" s="41"/>
      <c r="U176" s="41"/>
      <c r="V176" s="41"/>
      <c r="W176" s="41"/>
      <c r="X176" s="41"/>
      <c r="Y176" s="166"/>
      <c r="Z176" s="166"/>
      <c r="AA176" s="41"/>
      <c r="AB176" s="41"/>
      <c r="AC176" s="41"/>
      <c r="AD176" s="41"/>
      <c r="AE176" s="41"/>
      <c r="AF176" s="41"/>
      <c r="AG176" s="41"/>
      <c r="AH176" s="41"/>
      <c r="AI176" s="41"/>
    </row>
    <row r="177" spans="1:35" ht="12" customHeight="1" x14ac:dyDescent="0.2">
      <c r="A177" s="166"/>
      <c r="B177" s="218"/>
      <c r="C177" s="218"/>
      <c r="D177" s="41"/>
      <c r="E177" s="41"/>
      <c r="F177" s="41"/>
      <c r="G177" s="41"/>
      <c r="H177" s="41"/>
      <c r="I177" s="41"/>
      <c r="J177" s="166"/>
      <c r="K177" s="41"/>
      <c r="L177" s="41"/>
      <c r="M177" s="41"/>
      <c r="N177" s="166"/>
      <c r="O177" s="166"/>
      <c r="P177" s="41"/>
      <c r="Q177" s="41"/>
      <c r="R177" s="41"/>
      <c r="S177" s="41"/>
      <c r="T177" s="41"/>
      <c r="U177" s="41"/>
      <c r="V177" s="41"/>
      <c r="W177" s="41"/>
      <c r="X177" s="41"/>
      <c r="Y177" s="166"/>
      <c r="Z177" s="166"/>
      <c r="AA177" s="41"/>
      <c r="AB177" s="41"/>
      <c r="AC177" s="41"/>
      <c r="AD177" s="41"/>
      <c r="AE177" s="41"/>
      <c r="AF177" s="41"/>
      <c r="AG177" s="41"/>
      <c r="AH177" s="41"/>
      <c r="AI177" s="41"/>
    </row>
    <row r="178" spans="1:35" ht="12" customHeight="1" x14ac:dyDescent="0.2">
      <c r="A178" s="166"/>
      <c r="B178" s="218"/>
      <c r="C178" s="218"/>
      <c r="D178" s="41"/>
      <c r="E178" s="41"/>
      <c r="F178" s="41"/>
      <c r="G178" s="41"/>
      <c r="H178" s="41"/>
      <c r="I178" s="41"/>
      <c r="J178" s="166"/>
      <c r="K178" s="41"/>
      <c r="L178" s="41"/>
      <c r="M178" s="41"/>
      <c r="N178" s="166"/>
      <c r="O178" s="166"/>
      <c r="P178" s="41"/>
      <c r="Q178" s="41"/>
      <c r="R178" s="41"/>
      <c r="S178" s="41"/>
      <c r="T178" s="41"/>
      <c r="U178" s="41"/>
      <c r="V178" s="41"/>
      <c r="W178" s="41"/>
      <c r="X178" s="41"/>
      <c r="Y178" s="166"/>
      <c r="Z178" s="166"/>
      <c r="AA178" s="41"/>
      <c r="AB178" s="41"/>
      <c r="AC178" s="41"/>
      <c r="AD178" s="41"/>
      <c r="AE178" s="41"/>
      <c r="AF178" s="41"/>
      <c r="AG178" s="41"/>
      <c r="AH178" s="41"/>
      <c r="AI178" s="41"/>
    </row>
    <row r="179" spans="1:35" ht="12" customHeight="1" x14ac:dyDescent="0.2">
      <c r="A179" s="166"/>
      <c r="B179" s="218"/>
      <c r="C179" s="218"/>
      <c r="D179" s="41"/>
      <c r="E179" s="41"/>
      <c r="F179" s="41"/>
      <c r="G179" s="41"/>
      <c r="H179" s="41"/>
      <c r="I179" s="41"/>
      <c r="J179" s="166"/>
      <c r="K179" s="41"/>
      <c r="L179" s="41"/>
      <c r="M179" s="41"/>
      <c r="N179" s="166"/>
      <c r="O179" s="166"/>
      <c r="P179" s="41"/>
      <c r="Q179" s="41"/>
      <c r="R179" s="41"/>
      <c r="S179" s="41"/>
      <c r="T179" s="41"/>
      <c r="U179" s="41"/>
      <c r="V179" s="41"/>
      <c r="W179" s="41"/>
      <c r="X179" s="41"/>
      <c r="Y179" s="166"/>
      <c r="Z179" s="166"/>
      <c r="AA179" s="41"/>
      <c r="AB179" s="41"/>
      <c r="AC179" s="41"/>
      <c r="AD179" s="41"/>
      <c r="AE179" s="41"/>
      <c r="AF179" s="41"/>
      <c r="AG179" s="41"/>
      <c r="AH179" s="41"/>
      <c r="AI179" s="41"/>
    </row>
    <row r="180" spans="1:35" ht="12" customHeight="1" x14ac:dyDescent="0.2">
      <c r="A180" s="166"/>
      <c r="B180" s="218"/>
      <c r="C180" s="218"/>
      <c r="D180" s="41"/>
      <c r="E180" s="41"/>
      <c r="F180" s="41"/>
      <c r="G180" s="41"/>
      <c r="H180" s="41"/>
      <c r="I180" s="41"/>
      <c r="J180" s="166"/>
      <c r="K180" s="41"/>
      <c r="L180" s="41"/>
      <c r="M180" s="41"/>
      <c r="N180" s="166"/>
      <c r="O180" s="166"/>
      <c r="P180" s="41"/>
      <c r="Q180" s="41"/>
      <c r="R180" s="41"/>
      <c r="S180" s="41"/>
      <c r="T180" s="41"/>
      <c r="U180" s="41"/>
      <c r="V180" s="41"/>
      <c r="W180" s="41"/>
      <c r="X180" s="41"/>
      <c r="Y180" s="166"/>
      <c r="Z180" s="166"/>
      <c r="AA180" s="41"/>
      <c r="AB180" s="41"/>
      <c r="AC180" s="41"/>
      <c r="AD180" s="41"/>
      <c r="AE180" s="41"/>
      <c r="AF180" s="41"/>
      <c r="AG180" s="41"/>
      <c r="AH180" s="41"/>
      <c r="AI180" s="41"/>
    </row>
    <row r="181" spans="1:35" ht="12" customHeight="1" x14ac:dyDescent="0.2">
      <c r="A181" s="166"/>
      <c r="B181" s="218"/>
      <c r="C181" s="218"/>
      <c r="D181" s="41"/>
      <c r="E181" s="41"/>
      <c r="F181" s="41"/>
      <c r="G181" s="41"/>
      <c r="H181" s="41"/>
      <c r="I181" s="41"/>
      <c r="J181" s="166"/>
      <c r="K181" s="41"/>
      <c r="L181" s="41"/>
      <c r="M181" s="41"/>
      <c r="N181" s="166"/>
      <c r="O181" s="166"/>
      <c r="P181" s="41"/>
      <c r="Q181" s="41"/>
      <c r="R181" s="41"/>
      <c r="S181" s="41"/>
      <c r="T181" s="41"/>
      <c r="U181" s="41"/>
      <c r="V181" s="41"/>
      <c r="W181" s="41"/>
      <c r="X181" s="41"/>
      <c r="Y181" s="166"/>
      <c r="Z181" s="166"/>
      <c r="AA181" s="41"/>
      <c r="AB181" s="41"/>
      <c r="AC181" s="41"/>
      <c r="AD181" s="41"/>
      <c r="AE181" s="41"/>
      <c r="AF181" s="41"/>
      <c r="AG181" s="41"/>
      <c r="AH181" s="41"/>
      <c r="AI181" s="41"/>
    </row>
    <row r="182" spans="1:35" ht="12" customHeight="1" x14ac:dyDescent="0.2">
      <c r="A182" s="166"/>
      <c r="B182" s="218"/>
      <c r="C182" s="218"/>
      <c r="D182" s="41"/>
      <c r="E182" s="41"/>
      <c r="F182" s="41"/>
      <c r="G182" s="41"/>
      <c r="H182" s="41"/>
      <c r="I182" s="41"/>
      <c r="J182" s="166"/>
      <c r="K182" s="41"/>
      <c r="L182" s="41"/>
      <c r="M182" s="41"/>
      <c r="N182" s="166"/>
      <c r="O182" s="166"/>
      <c r="P182" s="41"/>
      <c r="Q182" s="41"/>
      <c r="R182" s="41"/>
      <c r="S182" s="41"/>
      <c r="T182" s="41"/>
      <c r="U182" s="41"/>
      <c r="V182" s="41"/>
      <c r="W182" s="41"/>
      <c r="X182" s="41"/>
      <c r="Y182" s="166"/>
      <c r="Z182" s="166"/>
      <c r="AA182" s="41"/>
      <c r="AB182" s="41"/>
      <c r="AC182" s="41"/>
      <c r="AD182" s="41"/>
      <c r="AE182" s="41"/>
      <c r="AF182" s="41"/>
      <c r="AG182" s="41"/>
      <c r="AH182" s="41"/>
      <c r="AI182" s="41"/>
    </row>
    <row r="183" spans="1:35" ht="12" customHeight="1" x14ac:dyDescent="0.2">
      <c r="A183" s="166"/>
      <c r="B183" s="218"/>
      <c r="C183" s="218"/>
      <c r="D183" s="41"/>
      <c r="E183" s="41"/>
      <c r="F183" s="41"/>
      <c r="G183" s="41"/>
      <c r="H183" s="41"/>
      <c r="I183" s="41"/>
      <c r="J183" s="166"/>
      <c r="K183" s="41"/>
      <c r="L183" s="41"/>
      <c r="M183" s="41"/>
      <c r="N183" s="166"/>
      <c r="O183" s="166"/>
      <c r="P183" s="41"/>
      <c r="Q183" s="41"/>
      <c r="R183" s="41"/>
      <c r="S183" s="41"/>
      <c r="T183" s="41"/>
      <c r="U183" s="41"/>
      <c r="V183" s="41"/>
      <c r="W183" s="41"/>
      <c r="X183" s="41"/>
      <c r="Y183" s="166"/>
      <c r="Z183" s="166"/>
      <c r="AA183" s="41"/>
      <c r="AB183" s="41"/>
      <c r="AC183" s="41"/>
      <c r="AD183" s="41"/>
      <c r="AE183" s="41"/>
      <c r="AF183" s="41"/>
      <c r="AG183" s="41"/>
      <c r="AH183" s="41"/>
      <c r="AI183" s="41"/>
    </row>
    <row r="184" spans="1:35" ht="12" customHeight="1" x14ac:dyDescent="0.2">
      <c r="A184" s="166"/>
      <c r="B184" s="218"/>
      <c r="C184" s="218"/>
      <c r="D184" s="41"/>
      <c r="E184" s="41"/>
      <c r="F184" s="41"/>
      <c r="G184" s="41"/>
      <c r="H184" s="41"/>
      <c r="I184" s="41"/>
      <c r="J184" s="166"/>
      <c r="K184" s="41"/>
      <c r="L184" s="41"/>
      <c r="M184" s="41"/>
      <c r="N184" s="166"/>
      <c r="O184" s="166"/>
      <c r="P184" s="41"/>
      <c r="Q184" s="41"/>
      <c r="R184" s="41"/>
      <c r="S184" s="41"/>
      <c r="T184" s="41"/>
      <c r="U184" s="41"/>
      <c r="V184" s="41"/>
      <c r="W184" s="41"/>
      <c r="X184" s="41"/>
      <c r="Y184" s="166"/>
      <c r="Z184" s="166"/>
      <c r="AA184" s="41"/>
      <c r="AB184" s="41"/>
      <c r="AC184" s="41"/>
      <c r="AD184" s="41"/>
      <c r="AE184" s="41"/>
      <c r="AF184" s="41"/>
      <c r="AG184" s="41"/>
      <c r="AH184" s="41"/>
      <c r="AI184" s="41"/>
    </row>
    <row r="185" spans="1:35" ht="12" customHeight="1" x14ac:dyDescent="0.2">
      <c r="A185" s="166"/>
      <c r="B185" s="218"/>
      <c r="C185" s="218"/>
      <c r="D185" s="41"/>
      <c r="E185" s="41"/>
      <c r="F185" s="41"/>
      <c r="G185" s="41"/>
      <c r="H185" s="41"/>
      <c r="I185" s="41"/>
      <c r="J185" s="166"/>
      <c r="K185" s="41"/>
      <c r="L185" s="41"/>
      <c r="M185" s="41"/>
      <c r="N185" s="166"/>
      <c r="O185" s="166"/>
      <c r="P185" s="41"/>
      <c r="Q185" s="41"/>
      <c r="R185" s="41"/>
      <c r="S185" s="41"/>
      <c r="T185" s="41"/>
      <c r="U185" s="41"/>
      <c r="V185" s="41"/>
      <c r="W185" s="41"/>
      <c r="X185" s="41"/>
      <c r="Y185" s="166"/>
      <c r="Z185" s="166"/>
      <c r="AA185" s="41"/>
      <c r="AB185" s="41"/>
      <c r="AC185" s="41"/>
      <c r="AD185" s="41"/>
      <c r="AE185" s="41"/>
      <c r="AF185" s="41"/>
      <c r="AG185" s="41"/>
      <c r="AH185" s="41"/>
      <c r="AI185" s="41"/>
    </row>
    <row r="186" spans="1:35" ht="12" customHeight="1" x14ac:dyDescent="0.2">
      <c r="A186" s="166"/>
      <c r="B186" s="218"/>
      <c r="C186" s="218"/>
      <c r="D186" s="41"/>
      <c r="E186" s="41"/>
      <c r="F186" s="41"/>
      <c r="G186" s="41"/>
      <c r="H186" s="41"/>
      <c r="I186" s="41"/>
      <c r="J186" s="166"/>
      <c r="K186" s="41"/>
      <c r="L186" s="41"/>
      <c r="M186" s="41"/>
      <c r="N186" s="166"/>
      <c r="O186" s="166"/>
      <c r="P186" s="41"/>
      <c r="Q186" s="41"/>
      <c r="R186" s="41"/>
      <c r="S186" s="41"/>
      <c r="T186" s="41"/>
      <c r="U186" s="41"/>
      <c r="V186" s="41"/>
      <c r="W186" s="41"/>
      <c r="X186" s="41"/>
      <c r="Y186" s="166"/>
      <c r="Z186" s="166"/>
      <c r="AA186" s="41"/>
      <c r="AB186" s="41"/>
      <c r="AC186" s="41"/>
      <c r="AD186" s="41"/>
      <c r="AE186" s="41"/>
      <c r="AF186" s="41"/>
      <c r="AG186" s="41"/>
      <c r="AH186" s="41"/>
      <c r="AI186" s="41"/>
    </row>
    <row r="187" spans="1:35" ht="12" customHeight="1" x14ac:dyDescent="0.2">
      <c r="A187" s="166"/>
      <c r="B187" s="218"/>
      <c r="C187" s="218"/>
      <c r="D187" s="41"/>
      <c r="E187" s="41"/>
      <c r="F187" s="41"/>
      <c r="G187" s="41"/>
      <c r="H187" s="41"/>
      <c r="I187" s="41"/>
      <c r="J187" s="166"/>
      <c r="K187" s="41"/>
      <c r="L187" s="41"/>
      <c r="M187" s="41"/>
      <c r="N187" s="166"/>
      <c r="O187" s="166"/>
      <c r="P187" s="41"/>
      <c r="Q187" s="41"/>
      <c r="R187" s="41"/>
      <c r="S187" s="41"/>
      <c r="T187" s="41"/>
      <c r="U187" s="41"/>
      <c r="V187" s="41"/>
      <c r="W187" s="41"/>
      <c r="X187" s="41"/>
      <c r="Y187" s="166"/>
      <c r="Z187" s="166"/>
      <c r="AA187" s="41"/>
      <c r="AB187" s="41"/>
      <c r="AC187" s="41"/>
      <c r="AD187" s="41"/>
      <c r="AE187" s="41"/>
      <c r="AF187" s="41"/>
      <c r="AG187" s="41"/>
      <c r="AH187" s="41"/>
      <c r="AI187" s="41"/>
    </row>
    <row r="188" spans="1:35" ht="12" customHeight="1" x14ac:dyDescent="0.2">
      <c r="A188" s="166"/>
      <c r="B188" s="218"/>
      <c r="C188" s="218"/>
      <c r="D188" s="41"/>
      <c r="E188" s="41"/>
      <c r="F188" s="41"/>
      <c r="G188" s="41"/>
      <c r="H188" s="41"/>
      <c r="I188" s="41"/>
      <c r="J188" s="166"/>
      <c r="K188" s="41"/>
      <c r="L188" s="41"/>
      <c r="M188" s="41"/>
      <c r="N188" s="166"/>
      <c r="O188" s="166"/>
      <c r="P188" s="41"/>
      <c r="Q188" s="41"/>
      <c r="R188" s="41"/>
      <c r="S188" s="41"/>
      <c r="T188" s="41"/>
      <c r="U188" s="41"/>
      <c r="V188" s="41"/>
      <c r="W188" s="41"/>
      <c r="X188" s="41"/>
      <c r="Y188" s="166"/>
      <c r="Z188" s="166"/>
      <c r="AA188" s="41"/>
      <c r="AB188" s="41"/>
      <c r="AC188" s="41"/>
      <c r="AD188" s="41"/>
      <c r="AE188" s="41"/>
      <c r="AF188" s="41"/>
      <c r="AG188" s="41"/>
      <c r="AH188" s="41"/>
      <c r="AI188" s="41"/>
    </row>
    <row r="189" spans="1:35" ht="12" customHeight="1" x14ac:dyDescent="0.2">
      <c r="A189" s="166"/>
      <c r="B189" s="218"/>
      <c r="C189" s="218"/>
      <c r="D189" s="41"/>
      <c r="E189" s="41"/>
      <c r="F189" s="41"/>
      <c r="G189" s="41"/>
      <c r="H189" s="41"/>
      <c r="I189" s="41"/>
      <c r="J189" s="166"/>
      <c r="K189" s="41"/>
      <c r="L189" s="41"/>
      <c r="M189" s="41"/>
      <c r="N189" s="166"/>
      <c r="O189" s="166"/>
      <c r="P189" s="41"/>
      <c r="Q189" s="41"/>
      <c r="R189" s="41"/>
      <c r="S189" s="41"/>
      <c r="T189" s="41"/>
      <c r="U189" s="41"/>
      <c r="V189" s="41"/>
      <c r="W189" s="41"/>
      <c r="X189" s="41"/>
      <c r="Y189" s="166"/>
      <c r="Z189" s="166"/>
      <c r="AA189" s="41"/>
      <c r="AB189" s="41"/>
      <c r="AC189" s="41"/>
      <c r="AD189" s="41"/>
      <c r="AE189" s="41"/>
      <c r="AF189" s="41"/>
      <c r="AG189" s="41"/>
      <c r="AH189" s="41"/>
      <c r="AI189" s="41"/>
    </row>
    <row r="190" spans="1:35" ht="12" customHeight="1" x14ac:dyDescent="0.2">
      <c r="A190" s="166"/>
      <c r="B190" s="218"/>
      <c r="C190" s="218"/>
      <c r="D190" s="41"/>
      <c r="E190" s="41"/>
      <c r="F190" s="41"/>
      <c r="G190" s="41"/>
      <c r="H190" s="41"/>
      <c r="I190" s="41"/>
      <c r="J190" s="166"/>
      <c r="K190" s="41"/>
      <c r="L190" s="41"/>
      <c r="M190" s="41"/>
      <c r="N190" s="166"/>
      <c r="O190" s="166"/>
      <c r="P190" s="41"/>
      <c r="Q190" s="41"/>
      <c r="R190" s="41"/>
      <c r="S190" s="41"/>
      <c r="T190" s="41"/>
      <c r="U190" s="41"/>
      <c r="V190" s="41"/>
      <c r="W190" s="41"/>
      <c r="X190" s="41"/>
      <c r="Y190" s="166"/>
      <c r="Z190" s="166"/>
      <c r="AA190" s="41"/>
      <c r="AB190" s="41"/>
      <c r="AC190" s="41"/>
      <c r="AD190" s="41"/>
      <c r="AE190" s="41"/>
      <c r="AF190" s="41"/>
      <c r="AG190" s="41"/>
      <c r="AH190" s="41"/>
      <c r="AI190" s="41"/>
    </row>
    <row r="191" spans="1:35" ht="12" customHeight="1" x14ac:dyDescent="0.2">
      <c r="A191" s="166"/>
      <c r="B191" s="218"/>
      <c r="C191" s="218"/>
      <c r="D191" s="41"/>
      <c r="E191" s="41"/>
      <c r="F191" s="41"/>
      <c r="G191" s="41"/>
      <c r="H191" s="41"/>
      <c r="I191" s="41"/>
      <c r="J191" s="166"/>
      <c r="K191" s="41"/>
      <c r="L191" s="41"/>
      <c r="M191" s="41"/>
      <c r="N191" s="166"/>
      <c r="O191" s="166"/>
      <c r="P191" s="41"/>
      <c r="Q191" s="41"/>
      <c r="R191" s="41"/>
      <c r="S191" s="41"/>
      <c r="T191" s="41"/>
      <c r="U191" s="41"/>
      <c r="V191" s="41"/>
      <c r="W191" s="41"/>
      <c r="X191" s="41"/>
      <c r="Y191" s="166"/>
      <c r="Z191" s="166"/>
      <c r="AA191" s="41"/>
      <c r="AB191" s="41"/>
      <c r="AC191" s="41"/>
      <c r="AD191" s="41"/>
      <c r="AE191" s="41"/>
      <c r="AF191" s="41"/>
      <c r="AG191" s="41"/>
      <c r="AH191" s="41"/>
      <c r="AI191" s="41"/>
    </row>
    <row r="192" spans="1:35" ht="12" customHeight="1" x14ac:dyDescent="0.2">
      <c r="A192" s="166"/>
      <c r="B192" s="218"/>
      <c r="C192" s="218"/>
      <c r="D192" s="41"/>
      <c r="E192" s="41"/>
      <c r="F192" s="41"/>
      <c r="G192" s="41"/>
      <c r="H192" s="41"/>
      <c r="I192" s="41"/>
      <c r="J192" s="166"/>
      <c r="K192" s="41"/>
      <c r="L192" s="41"/>
      <c r="M192" s="41"/>
      <c r="N192" s="166"/>
      <c r="O192" s="166"/>
      <c r="P192" s="41"/>
      <c r="Q192" s="41"/>
      <c r="R192" s="41"/>
      <c r="S192" s="41"/>
      <c r="T192" s="41"/>
      <c r="U192" s="41"/>
      <c r="V192" s="41"/>
      <c r="W192" s="41"/>
      <c r="X192" s="41"/>
      <c r="Y192" s="166"/>
      <c r="Z192" s="166"/>
      <c r="AA192" s="41"/>
      <c r="AB192" s="41"/>
      <c r="AC192" s="41"/>
      <c r="AD192" s="41"/>
      <c r="AE192" s="41"/>
      <c r="AF192" s="41"/>
      <c r="AG192" s="41"/>
      <c r="AH192" s="41"/>
      <c r="AI192" s="41"/>
    </row>
    <row r="193" spans="1:35" ht="12" customHeight="1" x14ac:dyDescent="0.2">
      <c r="A193" s="166"/>
      <c r="B193" s="218"/>
      <c r="C193" s="218"/>
      <c r="D193" s="41"/>
      <c r="E193" s="41"/>
      <c r="F193" s="41"/>
      <c r="G193" s="41"/>
      <c r="H193" s="41"/>
      <c r="I193" s="41"/>
      <c r="J193" s="166"/>
      <c r="K193" s="41"/>
      <c r="L193" s="41"/>
      <c r="M193" s="41"/>
      <c r="N193" s="166"/>
      <c r="O193" s="166"/>
      <c r="P193" s="41"/>
      <c r="Q193" s="41"/>
      <c r="R193" s="41"/>
      <c r="S193" s="41"/>
      <c r="T193" s="41"/>
      <c r="U193" s="41"/>
      <c r="V193" s="41"/>
      <c r="W193" s="41"/>
      <c r="X193" s="41"/>
      <c r="Y193" s="166"/>
      <c r="Z193" s="166"/>
      <c r="AA193" s="41"/>
      <c r="AB193" s="41"/>
      <c r="AC193" s="41"/>
      <c r="AD193" s="41"/>
      <c r="AE193" s="41"/>
      <c r="AF193" s="41"/>
      <c r="AG193" s="41"/>
      <c r="AH193" s="41"/>
      <c r="AI193" s="41"/>
    </row>
    <row r="194" spans="1:35" ht="12" customHeight="1" x14ac:dyDescent="0.2">
      <c r="A194" s="166"/>
      <c r="B194" s="218"/>
      <c r="C194" s="218"/>
      <c r="D194" s="41"/>
      <c r="E194" s="41"/>
      <c r="F194" s="41"/>
      <c r="G194" s="41"/>
      <c r="H194" s="41"/>
      <c r="I194" s="41"/>
      <c r="J194" s="166"/>
      <c r="K194" s="41"/>
      <c r="L194" s="41"/>
      <c r="M194" s="41"/>
      <c r="N194" s="166"/>
      <c r="O194" s="166"/>
      <c r="P194" s="41"/>
      <c r="Q194" s="41"/>
      <c r="R194" s="41"/>
      <c r="S194" s="41"/>
      <c r="T194" s="41"/>
      <c r="U194" s="41"/>
      <c r="V194" s="41"/>
      <c r="W194" s="41"/>
      <c r="X194" s="41"/>
      <c r="Y194" s="166"/>
      <c r="Z194" s="166"/>
      <c r="AA194" s="41"/>
      <c r="AB194" s="41"/>
      <c r="AC194" s="41"/>
      <c r="AD194" s="41"/>
      <c r="AE194" s="41"/>
      <c r="AF194" s="41"/>
      <c r="AG194" s="41"/>
      <c r="AH194" s="41"/>
      <c r="AI194" s="41"/>
    </row>
    <row r="195" spans="1:35" ht="12" customHeight="1" x14ac:dyDescent="0.2">
      <c r="A195" s="166"/>
      <c r="B195" s="218"/>
      <c r="C195" s="218"/>
      <c r="D195" s="41"/>
      <c r="E195" s="41"/>
      <c r="F195" s="41"/>
      <c r="G195" s="41"/>
      <c r="H195" s="41"/>
      <c r="I195" s="41"/>
      <c r="J195" s="166"/>
      <c r="K195" s="41"/>
      <c r="L195" s="41"/>
      <c r="M195" s="41"/>
      <c r="N195" s="166"/>
      <c r="O195" s="166"/>
      <c r="P195" s="41"/>
      <c r="Q195" s="41"/>
      <c r="R195" s="41"/>
      <c r="S195" s="41"/>
      <c r="T195" s="41"/>
      <c r="U195" s="41"/>
      <c r="V195" s="41"/>
      <c r="W195" s="41"/>
      <c r="X195" s="41"/>
      <c r="Y195" s="166"/>
      <c r="Z195" s="166"/>
      <c r="AA195" s="41"/>
      <c r="AB195" s="41"/>
      <c r="AC195" s="41"/>
      <c r="AD195" s="41"/>
      <c r="AE195" s="41"/>
      <c r="AF195" s="41"/>
      <c r="AG195" s="41"/>
      <c r="AH195" s="41"/>
      <c r="AI195" s="41"/>
    </row>
    <row r="196" spans="1:35" ht="12" customHeight="1" x14ac:dyDescent="0.2">
      <c r="A196" s="166"/>
      <c r="B196" s="218"/>
      <c r="C196" s="218"/>
      <c r="D196" s="41"/>
      <c r="E196" s="41"/>
      <c r="F196" s="41"/>
      <c r="G196" s="41"/>
      <c r="H196" s="41"/>
      <c r="I196" s="41"/>
      <c r="J196" s="166"/>
      <c r="K196" s="41"/>
      <c r="L196" s="41"/>
      <c r="M196" s="41"/>
      <c r="N196" s="166"/>
      <c r="O196" s="166"/>
      <c r="P196" s="41"/>
      <c r="Q196" s="41"/>
      <c r="R196" s="41"/>
      <c r="S196" s="41"/>
      <c r="T196" s="41"/>
      <c r="U196" s="41"/>
      <c r="V196" s="41"/>
      <c r="W196" s="41"/>
      <c r="X196" s="41"/>
      <c r="Y196" s="166"/>
      <c r="Z196" s="166"/>
      <c r="AA196" s="41"/>
      <c r="AB196" s="41"/>
      <c r="AC196" s="41"/>
      <c r="AD196" s="41"/>
      <c r="AE196" s="41"/>
      <c r="AF196" s="41"/>
      <c r="AG196" s="41"/>
      <c r="AH196" s="41"/>
      <c r="AI196" s="41"/>
    </row>
    <row r="197" spans="1:35" ht="12" customHeight="1" x14ac:dyDescent="0.2">
      <c r="A197" s="166"/>
      <c r="B197" s="218"/>
      <c r="C197" s="218"/>
      <c r="D197" s="41"/>
      <c r="E197" s="41"/>
      <c r="F197" s="41"/>
      <c r="G197" s="41"/>
      <c r="H197" s="41"/>
      <c r="I197" s="41"/>
      <c r="J197" s="166"/>
      <c r="K197" s="41"/>
      <c r="L197" s="41"/>
      <c r="M197" s="41"/>
      <c r="N197" s="166"/>
      <c r="O197" s="166"/>
      <c r="P197" s="41"/>
      <c r="Q197" s="41"/>
      <c r="R197" s="41"/>
      <c r="S197" s="41"/>
      <c r="T197" s="41"/>
      <c r="U197" s="41"/>
      <c r="V197" s="41"/>
      <c r="W197" s="41"/>
      <c r="X197" s="41"/>
      <c r="Y197" s="166"/>
      <c r="Z197" s="166"/>
      <c r="AA197" s="41"/>
      <c r="AB197" s="41"/>
      <c r="AC197" s="41"/>
      <c r="AD197" s="41"/>
      <c r="AE197" s="41"/>
      <c r="AF197" s="41"/>
      <c r="AG197" s="41"/>
      <c r="AH197" s="41"/>
      <c r="AI197" s="41"/>
    </row>
    <row r="198" spans="1:35" ht="12" customHeight="1" x14ac:dyDescent="0.2">
      <c r="A198" s="166"/>
      <c r="B198" s="218"/>
      <c r="C198" s="218"/>
      <c r="D198" s="41"/>
      <c r="E198" s="41"/>
      <c r="F198" s="41"/>
      <c r="G198" s="41"/>
      <c r="H198" s="41"/>
      <c r="I198" s="41"/>
      <c r="J198" s="166"/>
      <c r="K198" s="41"/>
      <c r="L198" s="41"/>
      <c r="M198" s="41"/>
      <c r="N198" s="166"/>
      <c r="O198" s="166"/>
      <c r="P198" s="41"/>
      <c r="Q198" s="41"/>
      <c r="R198" s="41"/>
      <c r="S198" s="41"/>
      <c r="T198" s="41"/>
      <c r="U198" s="41"/>
      <c r="V198" s="41"/>
      <c r="W198" s="41"/>
      <c r="X198" s="41"/>
      <c r="Y198" s="166"/>
      <c r="Z198" s="166"/>
      <c r="AA198" s="41"/>
      <c r="AB198" s="41"/>
      <c r="AC198" s="41"/>
      <c r="AD198" s="41"/>
      <c r="AE198" s="41"/>
      <c r="AF198" s="41"/>
      <c r="AG198" s="41"/>
      <c r="AH198" s="41"/>
      <c r="AI198" s="41"/>
    </row>
    <row r="199" spans="1:35" ht="12" customHeight="1" x14ac:dyDescent="0.2">
      <c r="A199" s="166"/>
      <c r="B199" s="218"/>
      <c r="C199" s="218"/>
      <c r="D199" s="41"/>
      <c r="E199" s="41"/>
      <c r="F199" s="41"/>
      <c r="G199" s="41"/>
      <c r="H199" s="41"/>
      <c r="I199" s="41"/>
      <c r="J199" s="166"/>
      <c r="K199" s="41"/>
      <c r="L199" s="41"/>
      <c r="M199" s="41"/>
      <c r="N199" s="166"/>
      <c r="O199" s="166"/>
      <c r="P199" s="41"/>
      <c r="Q199" s="41"/>
      <c r="R199" s="41"/>
      <c r="S199" s="41"/>
      <c r="T199" s="41"/>
      <c r="U199" s="41"/>
      <c r="V199" s="41"/>
      <c r="W199" s="41"/>
      <c r="X199" s="41"/>
      <c r="Y199" s="166"/>
      <c r="Z199" s="166"/>
      <c r="AA199" s="41"/>
      <c r="AB199" s="41"/>
      <c r="AC199" s="41"/>
      <c r="AD199" s="41"/>
      <c r="AE199" s="41"/>
      <c r="AF199" s="41"/>
      <c r="AG199" s="41"/>
      <c r="AH199" s="41"/>
      <c r="AI199" s="41"/>
    </row>
    <row r="200" spans="1:35" ht="12" customHeight="1" x14ac:dyDescent="0.2">
      <c r="A200" s="166"/>
      <c r="B200" s="218"/>
      <c r="C200" s="218"/>
      <c r="D200" s="41"/>
      <c r="E200" s="41"/>
      <c r="F200" s="41"/>
      <c r="G200" s="41"/>
      <c r="H200" s="41"/>
      <c r="I200" s="41"/>
      <c r="J200" s="166"/>
      <c r="K200" s="41"/>
      <c r="L200" s="41"/>
      <c r="M200" s="41"/>
      <c r="N200" s="166"/>
      <c r="O200" s="166"/>
      <c r="P200" s="41"/>
      <c r="Q200" s="41"/>
      <c r="R200" s="41"/>
      <c r="S200" s="41"/>
      <c r="T200" s="41"/>
      <c r="U200" s="41"/>
      <c r="V200" s="41"/>
      <c r="W200" s="41"/>
      <c r="X200" s="41"/>
      <c r="Y200" s="166"/>
      <c r="Z200" s="166"/>
      <c r="AA200" s="41"/>
      <c r="AB200" s="41"/>
      <c r="AC200" s="41"/>
      <c r="AD200" s="41"/>
      <c r="AE200" s="41"/>
      <c r="AF200" s="41"/>
      <c r="AG200" s="41"/>
      <c r="AH200" s="41"/>
      <c r="AI200" s="41"/>
    </row>
    <row r="201" spans="1:35" ht="12" customHeight="1" x14ac:dyDescent="0.2">
      <c r="A201" s="166"/>
      <c r="B201" s="218"/>
      <c r="C201" s="218"/>
      <c r="D201" s="41"/>
      <c r="E201" s="41"/>
      <c r="F201" s="41"/>
      <c r="G201" s="41"/>
      <c r="H201" s="41"/>
      <c r="I201" s="41"/>
      <c r="J201" s="166"/>
      <c r="K201" s="41"/>
      <c r="L201" s="41"/>
      <c r="M201" s="41"/>
      <c r="N201" s="166"/>
      <c r="O201" s="166"/>
      <c r="P201" s="41"/>
      <c r="Q201" s="41"/>
      <c r="R201" s="41"/>
      <c r="S201" s="41"/>
      <c r="T201" s="41"/>
      <c r="U201" s="41"/>
      <c r="V201" s="41"/>
      <c r="W201" s="41"/>
      <c r="X201" s="41"/>
      <c r="Y201" s="166"/>
      <c r="Z201" s="166"/>
      <c r="AA201" s="41"/>
      <c r="AB201" s="41"/>
      <c r="AC201" s="41"/>
      <c r="AD201" s="41"/>
      <c r="AE201" s="41"/>
      <c r="AF201" s="41"/>
      <c r="AG201" s="41"/>
      <c r="AH201" s="41"/>
      <c r="AI201" s="41"/>
    </row>
    <row r="202" spans="1:35" ht="12" customHeight="1" x14ac:dyDescent="0.2">
      <c r="A202" s="166"/>
      <c r="B202" s="218"/>
      <c r="C202" s="218"/>
      <c r="D202" s="41"/>
      <c r="E202" s="41"/>
      <c r="F202" s="41"/>
      <c r="G202" s="41"/>
      <c r="H202" s="41"/>
      <c r="I202" s="41"/>
      <c r="J202" s="166"/>
      <c r="K202" s="41"/>
      <c r="L202" s="41"/>
      <c r="M202" s="41"/>
      <c r="N202" s="166"/>
      <c r="O202" s="166"/>
      <c r="P202" s="41"/>
      <c r="Q202" s="41"/>
      <c r="R202" s="41"/>
      <c r="S202" s="41"/>
      <c r="T202" s="41"/>
      <c r="U202" s="41"/>
      <c r="V202" s="41"/>
      <c r="W202" s="41"/>
      <c r="X202" s="41"/>
      <c r="Y202" s="166"/>
      <c r="Z202" s="166"/>
      <c r="AA202" s="41"/>
      <c r="AB202" s="41"/>
      <c r="AC202" s="41"/>
      <c r="AD202" s="41"/>
      <c r="AE202" s="41"/>
      <c r="AF202" s="41"/>
      <c r="AG202" s="41"/>
      <c r="AH202" s="41"/>
      <c r="AI202" s="41"/>
    </row>
    <row r="203" spans="1:35" ht="12" customHeight="1" x14ac:dyDescent="0.2">
      <c r="A203" s="166"/>
      <c r="B203" s="218"/>
      <c r="C203" s="218"/>
      <c r="D203" s="41"/>
      <c r="E203" s="41"/>
      <c r="F203" s="41"/>
      <c r="G203" s="41"/>
      <c r="H203" s="41"/>
      <c r="I203" s="41"/>
      <c r="J203" s="166"/>
      <c r="K203" s="41"/>
      <c r="L203" s="41"/>
      <c r="M203" s="41"/>
      <c r="N203" s="166"/>
      <c r="O203" s="166"/>
      <c r="P203" s="41"/>
      <c r="Q203" s="41"/>
      <c r="R203" s="41"/>
      <c r="S203" s="41"/>
      <c r="T203" s="41"/>
      <c r="U203" s="41"/>
      <c r="V203" s="41"/>
      <c r="W203" s="41"/>
      <c r="X203" s="41"/>
      <c r="Y203" s="166"/>
      <c r="Z203" s="166"/>
      <c r="AA203" s="41"/>
      <c r="AB203" s="41"/>
      <c r="AC203" s="41"/>
      <c r="AD203" s="41"/>
      <c r="AE203" s="41"/>
      <c r="AF203" s="41"/>
      <c r="AG203" s="41"/>
      <c r="AH203" s="41"/>
      <c r="AI203" s="41"/>
    </row>
    <row r="204" spans="1:35" ht="12" customHeight="1" x14ac:dyDescent="0.2">
      <c r="A204" s="166"/>
      <c r="B204" s="218"/>
      <c r="C204" s="218"/>
      <c r="D204" s="41"/>
      <c r="E204" s="41"/>
      <c r="F204" s="41"/>
      <c r="G204" s="41"/>
      <c r="H204" s="41"/>
      <c r="I204" s="41"/>
      <c r="J204" s="166"/>
      <c r="K204" s="41"/>
      <c r="L204" s="41"/>
      <c r="M204" s="41"/>
      <c r="N204" s="166"/>
      <c r="O204" s="166"/>
      <c r="P204" s="41"/>
      <c r="Q204" s="41"/>
      <c r="R204" s="41"/>
      <c r="S204" s="41"/>
      <c r="T204" s="41"/>
      <c r="U204" s="41"/>
      <c r="V204" s="41"/>
      <c r="W204" s="41"/>
      <c r="X204" s="41"/>
      <c r="Y204" s="166"/>
      <c r="Z204" s="166"/>
      <c r="AA204" s="41"/>
      <c r="AB204" s="41"/>
      <c r="AC204" s="41"/>
      <c r="AD204" s="41"/>
      <c r="AE204" s="41"/>
      <c r="AF204" s="41"/>
      <c r="AG204" s="41"/>
      <c r="AH204" s="41"/>
      <c r="AI204" s="41"/>
    </row>
    <row r="205" spans="1:35" ht="12" customHeight="1" x14ac:dyDescent="0.2">
      <c r="A205" s="166"/>
      <c r="B205" s="218"/>
      <c r="C205" s="218"/>
      <c r="D205" s="41"/>
      <c r="E205" s="41"/>
      <c r="F205" s="41"/>
      <c r="G205" s="41"/>
      <c r="H205" s="41"/>
      <c r="I205" s="41"/>
      <c r="J205" s="166"/>
      <c r="K205" s="41"/>
      <c r="L205" s="41"/>
      <c r="M205" s="41"/>
      <c r="N205" s="166"/>
      <c r="O205" s="166"/>
      <c r="P205" s="41"/>
      <c r="Q205" s="41"/>
      <c r="R205" s="41"/>
      <c r="S205" s="41"/>
      <c r="T205" s="41"/>
      <c r="U205" s="41"/>
      <c r="V205" s="41"/>
      <c r="W205" s="41"/>
      <c r="X205" s="41"/>
      <c r="Y205" s="166"/>
      <c r="Z205" s="166"/>
      <c r="AA205" s="41"/>
      <c r="AB205" s="41"/>
      <c r="AC205" s="41"/>
      <c r="AD205" s="41"/>
      <c r="AE205" s="41"/>
      <c r="AF205" s="41"/>
      <c r="AG205" s="41"/>
      <c r="AH205" s="41"/>
      <c r="AI205" s="41"/>
    </row>
    <row r="206" spans="1:35" ht="12" customHeight="1" x14ac:dyDescent="0.2">
      <c r="A206" s="166"/>
      <c r="B206" s="218"/>
      <c r="C206" s="218"/>
      <c r="D206" s="41"/>
      <c r="E206" s="41"/>
      <c r="F206" s="41"/>
      <c r="G206" s="41"/>
      <c r="H206" s="41"/>
      <c r="I206" s="41"/>
      <c r="J206" s="166"/>
      <c r="K206" s="41"/>
      <c r="L206" s="41"/>
      <c r="M206" s="41"/>
      <c r="N206" s="166"/>
      <c r="O206" s="166"/>
      <c r="P206" s="41"/>
      <c r="Q206" s="41"/>
      <c r="R206" s="41"/>
      <c r="S206" s="41"/>
      <c r="T206" s="41"/>
      <c r="U206" s="41"/>
      <c r="V206" s="41"/>
      <c r="W206" s="41"/>
      <c r="X206" s="41"/>
      <c r="Y206" s="166"/>
      <c r="Z206" s="166"/>
      <c r="AA206" s="41"/>
      <c r="AB206" s="41"/>
      <c r="AC206" s="41"/>
      <c r="AD206" s="41"/>
      <c r="AE206" s="41"/>
      <c r="AF206" s="41"/>
      <c r="AG206" s="41"/>
      <c r="AH206" s="41"/>
      <c r="AI206" s="41"/>
    </row>
    <row r="207" spans="1:35" ht="12" customHeight="1" x14ac:dyDescent="0.2">
      <c r="A207" s="166"/>
      <c r="B207" s="218"/>
      <c r="C207" s="218"/>
      <c r="D207" s="41"/>
      <c r="E207" s="41"/>
      <c r="F207" s="41"/>
      <c r="G207" s="41"/>
      <c r="H207" s="41"/>
      <c r="I207" s="41"/>
      <c r="J207" s="166"/>
      <c r="K207" s="41"/>
      <c r="L207" s="41"/>
      <c r="M207" s="41"/>
      <c r="N207" s="166"/>
      <c r="O207" s="166"/>
      <c r="P207" s="41"/>
      <c r="Q207" s="41"/>
      <c r="R207" s="41"/>
      <c r="S207" s="41"/>
      <c r="T207" s="41"/>
      <c r="U207" s="41"/>
      <c r="V207" s="41"/>
      <c r="W207" s="41"/>
      <c r="X207" s="41"/>
      <c r="Y207" s="166"/>
      <c r="Z207" s="166"/>
      <c r="AA207" s="41"/>
      <c r="AB207" s="41"/>
      <c r="AC207" s="41"/>
      <c r="AD207" s="41"/>
      <c r="AE207" s="41"/>
      <c r="AF207" s="41"/>
      <c r="AG207" s="41"/>
      <c r="AH207" s="41"/>
      <c r="AI207" s="41"/>
    </row>
    <row r="208" spans="1:35" ht="12" customHeight="1" x14ac:dyDescent="0.2">
      <c r="A208" s="166"/>
      <c r="B208" s="218"/>
      <c r="C208" s="218"/>
      <c r="D208" s="41"/>
      <c r="E208" s="41"/>
      <c r="F208" s="41"/>
      <c r="G208" s="41"/>
      <c r="H208" s="41"/>
      <c r="I208" s="41"/>
      <c r="J208" s="166"/>
      <c r="K208" s="41"/>
      <c r="L208" s="41"/>
      <c r="M208" s="41"/>
      <c r="N208" s="166"/>
      <c r="O208" s="166"/>
      <c r="P208" s="41"/>
      <c r="Q208" s="41"/>
      <c r="R208" s="41"/>
      <c r="S208" s="41"/>
      <c r="T208" s="41"/>
      <c r="U208" s="41"/>
      <c r="V208" s="41"/>
      <c r="W208" s="41"/>
      <c r="X208" s="41"/>
      <c r="Y208" s="166"/>
      <c r="Z208" s="166"/>
      <c r="AA208" s="41"/>
      <c r="AB208" s="41"/>
      <c r="AC208" s="41"/>
      <c r="AD208" s="41"/>
      <c r="AE208" s="41"/>
      <c r="AF208" s="41"/>
      <c r="AG208" s="41"/>
      <c r="AH208" s="41"/>
      <c r="AI208" s="41"/>
    </row>
    <row r="209" spans="1:35" ht="12" customHeight="1" x14ac:dyDescent="0.2">
      <c r="A209" s="166"/>
      <c r="B209" s="218"/>
      <c r="C209" s="218"/>
      <c r="D209" s="41"/>
      <c r="E209" s="41"/>
      <c r="F209" s="41"/>
      <c r="G209" s="41"/>
      <c r="H209" s="41"/>
      <c r="I209" s="41"/>
      <c r="J209" s="166"/>
      <c r="K209" s="41"/>
      <c r="L209" s="41"/>
      <c r="M209" s="41"/>
      <c r="N209" s="166"/>
      <c r="O209" s="166"/>
      <c r="P209" s="41"/>
      <c r="Q209" s="41"/>
      <c r="R209" s="41"/>
      <c r="S209" s="41"/>
      <c r="T209" s="41"/>
      <c r="U209" s="41"/>
      <c r="V209" s="41"/>
      <c r="W209" s="41"/>
      <c r="X209" s="41"/>
      <c r="Y209" s="166"/>
      <c r="Z209" s="166"/>
      <c r="AA209" s="41"/>
      <c r="AB209" s="41"/>
      <c r="AC209" s="41"/>
      <c r="AD209" s="41"/>
      <c r="AE209" s="41"/>
      <c r="AF209" s="41"/>
      <c r="AG209" s="41"/>
      <c r="AH209" s="41"/>
      <c r="AI209" s="41"/>
    </row>
    <row r="210" spans="1:35" ht="12" customHeight="1" x14ac:dyDescent="0.2">
      <c r="A210" s="166"/>
      <c r="B210" s="218"/>
      <c r="C210" s="218"/>
      <c r="D210" s="41"/>
      <c r="E210" s="41"/>
      <c r="F210" s="41"/>
      <c r="G210" s="41"/>
      <c r="H210" s="41"/>
      <c r="I210" s="41"/>
      <c r="J210" s="166"/>
      <c r="K210" s="41"/>
      <c r="L210" s="41"/>
      <c r="M210" s="41"/>
      <c r="N210" s="166"/>
      <c r="O210" s="166"/>
      <c r="P210" s="41"/>
      <c r="Q210" s="41"/>
      <c r="R210" s="41"/>
      <c r="S210" s="41"/>
      <c r="T210" s="41"/>
      <c r="U210" s="41"/>
      <c r="V210" s="41"/>
      <c r="W210" s="41"/>
      <c r="X210" s="41"/>
      <c r="Y210" s="166"/>
      <c r="Z210" s="166"/>
      <c r="AA210" s="41"/>
      <c r="AB210" s="41"/>
      <c r="AC210" s="41"/>
      <c r="AD210" s="41"/>
      <c r="AE210" s="41"/>
      <c r="AF210" s="41"/>
      <c r="AG210" s="41"/>
      <c r="AH210" s="41"/>
      <c r="AI210" s="41"/>
    </row>
    <row r="211" spans="1:35" ht="12" customHeight="1" x14ac:dyDescent="0.2">
      <c r="A211" s="166"/>
      <c r="B211" s="218"/>
      <c r="C211" s="218"/>
      <c r="D211" s="41"/>
      <c r="E211" s="41"/>
      <c r="F211" s="41"/>
      <c r="G211" s="41"/>
      <c r="H211" s="41"/>
      <c r="I211" s="41"/>
      <c r="J211" s="166"/>
      <c r="K211" s="41"/>
      <c r="L211" s="41"/>
      <c r="M211" s="41"/>
      <c r="N211" s="166"/>
      <c r="O211" s="166"/>
      <c r="P211" s="41"/>
      <c r="Q211" s="41"/>
      <c r="R211" s="41"/>
      <c r="S211" s="41"/>
      <c r="T211" s="41"/>
      <c r="U211" s="41"/>
      <c r="V211" s="41"/>
      <c r="W211" s="41"/>
      <c r="X211" s="41"/>
      <c r="Y211" s="166"/>
      <c r="Z211" s="166"/>
      <c r="AA211" s="41"/>
      <c r="AB211" s="41"/>
      <c r="AC211" s="41"/>
      <c r="AD211" s="41"/>
      <c r="AE211" s="41"/>
      <c r="AF211" s="41"/>
      <c r="AG211" s="41"/>
      <c r="AH211" s="41"/>
      <c r="AI211" s="41"/>
    </row>
    <row r="212" spans="1:35" ht="12" customHeight="1" x14ac:dyDescent="0.2">
      <c r="A212" s="166"/>
      <c r="B212" s="218"/>
      <c r="C212" s="218"/>
      <c r="D212" s="41"/>
      <c r="E212" s="41"/>
      <c r="F212" s="41"/>
      <c r="G212" s="41"/>
      <c r="H212" s="41"/>
      <c r="I212" s="41"/>
      <c r="J212" s="166"/>
      <c r="K212" s="41"/>
      <c r="L212" s="41"/>
      <c r="M212" s="41"/>
      <c r="N212" s="166"/>
      <c r="O212" s="166"/>
      <c r="P212" s="41"/>
      <c r="Q212" s="41"/>
      <c r="R212" s="41"/>
      <c r="S212" s="41"/>
      <c r="T212" s="41"/>
      <c r="U212" s="41"/>
      <c r="V212" s="41"/>
      <c r="W212" s="41"/>
      <c r="X212" s="41"/>
      <c r="Y212" s="166"/>
      <c r="Z212" s="166"/>
      <c r="AA212" s="41"/>
      <c r="AB212" s="41"/>
      <c r="AC212" s="41"/>
      <c r="AD212" s="41"/>
      <c r="AE212" s="41"/>
      <c r="AF212" s="41"/>
      <c r="AG212" s="41"/>
      <c r="AH212" s="41"/>
      <c r="AI212" s="41"/>
    </row>
    <row r="213" spans="1:35" ht="12" customHeight="1" x14ac:dyDescent="0.2">
      <c r="A213" s="166"/>
      <c r="B213" s="218"/>
      <c r="C213" s="218"/>
      <c r="D213" s="41"/>
      <c r="E213" s="41"/>
      <c r="F213" s="41"/>
      <c r="G213" s="41"/>
      <c r="H213" s="41"/>
      <c r="I213" s="41"/>
      <c r="J213" s="166"/>
      <c r="K213" s="41"/>
      <c r="L213" s="41"/>
      <c r="M213" s="41"/>
      <c r="N213" s="166"/>
      <c r="O213" s="166"/>
      <c r="P213" s="41"/>
      <c r="Q213" s="41"/>
      <c r="R213" s="41"/>
      <c r="S213" s="41"/>
      <c r="T213" s="41"/>
      <c r="U213" s="41"/>
      <c r="V213" s="41"/>
      <c r="W213" s="41"/>
      <c r="X213" s="41"/>
      <c r="Y213" s="166"/>
      <c r="Z213" s="166"/>
      <c r="AA213" s="41"/>
      <c r="AB213" s="41"/>
      <c r="AC213" s="41"/>
      <c r="AD213" s="41"/>
      <c r="AE213" s="41"/>
      <c r="AF213" s="41"/>
      <c r="AG213" s="41"/>
      <c r="AH213" s="41"/>
      <c r="AI213" s="41"/>
    </row>
    <row r="214" spans="1:35" ht="12" customHeight="1" x14ac:dyDescent="0.2">
      <c r="A214" s="166"/>
      <c r="B214" s="218"/>
      <c r="C214" s="218"/>
      <c r="D214" s="41"/>
      <c r="E214" s="41"/>
      <c r="F214" s="41"/>
      <c r="G214" s="41"/>
      <c r="H214" s="41"/>
      <c r="I214" s="41"/>
      <c r="J214" s="166"/>
      <c r="K214" s="41"/>
      <c r="L214" s="41"/>
      <c r="M214" s="41"/>
      <c r="N214" s="166"/>
      <c r="O214" s="166"/>
      <c r="P214" s="41"/>
      <c r="Q214" s="41"/>
      <c r="R214" s="41"/>
      <c r="S214" s="41"/>
      <c r="T214" s="41"/>
      <c r="U214" s="41"/>
      <c r="V214" s="41"/>
      <c r="W214" s="41"/>
      <c r="X214" s="41"/>
      <c r="Y214" s="166"/>
      <c r="Z214" s="166"/>
      <c r="AA214" s="41"/>
      <c r="AB214" s="41"/>
      <c r="AC214" s="41"/>
      <c r="AD214" s="41"/>
      <c r="AE214" s="41"/>
      <c r="AF214" s="41"/>
      <c r="AG214" s="41"/>
      <c r="AH214" s="41"/>
      <c r="AI214" s="41"/>
    </row>
    <row r="215" spans="1:35" ht="12" customHeight="1" x14ac:dyDescent="0.2">
      <c r="A215" s="166"/>
      <c r="B215" s="218"/>
      <c r="C215" s="218"/>
      <c r="D215" s="41"/>
      <c r="E215" s="41"/>
      <c r="F215" s="41"/>
      <c r="G215" s="41"/>
      <c r="H215" s="41"/>
      <c r="I215" s="41"/>
      <c r="J215" s="166"/>
      <c r="K215" s="41"/>
      <c r="L215" s="41"/>
      <c r="M215" s="41"/>
      <c r="N215" s="166"/>
      <c r="O215" s="166"/>
      <c r="P215" s="41"/>
      <c r="Q215" s="41"/>
      <c r="R215" s="41"/>
      <c r="S215" s="41"/>
      <c r="T215" s="41"/>
      <c r="U215" s="41"/>
      <c r="V215" s="41"/>
      <c r="W215" s="41"/>
      <c r="X215" s="41"/>
      <c r="Y215" s="166"/>
      <c r="Z215" s="166"/>
      <c r="AA215" s="41"/>
      <c r="AB215" s="41"/>
      <c r="AC215" s="41"/>
      <c r="AD215" s="41"/>
      <c r="AE215" s="41"/>
      <c r="AF215" s="41"/>
      <c r="AG215" s="41"/>
      <c r="AH215" s="41"/>
      <c r="AI215" s="41"/>
    </row>
    <row r="216" spans="1:35" ht="12" customHeight="1" x14ac:dyDescent="0.2">
      <c r="A216" s="166"/>
      <c r="B216" s="218"/>
      <c r="C216" s="218"/>
      <c r="D216" s="41"/>
      <c r="E216" s="41"/>
      <c r="F216" s="41"/>
      <c r="G216" s="41"/>
      <c r="H216" s="41"/>
      <c r="I216" s="41"/>
      <c r="J216" s="166"/>
      <c r="K216" s="41"/>
      <c r="L216" s="41"/>
      <c r="M216" s="41"/>
      <c r="N216" s="166"/>
      <c r="O216" s="166"/>
      <c r="P216" s="41"/>
      <c r="Q216" s="41"/>
      <c r="R216" s="41"/>
      <c r="S216" s="41"/>
      <c r="T216" s="41"/>
      <c r="U216" s="41"/>
      <c r="V216" s="41"/>
      <c r="W216" s="41"/>
      <c r="X216" s="41"/>
      <c r="Y216" s="166"/>
      <c r="Z216" s="166"/>
      <c r="AA216" s="41"/>
      <c r="AB216" s="41"/>
      <c r="AC216" s="41"/>
      <c r="AD216" s="41"/>
      <c r="AE216" s="41"/>
      <c r="AF216" s="41"/>
      <c r="AG216" s="41"/>
      <c r="AH216" s="41"/>
      <c r="AI216" s="41"/>
    </row>
    <row r="217" spans="1:35" ht="12" customHeight="1" x14ac:dyDescent="0.2">
      <c r="A217" s="166"/>
      <c r="B217" s="218"/>
      <c r="C217" s="218"/>
      <c r="D217" s="41"/>
      <c r="E217" s="41"/>
      <c r="F217" s="41"/>
      <c r="G217" s="41"/>
      <c r="H217" s="41"/>
      <c r="I217" s="41"/>
      <c r="J217" s="166"/>
      <c r="K217" s="41"/>
      <c r="L217" s="41"/>
      <c r="M217" s="41"/>
      <c r="N217" s="166"/>
      <c r="O217" s="166"/>
      <c r="P217" s="41"/>
      <c r="Q217" s="41"/>
      <c r="R217" s="41"/>
      <c r="S217" s="41"/>
      <c r="T217" s="41"/>
      <c r="U217" s="41"/>
      <c r="V217" s="41"/>
      <c r="W217" s="41"/>
      <c r="X217" s="41"/>
      <c r="Y217" s="166"/>
      <c r="Z217" s="166"/>
      <c r="AA217" s="41"/>
      <c r="AB217" s="41"/>
      <c r="AC217" s="41"/>
      <c r="AD217" s="41"/>
      <c r="AE217" s="41"/>
      <c r="AF217" s="41"/>
      <c r="AG217" s="41"/>
      <c r="AH217" s="41"/>
      <c r="AI217" s="41"/>
    </row>
    <row r="218" spans="1:35" ht="12" customHeight="1" x14ac:dyDescent="0.2">
      <c r="A218" s="166"/>
      <c r="B218" s="218"/>
      <c r="C218" s="218"/>
      <c r="D218" s="41"/>
      <c r="E218" s="41"/>
      <c r="F218" s="41"/>
      <c r="G218" s="41"/>
      <c r="H218" s="41"/>
      <c r="I218" s="41"/>
      <c r="J218" s="166"/>
      <c r="K218" s="41"/>
      <c r="L218" s="41"/>
      <c r="M218" s="41"/>
      <c r="N218" s="166"/>
      <c r="O218" s="166"/>
      <c r="P218" s="41"/>
      <c r="Q218" s="41"/>
      <c r="R218" s="41"/>
      <c r="S218" s="41"/>
      <c r="T218" s="41"/>
      <c r="U218" s="41"/>
      <c r="V218" s="41"/>
      <c r="W218" s="41"/>
      <c r="X218" s="41"/>
      <c r="Y218" s="166"/>
      <c r="Z218" s="166"/>
      <c r="AA218" s="41"/>
      <c r="AB218" s="41"/>
      <c r="AC218" s="41"/>
      <c r="AD218" s="41"/>
      <c r="AE218" s="41"/>
      <c r="AF218" s="41"/>
      <c r="AG218" s="41"/>
      <c r="AH218" s="41"/>
      <c r="AI218" s="41"/>
    </row>
    <row r="219" spans="1:35" ht="12" customHeight="1" x14ac:dyDescent="0.2">
      <c r="A219" s="166"/>
      <c r="B219" s="218"/>
      <c r="C219" s="218"/>
      <c r="D219" s="41"/>
      <c r="E219" s="41"/>
      <c r="F219" s="41"/>
      <c r="G219" s="41"/>
      <c r="H219" s="41"/>
      <c r="I219" s="41"/>
      <c r="J219" s="166"/>
      <c r="K219" s="41"/>
      <c r="L219" s="41"/>
      <c r="M219" s="41"/>
      <c r="N219" s="166"/>
      <c r="O219" s="166"/>
      <c r="P219" s="41"/>
      <c r="Q219" s="41"/>
      <c r="R219" s="41"/>
      <c r="S219" s="41"/>
      <c r="T219" s="41"/>
      <c r="U219" s="41"/>
      <c r="V219" s="41"/>
      <c r="W219" s="41"/>
      <c r="X219" s="41"/>
      <c r="Y219" s="166"/>
      <c r="Z219" s="166"/>
      <c r="AA219" s="41"/>
      <c r="AB219" s="41"/>
      <c r="AC219" s="41"/>
      <c r="AD219" s="41"/>
      <c r="AE219" s="41"/>
      <c r="AF219" s="41"/>
      <c r="AG219" s="41"/>
      <c r="AH219" s="41"/>
      <c r="AI219" s="41"/>
    </row>
    <row r="220" spans="1:35" ht="12" customHeight="1" x14ac:dyDescent="0.2">
      <c r="A220" s="166"/>
      <c r="B220" s="218"/>
      <c r="C220" s="218"/>
      <c r="D220" s="41"/>
      <c r="E220" s="41"/>
      <c r="F220" s="41"/>
      <c r="G220" s="41"/>
      <c r="H220" s="41"/>
      <c r="I220" s="41"/>
      <c r="J220" s="166"/>
      <c r="K220" s="41"/>
      <c r="L220" s="41"/>
      <c r="M220" s="41"/>
      <c r="N220" s="166"/>
      <c r="O220" s="166"/>
      <c r="P220" s="41"/>
      <c r="Q220" s="41"/>
      <c r="R220" s="41"/>
      <c r="S220" s="41"/>
      <c r="T220" s="41"/>
      <c r="U220" s="41"/>
      <c r="V220" s="41"/>
      <c r="W220" s="41"/>
      <c r="X220" s="41"/>
      <c r="Y220" s="166"/>
      <c r="Z220" s="166"/>
      <c r="AA220" s="41"/>
      <c r="AB220" s="41"/>
      <c r="AC220" s="41"/>
      <c r="AD220" s="41"/>
      <c r="AE220" s="41"/>
      <c r="AF220" s="41"/>
      <c r="AG220" s="41"/>
      <c r="AH220" s="41"/>
      <c r="AI220" s="41"/>
    </row>
    <row r="221" spans="1:35" ht="12" customHeight="1" x14ac:dyDescent="0.2">
      <c r="A221" s="166"/>
      <c r="B221" s="218"/>
      <c r="C221" s="218"/>
      <c r="D221" s="41"/>
      <c r="E221" s="41"/>
      <c r="F221" s="41"/>
      <c r="G221" s="41"/>
      <c r="H221" s="41"/>
      <c r="I221" s="41"/>
      <c r="J221" s="166"/>
      <c r="K221" s="41"/>
      <c r="L221" s="41"/>
      <c r="M221" s="41"/>
      <c r="N221" s="166"/>
      <c r="O221" s="166"/>
      <c r="P221" s="41"/>
      <c r="Q221" s="41"/>
      <c r="R221" s="41"/>
      <c r="S221" s="41"/>
      <c r="T221" s="41"/>
      <c r="U221" s="41"/>
      <c r="V221" s="41"/>
      <c r="W221" s="41"/>
      <c r="X221" s="41"/>
      <c r="Y221" s="166"/>
      <c r="Z221" s="166"/>
      <c r="AA221" s="41"/>
      <c r="AB221" s="41"/>
      <c r="AC221" s="41"/>
      <c r="AD221" s="41"/>
      <c r="AE221" s="41"/>
      <c r="AF221" s="41"/>
      <c r="AG221" s="41"/>
      <c r="AH221" s="41"/>
      <c r="AI221" s="41"/>
    </row>
    <row r="222" spans="1:35" ht="12" customHeight="1" x14ac:dyDescent="0.2">
      <c r="A222" s="166"/>
      <c r="B222" s="218"/>
      <c r="C222" s="218"/>
      <c r="D222" s="41"/>
      <c r="E222" s="41"/>
      <c r="F222" s="41"/>
      <c r="G222" s="41"/>
      <c r="H222" s="41"/>
      <c r="I222" s="41"/>
      <c r="J222" s="166"/>
      <c r="K222" s="41"/>
      <c r="L222" s="41"/>
      <c r="M222" s="41"/>
      <c r="N222" s="166"/>
      <c r="O222" s="166"/>
      <c r="P222" s="41"/>
      <c r="Q222" s="41"/>
      <c r="R222" s="41"/>
      <c r="S222" s="41"/>
      <c r="T222" s="41"/>
      <c r="U222" s="41"/>
      <c r="V222" s="41"/>
      <c r="W222" s="41"/>
      <c r="X222" s="41"/>
      <c r="Y222" s="166"/>
      <c r="Z222" s="166"/>
      <c r="AA222" s="41"/>
      <c r="AB222" s="41"/>
      <c r="AC222" s="41"/>
      <c r="AD222" s="41"/>
      <c r="AE222" s="41"/>
      <c r="AF222" s="41"/>
      <c r="AG222" s="41"/>
      <c r="AH222" s="41"/>
      <c r="AI222" s="41"/>
    </row>
    <row r="223" spans="1:35" ht="12" customHeight="1" x14ac:dyDescent="0.2">
      <c r="A223" s="166"/>
      <c r="B223" s="218"/>
      <c r="C223" s="218"/>
      <c r="D223" s="41"/>
      <c r="E223" s="41"/>
      <c r="F223" s="41"/>
      <c r="G223" s="41"/>
      <c r="H223" s="41"/>
      <c r="I223" s="41"/>
      <c r="J223" s="166"/>
      <c r="K223" s="41"/>
      <c r="L223" s="41"/>
      <c r="M223" s="41"/>
      <c r="N223" s="166"/>
      <c r="O223" s="166"/>
      <c r="P223" s="41"/>
      <c r="Q223" s="41"/>
      <c r="R223" s="41"/>
      <c r="S223" s="41"/>
      <c r="T223" s="41"/>
      <c r="U223" s="41"/>
      <c r="V223" s="41"/>
      <c r="W223" s="41"/>
      <c r="X223" s="41"/>
      <c r="Y223" s="166"/>
      <c r="Z223" s="166"/>
      <c r="AA223" s="41"/>
      <c r="AB223" s="41"/>
      <c r="AC223" s="41"/>
      <c r="AD223" s="41"/>
      <c r="AE223" s="41"/>
      <c r="AF223" s="41"/>
      <c r="AG223" s="41"/>
      <c r="AH223" s="41"/>
      <c r="AI223" s="41"/>
    </row>
    <row r="224" spans="1:35" ht="12" customHeight="1" x14ac:dyDescent="0.2">
      <c r="A224" s="166"/>
      <c r="B224" s="218"/>
      <c r="C224" s="218"/>
      <c r="D224" s="41"/>
      <c r="E224" s="41"/>
      <c r="F224" s="41"/>
      <c r="G224" s="41"/>
      <c r="H224" s="41"/>
      <c r="I224" s="41"/>
      <c r="J224" s="166"/>
      <c r="K224" s="41"/>
      <c r="L224" s="41"/>
      <c r="M224" s="41"/>
      <c r="N224" s="166"/>
      <c r="O224" s="166"/>
      <c r="P224" s="41"/>
      <c r="Q224" s="41"/>
      <c r="R224" s="41"/>
      <c r="S224" s="41"/>
      <c r="T224" s="41"/>
      <c r="U224" s="41"/>
      <c r="V224" s="41"/>
      <c r="W224" s="41"/>
      <c r="X224" s="41"/>
      <c r="Y224" s="166"/>
      <c r="Z224" s="166"/>
      <c r="AA224" s="41"/>
      <c r="AB224" s="41"/>
      <c r="AC224" s="41"/>
      <c r="AD224" s="41"/>
      <c r="AE224" s="41"/>
      <c r="AF224" s="41"/>
      <c r="AG224" s="41"/>
      <c r="AH224" s="41"/>
      <c r="AI224" s="41"/>
    </row>
    <row r="225" spans="1:35" ht="12" customHeight="1" x14ac:dyDescent="0.2">
      <c r="A225" s="166"/>
      <c r="B225" s="218"/>
      <c r="C225" s="218"/>
      <c r="D225" s="41"/>
      <c r="E225" s="41"/>
      <c r="F225" s="41"/>
      <c r="G225" s="41"/>
      <c r="H225" s="41"/>
      <c r="I225" s="41"/>
      <c r="J225" s="166"/>
      <c r="K225" s="41"/>
      <c r="L225" s="41"/>
      <c r="M225" s="41"/>
      <c r="N225" s="166"/>
      <c r="O225" s="166"/>
      <c r="P225" s="41"/>
      <c r="Q225" s="41"/>
      <c r="R225" s="41"/>
      <c r="S225" s="41"/>
      <c r="T225" s="41"/>
      <c r="U225" s="41"/>
      <c r="V225" s="41"/>
      <c r="W225" s="41"/>
      <c r="X225" s="41"/>
      <c r="Y225" s="166"/>
      <c r="Z225" s="166"/>
      <c r="AA225" s="41"/>
      <c r="AB225" s="41"/>
      <c r="AC225" s="41"/>
      <c r="AD225" s="41"/>
      <c r="AE225" s="41"/>
      <c r="AF225" s="41"/>
      <c r="AG225" s="41"/>
      <c r="AH225" s="41"/>
      <c r="AI225" s="41"/>
    </row>
    <row r="226" spans="1:35" ht="12" customHeight="1" x14ac:dyDescent="0.2">
      <c r="A226" s="166"/>
      <c r="B226" s="218"/>
      <c r="C226" s="218"/>
      <c r="D226" s="41"/>
      <c r="E226" s="41"/>
      <c r="F226" s="41"/>
      <c r="G226" s="41"/>
      <c r="H226" s="41"/>
      <c r="I226" s="41"/>
      <c r="J226" s="166"/>
      <c r="K226" s="41"/>
      <c r="L226" s="41"/>
      <c r="M226" s="41"/>
      <c r="N226" s="166"/>
      <c r="O226" s="166"/>
      <c r="P226" s="41"/>
      <c r="Q226" s="41"/>
      <c r="R226" s="41"/>
      <c r="S226" s="41"/>
      <c r="T226" s="41"/>
      <c r="U226" s="41"/>
      <c r="V226" s="41"/>
      <c r="W226" s="41"/>
      <c r="X226" s="41"/>
      <c r="Y226" s="166"/>
      <c r="Z226" s="166"/>
      <c r="AA226" s="41"/>
      <c r="AB226" s="41"/>
      <c r="AC226" s="41"/>
      <c r="AD226" s="41"/>
      <c r="AE226" s="41"/>
      <c r="AF226" s="41"/>
      <c r="AG226" s="41"/>
      <c r="AH226" s="41"/>
      <c r="AI226" s="41"/>
    </row>
    <row r="227" spans="1:35" ht="12" customHeight="1" x14ac:dyDescent="0.2">
      <c r="A227" s="166"/>
      <c r="B227" s="218"/>
      <c r="C227" s="218"/>
      <c r="D227" s="41"/>
      <c r="E227" s="41"/>
      <c r="F227" s="41"/>
      <c r="G227" s="41"/>
      <c r="H227" s="41"/>
      <c r="I227" s="41"/>
      <c r="J227" s="166"/>
      <c r="K227" s="41"/>
      <c r="L227" s="41"/>
      <c r="M227" s="41"/>
      <c r="N227" s="166"/>
      <c r="O227" s="166"/>
      <c r="P227" s="41"/>
      <c r="Q227" s="41"/>
      <c r="R227" s="41"/>
      <c r="S227" s="41"/>
      <c r="T227" s="41"/>
      <c r="U227" s="41"/>
      <c r="V227" s="41"/>
      <c r="W227" s="41"/>
      <c r="X227" s="41"/>
      <c r="Y227" s="166"/>
      <c r="Z227" s="166"/>
      <c r="AA227" s="41"/>
      <c r="AB227" s="41"/>
      <c r="AC227" s="41"/>
      <c r="AD227" s="41"/>
      <c r="AE227" s="41"/>
      <c r="AF227" s="41"/>
      <c r="AG227" s="41"/>
      <c r="AH227" s="41"/>
      <c r="AI227" s="41"/>
    </row>
    <row r="228" spans="1:35" ht="12" customHeight="1" x14ac:dyDescent="0.2">
      <c r="A228" s="166"/>
      <c r="B228" s="218"/>
      <c r="C228" s="218"/>
      <c r="D228" s="41"/>
      <c r="E228" s="41"/>
      <c r="F228" s="41"/>
      <c r="G228" s="41"/>
      <c r="H228" s="41"/>
      <c r="I228" s="41"/>
      <c r="J228" s="166"/>
      <c r="K228" s="41"/>
      <c r="L228" s="41"/>
      <c r="M228" s="41"/>
      <c r="N228" s="166"/>
      <c r="O228" s="166"/>
      <c r="P228" s="41"/>
      <c r="Q228" s="41"/>
      <c r="R228" s="41"/>
      <c r="S228" s="41"/>
      <c r="T228" s="41"/>
      <c r="U228" s="41"/>
      <c r="V228" s="41"/>
      <c r="W228" s="41"/>
      <c r="X228" s="41"/>
      <c r="Y228" s="166"/>
      <c r="Z228" s="166"/>
      <c r="AA228" s="41"/>
      <c r="AB228" s="41"/>
      <c r="AC228" s="41"/>
      <c r="AD228" s="41"/>
      <c r="AE228" s="41"/>
      <c r="AF228" s="41"/>
      <c r="AG228" s="41"/>
      <c r="AH228" s="41"/>
      <c r="AI228" s="41"/>
    </row>
    <row r="229" spans="1:35" ht="12" customHeight="1" x14ac:dyDescent="0.2">
      <c r="A229" s="166"/>
      <c r="B229" s="218"/>
      <c r="C229" s="218"/>
      <c r="D229" s="41"/>
      <c r="E229" s="41"/>
      <c r="F229" s="41"/>
      <c r="G229" s="41"/>
      <c r="H229" s="41"/>
      <c r="I229" s="41"/>
      <c r="J229" s="166"/>
      <c r="K229" s="41"/>
      <c r="L229" s="41"/>
      <c r="M229" s="41"/>
      <c r="N229" s="166"/>
      <c r="O229" s="166"/>
      <c r="P229" s="41"/>
      <c r="Q229" s="41"/>
      <c r="R229" s="41"/>
      <c r="S229" s="41"/>
      <c r="T229" s="41"/>
      <c r="U229" s="41"/>
      <c r="V229" s="41"/>
      <c r="W229" s="41"/>
      <c r="X229" s="41"/>
      <c r="Y229" s="166"/>
      <c r="Z229" s="166"/>
      <c r="AA229" s="41"/>
      <c r="AB229" s="41"/>
      <c r="AC229" s="41"/>
      <c r="AD229" s="41"/>
      <c r="AE229" s="41"/>
      <c r="AF229" s="41"/>
      <c r="AG229" s="41"/>
      <c r="AH229" s="41"/>
      <c r="AI229" s="41"/>
    </row>
    <row r="230" spans="1:35" ht="12" customHeight="1" x14ac:dyDescent="0.2">
      <c r="A230" s="166"/>
      <c r="B230" s="218"/>
      <c r="C230" s="218"/>
      <c r="D230" s="41"/>
      <c r="E230" s="41"/>
      <c r="F230" s="41"/>
      <c r="G230" s="41"/>
      <c r="H230" s="41"/>
      <c r="I230" s="41"/>
      <c r="J230" s="166"/>
      <c r="K230" s="41"/>
      <c r="L230" s="41"/>
      <c r="M230" s="41"/>
      <c r="N230" s="166"/>
      <c r="O230" s="166"/>
      <c r="P230" s="41"/>
      <c r="Q230" s="41"/>
      <c r="R230" s="41"/>
      <c r="S230" s="41"/>
      <c r="T230" s="41"/>
      <c r="U230" s="41"/>
      <c r="V230" s="41"/>
      <c r="W230" s="41"/>
      <c r="X230" s="41"/>
      <c r="Y230" s="166"/>
      <c r="Z230" s="166"/>
      <c r="AA230" s="41"/>
      <c r="AB230" s="41"/>
      <c r="AC230" s="41"/>
      <c r="AD230" s="41"/>
      <c r="AE230" s="41"/>
      <c r="AF230" s="41"/>
      <c r="AG230" s="41"/>
      <c r="AH230" s="41"/>
      <c r="AI230" s="41"/>
    </row>
    <row r="231" spans="1:35" ht="12" customHeight="1" x14ac:dyDescent="0.2">
      <c r="A231" s="166"/>
      <c r="B231" s="218"/>
      <c r="C231" s="218"/>
      <c r="D231" s="41"/>
      <c r="E231" s="41"/>
      <c r="F231" s="41"/>
      <c r="G231" s="41"/>
      <c r="H231" s="41"/>
      <c r="I231" s="41"/>
      <c r="J231" s="166"/>
      <c r="K231" s="41"/>
      <c r="L231" s="41"/>
      <c r="M231" s="41"/>
      <c r="N231" s="166"/>
      <c r="O231" s="166"/>
      <c r="P231" s="41"/>
      <c r="Q231" s="41"/>
      <c r="R231" s="41"/>
      <c r="S231" s="41"/>
      <c r="T231" s="41"/>
      <c r="U231" s="41"/>
      <c r="V231" s="41"/>
      <c r="W231" s="41"/>
      <c r="X231" s="41"/>
      <c r="Y231" s="166"/>
      <c r="Z231" s="166"/>
      <c r="AA231" s="41"/>
      <c r="AB231" s="41"/>
      <c r="AC231" s="41"/>
      <c r="AD231" s="41"/>
      <c r="AE231" s="41"/>
      <c r="AF231" s="41"/>
      <c r="AG231" s="41"/>
      <c r="AH231" s="41"/>
      <c r="AI231" s="41"/>
    </row>
    <row r="232" spans="1:35" ht="12" customHeight="1" x14ac:dyDescent="0.2">
      <c r="A232" s="166"/>
      <c r="B232" s="218"/>
      <c r="C232" s="218"/>
      <c r="D232" s="41"/>
      <c r="E232" s="41"/>
      <c r="F232" s="41"/>
      <c r="G232" s="41"/>
      <c r="H232" s="41"/>
      <c r="I232" s="41"/>
      <c r="J232" s="166"/>
      <c r="K232" s="41"/>
      <c r="L232" s="41"/>
      <c r="M232" s="41"/>
      <c r="N232" s="166"/>
      <c r="O232" s="166"/>
      <c r="P232" s="41"/>
      <c r="Q232" s="41"/>
      <c r="R232" s="41"/>
      <c r="S232" s="41"/>
      <c r="T232" s="41"/>
      <c r="U232" s="41"/>
      <c r="V232" s="41"/>
      <c r="W232" s="41"/>
      <c r="X232" s="41"/>
      <c r="Y232" s="166"/>
      <c r="Z232" s="166"/>
      <c r="AA232" s="41"/>
      <c r="AB232" s="41"/>
      <c r="AC232" s="41"/>
      <c r="AD232" s="41"/>
      <c r="AE232" s="41"/>
      <c r="AF232" s="41"/>
      <c r="AG232" s="41"/>
      <c r="AH232" s="41"/>
      <c r="AI232" s="41"/>
    </row>
    <row r="233" spans="1:35" ht="12" customHeight="1" x14ac:dyDescent="0.2">
      <c r="A233" s="166"/>
      <c r="B233" s="218"/>
      <c r="C233" s="218"/>
      <c r="D233" s="41"/>
      <c r="E233" s="41"/>
      <c r="F233" s="41"/>
      <c r="G233" s="41"/>
      <c r="H233" s="41"/>
      <c r="I233" s="41"/>
      <c r="J233" s="166"/>
      <c r="K233" s="41"/>
      <c r="L233" s="41"/>
      <c r="M233" s="41"/>
      <c r="N233" s="166"/>
      <c r="O233" s="166"/>
      <c r="P233" s="41"/>
      <c r="Q233" s="41"/>
      <c r="R233" s="41"/>
      <c r="S233" s="41"/>
      <c r="T233" s="41"/>
      <c r="U233" s="41"/>
      <c r="V233" s="41"/>
      <c r="W233" s="41"/>
      <c r="X233" s="41"/>
      <c r="Y233" s="166"/>
      <c r="Z233" s="166"/>
      <c r="AA233" s="41"/>
      <c r="AB233" s="41"/>
      <c r="AC233" s="41"/>
      <c r="AD233" s="41"/>
      <c r="AE233" s="41"/>
      <c r="AF233" s="41"/>
      <c r="AG233" s="41"/>
      <c r="AH233" s="41"/>
      <c r="AI233" s="41"/>
    </row>
    <row r="234" spans="1:35" ht="12" customHeight="1" x14ac:dyDescent="0.2"/>
    <row r="235" spans="1:35" ht="12" customHeight="1" x14ac:dyDescent="0.2"/>
    <row r="236" spans="1:35" ht="12" customHeight="1" x14ac:dyDescent="0.2"/>
    <row r="237" spans="1:35" ht="12" customHeight="1" x14ac:dyDescent="0.2"/>
    <row r="238" spans="1:35" ht="12" customHeight="1" x14ac:dyDescent="0.2"/>
    <row r="239" spans="1:35" ht="12" customHeight="1" x14ac:dyDescent="0.2"/>
    <row r="240" spans="1:35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BN100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 x14ac:dyDescent="0.2"/>
  <cols>
    <col min="1" max="1" width="5.28515625" customWidth="1"/>
    <col min="2" max="2" width="12.5703125" customWidth="1"/>
    <col min="3" max="3" width="10.5703125" customWidth="1"/>
    <col min="4" max="4" width="15.5703125" customWidth="1"/>
    <col min="5" max="5" width="24.7109375" customWidth="1"/>
    <col min="6" max="6" width="11.140625" customWidth="1"/>
    <col min="7" max="7" width="17.5703125" customWidth="1"/>
    <col min="8" max="8" width="7.5703125" customWidth="1"/>
    <col min="9" max="9" width="12.5703125" customWidth="1"/>
    <col min="10" max="10" width="6.28515625" customWidth="1"/>
    <col min="11" max="11" width="12.85546875" customWidth="1"/>
    <col min="12" max="12" width="8" customWidth="1"/>
    <col min="13" max="13" width="9.140625" customWidth="1"/>
    <col min="14" max="14" width="10.7109375" customWidth="1"/>
    <col min="15" max="15" width="9.85546875" customWidth="1"/>
    <col min="16" max="16" width="8.85546875" customWidth="1"/>
    <col min="17" max="17" width="9.42578125" customWidth="1"/>
    <col min="18" max="18" width="9.7109375" customWidth="1"/>
    <col min="19" max="19" width="12.42578125" customWidth="1"/>
    <col min="20" max="20" width="10.28515625" customWidth="1"/>
    <col min="21" max="21" width="13" customWidth="1"/>
    <col min="22" max="22" width="14.5703125" customWidth="1"/>
    <col min="23" max="23" width="19.42578125" customWidth="1"/>
    <col min="24" max="24" width="8.140625" customWidth="1"/>
    <col min="25" max="25" width="7.42578125" customWidth="1"/>
    <col min="26" max="26" width="10.85546875" customWidth="1"/>
    <col min="27" max="27" width="6.42578125" customWidth="1"/>
    <col min="28" max="28" width="22.28515625" customWidth="1"/>
    <col min="29" max="29" width="16.7109375" customWidth="1"/>
    <col min="30" max="30" width="17.28515625" customWidth="1"/>
    <col min="31" max="31" width="15.42578125" customWidth="1"/>
    <col min="32" max="32" width="14.42578125" customWidth="1"/>
    <col min="33" max="33" width="18.5703125" customWidth="1"/>
    <col min="34" max="34" width="9.7109375" customWidth="1"/>
    <col min="35" max="35" width="10.42578125" customWidth="1"/>
    <col min="36" max="36" width="9.28515625" customWidth="1"/>
    <col min="37" max="37" width="14.28515625" customWidth="1"/>
    <col min="38" max="39" width="8.28515625" customWidth="1"/>
    <col min="40" max="40" width="17.5703125" customWidth="1"/>
    <col min="41" max="41" width="10.7109375" customWidth="1"/>
    <col min="42" max="42" width="9" customWidth="1"/>
    <col min="43" max="43" width="15.140625" customWidth="1"/>
    <col min="44" max="44" width="10.28515625" customWidth="1"/>
    <col min="45" max="45" width="9.42578125" customWidth="1"/>
    <col min="46" max="46" width="15.140625" customWidth="1"/>
    <col min="47" max="47" width="9" customWidth="1"/>
    <col min="48" max="48" width="19.42578125" customWidth="1"/>
    <col min="49" max="49" width="10.140625" customWidth="1"/>
    <col min="50" max="50" width="28.42578125" customWidth="1"/>
    <col min="51" max="51" width="8.28515625" customWidth="1"/>
    <col min="52" max="52" width="5.42578125" customWidth="1"/>
    <col min="53" max="53" width="11.140625" customWidth="1"/>
    <col min="54" max="54" width="17.7109375" customWidth="1"/>
    <col min="55" max="55" width="28" customWidth="1"/>
    <col min="56" max="56" width="41.42578125" customWidth="1"/>
    <col min="57" max="65" width="7.7109375" customWidth="1"/>
    <col min="66" max="66" width="1.42578125" customWidth="1"/>
  </cols>
  <sheetData>
    <row r="1" spans="1:66" ht="15.75" customHeight="1" x14ac:dyDescent="0.2">
      <c r="A1" s="284"/>
      <c r="B1" s="284" t="s">
        <v>642</v>
      </c>
      <c r="C1" s="284" t="s">
        <v>643</v>
      </c>
      <c r="D1" s="284" t="s">
        <v>644</v>
      </c>
      <c r="E1" s="284" t="s">
        <v>26</v>
      </c>
      <c r="F1" s="284" t="s">
        <v>27</v>
      </c>
      <c r="G1" s="284" t="s">
        <v>645</v>
      </c>
      <c r="H1" s="284" t="s">
        <v>646</v>
      </c>
      <c r="I1" s="284" t="s">
        <v>647</v>
      </c>
      <c r="J1" s="284" t="s">
        <v>648</v>
      </c>
      <c r="K1" s="284" t="s">
        <v>6</v>
      </c>
      <c r="L1" s="284" t="s">
        <v>649</v>
      </c>
      <c r="M1" s="284" t="s">
        <v>650</v>
      </c>
      <c r="N1" s="284" t="s">
        <v>651</v>
      </c>
      <c r="O1" s="284" t="s">
        <v>9</v>
      </c>
      <c r="P1" s="284" t="s">
        <v>10</v>
      </c>
      <c r="Q1" s="284" t="s">
        <v>29</v>
      </c>
      <c r="R1" s="285" t="s">
        <v>11</v>
      </c>
      <c r="S1" s="286" t="s">
        <v>652</v>
      </c>
      <c r="T1" s="286" t="s">
        <v>13</v>
      </c>
      <c r="U1" s="285" t="s">
        <v>14</v>
      </c>
      <c r="V1" s="285" t="s">
        <v>653</v>
      </c>
      <c r="W1" s="285" t="s">
        <v>15</v>
      </c>
      <c r="X1" s="285" t="s">
        <v>16</v>
      </c>
      <c r="Y1" s="285" t="s">
        <v>17</v>
      </c>
      <c r="Z1" s="285" t="s">
        <v>18</v>
      </c>
      <c r="AA1" s="285" t="s">
        <v>24</v>
      </c>
      <c r="AB1" s="285" t="s">
        <v>19</v>
      </c>
      <c r="AC1" s="286" t="s">
        <v>20</v>
      </c>
      <c r="AD1" s="285" t="s">
        <v>21</v>
      </c>
      <c r="AE1" s="285" t="s">
        <v>22</v>
      </c>
      <c r="AF1" s="285" t="s">
        <v>23</v>
      </c>
      <c r="AG1" s="285" t="s">
        <v>654</v>
      </c>
      <c r="AH1" s="285" t="s">
        <v>25</v>
      </c>
      <c r="AI1" s="284" t="s">
        <v>655</v>
      </c>
      <c r="AJ1" s="284" t="s">
        <v>656</v>
      </c>
      <c r="AK1" s="284" t="s">
        <v>657</v>
      </c>
      <c r="AL1" s="284" t="s">
        <v>658</v>
      </c>
      <c r="AM1" s="284" t="s">
        <v>659</v>
      </c>
      <c r="AN1" s="284" t="s">
        <v>660</v>
      </c>
      <c r="AO1" s="284" t="s">
        <v>661</v>
      </c>
      <c r="AP1" s="284" t="s">
        <v>662</v>
      </c>
      <c r="AQ1" s="284" t="s">
        <v>663</v>
      </c>
      <c r="AR1" s="284" t="s">
        <v>664</v>
      </c>
      <c r="AS1" s="284" t="s">
        <v>665</v>
      </c>
      <c r="AT1" s="284" t="s">
        <v>666</v>
      </c>
      <c r="AU1" s="284" t="s">
        <v>667</v>
      </c>
      <c r="AV1" s="284" t="s">
        <v>668</v>
      </c>
      <c r="AW1" s="287" t="s">
        <v>669</v>
      </c>
      <c r="AX1" s="287" t="s">
        <v>28</v>
      </c>
      <c r="AY1" s="284" t="s">
        <v>670</v>
      </c>
      <c r="AZ1" s="284" t="s">
        <v>671</v>
      </c>
      <c r="BA1" s="284" t="s">
        <v>672</v>
      </c>
      <c r="BB1" s="284" t="s">
        <v>673</v>
      </c>
      <c r="BC1" s="284" t="s">
        <v>674</v>
      </c>
      <c r="BD1" s="288" t="s">
        <v>0</v>
      </c>
      <c r="BE1" s="288"/>
      <c r="BF1" s="288"/>
      <c r="BG1" s="288"/>
      <c r="BH1" s="288"/>
      <c r="BI1" s="288"/>
      <c r="BJ1" s="288"/>
      <c r="BK1" s="288"/>
      <c r="BL1" s="288"/>
      <c r="BM1" s="288"/>
      <c r="BN1" s="288"/>
    </row>
    <row r="2" spans="1:66" ht="15.75" customHeight="1" x14ac:dyDescent="0.2">
      <c r="A2" s="289">
        <v>1</v>
      </c>
      <c r="B2" s="289" t="s">
        <v>675</v>
      </c>
      <c r="C2" s="290">
        <v>43683</v>
      </c>
      <c r="D2" s="289" t="s">
        <v>676</v>
      </c>
      <c r="E2" s="291" t="s">
        <v>213</v>
      </c>
      <c r="F2" s="289" t="s">
        <v>37</v>
      </c>
      <c r="G2" s="289">
        <v>9890474233</v>
      </c>
      <c r="H2" s="289" t="s">
        <v>677</v>
      </c>
      <c r="I2" s="289">
        <v>7</v>
      </c>
      <c r="J2" s="289">
        <v>34.82</v>
      </c>
      <c r="K2" s="292">
        <v>375</v>
      </c>
      <c r="L2" s="292">
        <v>0</v>
      </c>
      <c r="M2" s="292">
        <v>0</v>
      </c>
      <c r="N2" s="292"/>
      <c r="O2" s="292">
        <v>375</v>
      </c>
      <c r="P2" s="292">
        <v>562</v>
      </c>
      <c r="Q2" s="289">
        <v>10900</v>
      </c>
      <c r="R2" s="293">
        <v>6125800</v>
      </c>
      <c r="S2" s="293">
        <v>500000</v>
      </c>
      <c r="T2" s="293">
        <v>70000</v>
      </c>
      <c r="U2" s="293">
        <f t="shared" ref="U2:U10" si="0">R2+S2+T2</f>
        <v>6695800</v>
      </c>
      <c r="V2" s="293">
        <f t="shared" ref="V2:V10" si="1">U2*4%</f>
        <v>267832</v>
      </c>
      <c r="W2" s="293">
        <f t="shared" ref="W2:W6" si="2">U2-V2</f>
        <v>6427968</v>
      </c>
      <c r="X2" s="293">
        <v>140500</v>
      </c>
      <c r="Y2" s="293">
        <v>112400</v>
      </c>
      <c r="Z2" s="293">
        <v>84300</v>
      </c>
      <c r="AA2" s="293">
        <v>6000</v>
      </c>
      <c r="AB2" s="293">
        <f t="shared" ref="AB2:AB10" si="3">W2+X2+Y2+Z2+AA2</f>
        <v>6771168</v>
      </c>
      <c r="AC2" s="293">
        <v>30000</v>
      </c>
      <c r="AD2" s="293">
        <f t="shared" ref="AD2:AD10" si="4">W2*12%</f>
        <v>771356.15999999992</v>
      </c>
      <c r="AE2" s="293">
        <f t="shared" ref="AE2:AE10" si="5">X2*12%+Y2*18%+AA2*18%</f>
        <v>38172</v>
      </c>
      <c r="AF2" s="293">
        <f t="shared" ref="AF2:AF6" si="6">W2*7%</f>
        <v>449957.76000000007</v>
      </c>
      <c r="AG2" s="293"/>
      <c r="AH2" s="293">
        <f t="shared" ref="AH2:AH10" si="7">AB2+AC2+AD2+AE2+AF2</f>
        <v>8060653.9199999999</v>
      </c>
      <c r="AI2" s="293">
        <f t="shared" ref="AI2:AI6" si="8">W2*9%</f>
        <v>578517.12</v>
      </c>
      <c r="AJ2" s="289">
        <v>69422</v>
      </c>
      <c r="AK2" s="289"/>
      <c r="AL2" s="293">
        <f>W2*41%+6000</f>
        <v>2641466.88</v>
      </c>
      <c r="AM2" s="293">
        <v>317336</v>
      </c>
      <c r="AN2" s="293" t="s">
        <v>678</v>
      </c>
      <c r="AO2" s="289"/>
      <c r="AP2" s="289"/>
      <c r="AQ2" s="289"/>
      <c r="AR2" s="289"/>
      <c r="AS2" s="289"/>
      <c r="AT2" s="289"/>
      <c r="AU2" s="289" t="s">
        <v>679</v>
      </c>
      <c r="AV2" s="289" t="s">
        <v>680</v>
      </c>
      <c r="AW2" s="289" t="s">
        <v>681</v>
      </c>
      <c r="AX2" s="289" t="s">
        <v>682</v>
      </c>
      <c r="AY2" s="294">
        <v>0.03</v>
      </c>
      <c r="AZ2" s="289" t="s">
        <v>683</v>
      </c>
      <c r="BA2" s="293">
        <f>W2*AY2</f>
        <v>192839.03999999998</v>
      </c>
      <c r="BB2" s="289" t="s">
        <v>684</v>
      </c>
      <c r="BC2" s="289" t="s">
        <v>685</v>
      </c>
      <c r="BD2" s="289"/>
      <c r="BE2" s="289"/>
      <c r="BF2" s="289"/>
      <c r="BG2" s="289"/>
      <c r="BH2" s="289"/>
      <c r="BI2" s="288"/>
      <c r="BJ2" s="288"/>
      <c r="BK2" s="288"/>
      <c r="BL2" s="288"/>
      <c r="BM2" s="288"/>
      <c r="BN2" s="288"/>
    </row>
    <row r="3" spans="1:66" ht="15.75" customHeight="1" x14ac:dyDescent="0.2">
      <c r="A3" s="289">
        <v>2</v>
      </c>
      <c r="B3" s="289" t="s">
        <v>686</v>
      </c>
      <c r="C3" s="290">
        <v>43623</v>
      </c>
      <c r="D3" s="289" t="s">
        <v>676</v>
      </c>
      <c r="E3" s="291" t="s">
        <v>221</v>
      </c>
      <c r="F3" s="289" t="s">
        <v>37</v>
      </c>
      <c r="G3" s="289">
        <v>9112338899</v>
      </c>
      <c r="H3" s="289" t="s">
        <v>677</v>
      </c>
      <c r="I3" s="289">
        <v>9</v>
      </c>
      <c r="J3" s="289">
        <v>16.850000000000001</v>
      </c>
      <c r="K3" s="292">
        <v>181</v>
      </c>
      <c r="L3" s="295">
        <v>0</v>
      </c>
      <c r="M3" s="295">
        <v>0</v>
      </c>
      <c r="N3" s="292"/>
      <c r="O3" s="292">
        <v>181</v>
      </c>
      <c r="P3" s="292">
        <v>272</v>
      </c>
      <c r="Q3" s="289">
        <v>10500</v>
      </c>
      <c r="R3" s="293">
        <f t="shared" ref="R3:R6" si="9">P3*Q3</f>
        <v>2856000</v>
      </c>
      <c r="S3" s="293">
        <v>0</v>
      </c>
      <c r="T3" s="293">
        <v>35000</v>
      </c>
      <c r="U3" s="293">
        <f t="shared" si="0"/>
        <v>2891000</v>
      </c>
      <c r="V3" s="293">
        <f t="shared" si="1"/>
        <v>115640</v>
      </c>
      <c r="W3" s="293">
        <f t="shared" si="2"/>
        <v>2775360</v>
      </c>
      <c r="X3" s="293">
        <v>68000</v>
      </c>
      <c r="Y3" s="293">
        <v>54400</v>
      </c>
      <c r="Z3" s="293">
        <v>40800</v>
      </c>
      <c r="AA3" s="293">
        <v>6000</v>
      </c>
      <c r="AB3" s="293">
        <f t="shared" si="3"/>
        <v>2944560</v>
      </c>
      <c r="AC3" s="293">
        <v>30000</v>
      </c>
      <c r="AD3" s="293">
        <f t="shared" si="4"/>
        <v>333043.20000000001</v>
      </c>
      <c r="AE3" s="293">
        <f t="shared" si="5"/>
        <v>19032</v>
      </c>
      <c r="AF3" s="293">
        <f t="shared" si="6"/>
        <v>194275.20000000001</v>
      </c>
      <c r="AG3" s="293"/>
      <c r="AH3" s="293">
        <f t="shared" si="7"/>
        <v>3520910.4000000004</v>
      </c>
      <c r="AI3" s="293">
        <f t="shared" si="8"/>
        <v>249782.39999999999</v>
      </c>
      <c r="AJ3" s="289">
        <v>29974</v>
      </c>
      <c r="AK3" s="289" t="s">
        <v>687</v>
      </c>
      <c r="AL3" s="293">
        <f t="shared" ref="AL3:AL4" si="10">W3*21%+6000</f>
        <v>588825.59999999998</v>
      </c>
      <c r="AM3" s="296">
        <v>71019</v>
      </c>
      <c r="AN3" s="293" t="s">
        <v>687</v>
      </c>
      <c r="AO3" s="289"/>
      <c r="AP3" s="289"/>
      <c r="AQ3" s="289"/>
      <c r="AR3" s="289"/>
      <c r="AS3" s="289"/>
      <c r="AT3" s="289"/>
      <c r="AU3" s="289" t="s">
        <v>679</v>
      </c>
      <c r="AV3" s="289" t="s">
        <v>688</v>
      </c>
      <c r="AW3" s="289" t="s">
        <v>681</v>
      </c>
      <c r="AX3" s="289" t="s">
        <v>222</v>
      </c>
      <c r="AY3" s="294">
        <v>0.04</v>
      </c>
      <c r="AZ3" s="289" t="s">
        <v>689</v>
      </c>
      <c r="BA3" s="293">
        <f t="shared" ref="BA3:BA4" si="11">(R3*AY3)</f>
        <v>114240</v>
      </c>
      <c r="BB3" s="289" t="s">
        <v>684</v>
      </c>
      <c r="BC3" s="289" t="s">
        <v>685</v>
      </c>
      <c r="BD3" s="289"/>
      <c r="BE3" s="289"/>
      <c r="BF3" s="289"/>
      <c r="BG3" s="289"/>
      <c r="BH3" s="289"/>
      <c r="BI3" s="288"/>
      <c r="BJ3" s="288"/>
      <c r="BK3" s="288"/>
      <c r="BL3" s="288"/>
      <c r="BM3" s="288"/>
      <c r="BN3" s="288"/>
    </row>
    <row r="4" spans="1:66" ht="15.75" customHeight="1" x14ac:dyDescent="0.2">
      <c r="A4" s="289">
        <v>3</v>
      </c>
      <c r="B4" s="289" t="s">
        <v>686</v>
      </c>
      <c r="C4" s="290">
        <v>43623</v>
      </c>
      <c r="D4" s="289" t="s">
        <v>676</v>
      </c>
      <c r="E4" s="291" t="s">
        <v>250</v>
      </c>
      <c r="F4" s="289" t="s">
        <v>37</v>
      </c>
      <c r="G4" s="289">
        <v>9607920070</v>
      </c>
      <c r="H4" s="289" t="s">
        <v>677</v>
      </c>
      <c r="I4" s="289">
        <v>22</v>
      </c>
      <c r="J4" s="289">
        <v>20.07</v>
      </c>
      <c r="K4" s="292">
        <v>216</v>
      </c>
      <c r="L4" s="295">
        <v>0</v>
      </c>
      <c r="M4" s="295">
        <v>0</v>
      </c>
      <c r="N4" s="292"/>
      <c r="O4" s="292">
        <v>216</v>
      </c>
      <c r="P4" s="292">
        <v>324</v>
      </c>
      <c r="Q4" s="289">
        <v>10500</v>
      </c>
      <c r="R4" s="293">
        <f t="shared" si="9"/>
        <v>3402000</v>
      </c>
      <c r="S4" s="293">
        <v>0</v>
      </c>
      <c r="T4" s="293">
        <v>35000</v>
      </c>
      <c r="U4" s="293">
        <f t="shared" si="0"/>
        <v>3437000</v>
      </c>
      <c r="V4" s="293">
        <f t="shared" si="1"/>
        <v>137480</v>
      </c>
      <c r="W4" s="293">
        <f t="shared" si="2"/>
        <v>3299520</v>
      </c>
      <c r="X4" s="293">
        <v>81000</v>
      </c>
      <c r="Y4" s="293">
        <v>64800</v>
      </c>
      <c r="Z4" s="293">
        <v>48600</v>
      </c>
      <c r="AA4" s="293">
        <v>6000</v>
      </c>
      <c r="AB4" s="293">
        <f t="shared" si="3"/>
        <v>3499920</v>
      </c>
      <c r="AC4" s="293">
        <v>30000</v>
      </c>
      <c r="AD4" s="293">
        <f t="shared" si="4"/>
        <v>395942.39999999997</v>
      </c>
      <c r="AE4" s="293">
        <f t="shared" si="5"/>
        <v>22464</v>
      </c>
      <c r="AF4" s="293">
        <f t="shared" si="6"/>
        <v>230966.40000000002</v>
      </c>
      <c r="AG4" s="293"/>
      <c r="AH4" s="293">
        <f t="shared" si="7"/>
        <v>4179292.8</v>
      </c>
      <c r="AI4" s="293">
        <f t="shared" si="8"/>
        <v>296956.79999999999</v>
      </c>
      <c r="AJ4" s="289">
        <v>35635</v>
      </c>
      <c r="AK4" s="289" t="s">
        <v>687</v>
      </c>
      <c r="AL4" s="293">
        <f t="shared" si="10"/>
        <v>698899.2</v>
      </c>
      <c r="AM4" s="296">
        <v>84228</v>
      </c>
      <c r="AN4" s="293" t="s">
        <v>687</v>
      </c>
      <c r="AO4" s="289"/>
      <c r="AP4" s="289"/>
      <c r="AQ4" s="289"/>
      <c r="AR4" s="289"/>
      <c r="AS4" s="289"/>
      <c r="AT4" s="289"/>
      <c r="AU4" s="289" t="s">
        <v>679</v>
      </c>
      <c r="AV4" s="289" t="s">
        <v>690</v>
      </c>
      <c r="AW4" s="289" t="s">
        <v>681</v>
      </c>
      <c r="AX4" s="289" t="s">
        <v>222</v>
      </c>
      <c r="AY4" s="294">
        <v>0.04</v>
      </c>
      <c r="AZ4" s="289" t="s">
        <v>689</v>
      </c>
      <c r="BA4" s="293">
        <f t="shared" si="11"/>
        <v>136080</v>
      </c>
      <c r="BB4" s="289" t="s">
        <v>684</v>
      </c>
      <c r="BC4" s="289" t="s">
        <v>685</v>
      </c>
      <c r="BD4" s="289"/>
      <c r="BE4" s="289"/>
      <c r="BF4" s="289"/>
      <c r="BG4" s="289"/>
      <c r="BH4" s="289"/>
      <c r="BI4" s="288"/>
      <c r="BJ4" s="288"/>
      <c r="BK4" s="288"/>
      <c r="BL4" s="288"/>
      <c r="BM4" s="288"/>
      <c r="BN4" s="288"/>
    </row>
    <row r="5" spans="1:66" ht="17.25" customHeight="1" x14ac:dyDescent="0.2">
      <c r="A5" s="289">
        <v>4</v>
      </c>
      <c r="B5" s="289" t="s">
        <v>691</v>
      </c>
      <c r="C5" s="289" t="s">
        <v>692</v>
      </c>
      <c r="D5" s="289" t="s">
        <v>676</v>
      </c>
      <c r="E5" s="291" t="s">
        <v>693</v>
      </c>
      <c r="F5" s="289" t="s">
        <v>37</v>
      </c>
      <c r="G5" s="289">
        <v>9588437933</v>
      </c>
      <c r="H5" s="289" t="s">
        <v>694</v>
      </c>
      <c r="I5" s="289">
        <v>10</v>
      </c>
      <c r="J5" s="289">
        <v>16.850000000000001</v>
      </c>
      <c r="K5" s="292">
        <v>181</v>
      </c>
      <c r="L5" s="295">
        <v>0</v>
      </c>
      <c r="M5" s="295">
        <v>0</v>
      </c>
      <c r="N5" s="292"/>
      <c r="O5" s="292">
        <v>181</v>
      </c>
      <c r="P5" s="292">
        <v>272</v>
      </c>
      <c r="Q5" s="289">
        <v>15261</v>
      </c>
      <c r="R5" s="293">
        <f t="shared" si="9"/>
        <v>4150992</v>
      </c>
      <c r="S5" s="297">
        <v>0</v>
      </c>
      <c r="T5" s="297">
        <v>35000</v>
      </c>
      <c r="U5" s="293">
        <f t="shared" si="0"/>
        <v>4185992</v>
      </c>
      <c r="V5" s="293">
        <f t="shared" si="1"/>
        <v>167439.67999999999</v>
      </c>
      <c r="W5" s="293">
        <f t="shared" si="2"/>
        <v>4018552.32</v>
      </c>
      <c r="X5" s="293">
        <v>68000</v>
      </c>
      <c r="Y5" s="293">
        <v>54400</v>
      </c>
      <c r="Z5" s="293">
        <v>40800</v>
      </c>
      <c r="AA5" s="293">
        <v>6000</v>
      </c>
      <c r="AB5" s="293">
        <f t="shared" si="3"/>
        <v>4187752.32</v>
      </c>
      <c r="AC5" s="297">
        <v>30000</v>
      </c>
      <c r="AD5" s="293">
        <f t="shared" si="4"/>
        <v>482226.27839999995</v>
      </c>
      <c r="AE5" s="293">
        <f t="shared" si="5"/>
        <v>19032</v>
      </c>
      <c r="AF5" s="293">
        <f t="shared" si="6"/>
        <v>281298.66240000003</v>
      </c>
      <c r="AG5" s="293"/>
      <c r="AH5" s="293">
        <f t="shared" si="7"/>
        <v>5000309.2608000003</v>
      </c>
      <c r="AI5" s="293">
        <f t="shared" si="8"/>
        <v>361669.70879999996</v>
      </c>
      <c r="AJ5" s="289">
        <v>43400</v>
      </c>
      <c r="AK5" s="289" t="s">
        <v>687</v>
      </c>
      <c r="AL5" s="293">
        <v>1587679</v>
      </c>
      <c r="AM5" s="289">
        <v>190881</v>
      </c>
      <c r="AN5" s="289" t="s">
        <v>695</v>
      </c>
      <c r="AO5" s="289"/>
      <c r="AP5" s="289"/>
      <c r="AQ5" s="289"/>
      <c r="AR5" s="289"/>
      <c r="AS5" s="289"/>
      <c r="AT5" s="289"/>
      <c r="AU5" s="289" t="s">
        <v>696</v>
      </c>
      <c r="AV5" s="289" t="s">
        <v>697</v>
      </c>
      <c r="AW5" s="298" t="s">
        <v>681</v>
      </c>
      <c r="AX5" s="298" t="s">
        <v>698</v>
      </c>
      <c r="AY5" s="294">
        <v>0.02</v>
      </c>
      <c r="AZ5" s="289" t="s">
        <v>689</v>
      </c>
      <c r="BA5" s="293">
        <f>W5*AY5</f>
        <v>80371.046399999992</v>
      </c>
      <c r="BB5" s="289" t="s">
        <v>684</v>
      </c>
      <c r="BC5" s="289" t="s">
        <v>685</v>
      </c>
      <c r="BD5" s="288"/>
      <c r="BE5" s="288"/>
      <c r="BF5" s="288"/>
      <c r="BG5" s="288"/>
      <c r="BH5" s="288"/>
      <c r="BI5" s="288"/>
      <c r="BJ5" s="288"/>
      <c r="BK5" s="288"/>
      <c r="BL5" s="288"/>
      <c r="BM5" s="288"/>
      <c r="BN5" s="288"/>
    </row>
    <row r="6" spans="1:66" ht="15.75" customHeight="1" x14ac:dyDescent="0.2">
      <c r="A6" s="299">
        <v>5</v>
      </c>
      <c r="B6" s="300">
        <v>43805</v>
      </c>
      <c r="C6" s="289" t="s">
        <v>699</v>
      </c>
      <c r="D6" s="289" t="s">
        <v>676</v>
      </c>
      <c r="E6" s="301" t="s">
        <v>248</v>
      </c>
      <c r="F6" s="299" t="s">
        <v>700</v>
      </c>
      <c r="G6" s="296">
        <v>6592389667</v>
      </c>
      <c r="H6" s="299" t="s">
        <v>677</v>
      </c>
      <c r="I6" s="299">
        <v>21</v>
      </c>
      <c r="J6" s="299">
        <v>21.5</v>
      </c>
      <c r="K6" s="299">
        <v>231</v>
      </c>
      <c r="L6" s="289">
        <v>0</v>
      </c>
      <c r="M6" s="289">
        <v>0</v>
      </c>
      <c r="N6" s="299"/>
      <c r="O6" s="299">
        <v>231</v>
      </c>
      <c r="P6" s="299">
        <v>347</v>
      </c>
      <c r="Q6" s="302">
        <v>10500</v>
      </c>
      <c r="R6" s="293">
        <f t="shared" si="9"/>
        <v>3643500</v>
      </c>
      <c r="S6" s="293">
        <v>0</v>
      </c>
      <c r="T6" s="303">
        <v>35000</v>
      </c>
      <c r="U6" s="293">
        <f t="shared" si="0"/>
        <v>3678500</v>
      </c>
      <c r="V6" s="293">
        <f t="shared" si="1"/>
        <v>147140</v>
      </c>
      <c r="W6" s="293">
        <f t="shared" si="2"/>
        <v>3531360</v>
      </c>
      <c r="X6" s="303">
        <v>86750</v>
      </c>
      <c r="Y6" s="303">
        <v>69400</v>
      </c>
      <c r="Z6" s="303">
        <v>52050</v>
      </c>
      <c r="AA6" s="303">
        <v>6000</v>
      </c>
      <c r="AB6" s="293">
        <f t="shared" si="3"/>
        <v>3745560</v>
      </c>
      <c r="AC6" s="303">
        <v>30000</v>
      </c>
      <c r="AD6" s="293">
        <f t="shared" si="4"/>
        <v>423763.20000000001</v>
      </c>
      <c r="AE6" s="293">
        <f t="shared" si="5"/>
        <v>23982</v>
      </c>
      <c r="AF6" s="293">
        <f t="shared" si="6"/>
        <v>247195.2</v>
      </c>
      <c r="AG6" s="293"/>
      <c r="AH6" s="293">
        <f t="shared" si="7"/>
        <v>4470500.4000000004</v>
      </c>
      <c r="AI6" s="293">
        <f t="shared" si="8"/>
        <v>317822.39999999997</v>
      </c>
      <c r="AJ6" s="299">
        <v>38139</v>
      </c>
      <c r="AK6" s="299" t="s">
        <v>687</v>
      </c>
      <c r="AL6" s="293">
        <f>W6*21%+6000</f>
        <v>747585.6</v>
      </c>
      <c r="AM6" s="296">
        <v>90070</v>
      </c>
      <c r="AN6" s="293" t="s">
        <v>687</v>
      </c>
      <c r="AO6" s="299"/>
      <c r="AP6" s="299"/>
      <c r="AQ6" s="299"/>
      <c r="AR6" s="299"/>
      <c r="AS6" s="299"/>
      <c r="AT6" s="299"/>
      <c r="AU6" s="299" t="s">
        <v>696</v>
      </c>
      <c r="AV6" s="304"/>
      <c r="AW6" s="299" t="s">
        <v>681</v>
      </c>
      <c r="AX6" s="299" t="s">
        <v>701</v>
      </c>
      <c r="AY6" s="305">
        <v>0.01</v>
      </c>
      <c r="AZ6" s="299" t="s">
        <v>689</v>
      </c>
      <c r="BA6" s="289">
        <f>34964</f>
        <v>34964</v>
      </c>
      <c r="BB6" s="289" t="s">
        <v>702</v>
      </c>
      <c r="BC6" s="289" t="s">
        <v>685</v>
      </c>
      <c r="BD6" s="289"/>
      <c r="BE6" s="289"/>
      <c r="BF6" s="289"/>
      <c r="BG6" s="289"/>
      <c r="BH6" s="289"/>
      <c r="BI6" s="288"/>
      <c r="BJ6" s="288"/>
      <c r="BK6" s="288"/>
      <c r="BL6" s="288"/>
      <c r="BM6" s="288"/>
      <c r="BN6" s="288"/>
    </row>
    <row r="7" spans="1:66" ht="15.75" customHeight="1" x14ac:dyDescent="0.2">
      <c r="A7" s="306">
        <v>6</v>
      </c>
      <c r="B7" s="306" t="s">
        <v>703</v>
      </c>
      <c r="C7" s="307"/>
      <c r="D7" s="307" t="s">
        <v>702</v>
      </c>
      <c r="E7" s="308" t="s">
        <v>704</v>
      </c>
      <c r="F7" s="306" t="s">
        <v>92</v>
      </c>
      <c r="G7" s="306">
        <f>96550644253</f>
        <v>96550644253</v>
      </c>
      <c r="H7" s="306" t="s">
        <v>677</v>
      </c>
      <c r="I7" s="306">
        <v>10</v>
      </c>
      <c r="J7" s="306">
        <v>16.850000000000001</v>
      </c>
      <c r="K7" s="306">
        <v>181</v>
      </c>
      <c r="L7" s="306">
        <v>0</v>
      </c>
      <c r="M7" s="306">
        <v>0</v>
      </c>
      <c r="N7" s="306"/>
      <c r="O7" s="306">
        <v>181</v>
      </c>
      <c r="P7" s="306">
        <v>272</v>
      </c>
      <c r="Q7" s="306">
        <v>12300</v>
      </c>
      <c r="R7" s="309">
        <v>3345600</v>
      </c>
      <c r="S7" s="309">
        <v>0</v>
      </c>
      <c r="T7" s="309">
        <v>35000</v>
      </c>
      <c r="U7" s="309">
        <f t="shared" si="0"/>
        <v>3380600</v>
      </c>
      <c r="V7" s="309">
        <f t="shared" si="1"/>
        <v>135224</v>
      </c>
      <c r="W7" s="309">
        <f>(U7-V7)</f>
        <v>3245376</v>
      </c>
      <c r="X7" s="309">
        <v>68000</v>
      </c>
      <c r="Y7" s="309">
        <v>54400</v>
      </c>
      <c r="Z7" s="309">
        <v>40800</v>
      </c>
      <c r="AA7" s="309">
        <v>6000</v>
      </c>
      <c r="AB7" s="309">
        <f t="shared" si="3"/>
        <v>3414576</v>
      </c>
      <c r="AC7" s="309">
        <v>30000</v>
      </c>
      <c r="AD7" s="309">
        <f t="shared" si="4"/>
        <v>389445.12</v>
      </c>
      <c r="AE7" s="309">
        <f t="shared" si="5"/>
        <v>19032</v>
      </c>
      <c r="AF7" s="309">
        <f>W7*7%+24</f>
        <v>227200.32000000004</v>
      </c>
      <c r="AG7" s="309"/>
      <c r="AH7" s="309">
        <f t="shared" si="7"/>
        <v>4080253.44</v>
      </c>
      <c r="AI7" s="309">
        <f>W7*10%</f>
        <v>324537.60000000003</v>
      </c>
      <c r="AJ7" s="306">
        <v>39571</v>
      </c>
      <c r="AK7" s="306" t="s">
        <v>687</v>
      </c>
      <c r="AL7" s="306">
        <v>655075</v>
      </c>
      <c r="AM7" s="306">
        <v>789869</v>
      </c>
      <c r="AN7" s="309" t="s">
        <v>705</v>
      </c>
      <c r="AO7" s="306"/>
      <c r="AP7" s="306"/>
      <c r="AQ7" s="306"/>
      <c r="AR7" s="306"/>
      <c r="AS7" s="306"/>
      <c r="AT7" s="306"/>
      <c r="AU7" s="306" t="s">
        <v>696</v>
      </c>
      <c r="AV7" s="306"/>
      <c r="AW7" s="306" t="s">
        <v>681</v>
      </c>
      <c r="AX7" s="306" t="s">
        <v>224</v>
      </c>
      <c r="AY7" s="310">
        <v>0.03</v>
      </c>
      <c r="AZ7" s="306" t="s">
        <v>683</v>
      </c>
      <c r="BA7" s="309">
        <f t="shared" ref="BA7:BA10" si="12">R7*AY7</f>
        <v>100368</v>
      </c>
      <c r="BB7" s="306" t="s">
        <v>684</v>
      </c>
      <c r="BC7" s="311" t="s">
        <v>706</v>
      </c>
      <c r="BD7" s="306"/>
      <c r="BE7" s="306"/>
      <c r="BF7" s="306"/>
      <c r="BG7" s="306"/>
      <c r="BH7" s="306"/>
      <c r="BI7" s="312"/>
      <c r="BJ7" s="312"/>
      <c r="BK7" s="312"/>
      <c r="BL7" s="312"/>
      <c r="BM7" s="312"/>
      <c r="BN7" s="312"/>
    </row>
    <row r="8" spans="1:66" ht="17.25" customHeight="1" x14ac:dyDescent="0.2">
      <c r="A8" s="289">
        <v>7</v>
      </c>
      <c r="B8" s="289" t="s">
        <v>707</v>
      </c>
      <c r="C8" s="299" t="s">
        <v>708</v>
      </c>
      <c r="D8" s="289" t="s">
        <v>676</v>
      </c>
      <c r="E8" s="291" t="s">
        <v>709</v>
      </c>
      <c r="F8" s="289" t="s">
        <v>710</v>
      </c>
      <c r="G8" s="289">
        <v>9168728800</v>
      </c>
      <c r="H8" s="289" t="s">
        <v>694</v>
      </c>
      <c r="I8" s="289">
        <v>8</v>
      </c>
      <c r="J8" s="289">
        <v>16.71</v>
      </c>
      <c r="K8" s="289">
        <v>180</v>
      </c>
      <c r="L8" s="289">
        <v>0</v>
      </c>
      <c r="M8" s="289">
        <v>0</v>
      </c>
      <c r="N8" s="289"/>
      <c r="O8" s="289">
        <v>180</v>
      </c>
      <c r="P8" s="289">
        <v>270</v>
      </c>
      <c r="Q8" s="313">
        <v>12600</v>
      </c>
      <c r="R8" s="293">
        <f t="shared" ref="R8:R9" si="13">P8*Q8</f>
        <v>3402000</v>
      </c>
      <c r="S8" s="297">
        <v>0</v>
      </c>
      <c r="T8" s="297">
        <v>35000</v>
      </c>
      <c r="U8" s="293">
        <f t="shared" si="0"/>
        <v>3437000</v>
      </c>
      <c r="V8" s="293">
        <f t="shared" si="1"/>
        <v>137480</v>
      </c>
      <c r="W8" s="293">
        <f t="shared" ref="W8:W10" si="14">U8-V8</f>
        <v>3299520</v>
      </c>
      <c r="X8" s="293">
        <v>67500</v>
      </c>
      <c r="Y8" s="293">
        <v>54000</v>
      </c>
      <c r="Z8" s="293">
        <v>40500</v>
      </c>
      <c r="AA8" s="293">
        <v>6000</v>
      </c>
      <c r="AB8" s="293">
        <f t="shared" si="3"/>
        <v>3467520</v>
      </c>
      <c r="AC8" s="297">
        <v>30000</v>
      </c>
      <c r="AD8" s="293">
        <f t="shared" si="4"/>
        <v>395942.39999999997</v>
      </c>
      <c r="AE8" s="293">
        <f t="shared" si="5"/>
        <v>18900</v>
      </c>
      <c r="AF8" s="293">
        <f>W8*7%</f>
        <v>230966.40000000002</v>
      </c>
      <c r="AG8" s="293"/>
      <c r="AH8" s="293">
        <f t="shared" si="7"/>
        <v>4143328.8</v>
      </c>
      <c r="AI8" s="293">
        <f t="shared" ref="AI8:AI10" si="15">W8*9%</f>
        <v>296956.79999999999</v>
      </c>
      <c r="AJ8" s="289">
        <v>35635</v>
      </c>
      <c r="AK8" s="289" t="s">
        <v>687</v>
      </c>
      <c r="AL8" s="293">
        <f t="shared" ref="AL8:AL10" si="16">W8*21%+6000</f>
        <v>698899.2</v>
      </c>
      <c r="AM8" s="296">
        <v>84228</v>
      </c>
      <c r="AN8" s="293" t="s">
        <v>687</v>
      </c>
      <c r="AO8" s="289"/>
      <c r="AP8" s="289"/>
      <c r="AQ8" s="289"/>
      <c r="AR8" s="289"/>
      <c r="AS8" s="289"/>
      <c r="AT8" s="289"/>
      <c r="AU8" s="289" t="s">
        <v>679</v>
      </c>
      <c r="AV8" s="289" t="s">
        <v>711</v>
      </c>
      <c r="AW8" s="298" t="s">
        <v>681</v>
      </c>
      <c r="AX8" s="298" t="s">
        <v>712</v>
      </c>
      <c r="AY8" s="294">
        <v>0.03</v>
      </c>
      <c r="AZ8" s="289" t="s">
        <v>683</v>
      </c>
      <c r="BA8" s="293">
        <f t="shared" si="12"/>
        <v>102060</v>
      </c>
      <c r="BB8" s="289" t="s">
        <v>713</v>
      </c>
      <c r="BC8" s="289" t="s">
        <v>685</v>
      </c>
      <c r="BD8" s="312"/>
      <c r="BE8" s="312"/>
      <c r="BF8" s="312"/>
      <c r="BG8" s="312"/>
      <c r="BH8" s="312"/>
      <c r="BI8" s="312"/>
      <c r="BJ8" s="312"/>
      <c r="BK8" s="312"/>
      <c r="BL8" s="312"/>
      <c r="BM8" s="312"/>
      <c r="BN8" s="312"/>
    </row>
    <row r="9" spans="1:66" ht="15.75" customHeight="1" x14ac:dyDescent="0.2">
      <c r="A9" s="289">
        <v>8</v>
      </c>
      <c r="B9" s="298" t="s">
        <v>714</v>
      </c>
      <c r="C9" s="314" t="s">
        <v>715</v>
      </c>
      <c r="D9" s="289" t="s">
        <v>676</v>
      </c>
      <c r="E9" s="315" t="s">
        <v>716</v>
      </c>
      <c r="F9" s="298" t="s">
        <v>717</v>
      </c>
      <c r="G9" s="298">
        <v>9049139432</v>
      </c>
      <c r="H9" s="298" t="s">
        <v>677</v>
      </c>
      <c r="I9" s="298">
        <v>8</v>
      </c>
      <c r="J9" s="298">
        <v>16.71</v>
      </c>
      <c r="K9" s="298">
        <v>180</v>
      </c>
      <c r="L9" s="298">
        <v>0</v>
      </c>
      <c r="M9" s="298">
        <v>0</v>
      </c>
      <c r="N9" s="298"/>
      <c r="O9" s="298">
        <v>180</v>
      </c>
      <c r="P9" s="298">
        <v>270</v>
      </c>
      <c r="Q9" s="316">
        <v>11840</v>
      </c>
      <c r="R9" s="293">
        <f t="shared" si="13"/>
        <v>3196800</v>
      </c>
      <c r="S9" s="297">
        <v>0</v>
      </c>
      <c r="T9" s="297">
        <v>35000</v>
      </c>
      <c r="U9" s="293">
        <f t="shared" si="0"/>
        <v>3231800</v>
      </c>
      <c r="V9" s="293">
        <f t="shared" si="1"/>
        <v>129272</v>
      </c>
      <c r="W9" s="293">
        <f t="shared" si="14"/>
        <v>3102528</v>
      </c>
      <c r="X9" s="297">
        <v>67500</v>
      </c>
      <c r="Y9" s="297">
        <v>54000</v>
      </c>
      <c r="Z9" s="297">
        <v>40500</v>
      </c>
      <c r="AA9" s="297">
        <v>6000</v>
      </c>
      <c r="AB9" s="293">
        <f t="shared" si="3"/>
        <v>3270528</v>
      </c>
      <c r="AC9" s="297">
        <v>30000</v>
      </c>
      <c r="AD9" s="293">
        <f t="shared" si="4"/>
        <v>372303.35999999999</v>
      </c>
      <c r="AE9" s="293">
        <f t="shared" si="5"/>
        <v>18900</v>
      </c>
      <c r="AF9" s="293">
        <f>W9*7%+23</f>
        <v>217199.96000000002</v>
      </c>
      <c r="AG9" s="293"/>
      <c r="AH9" s="293">
        <f t="shared" si="7"/>
        <v>3908931.32</v>
      </c>
      <c r="AI9" s="293">
        <f t="shared" si="15"/>
        <v>279227.52000000002</v>
      </c>
      <c r="AJ9" s="298">
        <v>33507</v>
      </c>
      <c r="AK9" s="298" t="s">
        <v>687</v>
      </c>
      <c r="AL9" s="293">
        <f t="shared" si="16"/>
        <v>657530.88</v>
      </c>
      <c r="AM9" s="317">
        <f t="shared" ref="AM9:AM10" si="17">W9*21%*12%+AA9*18%</f>
        <v>79263.705600000001</v>
      </c>
      <c r="AN9" s="293" t="s">
        <v>687</v>
      </c>
      <c r="AO9" s="298"/>
      <c r="AP9" s="298"/>
      <c r="AQ9" s="298"/>
      <c r="AR9" s="298"/>
      <c r="AS9" s="298"/>
      <c r="AT9" s="298"/>
      <c r="AU9" s="298" t="s">
        <v>679</v>
      </c>
      <c r="AV9" s="298" t="s">
        <v>718</v>
      </c>
      <c r="AW9" s="298" t="s">
        <v>681</v>
      </c>
      <c r="AX9" s="298" t="s">
        <v>719</v>
      </c>
      <c r="AY9" s="318">
        <v>0</v>
      </c>
      <c r="AZ9" s="298" t="s">
        <v>689</v>
      </c>
      <c r="BA9" s="293">
        <f t="shared" si="12"/>
        <v>0</v>
      </c>
      <c r="BB9" s="289"/>
      <c r="BC9" s="289" t="s">
        <v>685</v>
      </c>
      <c r="BD9" s="319"/>
      <c r="BE9" s="319"/>
      <c r="BF9" s="319"/>
      <c r="BG9" s="319"/>
      <c r="BH9" s="319"/>
      <c r="BI9" s="320"/>
      <c r="BJ9" s="320"/>
      <c r="BK9" s="320"/>
      <c r="BL9" s="320"/>
      <c r="BM9" s="320"/>
      <c r="BN9" s="320"/>
    </row>
    <row r="10" spans="1:66" ht="15.75" customHeight="1" x14ac:dyDescent="0.2">
      <c r="A10" s="289">
        <v>9</v>
      </c>
      <c r="B10" s="321" t="s">
        <v>720</v>
      </c>
      <c r="C10" s="322" t="s">
        <v>721</v>
      </c>
      <c r="D10" s="289" t="s">
        <v>676</v>
      </c>
      <c r="E10" s="291" t="s">
        <v>722</v>
      </c>
      <c r="F10" s="289" t="s">
        <v>92</v>
      </c>
      <c r="G10" s="289">
        <v>96599273786</v>
      </c>
      <c r="H10" s="289" t="s">
        <v>694</v>
      </c>
      <c r="I10" s="289">
        <v>15</v>
      </c>
      <c r="J10" s="289">
        <v>16.989999999999998</v>
      </c>
      <c r="K10" s="289">
        <v>183</v>
      </c>
      <c r="L10" s="289">
        <v>0</v>
      </c>
      <c r="M10" s="289">
        <v>0</v>
      </c>
      <c r="N10" s="289"/>
      <c r="O10" s="289">
        <v>183</v>
      </c>
      <c r="P10" s="289">
        <v>274</v>
      </c>
      <c r="Q10" s="289">
        <v>14000</v>
      </c>
      <c r="R10" s="293">
        <v>3836000</v>
      </c>
      <c r="S10" s="297">
        <v>500000</v>
      </c>
      <c r="T10" s="297">
        <v>35000</v>
      </c>
      <c r="U10" s="293">
        <f t="shared" si="0"/>
        <v>4371000</v>
      </c>
      <c r="V10" s="293">
        <f t="shared" si="1"/>
        <v>174840</v>
      </c>
      <c r="W10" s="293">
        <f t="shared" si="14"/>
        <v>4196160</v>
      </c>
      <c r="X10" s="293">
        <v>68500</v>
      </c>
      <c r="Y10" s="293">
        <v>54800</v>
      </c>
      <c r="Z10" s="293">
        <v>41100</v>
      </c>
      <c r="AA10" s="293">
        <v>6000</v>
      </c>
      <c r="AB10" s="293">
        <f t="shared" si="3"/>
        <v>4366560</v>
      </c>
      <c r="AC10" s="297">
        <v>30000</v>
      </c>
      <c r="AD10" s="293">
        <f t="shared" si="4"/>
        <v>503539.19999999995</v>
      </c>
      <c r="AE10" s="293">
        <f t="shared" si="5"/>
        <v>19164</v>
      </c>
      <c r="AF10" s="293">
        <f>W10*7%+69</f>
        <v>293800.2</v>
      </c>
      <c r="AG10" s="293"/>
      <c r="AH10" s="293">
        <f t="shared" si="7"/>
        <v>5213063.4000000004</v>
      </c>
      <c r="AI10" s="293">
        <f t="shared" si="15"/>
        <v>377654.39999999997</v>
      </c>
      <c r="AJ10" s="289">
        <v>45318</v>
      </c>
      <c r="AK10" s="289" t="s">
        <v>687</v>
      </c>
      <c r="AL10" s="293">
        <f t="shared" si="16"/>
        <v>887193.59999999998</v>
      </c>
      <c r="AM10" s="317">
        <f t="shared" si="17"/>
        <v>106823.23199999999</v>
      </c>
      <c r="AN10" s="289" t="s">
        <v>687</v>
      </c>
      <c r="AO10" s="289"/>
      <c r="AP10" s="289"/>
      <c r="AQ10" s="289"/>
      <c r="AR10" s="289"/>
      <c r="AS10" s="289"/>
      <c r="AT10" s="289"/>
      <c r="AU10" s="289" t="s">
        <v>696</v>
      </c>
      <c r="AV10" s="289" t="s">
        <v>723</v>
      </c>
      <c r="AW10" s="298" t="s">
        <v>681</v>
      </c>
      <c r="AX10" s="298" t="s">
        <v>724</v>
      </c>
      <c r="AY10" s="294">
        <v>0.03</v>
      </c>
      <c r="AZ10" s="289" t="s">
        <v>683</v>
      </c>
      <c r="BA10" s="293">
        <f t="shared" si="12"/>
        <v>115080</v>
      </c>
      <c r="BB10" s="289" t="s">
        <v>684</v>
      </c>
      <c r="BC10" s="289" t="s">
        <v>685</v>
      </c>
      <c r="BD10" s="288"/>
      <c r="BE10" s="288"/>
      <c r="BF10" s="288"/>
      <c r="BG10" s="288"/>
      <c r="BH10" s="288"/>
      <c r="BI10" s="288"/>
      <c r="BJ10" s="288"/>
      <c r="BK10" s="288"/>
      <c r="BL10" s="288"/>
      <c r="BM10" s="288"/>
      <c r="BN10" s="288"/>
    </row>
    <row r="11" spans="1:66" ht="17.25" customHeight="1" x14ac:dyDescent="0.2">
      <c r="A11" s="323"/>
      <c r="B11" s="324"/>
      <c r="C11" s="324"/>
      <c r="D11" s="323"/>
      <c r="E11" s="325"/>
      <c r="F11" s="323"/>
      <c r="G11" s="323"/>
      <c r="H11" s="323" t="s">
        <v>0</v>
      </c>
      <c r="I11" s="323"/>
      <c r="J11" s="323"/>
      <c r="K11" s="323"/>
      <c r="L11" s="323"/>
      <c r="M11" s="323"/>
      <c r="N11" s="323"/>
      <c r="O11" s="323"/>
      <c r="P11" s="323"/>
      <c r="Q11" s="323"/>
      <c r="R11" s="326"/>
      <c r="S11" s="327"/>
      <c r="T11" s="327"/>
      <c r="U11" s="323"/>
      <c r="V11" s="326"/>
      <c r="W11" s="326"/>
      <c r="X11" s="326"/>
      <c r="Y11" s="326"/>
      <c r="Z11" s="326"/>
      <c r="AA11" s="326"/>
      <c r="AB11" s="326"/>
      <c r="AC11" s="327"/>
      <c r="AD11" s="326"/>
      <c r="AE11" s="326"/>
      <c r="AF11" s="326"/>
      <c r="AG11" s="326"/>
      <c r="AH11" s="326"/>
      <c r="AI11" s="323"/>
      <c r="AJ11" s="323"/>
      <c r="AK11" s="323"/>
      <c r="AL11" s="326"/>
      <c r="AM11" s="323"/>
      <c r="AN11" s="323"/>
      <c r="AO11" s="323"/>
      <c r="AP11" s="323"/>
      <c r="AQ11" s="323"/>
      <c r="AR11" s="323"/>
      <c r="AS11" s="323"/>
      <c r="AT11" s="323"/>
      <c r="AU11" s="323"/>
      <c r="AV11" s="323"/>
      <c r="AW11" s="328"/>
      <c r="AX11" s="328"/>
      <c r="AY11" s="329"/>
      <c r="AZ11" s="323"/>
      <c r="BA11" s="323"/>
      <c r="BB11" s="323"/>
      <c r="BC11" s="323"/>
      <c r="BD11" s="330"/>
      <c r="BE11" s="330"/>
      <c r="BF11" s="330"/>
      <c r="BG11" s="330"/>
      <c r="BH11" s="330"/>
      <c r="BI11" s="330"/>
      <c r="BJ11" s="330"/>
      <c r="BK11" s="330"/>
      <c r="BL11" s="330"/>
      <c r="BM11" s="330"/>
      <c r="BN11" s="330"/>
    </row>
    <row r="12" spans="1:66" ht="20.25" customHeight="1" x14ac:dyDescent="0.2">
      <c r="A12" s="289">
        <v>10</v>
      </c>
      <c r="B12" s="298" t="s">
        <v>725</v>
      </c>
      <c r="C12" s="331">
        <v>43718</v>
      </c>
      <c r="D12" s="289" t="s">
        <v>676</v>
      </c>
      <c r="E12" s="315" t="s">
        <v>726</v>
      </c>
      <c r="F12" s="298" t="s">
        <v>727</v>
      </c>
      <c r="G12" s="298">
        <v>9637897313</v>
      </c>
      <c r="H12" s="298" t="s">
        <v>677</v>
      </c>
      <c r="I12" s="298">
        <v>17</v>
      </c>
      <c r="J12" s="298">
        <v>24.09</v>
      </c>
      <c r="K12" s="298">
        <v>259</v>
      </c>
      <c r="L12" s="298">
        <v>0</v>
      </c>
      <c r="M12" s="298">
        <v>0</v>
      </c>
      <c r="N12" s="298"/>
      <c r="O12" s="298">
        <f>K12+M12</f>
        <v>259</v>
      </c>
      <c r="P12" s="298">
        <v>389</v>
      </c>
      <c r="Q12" s="298">
        <v>11716</v>
      </c>
      <c r="R12" s="293">
        <f t="shared" ref="R12:R17" si="18">P12*Q12</f>
        <v>4557524</v>
      </c>
      <c r="S12" s="297">
        <v>500000</v>
      </c>
      <c r="T12" s="297">
        <v>35000</v>
      </c>
      <c r="U12" s="293">
        <f t="shared" ref="U12:U17" si="19">R12+S12+T12</f>
        <v>5092524</v>
      </c>
      <c r="V12" s="293">
        <v>0</v>
      </c>
      <c r="W12" s="293">
        <v>0</v>
      </c>
      <c r="X12" s="297">
        <v>97250</v>
      </c>
      <c r="Y12" s="297">
        <v>77800</v>
      </c>
      <c r="Z12" s="297">
        <v>58350</v>
      </c>
      <c r="AA12" s="297">
        <v>6000</v>
      </c>
      <c r="AB12" s="293">
        <f t="shared" ref="AB12:AB17" si="20">U12+X12+Y12+Z12+AA12</f>
        <v>5331924</v>
      </c>
      <c r="AC12" s="297">
        <v>30000</v>
      </c>
      <c r="AD12" s="293">
        <f t="shared" ref="AD12:AD17" si="21">U12*12%</f>
        <v>611102.88</v>
      </c>
      <c r="AE12" s="293">
        <f t="shared" ref="AE12:AE15" si="22">X12*12%+Y12*12%+AA12*12%</f>
        <v>21726</v>
      </c>
      <c r="AF12" s="293">
        <f>U12*7%+23</f>
        <v>356499.68000000005</v>
      </c>
      <c r="AG12" s="293"/>
      <c r="AH12" s="293">
        <f t="shared" ref="AH12:AH17" si="23">AB12+AC12+AD12+AE12+AF12</f>
        <v>6351252.5599999996</v>
      </c>
      <c r="AI12" s="293">
        <f t="shared" ref="AI12:AI15" si="24">U12*9%</f>
        <v>458327.16</v>
      </c>
      <c r="AJ12" s="298">
        <v>54999</v>
      </c>
      <c r="AK12" s="298" t="s">
        <v>687</v>
      </c>
      <c r="AL12" s="293">
        <f t="shared" ref="AL12:AL15" si="25">U12*21%+6000</f>
        <v>1075430.04</v>
      </c>
      <c r="AM12" s="296">
        <v>129052</v>
      </c>
      <c r="AN12" s="289" t="s">
        <v>687</v>
      </c>
      <c r="AO12" s="298"/>
      <c r="AP12" s="298"/>
      <c r="AQ12" s="298"/>
      <c r="AR12" s="298"/>
      <c r="AS12" s="298"/>
      <c r="AT12" s="298"/>
      <c r="AU12" s="298" t="s">
        <v>679</v>
      </c>
      <c r="AV12" s="298" t="s">
        <v>728</v>
      </c>
      <c r="AW12" s="298" t="s">
        <v>681</v>
      </c>
      <c r="AX12" s="298" t="s">
        <v>236</v>
      </c>
      <c r="AY12" s="318">
        <v>0.03</v>
      </c>
      <c r="AZ12" s="298">
        <v>20000</v>
      </c>
      <c r="BA12" s="293">
        <f t="shared" ref="BA12:BA17" si="26">(R12*3%)+AZ12</f>
        <v>156725.72</v>
      </c>
      <c r="BB12" s="289" t="s">
        <v>684</v>
      </c>
      <c r="BC12" s="289" t="s">
        <v>685</v>
      </c>
      <c r="BD12" s="298"/>
      <c r="BE12" s="298"/>
      <c r="BF12" s="298"/>
      <c r="BG12" s="298"/>
      <c r="BH12" s="298"/>
      <c r="BI12" s="298"/>
      <c r="BJ12" s="298"/>
      <c r="BK12" s="298"/>
      <c r="BL12" s="298"/>
      <c r="BM12" s="298"/>
      <c r="BN12" s="298"/>
    </row>
    <row r="13" spans="1:66" ht="17.25" customHeight="1" x14ac:dyDescent="0.2">
      <c r="A13" s="289">
        <f t="shared" ref="A13:A17" si="27">A12+1</f>
        <v>11</v>
      </c>
      <c r="B13" s="290">
        <v>43563</v>
      </c>
      <c r="C13" s="331">
        <v>43686</v>
      </c>
      <c r="D13" s="289" t="s">
        <v>676</v>
      </c>
      <c r="E13" s="291" t="s">
        <v>299</v>
      </c>
      <c r="F13" s="289" t="s">
        <v>175</v>
      </c>
      <c r="G13" s="289">
        <v>9890342460</v>
      </c>
      <c r="H13" s="289" t="s">
        <v>729</v>
      </c>
      <c r="I13" s="289">
        <v>10</v>
      </c>
      <c r="J13" s="289">
        <v>16.850000000000001</v>
      </c>
      <c r="K13" s="289">
        <v>181</v>
      </c>
      <c r="L13" s="289">
        <v>0</v>
      </c>
      <c r="M13" s="289">
        <v>0</v>
      </c>
      <c r="N13" s="289"/>
      <c r="O13" s="289">
        <v>181</v>
      </c>
      <c r="P13" s="289">
        <v>272</v>
      </c>
      <c r="Q13" s="289">
        <v>9000</v>
      </c>
      <c r="R13" s="293">
        <f t="shared" si="18"/>
        <v>2448000</v>
      </c>
      <c r="S13" s="297">
        <v>0</v>
      </c>
      <c r="T13" s="297">
        <v>35000</v>
      </c>
      <c r="U13" s="293">
        <f t="shared" si="19"/>
        <v>2483000</v>
      </c>
      <c r="V13" s="293">
        <v>0</v>
      </c>
      <c r="W13" s="293">
        <v>0</v>
      </c>
      <c r="X13" s="293">
        <v>68000</v>
      </c>
      <c r="Y13" s="293">
        <v>54400</v>
      </c>
      <c r="Z13" s="293">
        <v>40800</v>
      </c>
      <c r="AA13" s="293">
        <v>6000</v>
      </c>
      <c r="AB13" s="293">
        <f t="shared" si="20"/>
        <v>2652200</v>
      </c>
      <c r="AC13" s="297">
        <v>30000</v>
      </c>
      <c r="AD13" s="293">
        <f t="shared" si="21"/>
        <v>297960</v>
      </c>
      <c r="AE13" s="293">
        <f t="shared" si="22"/>
        <v>15408</v>
      </c>
      <c r="AF13" s="293">
        <f t="shared" ref="AF13:AF14" si="28">U13*7%+90</f>
        <v>173900.00000000003</v>
      </c>
      <c r="AG13" s="293"/>
      <c r="AH13" s="293">
        <f t="shared" si="23"/>
        <v>3169468</v>
      </c>
      <c r="AI13" s="293">
        <f t="shared" si="24"/>
        <v>223470</v>
      </c>
      <c r="AJ13" s="289">
        <v>26816</v>
      </c>
      <c r="AK13" s="289" t="s">
        <v>687</v>
      </c>
      <c r="AL13" s="293">
        <f t="shared" si="25"/>
        <v>527430</v>
      </c>
      <c r="AM13" s="289">
        <v>63292</v>
      </c>
      <c r="AN13" s="289" t="s">
        <v>730</v>
      </c>
      <c r="AO13" s="289"/>
      <c r="AP13" s="289"/>
      <c r="AQ13" s="289"/>
      <c r="AR13" s="289"/>
      <c r="AS13" s="289"/>
      <c r="AT13" s="289"/>
      <c r="AU13" s="289" t="s">
        <v>679</v>
      </c>
      <c r="AV13" s="289" t="s">
        <v>731</v>
      </c>
      <c r="AW13" s="289" t="s">
        <v>732</v>
      </c>
      <c r="AX13" s="289" t="s">
        <v>712</v>
      </c>
      <c r="AY13" s="294">
        <v>0.03</v>
      </c>
      <c r="AZ13" s="289">
        <v>20000</v>
      </c>
      <c r="BA13" s="293">
        <f t="shared" si="26"/>
        <v>93440</v>
      </c>
      <c r="BB13" s="289" t="s">
        <v>684</v>
      </c>
      <c r="BC13" s="289" t="s">
        <v>685</v>
      </c>
      <c r="BD13" s="330"/>
      <c r="BE13" s="330"/>
      <c r="BF13" s="330"/>
      <c r="BG13" s="330"/>
      <c r="BH13" s="330"/>
      <c r="BI13" s="330"/>
      <c r="BJ13" s="330"/>
      <c r="BK13" s="330"/>
      <c r="BL13" s="330"/>
      <c r="BM13" s="330"/>
      <c r="BN13" s="330"/>
    </row>
    <row r="14" spans="1:66" ht="17.25" customHeight="1" x14ac:dyDescent="0.2">
      <c r="A14" s="289">
        <f t="shared" si="27"/>
        <v>12</v>
      </c>
      <c r="B14" s="290">
        <v>43563</v>
      </c>
      <c r="C14" s="290">
        <v>43778</v>
      </c>
      <c r="D14" s="289" t="s">
        <v>676</v>
      </c>
      <c r="E14" s="291" t="s">
        <v>296</v>
      </c>
      <c r="F14" s="289" t="s">
        <v>175</v>
      </c>
      <c r="G14" s="289">
        <v>9934343333</v>
      </c>
      <c r="H14" s="289" t="s">
        <v>729</v>
      </c>
      <c r="I14" s="289">
        <v>9</v>
      </c>
      <c r="J14" s="289">
        <v>16.850000000000001</v>
      </c>
      <c r="K14" s="289">
        <v>181</v>
      </c>
      <c r="L14" s="289">
        <v>0</v>
      </c>
      <c r="M14" s="289">
        <v>0</v>
      </c>
      <c r="N14" s="289"/>
      <c r="O14" s="289">
        <v>181</v>
      </c>
      <c r="P14" s="289">
        <v>272</v>
      </c>
      <c r="Q14" s="289">
        <v>9000</v>
      </c>
      <c r="R14" s="293">
        <f t="shared" si="18"/>
        <v>2448000</v>
      </c>
      <c r="S14" s="297">
        <v>0</v>
      </c>
      <c r="T14" s="297">
        <v>35000</v>
      </c>
      <c r="U14" s="293">
        <f t="shared" si="19"/>
        <v>2483000</v>
      </c>
      <c r="V14" s="293">
        <v>0</v>
      </c>
      <c r="W14" s="293">
        <v>0</v>
      </c>
      <c r="X14" s="293">
        <v>68000</v>
      </c>
      <c r="Y14" s="293">
        <v>54400</v>
      </c>
      <c r="Z14" s="293">
        <v>40800</v>
      </c>
      <c r="AA14" s="293">
        <v>6000</v>
      </c>
      <c r="AB14" s="293">
        <f t="shared" si="20"/>
        <v>2652200</v>
      </c>
      <c r="AC14" s="297">
        <v>30000</v>
      </c>
      <c r="AD14" s="293">
        <f t="shared" si="21"/>
        <v>297960</v>
      </c>
      <c r="AE14" s="293">
        <f t="shared" si="22"/>
        <v>15408</v>
      </c>
      <c r="AF14" s="293">
        <f t="shared" si="28"/>
        <v>173900.00000000003</v>
      </c>
      <c r="AG14" s="293"/>
      <c r="AH14" s="293">
        <f t="shared" si="23"/>
        <v>3169468</v>
      </c>
      <c r="AI14" s="293">
        <f t="shared" si="24"/>
        <v>223470</v>
      </c>
      <c r="AJ14" s="289">
        <v>26816</v>
      </c>
      <c r="AK14" s="289" t="s">
        <v>687</v>
      </c>
      <c r="AL14" s="293">
        <f t="shared" si="25"/>
        <v>527430</v>
      </c>
      <c r="AM14" s="289">
        <v>63292</v>
      </c>
      <c r="AN14" s="289" t="s">
        <v>687</v>
      </c>
      <c r="AO14" s="289"/>
      <c r="AP14" s="289"/>
      <c r="AQ14" s="289"/>
      <c r="AR14" s="289"/>
      <c r="AS14" s="289"/>
      <c r="AT14" s="289"/>
      <c r="AU14" s="289" t="s">
        <v>679</v>
      </c>
      <c r="AV14" s="289" t="s">
        <v>733</v>
      </c>
      <c r="AW14" s="289" t="s">
        <v>732</v>
      </c>
      <c r="AX14" s="289" t="s">
        <v>712</v>
      </c>
      <c r="AY14" s="294">
        <v>0.03</v>
      </c>
      <c r="AZ14" s="289">
        <v>20000</v>
      </c>
      <c r="BA14" s="293">
        <f t="shared" si="26"/>
        <v>93440</v>
      </c>
      <c r="BB14" s="289" t="s">
        <v>684</v>
      </c>
      <c r="BC14" s="289" t="s">
        <v>685</v>
      </c>
      <c r="BD14" s="288"/>
      <c r="BE14" s="288"/>
      <c r="BF14" s="288"/>
      <c r="BG14" s="288"/>
      <c r="BH14" s="288"/>
      <c r="BI14" s="288"/>
      <c r="BJ14" s="288"/>
      <c r="BK14" s="288"/>
      <c r="BL14" s="288"/>
      <c r="BM14" s="288"/>
      <c r="BN14" s="288"/>
    </row>
    <row r="15" spans="1:66" ht="17.25" customHeight="1" x14ac:dyDescent="0.2">
      <c r="A15" s="289">
        <f t="shared" si="27"/>
        <v>13</v>
      </c>
      <c r="B15" s="289" t="s">
        <v>734</v>
      </c>
      <c r="C15" s="290">
        <v>43778</v>
      </c>
      <c r="D15" s="289" t="s">
        <v>676</v>
      </c>
      <c r="E15" s="291" t="s">
        <v>298</v>
      </c>
      <c r="F15" s="289" t="s">
        <v>175</v>
      </c>
      <c r="G15" s="289">
        <v>9955001111</v>
      </c>
      <c r="H15" s="289" t="s">
        <v>729</v>
      </c>
      <c r="I15" s="289">
        <v>8</v>
      </c>
      <c r="J15" s="289">
        <v>16.71</v>
      </c>
      <c r="K15" s="289">
        <v>180</v>
      </c>
      <c r="L15" s="289">
        <v>0</v>
      </c>
      <c r="M15" s="289">
        <v>0</v>
      </c>
      <c r="N15" s="289"/>
      <c r="O15" s="289">
        <v>180</v>
      </c>
      <c r="P15" s="289">
        <v>270</v>
      </c>
      <c r="Q15" s="289">
        <v>9000</v>
      </c>
      <c r="R15" s="293">
        <f t="shared" si="18"/>
        <v>2430000</v>
      </c>
      <c r="S15" s="297">
        <v>0</v>
      </c>
      <c r="T15" s="297">
        <v>35000</v>
      </c>
      <c r="U15" s="293">
        <f t="shared" si="19"/>
        <v>2465000</v>
      </c>
      <c r="V15" s="293">
        <v>0</v>
      </c>
      <c r="W15" s="293">
        <v>0</v>
      </c>
      <c r="X15" s="293">
        <v>67500</v>
      </c>
      <c r="Y15" s="293">
        <v>54000</v>
      </c>
      <c r="Z15" s="293">
        <v>40500</v>
      </c>
      <c r="AA15" s="293">
        <v>6000</v>
      </c>
      <c r="AB15" s="293">
        <f t="shared" si="20"/>
        <v>2633000</v>
      </c>
      <c r="AC15" s="297">
        <v>30000</v>
      </c>
      <c r="AD15" s="293">
        <f t="shared" si="21"/>
        <v>295800</v>
      </c>
      <c r="AE15" s="293">
        <f t="shared" si="22"/>
        <v>15300</v>
      </c>
      <c r="AF15" s="293">
        <f>U15*7%+50</f>
        <v>172600.00000000003</v>
      </c>
      <c r="AG15" s="293"/>
      <c r="AH15" s="293">
        <f t="shared" si="23"/>
        <v>3146700</v>
      </c>
      <c r="AI15" s="293">
        <f t="shared" si="24"/>
        <v>221850</v>
      </c>
      <c r="AJ15" s="289">
        <v>26622</v>
      </c>
      <c r="AK15" s="289" t="s">
        <v>687</v>
      </c>
      <c r="AL15" s="293">
        <f t="shared" si="25"/>
        <v>523650</v>
      </c>
      <c r="AM15" s="289">
        <v>62838</v>
      </c>
      <c r="AN15" s="289" t="s">
        <v>687</v>
      </c>
      <c r="AO15" s="289"/>
      <c r="AP15" s="289"/>
      <c r="AQ15" s="289"/>
      <c r="AR15" s="289"/>
      <c r="AS15" s="289"/>
      <c r="AT15" s="289"/>
      <c r="AU15" s="289" t="s">
        <v>679</v>
      </c>
      <c r="AV15" s="289" t="s">
        <v>735</v>
      </c>
      <c r="AW15" s="289" t="s">
        <v>732</v>
      </c>
      <c r="AX15" s="289" t="s">
        <v>712</v>
      </c>
      <c r="AY15" s="294">
        <v>0.03</v>
      </c>
      <c r="AZ15" s="289">
        <v>20000</v>
      </c>
      <c r="BA15" s="293">
        <f t="shared" si="26"/>
        <v>92900</v>
      </c>
      <c r="BB15" s="289" t="s">
        <v>684</v>
      </c>
      <c r="BC15" s="289" t="s">
        <v>685</v>
      </c>
      <c r="BD15" s="288"/>
      <c r="BE15" s="288"/>
      <c r="BF15" s="288"/>
      <c r="BG15" s="288"/>
      <c r="BH15" s="288"/>
      <c r="BI15" s="288"/>
      <c r="BJ15" s="288"/>
      <c r="BK15" s="288"/>
      <c r="BL15" s="288"/>
      <c r="BM15" s="288"/>
      <c r="BN15" s="288"/>
    </row>
    <row r="16" spans="1:66" ht="21" customHeight="1" x14ac:dyDescent="0.2">
      <c r="A16" s="289">
        <f t="shared" si="27"/>
        <v>14</v>
      </c>
      <c r="B16" s="289" t="s">
        <v>736</v>
      </c>
      <c r="C16" s="298" t="s">
        <v>737</v>
      </c>
      <c r="D16" s="289" t="s">
        <v>676</v>
      </c>
      <c r="E16" s="291" t="s">
        <v>241</v>
      </c>
      <c r="F16" s="289" t="s">
        <v>175</v>
      </c>
      <c r="G16" s="289">
        <v>7507073786</v>
      </c>
      <c r="H16" s="289" t="s">
        <v>677</v>
      </c>
      <c r="I16" s="289">
        <v>19</v>
      </c>
      <c r="J16" s="289">
        <v>20.07</v>
      </c>
      <c r="K16" s="289">
        <v>216</v>
      </c>
      <c r="L16" s="289">
        <v>0</v>
      </c>
      <c r="M16" s="289">
        <v>0</v>
      </c>
      <c r="N16" s="289"/>
      <c r="O16" s="289">
        <v>216</v>
      </c>
      <c r="P16" s="289">
        <v>324</v>
      </c>
      <c r="Q16" s="289">
        <v>11956</v>
      </c>
      <c r="R16" s="293">
        <f t="shared" si="18"/>
        <v>3873744</v>
      </c>
      <c r="S16" s="297">
        <v>0</v>
      </c>
      <c r="T16" s="297">
        <v>35000</v>
      </c>
      <c r="U16" s="293">
        <f t="shared" si="19"/>
        <v>3908744</v>
      </c>
      <c r="V16" s="293">
        <v>0</v>
      </c>
      <c r="W16" s="293">
        <v>0</v>
      </c>
      <c r="X16" s="293">
        <v>81000</v>
      </c>
      <c r="Y16" s="293">
        <v>64800</v>
      </c>
      <c r="Z16" s="293">
        <v>48600</v>
      </c>
      <c r="AA16" s="293">
        <v>6000</v>
      </c>
      <c r="AB16" s="293">
        <f t="shared" si="20"/>
        <v>4109144</v>
      </c>
      <c r="AC16" s="297">
        <v>30000</v>
      </c>
      <c r="AD16" s="293">
        <f t="shared" si="21"/>
        <v>469049.27999999997</v>
      </c>
      <c r="AE16" s="293">
        <f>X16*12%+Y16*12%+AA16*12%+1</f>
        <v>18217</v>
      </c>
      <c r="AF16" s="293">
        <f>U16*7%+88</f>
        <v>273700.08</v>
      </c>
      <c r="AG16" s="293"/>
      <c r="AH16" s="293">
        <f t="shared" si="23"/>
        <v>4900110.3600000003</v>
      </c>
      <c r="AI16" s="293">
        <f>U16*5%</f>
        <v>195437.2</v>
      </c>
      <c r="AJ16" s="289">
        <v>23452</v>
      </c>
      <c r="AK16" s="289" t="s">
        <v>738</v>
      </c>
      <c r="AL16" s="293">
        <f>U16*25%+6000</f>
        <v>983186</v>
      </c>
      <c r="AM16" s="289">
        <v>117982</v>
      </c>
      <c r="AN16" s="289" t="s">
        <v>687</v>
      </c>
      <c r="AO16" s="289"/>
      <c r="AP16" s="289"/>
      <c r="AQ16" s="289"/>
      <c r="AR16" s="289"/>
      <c r="AS16" s="289"/>
      <c r="AT16" s="289"/>
      <c r="AU16" s="289" t="s">
        <v>679</v>
      </c>
      <c r="AV16" s="289" t="s">
        <v>739</v>
      </c>
      <c r="AW16" s="289" t="s">
        <v>732</v>
      </c>
      <c r="AX16" s="289" t="s">
        <v>242</v>
      </c>
      <c r="AY16" s="294">
        <v>0.03</v>
      </c>
      <c r="AZ16" s="289">
        <v>20000</v>
      </c>
      <c r="BA16" s="293">
        <f t="shared" si="26"/>
        <v>136212.32</v>
      </c>
      <c r="BB16" s="289" t="s">
        <v>684</v>
      </c>
      <c r="BC16" s="289" t="s">
        <v>685</v>
      </c>
      <c r="BD16" s="289"/>
      <c r="BE16" s="289"/>
      <c r="BF16" s="288"/>
      <c r="BG16" s="288"/>
      <c r="BH16" s="288"/>
      <c r="BI16" s="288"/>
      <c r="BJ16" s="288"/>
      <c r="BK16" s="288"/>
      <c r="BL16" s="288"/>
      <c r="BM16" s="288"/>
      <c r="BN16" s="288"/>
    </row>
    <row r="17" spans="1:66" ht="21" customHeight="1" x14ac:dyDescent="0.2">
      <c r="A17" s="289">
        <f t="shared" si="27"/>
        <v>15</v>
      </c>
      <c r="B17" s="289" t="s">
        <v>740</v>
      </c>
      <c r="C17" s="332" t="s">
        <v>741</v>
      </c>
      <c r="D17" s="289" t="s">
        <v>676</v>
      </c>
      <c r="E17" s="291" t="s">
        <v>73</v>
      </c>
      <c r="F17" s="289" t="s">
        <v>175</v>
      </c>
      <c r="G17" s="289">
        <v>9224426221</v>
      </c>
      <c r="H17" s="289" t="s">
        <v>694</v>
      </c>
      <c r="I17" s="289">
        <v>9</v>
      </c>
      <c r="J17" s="289">
        <v>16.850000000000001</v>
      </c>
      <c r="K17" s="289">
        <v>181</v>
      </c>
      <c r="L17" s="289">
        <v>0</v>
      </c>
      <c r="M17" s="289">
        <v>0</v>
      </c>
      <c r="N17" s="289"/>
      <c r="O17" s="289">
        <v>181</v>
      </c>
      <c r="P17" s="289">
        <v>272</v>
      </c>
      <c r="Q17" s="289">
        <v>13100</v>
      </c>
      <c r="R17" s="293">
        <f t="shared" si="18"/>
        <v>3563200</v>
      </c>
      <c r="S17" s="297">
        <v>0</v>
      </c>
      <c r="T17" s="297">
        <v>35000</v>
      </c>
      <c r="U17" s="293">
        <f t="shared" si="19"/>
        <v>3598200</v>
      </c>
      <c r="V17" s="293">
        <v>0</v>
      </c>
      <c r="W17" s="293">
        <v>0</v>
      </c>
      <c r="X17" s="293">
        <v>68000</v>
      </c>
      <c r="Y17" s="293">
        <v>54400</v>
      </c>
      <c r="Z17" s="293">
        <v>40800</v>
      </c>
      <c r="AA17" s="293">
        <v>6000</v>
      </c>
      <c r="AB17" s="293">
        <f t="shared" si="20"/>
        <v>3767400</v>
      </c>
      <c r="AC17" s="297">
        <v>30000</v>
      </c>
      <c r="AD17" s="293">
        <f t="shared" si="21"/>
        <v>431784</v>
      </c>
      <c r="AE17" s="293">
        <f>X17*12%+Y17*12%+Z17*12%+AA17*12%</f>
        <v>20304</v>
      </c>
      <c r="AF17" s="293">
        <f>U17*7%+26</f>
        <v>251900.00000000003</v>
      </c>
      <c r="AG17" s="293"/>
      <c r="AH17" s="293">
        <f t="shared" si="23"/>
        <v>4501388</v>
      </c>
      <c r="AI17" s="293">
        <f>U17*9%</f>
        <v>323838</v>
      </c>
      <c r="AJ17" s="289">
        <v>38861</v>
      </c>
      <c r="AK17" s="289" t="s">
        <v>687</v>
      </c>
      <c r="AL17" s="333">
        <v>1481262</v>
      </c>
      <c r="AM17" s="295">
        <v>177752</v>
      </c>
      <c r="AN17" s="289" t="s">
        <v>742</v>
      </c>
      <c r="AO17" s="289"/>
      <c r="AP17" s="289"/>
      <c r="AQ17" s="289"/>
      <c r="AR17" s="289"/>
      <c r="AS17" s="289"/>
      <c r="AT17" s="289"/>
      <c r="AU17" s="289" t="s">
        <v>679</v>
      </c>
      <c r="AV17" s="289" t="s">
        <v>743</v>
      </c>
      <c r="AW17" s="298" t="s">
        <v>732</v>
      </c>
      <c r="AX17" s="298" t="s">
        <v>744</v>
      </c>
      <c r="AY17" s="294">
        <v>0.03</v>
      </c>
      <c r="AZ17" s="289">
        <v>20000</v>
      </c>
      <c r="BA17" s="293">
        <f t="shared" si="26"/>
        <v>126896</v>
      </c>
      <c r="BB17" s="289" t="s">
        <v>702</v>
      </c>
      <c r="BC17" s="289" t="s">
        <v>745</v>
      </c>
      <c r="BD17" s="295"/>
      <c r="BE17" s="289"/>
      <c r="BF17" s="289"/>
      <c r="BG17" s="289"/>
      <c r="BH17" s="289"/>
      <c r="BI17" s="289"/>
      <c r="BJ17" s="289"/>
      <c r="BK17" s="289"/>
      <c r="BL17" s="289"/>
      <c r="BM17" s="289"/>
      <c r="BN17" s="289"/>
    </row>
    <row r="18" spans="1:66" ht="21" customHeight="1" x14ac:dyDescent="0.2">
      <c r="A18" s="334"/>
      <c r="B18" s="335"/>
      <c r="C18" s="335"/>
      <c r="D18" s="335"/>
      <c r="E18" s="335"/>
      <c r="F18" s="328"/>
      <c r="G18" s="323"/>
      <c r="H18" s="323"/>
      <c r="I18" s="323"/>
      <c r="J18" s="323"/>
      <c r="K18" s="323"/>
      <c r="L18" s="323"/>
      <c r="M18" s="323"/>
      <c r="N18" s="323"/>
      <c r="O18" s="323"/>
      <c r="P18" s="323"/>
      <c r="Q18" s="323"/>
      <c r="R18" s="326"/>
      <c r="S18" s="327"/>
      <c r="T18" s="327"/>
      <c r="U18" s="323"/>
      <c r="V18" s="326"/>
      <c r="W18" s="326"/>
      <c r="X18" s="326"/>
      <c r="Y18" s="326"/>
      <c r="Z18" s="326"/>
      <c r="AA18" s="326"/>
      <c r="AB18" s="326"/>
      <c r="AC18" s="327"/>
      <c r="AD18" s="326"/>
      <c r="AE18" s="326"/>
      <c r="AF18" s="326"/>
      <c r="AG18" s="326"/>
      <c r="AH18" s="326"/>
      <c r="AI18" s="323"/>
      <c r="AJ18" s="323"/>
      <c r="AK18" s="323"/>
      <c r="AL18" s="336"/>
      <c r="AM18" s="337"/>
      <c r="AN18" s="323"/>
      <c r="AO18" s="323"/>
      <c r="AP18" s="323"/>
      <c r="AQ18" s="323"/>
      <c r="AR18" s="323"/>
      <c r="AS18" s="323"/>
      <c r="AT18" s="323"/>
      <c r="AU18" s="323"/>
      <c r="AV18" s="323"/>
      <c r="AW18" s="328"/>
      <c r="AX18" s="328"/>
      <c r="AY18" s="329"/>
      <c r="AZ18" s="323"/>
      <c r="BA18" s="323"/>
      <c r="BB18" s="323"/>
      <c r="BC18" s="323"/>
      <c r="BD18" s="337"/>
      <c r="BE18" s="323"/>
      <c r="BF18" s="323"/>
      <c r="BG18" s="323"/>
      <c r="BH18" s="323"/>
      <c r="BI18" s="323"/>
      <c r="BJ18" s="323"/>
      <c r="BK18" s="323"/>
      <c r="BL18" s="323"/>
      <c r="BM18" s="323"/>
      <c r="BN18" s="323"/>
    </row>
    <row r="19" spans="1:66" ht="17.25" customHeight="1" x14ac:dyDescent="0.2">
      <c r="A19" s="289">
        <v>16</v>
      </c>
      <c r="B19" s="289" t="s">
        <v>746</v>
      </c>
      <c r="C19" s="290">
        <v>43686</v>
      </c>
      <c r="D19" s="289" t="s">
        <v>676</v>
      </c>
      <c r="E19" s="291" t="s">
        <v>747</v>
      </c>
      <c r="F19" s="289" t="s">
        <v>175</v>
      </c>
      <c r="G19" s="289">
        <v>9372745632</v>
      </c>
      <c r="H19" s="289" t="s">
        <v>729</v>
      </c>
      <c r="I19" s="289">
        <v>15</v>
      </c>
      <c r="J19" s="289">
        <v>16.989999999999998</v>
      </c>
      <c r="K19" s="289">
        <v>183</v>
      </c>
      <c r="L19" s="289">
        <v>0</v>
      </c>
      <c r="M19" s="289">
        <v>0</v>
      </c>
      <c r="N19" s="289"/>
      <c r="O19" s="289">
        <v>183</v>
      </c>
      <c r="P19" s="289">
        <v>274</v>
      </c>
      <c r="Q19" s="289">
        <v>9051</v>
      </c>
      <c r="R19" s="293">
        <f t="shared" ref="R19:R51" si="29">P19*Q19</f>
        <v>2479974</v>
      </c>
      <c r="S19" s="297">
        <v>0</v>
      </c>
      <c r="T19" s="297">
        <v>35000</v>
      </c>
      <c r="U19" s="293">
        <f t="shared" ref="U19:U51" si="30">R19+S19+T19</f>
        <v>2514974</v>
      </c>
      <c r="V19" s="293">
        <v>0</v>
      </c>
      <c r="W19" s="293">
        <v>0</v>
      </c>
      <c r="X19" s="293">
        <v>68500</v>
      </c>
      <c r="Y19" s="293">
        <v>54800</v>
      </c>
      <c r="Z19" s="293">
        <v>41100</v>
      </c>
      <c r="AA19" s="293">
        <v>6000</v>
      </c>
      <c r="AB19" s="293">
        <f t="shared" ref="AB19:AB51" si="31">U19+X19+Y19+Z19+AA19</f>
        <v>2685374</v>
      </c>
      <c r="AC19" s="297">
        <v>25200</v>
      </c>
      <c r="AD19" s="293">
        <f t="shared" ref="AD19:AD51" si="32">U19*12%</f>
        <v>301796.88</v>
      </c>
      <c r="AE19" s="293">
        <f t="shared" ref="AE19:AE22" si="33">X19*12%+Y19*12%+Z19*12%+AA19*12%</f>
        <v>20448</v>
      </c>
      <c r="AF19" s="293">
        <f>U19*7%+52</f>
        <v>176100.18000000002</v>
      </c>
      <c r="AG19" s="293"/>
      <c r="AH19" s="293">
        <f>AB19+AC19+AD19+AE19+AF19-1</f>
        <v>3208918.06</v>
      </c>
      <c r="AI19" s="293">
        <f>U19*9%</f>
        <v>226347.66</v>
      </c>
      <c r="AJ19" s="289">
        <v>27162</v>
      </c>
      <c r="AK19" s="289" t="s">
        <v>687</v>
      </c>
      <c r="AL19" s="293">
        <f>U19*21%+6000</f>
        <v>534144.54</v>
      </c>
      <c r="AM19" s="289">
        <v>64097</v>
      </c>
      <c r="AN19" s="289" t="s">
        <v>748</v>
      </c>
      <c r="AO19" s="289"/>
      <c r="AP19" s="289"/>
      <c r="AQ19" s="289"/>
      <c r="AR19" s="289"/>
      <c r="AS19" s="289"/>
      <c r="AT19" s="289"/>
      <c r="AU19" s="289" t="s">
        <v>679</v>
      </c>
      <c r="AV19" s="289" t="s">
        <v>749</v>
      </c>
      <c r="AW19" s="298" t="s">
        <v>732</v>
      </c>
      <c r="AX19" s="298" t="s">
        <v>309</v>
      </c>
      <c r="AY19" s="294">
        <v>0.03</v>
      </c>
      <c r="AZ19" s="289">
        <v>20000</v>
      </c>
      <c r="BA19" s="293">
        <f t="shared" ref="BA19:BA20" si="34">(R19*3%)+AZ19</f>
        <v>94399.22</v>
      </c>
      <c r="BB19" s="289" t="s">
        <v>702</v>
      </c>
      <c r="BC19" s="289" t="s">
        <v>685</v>
      </c>
      <c r="BD19" s="288"/>
      <c r="BE19" s="288"/>
      <c r="BF19" s="288"/>
      <c r="BG19" s="288"/>
      <c r="BH19" s="288"/>
      <c r="BI19" s="288"/>
      <c r="BJ19" s="288"/>
      <c r="BK19" s="288"/>
      <c r="BL19" s="288"/>
      <c r="BM19" s="288"/>
      <c r="BN19" s="288"/>
    </row>
    <row r="20" spans="1:66" ht="15.75" customHeight="1" x14ac:dyDescent="0.2">
      <c r="A20" s="289">
        <f t="shared" ref="A20:A51" si="35">A19+1</f>
        <v>17</v>
      </c>
      <c r="B20" s="289" t="s">
        <v>750</v>
      </c>
      <c r="C20" s="290">
        <v>44168</v>
      </c>
      <c r="D20" s="289" t="s">
        <v>676</v>
      </c>
      <c r="E20" s="291" t="s">
        <v>305</v>
      </c>
      <c r="F20" s="289" t="s">
        <v>175</v>
      </c>
      <c r="G20" s="289">
        <v>9421437177</v>
      </c>
      <c r="H20" s="289" t="s">
        <v>729</v>
      </c>
      <c r="I20" s="289">
        <v>14</v>
      </c>
      <c r="J20" s="295">
        <v>16.850000000000001</v>
      </c>
      <c r="K20" s="295">
        <v>181</v>
      </c>
      <c r="L20" s="295">
        <v>0</v>
      </c>
      <c r="M20" s="295">
        <v>0</v>
      </c>
      <c r="N20" s="295"/>
      <c r="O20" s="295">
        <v>181</v>
      </c>
      <c r="P20" s="289">
        <v>272</v>
      </c>
      <c r="Q20" s="289">
        <v>11243</v>
      </c>
      <c r="R20" s="293">
        <f t="shared" si="29"/>
        <v>3058096</v>
      </c>
      <c r="S20" s="297">
        <v>0</v>
      </c>
      <c r="T20" s="297">
        <v>35000</v>
      </c>
      <c r="U20" s="293">
        <f t="shared" si="30"/>
        <v>3093096</v>
      </c>
      <c r="V20" s="293">
        <v>0</v>
      </c>
      <c r="W20" s="293">
        <v>0</v>
      </c>
      <c r="X20" s="293">
        <v>68000</v>
      </c>
      <c r="Y20" s="293">
        <v>54400</v>
      </c>
      <c r="Z20" s="293">
        <v>40800</v>
      </c>
      <c r="AA20" s="293">
        <v>0</v>
      </c>
      <c r="AB20" s="293">
        <f t="shared" si="31"/>
        <v>3256296</v>
      </c>
      <c r="AC20" s="297">
        <v>30000</v>
      </c>
      <c r="AD20" s="293">
        <f t="shared" si="32"/>
        <v>371171.51999999996</v>
      </c>
      <c r="AE20" s="293">
        <f t="shared" si="33"/>
        <v>19584</v>
      </c>
      <c r="AF20" s="293">
        <f>U20*7%+83</f>
        <v>216599.72000000003</v>
      </c>
      <c r="AG20" s="293">
        <v>6000</v>
      </c>
      <c r="AH20" s="293">
        <f>AB20+AC20+AD20+AE20+AF20+AG20</f>
        <v>3899651.24</v>
      </c>
      <c r="AI20" s="289">
        <v>278379</v>
      </c>
      <c r="AJ20" s="289">
        <v>33405</v>
      </c>
      <c r="AK20" s="289" t="s">
        <v>687</v>
      </c>
      <c r="AL20" s="293">
        <f>U20*21%</f>
        <v>649550.16</v>
      </c>
      <c r="AM20" s="289">
        <v>77946</v>
      </c>
      <c r="AN20" s="289" t="s">
        <v>751</v>
      </c>
      <c r="AO20" s="289"/>
      <c r="AP20" s="289"/>
      <c r="AQ20" s="289"/>
      <c r="AR20" s="289"/>
      <c r="AS20" s="289"/>
      <c r="AT20" s="289"/>
      <c r="AU20" s="289" t="s">
        <v>679</v>
      </c>
      <c r="AV20" s="289" t="s">
        <v>752</v>
      </c>
      <c r="AW20" s="298" t="s">
        <v>681</v>
      </c>
      <c r="AX20" s="298" t="s">
        <v>307</v>
      </c>
      <c r="AY20" s="294">
        <v>0.03</v>
      </c>
      <c r="AZ20" s="289">
        <v>20000</v>
      </c>
      <c r="BA20" s="293">
        <f t="shared" si="34"/>
        <v>111742.87999999999</v>
      </c>
      <c r="BB20" s="289" t="s">
        <v>684</v>
      </c>
      <c r="BC20" s="289"/>
      <c r="BD20" s="289"/>
      <c r="BE20" s="289"/>
      <c r="BF20" s="289"/>
      <c r="BG20" s="289"/>
      <c r="BH20" s="289"/>
      <c r="BI20" s="289"/>
      <c r="BJ20" s="289"/>
      <c r="BK20" s="289"/>
      <c r="BL20" s="289"/>
      <c r="BM20" s="289"/>
      <c r="BN20" s="289"/>
    </row>
    <row r="21" spans="1:66" ht="17.25" customHeight="1" x14ac:dyDescent="0.2">
      <c r="A21" s="289">
        <f t="shared" si="35"/>
        <v>18</v>
      </c>
      <c r="B21" s="290">
        <v>43655</v>
      </c>
      <c r="C21" s="331">
        <v>43534</v>
      </c>
      <c r="D21" s="289" t="s">
        <v>676</v>
      </c>
      <c r="E21" s="291" t="s">
        <v>252</v>
      </c>
      <c r="F21" s="289" t="s">
        <v>117</v>
      </c>
      <c r="G21" s="289">
        <v>9234666906</v>
      </c>
      <c r="H21" s="289" t="s">
        <v>677</v>
      </c>
      <c r="I21" s="289">
        <v>23</v>
      </c>
      <c r="J21" s="295">
        <v>17.899999999999999</v>
      </c>
      <c r="K21" s="295">
        <v>193</v>
      </c>
      <c r="L21" s="295">
        <v>0</v>
      </c>
      <c r="M21" s="295">
        <v>0</v>
      </c>
      <c r="N21" s="295"/>
      <c r="O21" s="295">
        <v>193</v>
      </c>
      <c r="P21" s="289">
        <v>289</v>
      </c>
      <c r="Q21" s="289">
        <v>11900</v>
      </c>
      <c r="R21" s="293">
        <f t="shared" si="29"/>
        <v>3439100</v>
      </c>
      <c r="S21" s="297">
        <v>0</v>
      </c>
      <c r="T21" s="297">
        <v>35000</v>
      </c>
      <c r="U21" s="293">
        <f t="shared" si="30"/>
        <v>3474100</v>
      </c>
      <c r="V21" s="293">
        <v>0</v>
      </c>
      <c r="W21" s="293">
        <v>0</v>
      </c>
      <c r="X21" s="293">
        <v>72250</v>
      </c>
      <c r="Y21" s="293">
        <v>57800</v>
      </c>
      <c r="Z21" s="293">
        <v>43350</v>
      </c>
      <c r="AA21" s="293">
        <v>6000</v>
      </c>
      <c r="AB21" s="293">
        <f t="shared" si="31"/>
        <v>3653500</v>
      </c>
      <c r="AC21" s="297">
        <v>30000</v>
      </c>
      <c r="AD21" s="293">
        <f t="shared" si="32"/>
        <v>416892</v>
      </c>
      <c r="AE21" s="293">
        <f t="shared" si="33"/>
        <v>21528</v>
      </c>
      <c r="AF21" s="293">
        <f>U21*7%+13</f>
        <v>243200.00000000003</v>
      </c>
      <c r="AG21" s="293"/>
      <c r="AH21" s="293">
        <f>AB21+AC21+AD21+AE21+AF21+6000</f>
        <v>4371120</v>
      </c>
      <c r="AI21" s="293">
        <f t="shared" ref="AI21:AI22" si="36">U21*9%</f>
        <v>312669</v>
      </c>
      <c r="AJ21" s="289">
        <v>37520</v>
      </c>
      <c r="AK21" s="289" t="s">
        <v>687</v>
      </c>
      <c r="AL21" s="293">
        <f t="shared" ref="AL21:AL22" si="37">U21*21%+6000</f>
        <v>735561</v>
      </c>
      <c r="AM21" s="289">
        <v>88267</v>
      </c>
      <c r="AN21" s="289" t="s">
        <v>753</v>
      </c>
      <c r="AO21" s="289"/>
      <c r="AP21" s="289"/>
      <c r="AQ21" s="289"/>
      <c r="AR21" s="289"/>
      <c r="AS21" s="289"/>
      <c r="AT21" s="289"/>
      <c r="AU21" s="289"/>
      <c r="AV21" s="289" t="s">
        <v>754</v>
      </c>
      <c r="AW21" s="289" t="s">
        <v>732</v>
      </c>
      <c r="AX21" s="289" t="s">
        <v>755</v>
      </c>
      <c r="AY21" s="294">
        <v>0.04</v>
      </c>
      <c r="AZ21" s="289">
        <v>0</v>
      </c>
      <c r="BA21" s="293">
        <f t="shared" ref="BA21:BA22" si="38">(R21*4%)+AZ21</f>
        <v>137564</v>
      </c>
      <c r="BB21" s="289" t="s">
        <v>684</v>
      </c>
      <c r="BC21" s="289" t="s">
        <v>685</v>
      </c>
      <c r="BD21" s="288"/>
      <c r="BE21" s="288"/>
      <c r="BF21" s="288"/>
      <c r="BG21" s="288"/>
      <c r="BH21" s="288"/>
      <c r="BI21" s="288"/>
      <c r="BJ21" s="288"/>
      <c r="BK21" s="288"/>
      <c r="BL21" s="288"/>
      <c r="BM21" s="288"/>
      <c r="BN21" s="288"/>
    </row>
    <row r="22" spans="1:66" ht="17.25" customHeight="1" x14ac:dyDescent="0.2">
      <c r="A22" s="289">
        <f t="shared" si="35"/>
        <v>19</v>
      </c>
      <c r="B22" s="290">
        <v>43655</v>
      </c>
      <c r="C22" s="290">
        <v>43534</v>
      </c>
      <c r="D22" s="289" t="s">
        <v>676</v>
      </c>
      <c r="E22" s="291" t="s">
        <v>116</v>
      </c>
      <c r="F22" s="289" t="s">
        <v>117</v>
      </c>
      <c r="G22" s="289">
        <v>9234666906</v>
      </c>
      <c r="H22" s="289" t="s">
        <v>756</v>
      </c>
      <c r="I22" s="289">
        <v>21</v>
      </c>
      <c r="J22" s="295">
        <v>17.21</v>
      </c>
      <c r="K22" s="295">
        <v>185</v>
      </c>
      <c r="L22" s="295">
        <v>0</v>
      </c>
      <c r="M22" s="295">
        <v>0</v>
      </c>
      <c r="N22" s="295"/>
      <c r="O22" s="295">
        <v>185</v>
      </c>
      <c r="P22" s="289">
        <v>278</v>
      </c>
      <c r="Q22" s="289">
        <v>15300</v>
      </c>
      <c r="R22" s="293">
        <f t="shared" si="29"/>
        <v>4253400</v>
      </c>
      <c r="S22" s="297">
        <v>0</v>
      </c>
      <c r="T22" s="297">
        <v>35000</v>
      </c>
      <c r="U22" s="293">
        <f t="shared" si="30"/>
        <v>4288400</v>
      </c>
      <c r="V22" s="293">
        <v>0</v>
      </c>
      <c r="W22" s="293">
        <v>0</v>
      </c>
      <c r="X22" s="293">
        <v>69500</v>
      </c>
      <c r="Y22" s="293">
        <v>55600</v>
      </c>
      <c r="Z22" s="293">
        <v>41700</v>
      </c>
      <c r="AA22" s="293">
        <v>6000</v>
      </c>
      <c r="AB22" s="293">
        <f t="shared" si="31"/>
        <v>4461200</v>
      </c>
      <c r="AC22" s="297">
        <v>30000</v>
      </c>
      <c r="AD22" s="293">
        <f t="shared" si="32"/>
        <v>514608</v>
      </c>
      <c r="AE22" s="293">
        <f t="shared" si="33"/>
        <v>20736</v>
      </c>
      <c r="AF22" s="293">
        <f>U22*7%+12</f>
        <v>300200</v>
      </c>
      <c r="AG22" s="293"/>
      <c r="AH22" s="293">
        <f t="shared" ref="AH22:AH24" si="39">AB22+AC22+AD22+AE22+AF22</f>
        <v>5326744</v>
      </c>
      <c r="AI22" s="293">
        <f t="shared" si="36"/>
        <v>385956</v>
      </c>
      <c r="AJ22" s="289">
        <v>46315</v>
      </c>
      <c r="AK22" s="289" t="s">
        <v>687</v>
      </c>
      <c r="AL22" s="293">
        <f t="shared" si="37"/>
        <v>906564</v>
      </c>
      <c r="AM22" s="289">
        <v>108788</v>
      </c>
      <c r="AN22" s="289" t="s">
        <v>753</v>
      </c>
      <c r="AO22" s="289"/>
      <c r="AP22" s="289"/>
      <c r="AQ22" s="289"/>
      <c r="AR22" s="289"/>
      <c r="AS22" s="289"/>
      <c r="AT22" s="289"/>
      <c r="AU22" s="289"/>
      <c r="AV22" s="289" t="s">
        <v>757</v>
      </c>
      <c r="AW22" s="298" t="s">
        <v>732</v>
      </c>
      <c r="AX22" s="298" t="s">
        <v>755</v>
      </c>
      <c r="AY22" s="294">
        <v>0.04</v>
      </c>
      <c r="AZ22" s="289">
        <v>0</v>
      </c>
      <c r="BA22" s="293">
        <f t="shared" si="38"/>
        <v>170136</v>
      </c>
      <c r="BB22" s="289" t="s">
        <v>684</v>
      </c>
      <c r="BC22" s="289" t="s">
        <v>685</v>
      </c>
      <c r="BD22" s="288"/>
      <c r="BE22" s="288"/>
      <c r="BF22" s="288"/>
      <c r="BG22" s="288"/>
      <c r="BH22" s="288"/>
      <c r="BI22" s="288"/>
      <c r="BJ22" s="288"/>
      <c r="BK22" s="288"/>
      <c r="BL22" s="288"/>
      <c r="BM22" s="288"/>
      <c r="BN22" s="288"/>
    </row>
    <row r="23" spans="1:66" ht="15.75" customHeight="1" x14ac:dyDescent="0.2">
      <c r="A23" s="289">
        <f t="shared" si="35"/>
        <v>20</v>
      </c>
      <c r="B23" s="290">
        <v>43808</v>
      </c>
      <c r="C23" s="289" t="s">
        <v>758</v>
      </c>
      <c r="D23" s="289" t="s">
        <v>676</v>
      </c>
      <c r="E23" s="291" t="s">
        <v>89</v>
      </c>
      <c r="F23" s="289" t="s">
        <v>175</v>
      </c>
      <c r="G23" s="289">
        <v>9923600461</v>
      </c>
      <c r="H23" s="289" t="s">
        <v>694</v>
      </c>
      <c r="I23" s="289">
        <v>14</v>
      </c>
      <c r="J23" s="295">
        <v>16.850000000000001</v>
      </c>
      <c r="K23" s="295">
        <v>181</v>
      </c>
      <c r="L23" s="295">
        <v>0</v>
      </c>
      <c r="M23" s="295">
        <v>0</v>
      </c>
      <c r="N23" s="295"/>
      <c r="O23" s="295">
        <v>181</v>
      </c>
      <c r="P23" s="289">
        <v>272</v>
      </c>
      <c r="Q23" s="289">
        <v>14570</v>
      </c>
      <c r="R23" s="293">
        <f t="shared" si="29"/>
        <v>3963040</v>
      </c>
      <c r="S23" s="297">
        <v>0</v>
      </c>
      <c r="T23" s="297">
        <v>35000</v>
      </c>
      <c r="U23" s="293">
        <f t="shared" si="30"/>
        <v>3998040</v>
      </c>
      <c r="V23" s="293">
        <v>0</v>
      </c>
      <c r="W23" s="293">
        <v>0</v>
      </c>
      <c r="X23" s="293">
        <v>68000</v>
      </c>
      <c r="Y23" s="293">
        <v>54400</v>
      </c>
      <c r="Z23" s="293">
        <v>40800</v>
      </c>
      <c r="AA23" s="293">
        <v>6000</v>
      </c>
      <c r="AB23" s="293">
        <f t="shared" si="31"/>
        <v>4167240</v>
      </c>
      <c r="AC23" s="297">
        <v>30000</v>
      </c>
      <c r="AD23" s="293">
        <f t="shared" si="32"/>
        <v>479764.8</v>
      </c>
      <c r="AE23" s="293">
        <f>X23*12%+Y23*12%+Z23*12%+AA23*12% -1</f>
        <v>20303</v>
      </c>
      <c r="AF23" s="293">
        <f>U23*7%+37</f>
        <v>279899.80000000005</v>
      </c>
      <c r="AG23" s="293"/>
      <c r="AH23" s="293">
        <f t="shared" si="39"/>
        <v>4977207.5999999996</v>
      </c>
      <c r="AI23" s="338" t="s">
        <v>759</v>
      </c>
      <c r="AJ23" s="289"/>
      <c r="AK23" s="289" t="s">
        <v>687</v>
      </c>
      <c r="AL23" s="289"/>
      <c r="AM23" s="289" t="s">
        <v>760</v>
      </c>
      <c r="AN23" s="289" t="s">
        <v>761</v>
      </c>
      <c r="AO23" s="289"/>
      <c r="AP23" s="289"/>
      <c r="AQ23" s="289"/>
      <c r="AR23" s="289"/>
      <c r="AS23" s="289"/>
      <c r="AT23" s="289"/>
      <c r="AU23" s="289"/>
      <c r="AV23" s="289" t="s">
        <v>762</v>
      </c>
      <c r="AW23" s="298" t="s">
        <v>732</v>
      </c>
      <c r="AX23" s="298" t="s">
        <v>83</v>
      </c>
      <c r="AY23" s="294">
        <v>0</v>
      </c>
      <c r="AZ23" s="289">
        <v>0</v>
      </c>
      <c r="BA23" s="289">
        <v>0</v>
      </c>
      <c r="BB23" s="289" t="s">
        <v>763</v>
      </c>
      <c r="BC23" s="289" t="s">
        <v>685</v>
      </c>
      <c r="BD23" s="289"/>
      <c r="BE23" s="289"/>
      <c r="BF23" s="289"/>
      <c r="BG23" s="289"/>
      <c r="BH23" s="289"/>
      <c r="BI23" s="289"/>
      <c r="BJ23" s="289"/>
      <c r="BK23" s="289"/>
      <c r="BL23" s="289"/>
      <c r="BM23" s="289"/>
      <c r="BN23" s="289"/>
    </row>
    <row r="24" spans="1:66" ht="15.75" customHeight="1" x14ac:dyDescent="0.2">
      <c r="A24" s="289">
        <f t="shared" si="35"/>
        <v>21</v>
      </c>
      <c r="B24" s="289" t="s">
        <v>764</v>
      </c>
      <c r="C24" s="289" t="s">
        <v>758</v>
      </c>
      <c r="D24" s="289" t="s">
        <v>676</v>
      </c>
      <c r="E24" s="291" t="s">
        <v>89</v>
      </c>
      <c r="F24" s="289" t="s">
        <v>175</v>
      </c>
      <c r="G24" s="289">
        <v>9923600461</v>
      </c>
      <c r="H24" s="289" t="s">
        <v>729</v>
      </c>
      <c r="I24" s="289">
        <v>13</v>
      </c>
      <c r="J24" s="295">
        <v>16.989999999999998</v>
      </c>
      <c r="K24" s="295">
        <v>183</v>
      </c>
      <c r="L24" s="295">
        <v>0</v>
      </c>
      <c r="M24" s="295">
        <v>0</v>
      </c>
      <c r="N24" s="295"/>
      <c r="O24" s="295">
        <v>183</v>
      </c>
      <c r="P24" s="289">
        <v>275</v>
      </c>
      <c r="Q24" s="289">
        <v>9940</v>
      </c>
      <c r="R24" s="293">
        <f t="shared" si="29"/>
        <v>2733500</v>
      </c>
      <c r="S24" s="297">
        <v>0</v>
      </c>
      <c r="T24" s="297">
        <v>35000</v>
      </c>
      <c r="U24" s="293">
        <f t="shared" si="30"/>
        <v>2768500</v>
      </c>
      <c r="V24" s="293">
        <v>0</v>
      </c>
      <c r="W24" s="293">
        <v>0</v>
      </c>
      <c r="X24" s="293">
        <v>68750</v>
      </c>
      <c r="Y24" s="293">
        <v>55000</v>
      </c>
      <c r="Z24" s="293">
        <v>41250</v>
      </c>
      <c r="AA24" s="293">
        <v>6000</v>
      </c>
      <c r="AB24" s="293">
        <f t="shared" si="31"/>
        <v>2939500</v>
      </c>
      <c r="AC24" s="297">
        <v>30000</v>
      </c>
      <c r="AD24" s="293">
        <f t="shared" si="32"/>
        <v>332220</v>
      </c>
      <c r="AE24" s="293">
        <f t="shared" ref="AE24:AE35" si="40">X24*12%+Y24*12%+Z24*12%+AA24*12%</f>
        <v>20520</v>
      </c>
      <c r="AF24" s="293">
        <f>U24*7%+5</f>
        <v>193800.00000000003</v>
      </c>
      <c r="AG24" s="293"/>
      <c r="AH24" s="293">
        <f t="shared" si="39"/>
        <v>3516040</v>
      </c>
      <c r="AI24" s="338" t="s">
        <v>765</v>
      </c>
      <c r="AJ24" s="289"/>
      <c r="AK24" s="289" t="s">
        <v>687</v>
      </c>
      <c r="AL24" s="289"/>
      <c r="AM24" s="289" t="s">
        <v>760</v>
      </c>
      <c r="AN24" s="289" t="s">
        <v>766</v>
      </c>
      <c r="AO24" s="289"/>
      <c r="AP24" s="289"/>
      <c r="AQ24" s="289"/>
      <c r="AR24" s="289"/>
      <c r="AS24" s="289"/>
      <c r="AT24" s="289"/>
      <c r="AU24" s="289"/>
      <c r="AV24" s="289" t="s">
        <v>762</v>
      </c>
      <c r="AW24" s="298" t="s">
        <v>732</v>
      </c>
      <c r="AX24" s="298" t="s">
        <v>83</v>
      </c>
      <c r="AY24" s="294">
        <v>0</v>
      </c>
      <c r="AZ24" s="289">
        <v>0</v>
      </c>
      <c r="BA24" s="289">
        <v>0</v>
      </c>
      <c r="BB24" s="289" t="s">
        <v>763</v>
      </c>
      <c r="BC24" s="289" t="s">
        <v>685</v>
      </c>
      <c r="BD24" s="289"/>
      <c r="BE24" s="289"/>
      <c r="BF24" s="289"/>
      <c r="BG24" s="289"/>
      <c r="BH24" s="289"/>
      <c r="BI24" s="289"/>
      <c r="BJ24" s="289"/>
      <c r="BK24" s="289"/>
      <c r="BL24" s="289"/>
      <c r="BM24" s="289"/>
      <c r="BN24" s="289"/>
    </row>
    <row r="25" spans="1:66" ht="15.75" customHeight="1" x14ac:dyDescent="0.2">
      <c r="A25" s="289">
        <f t="shared" si="35"/>
        <v>22</v>
      </c>
      <c r="B25" s="289" t="s">
        <v>767</v>
      </c>
      <c r="C25" s="339">
        <v>43809</v>
      </c>
      <c r="D25" s="289" t="s">
        <v>676</v>
      </c>
      <c r="E25" s="291" t="s">
        <v>768</v>
      </c>
      <c r="F25" s="289" t="s">
        <v>175</v>
      </c>
      <c r="G25" s="289">
        <v>9881642001</v>
      </c>
      <c r="H25" s="289" t="s">
        <v>729</v>
      </c>
      <c r="I25" s="289">
        <v>19</v>
      </c>
      <c r="J25" s="295">
        <v>20.07</v>
      </c>
      <c r="K25" s="295">
        <v>216</v>
      </c>
      <c r="L25" s="295">
        <v>0</v>
      </c>
      <c r="M25" s="295">
        <v>0</v>
      </c>
      <c r="N25" s="295"/>
      <c r="O25" s="295">
        <v>216</v>
      </c>
      <c r="P25" s="289">
        <v>324</v>
      </c>
      <c r="Q25" s="289">
        <v>10260</v>
      </c>
      <c r="R25" s="293">
        <f t="shared" si="29"/>
        <v>3324240</v>
      </c>
      <c r="S25" s="297">
        <v>0</v>
      </c>
      <c r="T25" s="297">
        <v>35000</v>
      </c>
      <c r="U25" s="293">
        <f t="shared" si="30"/>
        <v>3359240</v>
      </c>
      <c r="V25" s="293">
        <v>0</v>
      </c>
      <c r="W25" s="293">
        <v>0</v>
      </c>
      <c r="X25" s="293">
        <v>81000</v>
      </c>
      <c r="Y25" s="293">
        <v>64800</v>
      </c>
      <c r="Z25" s="293">
        <v>48600</v>
      </c>
      <c r="AA25" s="293">
        <v>0</v>
      </c>
      <c r="AB25" s="293">
        <f t="shared" si="31"/>
        <v>3553640</v>
      </c>
      <c r="AC25" s="297">
        <v>30000</v>
      </c>
      <c r="AD25" s="293">
        <f t="shared" si="32"/>
        <v>403108.8</v>
      </c>
      <c r="AE25" s="293">
        <f t="shared" si="40"/>
        <v>23328</v>
      </c>
      <c r="AF25" s="293">
        <f>U25*7%+53</f>
        <v>235199.80000000002</v>
      </c>
      <c r="AG25" s="293">
        <v>6000</v>
      </c>
      <c r="AH25" s="293">
        <f>AB25+AC25+AD25+AE25+AF25+AG25-1</f>
        <v>4251275.5999999996</v>
      </c>
      <c r="AI25" s="338">
        <v>302332</v>
      </c>
      <c r="AJ25" s="289">
        <v>36280</v>
      </c>
      <c r="AK25" s="289"/>
      <c r="AL25" s="289">
        <v>705440</v>
      </c>
      <c r="AM25" s="289">
        <v>84653</v>
      </c>
      <c r="AN25" s="289"/>
      <c r="AO25" s="289"/>
      <c r="AP25" s="289"/>
      <c r="AQ25" s="289"/>
      <c r="AR25" s="289"/>
      <c r="AS25" s="289"/>
      <c r="AT25" s="289"/>
      <c r="AU25" s="289"/>
      <c r="AV25" s="289" t="s">
        <v>769</v>
      </c>
      <c r="AW25" s="298" t="s">
        <v>732</v>
      </c>
      <c r="AX25" s="298" t="s">
        <v>770</v>
      </c>
      <c r="AY25" s="294">
        <v>0.03</v>
      </c>
      <c r="AZ25" s="289">
        <v>20000</v>
      </c>
      <c r="BA25" s="293">
        <f t="shared" ref="BA25:BA27" si="41">(R25*3%)+AZ25</f>
        <v>119727.2</v>
      </c>
      <c r="BB25" s="289" t="s">
        <v>684</v>
      </c>
      <c r="BC25" s="289" t="s">
        <v>685</v>
      </c>
      <c r="BD25" s="289"/>
      <c r="BE25" s="289"/>
      <c r="BF25" s="289"/>
      <c r="BG25" s="289"/>
      <c r="BH25" s="289"/>
      <c r="BI25" s="289"/>
      <c r="BJ25" s="289"/>
      <c r="BK25" s="289"/>
      <c r="BL25" s="289"/>
      <c r="BM25" s="289"/>
      <c r="BN25" s="289"/>
    </row>
    <row r="26" spans="1:66" ht="15.75" customHeight="1" x14ac:dyDescent="0.2">
      <c r="A26" s="289">
        <f t="shared" si="35"/>
        <v>23</v>
      </c>
      <c r="B26" s="289" t="s">
        <v>771</v>
      </c>
      <c r="C26" s="339">
        <v>43748</v>
      </c>
      <c r="D26" s="289" t="s">
        <v>676</v>
      </c>
      <c r="E26" s="291" t="s">
        <v>772</v>
      </c>
      <c r="F26" s="289" t="s">
        <v>175</v>
      </c>
      <c r="G26" s="289">
        <v>9960936666</v>
      </c>
      <c r="H26" s="289" t="s">
        <v>677</v>
      </c>
      <c r="I26" s="289">
        <v>14</v>
      </c>
      <c r="J26" s="295">
        <v>16.850000000000001</v>
      </c>
      <c r="K26" s="295">
        <v>181</v>
      </c>
      <c r="L26" s="295">
        <v>0</v>
      </c>
      <c r="M26" s="295">
        <v>0</v>
      </c>
      <c r="N26" s="295"/>
      <c r="O26" s="295">
        <v>181</v>
      </c>
      <c r="P26" s="289">
        <v>272</v>
      </c>
      <c r="Q26" s="289">
        <v>11000</v>
      </c>
      <c r="R26" s="293">
        <f t="shared" si="29"/>
        <v>2992000</v>
      </c>
      <c r="S26" s="297">
        <v>0</v>
      </c>
      <c r="T26" s="297">
        <v>35000</v>
      </c>
      <c r="U26" s="293">
        <f t="shared" si="30"/>
        <v>3027000</v>
      </c>
      <c r="V26" s="293">
        <v>0</v>
      </c>
      <c r="W26" s="293">
        <v>0</v>
      </c>
      <c r="X26" s="293">
        <v>68000</v>
      </c>
      <c r="Y26" s="293">
        <v>54400</v>
      </c>
      <c r="Z26" s="293">
        <v>40800</v>
      </c>
      <c r="AA26" s="293">
        <v>0</v>
      </c>
      <c r="AB26" s="293">
        <f t="shared" si="31"/>
        <v>3190200</v>
      </c>
      <c r="AC26" s="297">
        <v>30000</v>
      </c>
      <c r="AD26" s="293">
        <f t="shared" si="32"/>
        <v>363240</v>
      </c>
      <c r="AE26" s="293">
        <f t="shared" si="40"/>
        <v>19584</v>
      </c>
      <c r="AF26" s="293">
        <f>U26*7%+10</f>
        <v>211900.00000000003</v>
      </c>
      <c r="AG26" s="293">
        <v>6000</v>
      </c>
      <c r="AH26" s="293">
        <f t="shared" ref="AH26:AH45" si="42">AB26+AC26+AD26+AE26+AF26+AG26</f>
        <v>3820924</v>
      </c>
      <c r="AI26" s="338">
        <v>272430</v>
      </c>
      <c r="AJ26" s="289">
        <v>32692</v>
      </c>
      <c r="AK26" s="289" t="s">
        <v>760</v>
      </c>
      <c r="AL26" s="289">
        <v>635670</v>
      </c>
      <c r="AM26" s="289">
        <v>76280</v>
      </c>
      <c r="AN26" s="289" t="s">
        <v>687</v>
      </c>
      <c r="AO26" s="289"/>
      <c r="AP26" s="289"/>
      <c r="AQ26" s="289"/>
      <c r="AR26" s="289"/>
      <c r="AS26" s="289"/>
      <c r="AT26" s="289"/>
      <c r="AU26" s="289" t="s">
        <v>679</v>
      </c>
      <c r="AV26" s="289" t="s">
        <v>773</v>
      </c>
      <c r="AW26" s="298" t="s">
        <v>681</v>
      </c>
      <c r="AX26" s="298" t="s">
        <v>774</v>
      </c>
      <c r="AY26" s="294">
        <v>0.03</v>
      </c>
      <c r="AZ26" s="289">
        <v>20000</v>
      </c>
      <c r="BA26" s="293">
        <f t="shared" si="41"/>
        <v>109760</v>
      </c>
      <c r="BB26" s="289" t="s">
        <v>684</v>
      </c>
      <c r="BC26" s="289" t="s">
        <v>685</v>
      </c>
      <c r="BD26" s="289"/>
      <c r="BE26" s="289"/>
      <c r="BF26" s="289"/>
      <c r="BG26" s="289"/>
      <c r="BH26" s="289"/>
      <c r="BI26" s="289"/>
      <c r="BJ26" s="289"/>
      <c r="BK26" s="289"/>
      <c r="BL26" s="289"/>
      <c r="BM26" s="289"/>
      <c r="BN26" s="289"/>
    </row>
    <row r="27" spans="1:66" ht="15.75" customHeight="1" x14ac:dyDescent="0.2">
      <c r="A27" s="289">
        <f t="shared" si="35"/>
        <v>24</v>
      </c>
      <c r="B27" s="289" t="s">
        <v>771</v>
      </c>
      <c r="C27" s="339">
        <v>43748</v>
      </c>
      <c r="D27" s="289" t="s">
        <v>676</v>
      </c>
      <c r="E27" s="291" t="s">
        <v>772</v>
      </c>
      <c r="F27" s="289" t="s">
        <v>175</v>
      </c>
      <c r="G27" s="289">
        <v>9960936666</v>
      </c>
      <c r="H27" s="289" t="s">
        <v>677</v>
      </c>
      <c r="I27" s="289">
        <v>15</v>
      </c>
      <c r="J27" s="295">
        <v>16.989999999999998</v>
      </c>
      <c r="K27" s="295">
        <v>183</v>
      </c>
      <c r="L27" s="295">
        <v>0</v>
      </c>
      <c r="M27" s="295">
        <v>0</v>
      </c>
      <c r="N27" s="295"/>
      <c r="O27" s="295">
        <v>183</v>
      </c>
      <c r="P27" s="289">
        <v>275</v>
      </c>
      <c r="Q27" s="289">
        <v>11000</v>
      </c>
      <c r="R27" s="293">
        <f t="shared" si="29"/>
        <v>3025000</v>
      </c>
      <c r="S27" s="297">
        <v>0</v>
      </c>
      <c r="T27" s="297">
        <v>35000</v>
      </c>
      <c r="U27" s="293">
        <f t="shared" si="30"/>
        <v>3060000</v>
      </c>
      <c r="V27" s="293">
        <v>0</v>
      </c>
      <c r="W27" s="293">
        <v>0</v>
      </c>
      <c r="X27" s="293">
        <v>68750</v>
      </c>
      <c r="Y27" s="293">
        <v>55000</v>
      </c>
      <c r="Z27" s="293">
        <v>41250</v>
      </c>
      <c r="AA27" s="293">
        <v>0</v>
      </c>
      <c r="AB27" s="293">
        <f t="shared" si="31"/>
        <v>3225000</v>
      </c>
      <c r="AC27" s="297">
        <v>30000</v>
      </c>
      <c r="AD27" s="293">
        <f t="shared" si="32"/>
        <v>367200</v>
      </c>
      <c r="AE27" s="293">
        <f t="shared" si="40"/>
        <v>19800</v>
      </c>
      <c r="AF27" s="293">
        <f>U27*7%</f>
        <v>214200.00000000003</v>
      </c>
      <c r="AG27" s="293">
        <v>6000</v>
      </c>
      <c r="AH27" s="293">
        <f t="shared" si="42"/>
        <v>3862200</v>
      </c>
      <c r="AI27" s="338">
        <v>275400</v>
      </c>
      <c r="AJ27" s="289">
        <v>33048</v>
      </c>
      <c r="AK27" s="289" t="s">
        <v>760</v>
      </c>
      <c r="AL27" s="289">
        <v>642600</v>
      </c>
      <c r="AM27" s="289">
        <v>77112</v>
      </c>
      <c r="AN27" s="289" t="s">
        <v>687</v>
      </c>
      <c r="AO27" s="289"/>
      <c r="AP27" s="289"/>
      <c r="AQ27" s="289"/>
      <c r="AR27" s="289"/>
      <c r="AS27" s="289"/>
      <c r="AT27" s="289"/>
      <c r="AU27" s="289" t="s">
        <v>679</v>
      </c>
      <c r="AV27" s="289" t="s">
        <v>773</v>
      </c>
      <c r="AW27" s="298" t="s">
        <v>681</v>
      </c>
      <c r="AX27" s="298" t="s">
        <v>774</v>
      </c>
      <c r="AY27" s="294">
        <v>0.03</v>
      </c>
      <c r="AZ27" s="289">
        <v>20000</v>
      </c>
      <c r="BA27" s="293">
        <f t="shared" si="41"/>
        <v>110750</v>
      </c>
      <c r="BB27" s="289" t="s">
        <v>684</v>
      </c>
      <c r="BC27" s="289" t="s">
        <v>685</v>
      </c>
      <c r="BD27" s="289"/>
      <c r="BE27" s="289"/>
      <c r="BF27" s="289"/>
      <c r="BG27" s="289"/>
      <c r="BH27" s="289"/>
      <c r="BI27" s="289"/>
      <c r="BJ27" s="289"/>
      <c r="BK27" s="289"/>
      <c r="BL27" s="289"/>
      <c r="BM27" s="289"/>
      <c r="BN27" s="289"/>
    </row>
    <row r="28" spans="1:66" ht="24.75" customHeight="1" x14ac:dyDescent="0.2">
      <c r="A28" s="289">
        <f t="shared" si="35"/>
        <v>25</v>
      </c>
      <c r="B28" s="339">
        <v>43748</v>
      </c>
      <c r="C28" s="289" t="s">
        <v>775</v>
      </c>
      <c r="D28" s="289" t="s">
        <v>676</v>
      </c>
      <c r="E28" s="291" t="s">
        <v>86</v>
      </c>
      <c r="F28" s="289" t="s">
        <v>175</v>
      </c>
      <c r="G28" s="289">
        <v>9922955016</v>
      </c>
      <c r="H28" s="289" t="s">
        <v>694</v>
      </c>
      <c r="I28" s="289">
        <v>13</v>
      </c>
      <c r="J28" s="295">
        <v>16.989999999999998</v>
      </c>
      <c r="K28" s="295">
        <v>183</v>
      </c>
      <c r="L28" s="295">
        <v>0</v>
      </c>
      <c r="M28" s="295">
        <v>0</v>
      </c>
      <c r="N28" s="295"/>
      <c r="O28" s="295">
        <v>183</v>
      </c>
      <c r="P28" s="289">
        <v>275</v>
      </c>
      <c r="Q28" s="289">
        <v>13104</v>
      </c>
      <c r="R28" s="293">
        <f t="shared" si="29"/>
        <v>3603600</v>
      </c>
      <c r="S28" s="297">
        <v>0</v>
      </c>
      <c r="T28" s="297">
        <v>35000</v>
      </c>
      <c r="U28" s="293">
        <f t="shared" si="30"/>
        <v>3638600</v>
      </c>
      <c r="V28" s="293">
        <v>0</v>
      </c>
      <c r="W28" s="293">
        <v>0</v>
      </c>
      <c r="X28" s="293">
        <v>68750</v>
      </c>
      <c r="Y28" s="293">
        <v>55000</v>
      </c>
      <c r="Z28" s="293">
        <v>41250</v>
      </c>
      <c r="AA28" s="293">
        <v>0</v>
      </c>
      <c r="AB28" s="293">
        <f t="shared" si="31"/>
        <v>3803600</v>
      </c>
      <c r="AC28" s="297">
        <v>30000</v>
      </c>
      <c r="AD28" s="293">
        <f t="shared" si="32"/>
        <v>436632</v>
      </c>
      <c r="AE28" s="293">
        <f t="shared" si="40"/>
        <v>19800</v>
      </c>
      <c r="AF28" s="293">
        <f>U28*7%+98</f>
        <v>254800.00000000003</v>
      </c>
      <c r="AG28" s="293">
        <v>6000</v>
      </c>
      <c r="AH28" s="293">
        <f t="shared" si="42"/>
        <v>4550832</v>
      </c>
      <c r="AI28" s="338">
        <v>327474</v>
      </c>
      <c r="AJ28" s="289">
        <v>39297</v>
      </c>
      <c r="AK28" s="289" t="s">
        <v>760</v>
      </c>
      <c r="AL28" s="289">
        <v>764106</v>
      </c>
      <c r="AM28" s="289">
        <v>91693</v>
      </c>
      <c r="AN28" s="340">
        <v>43770</v>
      </c>
      <c r="AO28" s="289"/>
      <c r="AP28" s="289"/>
      <c r="AQ28" s="289"/>
      <c r="AR28" s="289"/>
      <c r="AS28" s="289"/>
      <c r="AT28" s="289"/>
      <c r="AU28" s="289" t="s">
        <v>679</v>
      </c>
      <c r="AV28" s="289" t="s">
        <v>776</v>
      </c>
      <c r="AW28" s="298" t="s">
        <v>732</v>
      </c>
      <c r="AX28" s="298" t="s">
        <v>87</v>
      </c>
      <c r="AY28" s="294">
        <v>0</v>
      </c>
      <c r="AZ28" s="289">
        <v>0</v>
      </c>
      <c r="BA28" s="289">
        <v>0</v>
      </c>
      <c r="BB28" s="289" t="s">
        <v>763</v>
      </c>
      <c r="BC28" s="289" t="s">
        <v>685</v>
      </c>
      <c r="BD28" s="289"/>
      <c r="BE28" s="289"/>
      <c r="BF28" s="289"/>
      <c r="BG28" s="289"/>
      <c r="BH28" s="289"/>
      <c r="BI28" s="289"/>
      <c r="BJ28" s="289"/>
      <c r="BK28" s="289"/>
      <c r="BL28" s="289"/>
      <c r="BM28" s="289"/>
      <c r="BN28" s="289"/>
    </row>
    <row r="29" spans="1:66" ht="24.75" customHeight="1" x14ac:dyDescent="0.2">
      <c r="A29" s="289">
        <f t="shared" si="35"/>
        <v>26</v>
      </c>
      <c r="B29" s="339">
        <v>43476</v>
      </c>
      <c r="C29" s="290">
        <v>43567</v>
      </c>
      <c r="D29" s="289" t="s">
        <v>676</v>
      </c>
      <c r="E29" s="291" t="s">
        <v>321</v>
      </c>
      <c r="F29" s="289" t="s">
        <v>175</v>
      </c>
      <c r="G29" s="289">
        <v>7387300386</v>
      </c>
      <c r="H29" s="289" t="s">
        <v>729</v>
      </c>
      <c r="I29" s="289">
        <v>22</v>
      </c>
      <c r="J29" s="295">
        <v>20.07</v>
      </c>
      <c r="K29" s="295">
        <v>216</v>
      </c>
      <c r="L29" s="295">
        <v>0</v>
      </c>
      <c r="M29" s="295">
        <v>0</v>
      </c>
      <c r="N29" s="295"/>
      <c r="O29" s="295">
        <v>216</v>
      </c>
      <c r="P29" s="289">
        <v>324</v>
      </c>
      <c r="Q29" s="289">
        <v>9000</v>
      </c>
      <c r="R29" s="293">
        <f t="shared" si="29"/>
        <v>2916000</v>
      </c>
      <c r="S29" s="297">
        <v>500000</v>
      </c>
      <c r="T29" s="297">
        <v>35000</v>
      </c>
      <c r="U29" s="293">
        <f t="shared" si="30"/>
        <v>3451000</v>
      </c>
      <c r="V29" s="293">
        <v>0</v>
      </c>
      <c r="W29" s="293">
        <v>0</v>
      </c>
      <c r="X29" s="293">
        <v>81000</v>
      </c>
      <c r="Y29" s="293">
        <v>64800</v>
      </c>
      <c r="Z29" s="293">
        <v>48600</v>
      </c>
      <c r="AA29" s="293">
        <v>0</v>
      </c>
      <c r="AB29" s="293">
        <f t="shared" si="31"/>
        <v>3645400</v>
      </c>
      <c r="AC29" s="297">
        <v>30000</v>
      </c>
      <c r="AD29" s="293">
        <f t="shared" si="32"/>
        <v>414120</v>
      </c>
      <c r="AE29" s="293">
        <f t="shared" si="40"/>
        <v>23328</v>
      </c>
      <c r="AF29" s="293">
        <f>U29*7%+30</f>
        <v>241600.00000000003</v>
      </c>
      <c r="AG29" s="293">
        <v>6000</v>
      </c>
      <c r="AH29" s="293">
        <f t="shared" si="42"/>
        <v>4360448</v>
      </c>
      <c r="AI29" s="338">
        <v>310590</v>
      </c>
      <c r="AJ29" s="289">
        <v>37271</v>
      </c>
      <c r="AK29" s="289" t="s">
        <v>777</v>
      </c>
      <c r="AL29" s="289">
        <v>724710</v>
      </c>
      <c r="AM29" s="289">
        <v>86965</v>
      </c>
      <c r="AN29" s="289" t="s">
        <v>778</v>
      </c>
      <c r="AO29" s="289"/>
      <c r="AP29" s="289"/>
      <c r="AQ29" s="289"/>
      <c r="AR29" s="289"/>
      <c r="AS29" s="289"/>
      <c r="AT29" s="289"/>
      <c r="AU29" s="289" t="s">
        <v>679</v>
      </c>
      <c r="AV29" s="289" t="s">
        <v>779</v>
      </c>
      <c r="AW29" s="298" t="s">
        <v>732</v>
      </c>
      <c r="AX29" s="298" t="s">
        <v>322</v>
      </c>
      <c r="AY29" s="294">
        <v>0</v>
      </c>
      <c r="AZ29" s="289">
        <v>0</v>
      </c>
      <c r="BA29" s="289">
        <v>0</v>
      </c>
      <c r="BB29" s="289" t="s">
        <v>763</v>
      </c>
      <c r="BC29" s="289" t="s">
        <v>685</v>
      </c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89"/>
    </row>
    <row r="30" spans="1:66" ht="24.75" customHeight="1" x14ac:dyDescent="0.2">
      <c r="A30" s="289">
        <f t="shared" si="35"/>
        <v>27</v>
      </c>
      <c r="B30" s="339">
        <v>43657</v>
      </c>
      <c r="C30" s="289" t="s">
        <v>780</v>
      </c>
      <c r="D30" s="289" t="s">
        <v>676</v>
      </c>
      <c r="E30" s="291" t="s">
        <v>781</v>
      </c>
      <c r="F30" s="289" t="s">
        <v>175</v>
      </c>
      <c r="G30" s="289">
        <v>8007994200</v>
      </c>
      <c r="H30" s="289" t="s">
        <v>729</v>
      </c>
      <c r="I30" s="289">
        <v>7</v>
      </c>
      <c r="J30" s="295">
        <v>34.82</v>
      </c>
      <c r="K30" s="295">
        <v>375</v>
      </c>
      <c r="L30" s="295">
        <v>0</v>
      </c>
      <c r="M30" s="295">
        <v>0</v>
      </c>
      <c r="N30" s="295"/>
      <c r="O30" s="295">
        <v>375</v>
      </c>
      <c r="P30" s="289">
        <v>563</v>
      </c>
      <c r="Q30" s="289">
        <v>9650</v>
      </c>
      <c r="R30" s="293">
        <f t="shared" si="29"/>
        <v>5432950</v>
      </c>
      <c r="S30" s="297">
        <v>500000</v>
      </c>
      <c r="T30" s="297">
        <v>70000</v>
      </c>
      <c r="U30" s="293">
        <f t="shared" si="30"/>
        <v>6002950</v>
      </c>
      <c r="V30" s="293">
        <v>0</v>
      </c>
      <c r="W30" s="293">
        <v>0</v>
      </c>
      <c r="X30" s="293">
        <v>140750</v>
      </c>
      <c r="Y30" s="293">
        <v>112600</v>
      </c>
      <c r="Z30" s="293">
        <v>84450</v>
      </c>
      <c r="AA30" s="293">
        <v>0</v>
      </c>
      <c r="AB30" s="293">
        <f t="shared" si="31"/>
        <v>6340750</v>
      </c>
      <c r="AC30" s="297">
        <v>30000</v>
      </c>
      <c r="AD30" s="293">
        <f t="shared" si="32"/>
        <v>720354</v>
      </c>
      <c r="AE30" s="293">
        <f t="shared" si="40"/>
        <v>40536</v>
      </c>
      <c r="AF30" s="293">
        <f>U30*7%+93</f>
        <v>420299.50000000006</v>
      </c>
      <c r="AG30" s="293">
        <v>6000</v>
      </c>
      <c r="AH30" s="293">
        <f t="shared" si="42"/>
        <v>7557939.5</v>
      </c>
      <c r="AI30" s="338">
        <v>540266</v>
      </c>
      <c r="AJ30" s="289">
        <v>64832</v>
      </c>
      <c r="AK30" s="289" t="s">
        <v>760</v>
      </c>
      <c r="AL30" s="289">
        <v>1260620</v>
      </c>
      <c r="AM30" s="289">
        <v>151274</v>
      </c>
      <c r="AN30" s="289" t="s">
        <v>778</v>
      </c>
      <c r="AO30" s="289"/>
      <c r="AP30" s="289"/>
      <c r="AQ30" s="289"/>
      <c r="AR30" s="289"/>
      <c r="AS30" s="289"/>
      <c r="AT30" s="289"/>
      <c r="AU30" s="289" t="s">
        <v>679</v>
      </c>
      <c r="AV30" s="289" t="s">
        <v>782</v>
      </c>
      <c r="AW30" s="298" t="s">
        <v>732</v>
      </c>
      <c r="AX30" s="298" t="s">
        <v>83</v>
      </c>
      <c r="AY30" s="294">
        <v>0</v>
      </c>
      <c r="AZ30" s="289">
        <v>0</v>
      </c>
      <c r="BA30" s="289">
        <v>0</v>
      </c>
      <c r="BB30" s="289" t="s">
        <v>763</v>
      </c>
      <c r="BC30" s="289" t="s">
        <v>685</v>
      </c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89"/>
    </row>
    <row r="31" spans="1:66" ht="24.75" customHeight="1" x14ac:dyDescent="0.2">
      <c r="A31" s="289">
        <f t="shared" si="35"/>
        <v>28</v>
      </c>
      <c r="B31" s="339">
        <v>43688</v>
      </c>
      <c r="C31" s="290">
        <v>44105</v>
      </c>
      <c r="D31" s="289" t="s">
        <v>676</v>
      </c>
      <c r="E31" s="289" t="s">
        <v>783</v>
      </c>
      <c r="F31" s="289" t="s">
        <v>784</v>
      </c>
      <c r="G31" s="289" t="s">
        <v>785</v>
      </c>
      <c r="H31" s="289" t="s">
        <v>756</v>
      </c>
      <c r="I31" s="289">
        <v>22</v>
      </c>
      <c r="J31" s="295">
        <v>49.51</v>
      </c>
      <c r="K31" s="295">
        <v>533</v>
      </c>
      <c r="L31" s="295">
        <v>0</v>
      </c>
      <c r="M31" s="295">
        <v>0</v>
      </c>
      <c r="N31" s="295"/>
      <c r="O31" s="295">
        <v>533</v>
      </c>
      <c r="P31" s="289">
        <v>800</v>
      </c>
      <c r="Q31" s="289">
        <v>11606</v>
      </c>
      <c r="R31" s="293">
        <f t="shared" si="29"/>
        <v>9284800</v>
      </c>
      <c r="S31" s="297">
        <v>0</v>
      </c>
      <c r="T31" s="297">
        <v>105000</v>
      </c>
      <c r="U31" s="293">
        <f t="shared" si="30"/>
        <v>9389800</v>
      </c>
      <c r="V31" s="293">
        <v>0</v>
      </c>
      <c r="W31" s="293">
        <v>0</v>
      </c>
      <c r="X31" s="293">
        <v>200000</v>
      </c>
      <c r="Y31" s="293">
        <v>160000</v>
      </c>
      <c r="Z31" s="293">
        <v>120000</v>
      </c>
      <c r="AA31" s="293">
        <v>0</v>
      </c>
      <c r="AB31" s="293">
        <f t="shared" si="31"/>
        <v>9869800</v>
      </c>
      <c r="AC31" s="297">
        <v>30000</v>
      </c>
      <c r="AD31" s="293">
        <f t="shared" si="32"/>
        <v>1126776</v>
      </c>
      <c r="AE31" s="293">
        <f t="shared" si="40"/>
        <v>57600</v>
      </c>
      <c r="AF31" s="293">
        <f>U31*7%+14</f>
        <v>657300.00000000012</v>
      </c>
      <c r="AG31" s="293">
        <v>6000</v>
      </c>
      <c r="AH31" s="293">
        <f t="shared" si="42"/>
        <v>11747476</v>
      </c>
      <c r="AI31" s="338">
        <v>845082</v>
      </c>
      <c r="AJ31" s="289">
        <v>101410</v>
      </c>
      <c r="AK31" s="289" t="s">
        <v>786</v>
      </c>
      <c r="AL31" s="289">
        <v>1971858</v>
      </c>
      <c r="AM31" s="289">
        <v>236623</v>
      </c>
      <c r="AN31" s="289" t="s">
        <v>787</v>
      </c>
      <c r="AO31" s="289"/>
      <c r="AP31" s="289"/>
      <c r="AQ31" s="289"/>
      <c r="AR31" s="289"/>
      <c r="AS31" s="289"/>
      <c r="AT31" s="289"/>
      <c r="AU31" s="289" t="s">
        <v>679</v>
      </c>
      <c r="AV31" s="289" t="s">
        <v>788</v>
      </c>
      <c r="AW31" s="298" t="s">
        <v>732</v>
      </c>
      <c r="AX31" s="298" t="s">
        <v>169</v>
      </c>
      <c r="AY31" s="341">
        <v>2.4E-2</v>
      </c>
      <c r="AZ31" s="289">
        <v>0</v>
      </c>
      <c r="BA31" s="293">
        <f>(R31*AY31)+AZ31</f>
        <v>222835.20000000001</v>
      </c>
      <c r="BB31" s="289" t="s">
        <v>684</v>
      </c>
      <c r="BC31" s="289" t="s">
        <v>685</v>
      </c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89"/>
    </row>
    <row r="32" spans="1:66" ht="24.75" customHeight="1" x14ac:dyDescent="0.2">
      <c r="A32" s="289">
        <f t="shared" si="35"/>
        <v>29</v>
      </c>
      <c r="B32" s="339">
        <v>43810</v>
      </c>
      <c r="C32" s="290">
        <v>43536</v>
      </c>
      <c r="D32" s="289" t="s">
        <v>676</v>
      </c>
      <c r="E32" s="291" t="s">
        <v>789</v>
      </c>
      <c r="F32" s="289" t="s">
        <v>175</v>
      </c>
      <c r="G32" s="289">
        <v>9579315170</v>
      </c>
      <c r="H32" s="289" t="s">
        <v>677</v>
      </c>
      <c r="I32" s="289">
        <v>13</v>
      </c>
      <c r="J32" s="295">
        <v>16.989999999999998</v>
      </c>
      <c r="K32" s="295">
        <v>183</v>
      </c>
      <c r="L32" s="295">
        <v>0</v>
      </c>
      <c r="M32" s="295">
        <v>0</v>
      </c>
      <c r="N32" s="295"/>
      <c r="O32" s="295">
        <v>183</v>
      </c>
      <c r="P32" s="289">
        <v>275</v>
      </c>
      <c r="Q32" s="289">
        <v>10810</v>
      </c>
      <c r="R32" s="293">
        <f t="shared" si="29"/>
        <v>2972750</v>
      </c>
      <c r="S32" s="297">
        <v>0</v>
      </c>
      <c r="T32" s="297">
        <v>35000</v>
      </c>
      <c r="U32" s="293">
        <f t="shared" si="30"/>
        <v>3007750</v>
      </c>
      <c r="V32" s="293">
        <v>0</v>
      </c>
      <c r="W32" s="293">
        <v>0</v>
      </c>
      <c r="X32" s="293">
        <v>68750</v>
      </c>
      <c r="Y32" s="293">
        <v>55000</v>
      </c>
      <c r="Z32" s="293">
        <v>41250</v>
      </c>
      <c r="AA32" s="293">
        <v>0</v>
      </c>
      <c r="AB32" s="293">
        <f t="shared" si="31"/>
        <v>3172750</v>
      </c>
      <c r="AC32" s="297">
        <v>30000</v>
      </c>
      <c r="AD32" s="293">
        <f t="shared" si="32"/>
        <v>360930</v>
      </c>
      <c r="AE32" s="293">
        <f t="shared" si="40"/>
        <v>19800</v>
      </c>
      <c r="AF32" s="293">
        <f>U32*7%+57</f>
        <v>210599.50000000003</v>
      </c>
      <c r="AG32" s="293">
        <v>6000</v>
      </c>
      <c r="AH32" s="293">
        <f t="shared" si="42"/>
        <v>3800079.5</v>
      </c>
      <c r="AI32" s="338" t="s">
        <v>790</v>
      </c>
      <c r="AJ32" s="342">
        <v>32484</v>
      </c>
      <c r="AK32" s="289" t="s">
        <v>760</v>
      </c>
      <c r="AL32" s="289" t="s">
        <v>791</v>
      </c>
      <c r="AM32" s="289" t="s">
        <v>792</v>
      </c>
      <c r="AN32" s="289" t="s">
        <v>793</v>
      </c>
      <c r="AO32" s="289"/>
      <c r="AP32" s="289"/>
      <c r="AQ32" s="289"/>
      <c r="AR32" s="289"/>
      <c r="AS32" s="289"/>
      <c r="AT32" s="289"/>
      <c r="AU32" s="289" t="s">
        <v>679</v>
      </c>
      <c r="AV32" s="289" t="s">
        <v>794</v>
      </c>
      <c r="AW32" s="298" t="s">
        <v>732</v>
      </c>
      <c r="AX32" s="298" t="s">
        <v>795</v>
      </c>
      <c r="AY32" s="294">
        <v>0.03</v>
      </c>
      <c r="AZ32" s="289">
        <v>20000</v>
      </c>
      <c r="BA32" s="293">
        <f t="shared" ref="BA32:BA34" si="43">(R32*3%)+AZ32</f>
        <v>109182.5</v>
      </c>
      <c r="BB32" s="289" t="s">
        <v>684</v>
      </c>
      <c r="BC32" s="289" t="s">
        <v>685</v>
      </c>
      <c r="BD32" s="289"/>
      <c r="BE32" s="289"/>
      <c r="BF32" s="289"/>
      <c r="BG32" s="289"/>
      <c r="BH32" s="289"/>
      <c r="BI32" s="289"/>
      <c r="BJ32" s="289"/>
      <c r="BK32" s="289"/>
      <c r="BL32" s="289"/>
      <c r="BM32" s="289"/>
      <c r="BN32" s="289"/>
    </row>
    <row r="33" spans="1:66" ht="24.75" customHeight="1" x14ac:dyDescent="0.2">
      <c r="A33" s="289">
        <f t="shared" si="35"/>
        <v>30</v>
      </c>
      <c r="B33" s="339">
        <v>43810</v>
      </c>
      <c r="C33" s="290">
        <v>43536</v>
      </c>
      <c r="D33" s="289" t="s">
        <v>676</v>
      </c>
      <c r="E33" s="291" t="s">
        <v>796</v>
      </c>
      <c r="F33" s="289" t="s">
        <v>175</v>
      </c>
      <c r="G33" s="289">
        <v>9822869709</v>
      </c>
      <c r="H33" s="289" t="s">
        <v>677</v>
      </c>
      <c r="I33" s="289">
        <v>12</v>
      </c>
      <c r="J33" s="295">
        <v>20.89</v>
      </c>
      <c r="K33" s="295">
        <v>225</v>
      </c>
      <c r="L33" s="295">
        <v>0</v>
      </c>
      <c r="M33" s="295">
        <v>0</v>
      </c>
      <c r="N33" s="295"/>
      <c r="O33" s="295">
        <v>225</v>
      </c>
      <c r="P33" s="289">
        <v>338</v>
      </c>
      <c r="Q33" s="289">
        <v>9189</v>
      </c>
      <c r="R33" s="293">
        <f t="shared" si="29"/>
        <v>3105882</v>
      </c>
      <c r="S33" s="297">
        <v>0</v>
      </c>
      <c r="T33" s="297">
        <v>35000</v>
      </c>
      <c r="U33" s="293">
        <f t="shared" si="30"/>
        <v>3140882</v>
      </c>
      <c r="V33" s="293">
        <v>0</v>
      </c>
      <c r="W33" s="293">
        <v>0</v>
      </c>
      <c r="X33" s="293">
        <v>84500</v>
      </c>
      <c r="Y33" s="293">
        <v>67600</v>
      </c>
      <c r="Z33" s="293">
        <v>50700</v>
      </c>
      <c r="AA33" s="293">
        <v>0</v>
      </c>
      <c r="AB33" s="293">
        <f t="shared" si="31"/>
        <v>3343682</v>
      </c>
      <c r="AC33" s="297">
        <v>30000</v>
      </c>
      <c r="AD33" s="293">
        <f t="shared" si="32"/>
        <v>376905.83999999997</v>
      </c>
      <c r="AE33" s="293">
        <f t="shared" si="40"/>
        <v>24336</v>
      </c>
      <c r="AF33" s="293">
        <f>U33*7%+38</f>
        <v>219899.74000000002</v>
      </c>
      <c r="AG33" s="293">
        <v>6000</v>
      </c>
      <c r="AH33" s="293">
        <f t="shared" si="42"/>
        <v>4000823.58</v>
      </c>
      <c r="AI33" s="338">
        <v>282679</v>
      </c>
      <c r="AJ33" s="342">
        <v>33921</v>
      </c>
      <c r="AK33" s="289" t="s">
        <v>760</v>
      </c>
      <c r="AL33" s="289" t="s">
        <v>797</v>
      </c>
      <c r="AM33" s="342">
        <v>79150</v>
      </c>
      <c r="AN33" s="289" t="s">
        <v>760</v>
      </c>
      <c r="AO33" s="289"/>
      <c r="AP33" s="289"/>
      <c r="AQ33" s="289"/>
      <c r="AR33" s="289"/>
      <c r="AS33" s="289"/>
      <c r="AT33" s="289"/>
      <c r="AU33" s="289" t="s">
        <v>679</v>
      </c>
      <c r="AV33" s="289" t="s">
        <v>798</v>
      </c>
      <c r="AW33" s="298" t="s">
        <v>732</v>
      </c>
      <c r="AX33" s="298" t="s">
        <v>795</v>
      </c>
      <c r="AY33" s="294">
        <v>0.03</v>
      </c>
      <c r="AZ33" s="289">
        <v>20000</v>
      </c>
      <c r="BA33" s="293">
        <f t="shared" si="43"/>
        <v>113176.45999999999</v>
      </c>
      <c r="BB33" s="289" t="s">
        <v>684</v>
      </c>
      <c r="BC33" s="289" t="s">
        <v>685</v>
      </c>
      <c r="BD33" s="289"/>
      <c r="BE33" s="289"/>
      <c r="BF33" s="289"/>
      <c r="BG33" s="289"/>
      <c r="BH33" s="289"/>
      <c r="BI33" s="289"/>
      <c r="BJ33" s="289"/>
      <c r="BK33" s="289"/>
      <c r="BL33" s="289"/>
      <c r="BM33" s="289"/>
      <c r="BN33" s="289"/>
    </row>
    <row r="34" spans="1:66" ht="24.75" customHeight="1" x14ac:dyDescent="0.2">
      <c r="A34" s="289">
        <f t="shared" si="35"/>
        <v>31</v>
      </c>
      <c r="B34" s="339">
        <v>43477</v>
      </c>
      <c r="C34" s="289" t="s">
        <v>799</v>
      </c>
      <c r="D34" s="289" t="s">
        <v>676</v>
      </c>
      <c r="E34" s="291" t="s">
        <v>147</v>
      </c>
      <c r="F34" s="289" t="s">
        <v>175</v>
      </c>
      <c r="G34" s="289">
        <v>9881859558</v>
      </c>
      <c r="H34" s="289" t="s">
        <v>800</v>
      </c>
      <c r="I34" s="289">
        <v>9</v>
      </c>
      <c r="J34" s="295">
        <v>16.850000000000001</v>
      </c>
      <c r="K34" s="295">
        <v>181</v>
      </c>
      <c r="L34" s="295">
        <v>0</v>
      </c>
      <c r="M34" s="295">
        <v>63</v>
      </c>
      <c r="N34" s="295"/>
      <c r="O34" s="295">
        <v>244</v>
      </c>
      <c r="P34" s="289">
        <v>368</v>
      </c>
      <c r="Q34" s="289">
        <v>15000</v>
      </c>
      <c r="R34" s="293">
        <f t="shared" si="29"/>
        <v>5520000</v>
      </c>
      <c r="S34" s="297">
        <v>0</v>
      </c>
      <c r="T34" s="297">
        <v>35000</v>
      </c>
      <c r="U34" s="293">
        <f t="shared" si="30"/>
        <v>5555000</v>
      </c>
      <c r="V34" s="293">
        <v>0</v>
      </c>
      <c r="W34" s="293">
        <v>0</v>
      </c>
      <c r="X34" s="293">
        <v>92000</v>
      </c>
      <c r="Y34" s="293">
        <v>73600</v>
      </c>
      <c r="Z34" s="293">
        <v>55200</v>
      </c>
      <c r="AA34" s="293">
        <v>0</v>
      </c>
      <c r="AB34" s="293">
        <f t="shared" si="31"/>
        <v>5775800</v>
      </c>
      <c r="AC34" s="297">
        <v>30000</v>
      </c>
      <c r="AD34" s="293">
        <f t="shared" si="32"/>
        <v>666600</v>
      </c>
      <c r="AE34" s="293">
        <f t="shared" si="40"/>
        <v>26496</v>
      </c>
      <c r="AF34" s="293">
        <f>U34*7%+50</f>
        <v>388900.00000000006</v>
      </c>
      <c r="AG34" s="293">
        <v>6000</v>
      </c>
      <c r="AH34" s="293">
        <f t="shared" si="42"/>
        <v>6893796</v>
      </c>
      <c r="AI34" s="338" t="s">
        <v>801</v>
      </c>
      <c r="AJ34" s="342">
        <v>59994</v>
      </c>
      <c r="AK34" s="289" t="s">
        <v>760</v>
      </c>
      <c r="AL34" s="289" t="s">
        <v>802</v>
      </c>
      <c r="AM34" s="342" t="s">
        <v>803</v>
      </c>
      <c r="AN34" s="289" t="s">
        <v>804</v>
      </c>
      <c r="AO34" s="289"/>
      <c r="AP34" s="289"/>
      <c r="AQ34" s="289"/>
      <c r="AR34" s="289"/>
      <c r="AS34" s="289"/>
      <c r="AT34" s="289"/>
      <c r="AU34" s="289" t="s">
        <v>679</v>
      </c>
      <c r="AV34" s="289" t="s">
        <v>805</v>
      </c>
      <c r="AW34" s="298" t="s">
        <v>732</v>
      </c>
      <c r="AX34" s="298" t="s">
        <v>806</v>
      </c>
      <c r="AY34" s="294">
        <v>0.03</v>
      </c>
      <c r="AZ34" s="289">
        <v>20000</v>
      </c>
      <c r="BA34" s="293">
        <f t="shared" si="43"/>
        <v>185600</v>
      </c>
      <c r="BB34" s="289" t="s">
        <v>684</v>
      </c>
      <c r="BC34" s="289" t="s">
        <v>685</v>
      </c>
      <c r="BD34" s="289"/>
      <c r="BE34" s="289"/>
      <c r="BF34" s="289"/>
      <c r="BG34" s="289"/>
      <c r="BH34" s="289"/>
      <c r="BI34" s="289"/>
      <c r="BJ34" s="289"/>
      <c r="BK34" s="289"/>
      <c r="BL34" s="289"/>
      <c r="BM34" s="289"/>
      <c r="BN34" s="289"/>
    </row>
    <row r="35" spans="1:66" ht="24.75" customHeight="1" x14ac:dyDescent="0.2">
      <c r="A35" s="289">
        <f t="shared" si="35"/>
        <v>32</v>
      </c>
      <c r="B35" s="339" t="s">
        <v>807</v>
      </c>
      <c r="C35" s="289" t="s">
        <v>808</v>
      </c>
      <c r="D35" s="289" t="s">
        <v>676</v>
      </c>
      <c r="E35" s="291" t="s">
        <v>103</v>
      </c>
      <c r="F35" s="289" t="s">
        <v>175</v>
      </c>
      <c r="G35" s="289">
        <v>9822034342</v>
      </c>
      <c r="H35" s="289" t="s">
        <v>756</v>
      </c>
      <c r="I35" s="289">
        <v>18</v>
      </c>
      <c r="J35" s="295">
        <v>58.8</v>
      </c>
      <c r="K35" s="295">
        <v>633</v>
      </c>
      <c r="L35" s="295">
        <v>0</v>
      </c>
      <c r="M35" s="295">
        <v>0</v>
      </c>
      <c r="N35" s="295"/>
      <c r="O35" s="295">
        <v>633</v>
      </c>
      <c r="P35" s="289">
        <v>950</v>
      </c>
      <c r="Q35" s="289">
        <v>9000</v>
      </c>
      <c r="R35" s="293">
        <f t="shared" si="29"/>
        <v>8550000</v>
      </c>
      <c r="S35" s="297">
        <v>500000</v>
      </c>
      <c r="T35" s="297">
        <v>105000</v>
      </c>
      <c r="U35" s="293">
        <f t="shared" si="30"/>
        <v>9155000</v>
      </c>
      <c r="V35" s="293">
        <v>0</v>
      </c>
      <c r="W35" s="293">
        <v>0</v>
      </c>
      <c r="X35" s="293">
        <v>237500</v>
      </c>
      <c r="Y35" s="293">
        <v>190000</v>
      </c>
      <c r="Z35" s="293">
        <v>142500</v>
      </c>
      <c r="AA35" s="293">
        <v>0</v>
      </c>
      <c r="AB35" s="293">
        <f t="shared" si="31"/>
        <v>9725000</v>
      </c>
      <c r="AC35" s="297">
        <v>30000</v>
      </c>
      <c r="AD35" s="293">
        <f t="shared" si="32"/>
        <v>1098600</v>
      </c>
      <c r="AE35" s="293">
        <f t="shared" si="40"/>
        <v>68400</v>
      </c>
      <c r="AF35" s="293">
        <f>U35*7%+25</f>
        <v>640875.00000000012</v>
      </c>
      <c r="AG35" s="293">
        <v>6000</v>
      </c>
      <c r="AH35" s="293">
        <f t="shared" si="42"/>
        <v>11568875</v>
      </c>
      <c r="AI35" s="338">
        <v>0</v>
      </c>
      <c r="AJ35" s="342">
        <v>0</v>
      </c>
      <c r="AK35" s="289"/>
      <c r="AL35" s="289">
        <v>0</v>
      </c>
      <c r="AM35" s="342">
        <v>0</v>
      </c>
      <c r="AN35" s="289">
        <v>0</v>
      </c>
      <c r="AO35" s="289"/>
      <c r="AP35" s="289"/>
      <c r="AQ35" s="289"/>
      <c r="AR35" s="289"/>
      <c r="AS35" s="289"/>
      <c r="AT35" s="289"/>
      <c r="AU35" s="289" t="s">
        <v>679</v>
      </c>
      <c r="AV35" s="289" t="s">
        <v>809</v>
      </c>
      <c r="AW35" s="298" t="s">
        <v>732</v>
      </c>
      <c r="AX35" s="298" t="s">
        <v>810</v>
      </c>
      <c r="AY35" s="294">
        <v>0</v>
      </c>
      <c r="AZ35" s="289">
        <v>0</v>
      </c>
      <c r="BA35" s="293">
        <v>0</v>
      </c>
      <c r="BB35" s="289" t="s">
        <v>763</v>
      </c>
      <c r="BC35" s="289"/>
      <c r="BD35" s="289"/>
      <c r="BE35" s="289"/>
      <c r="BF35" s="289"/>
      <c r="BG35" s="289"/>
      <c r="BH35" s="289"/>
      <c r="BI35" s="289"/>
      <c r="BJ35" s="289"/>
      <c r="BK35" s="289"/>
      <c r="BL35" s="289"/>
      <c r="BM35" s="289"/>
      <c r="BN35" s="289"/>
    </row>
    <row r="36" spans="1:66" ht="24.75" customHeight="1" x14ac:dyDescent="0.2">
      <c r="A36" s="289">
        <f t="shared" si="35"/>
        <v>33</v>
      </c>
      <c r="B36" s="290">
        <v>44044</v>
      </c>
      <c r="C36" s="289" t="s">
        <v>810</v>
      </c>
      <c r="D36" s="289" t="s">
        <v>676</v>
      </c>
      <c r="E36" s="291" t="s">
        <v>458</v>
      </c>
      <c r="F36" s="289" t="s">
        <v>175</v>
      </c>
      <c r="G36" s="289">
        <v>9822293158</v>
      </c>
      <c r="H36" s="289" t="s">
        <v>811</v>
      </c>
      <c r="I36" s="289">
        <v>18</v>
      </c>
      <c r="J36" s="295">
        <v>41.01</v>
      </c>
      <c r="K36" s="295">
        <v>441</v>
      </c>
      <c r="L36" s="295">
        <v>0</v>
      </c>
      <c r="M36" s="295">
        <v>0</v>
      </c>
      <c r="N36" s="295"/>
      <c r="O36" s="295">
        <v>441</v>
      </c>
      <c r="P36" s="289">
        <v>639</v>
      </c>
      <c r="Q36" s="289">
        <v>6500</v>
      </c>
      <c r="R36" s="293">
        <f t="shared" si="29"/>
        <v>4153500</v>
      </c>
      <c r="S36" s="297">
        <v>500000</v>
      </c>
      <c r="T36" s="297">
        <v>70000</v>
      </c>
      <c r="U36" s="293">
        <f t="shared" si="30"/>
        <v>4723500</v>
      </c>
      <c r="V36" s="293">
        <v>0</v>
      </c>
      <c r="W36" s="293">
        <v>0</v>
      </c>
      <c r="X36" s="293">
        <v>159750</v>
      </c>
      <c r="Y36" s="293">
        <v>127800</v>
      </c>
      <c r="Z36" s="293">
        <v>95850</v>
      </c>
      <c r="AA36" s="293">
        <v>0</v>
      </c>
      <c r="AB36" s="293">
        <f t="shared" si="31"/>
        <v>5106900</v>
      </c>
      <c r="AC36" s="297">
        <v>30000</v>
      </c>
      <c r="AD36" s="293">
        <f t="shared" si="32"/>
        <v>566820</v>
      </c>
      <c r="AE36" s="293">
        <f>X36*12%+Y36*12%+Z36*12%+AA36*12% -1</f>
        <v>46007</v>
      </c>
      <c r="AF36" s="293">
        <f>U36*6%+90</f>
        <v>283500</v>
      </c>
      <c r="AG36" s="293">
        <v>6000</v>
      </c>
      <c r="AH36" s="293">
        <f t="shared" si="42"/>
        <v>6039227</v>
      </c>
      <c r="AI36" s="338">
        <v>0</v>
      </c>
      <c r="AJ36" s="342">
        <v>0</v>
      </c>
      <c r="AK36" s="289"/>
      <c r="AL36" s="289">
        <v>0</v>
      </c>
      <c r="AM36" s="342">
        <v>0</v>
      </c>
      <c r="AN36" s="289">
        <v>0</v>
      </c>
      <c r="AO36" s="289"/>
      <c r="AP36" s="289"/>
      <c r="AQ36" s="289"/>
      <c r="AR36" s="289"/>
      <c r="AS36" s="289"/>
      <c r="AT36" s="289"/>
      <c r="AU36" s="289" t="s">
        <v>679</v>
      </c>
      <c r="AV36" s="289"/>
      <c r="AW36" s="298" t="s">
        <v>732</v>
      </c>
      <c r="AX36" s="298" t="s">
        <v>810</v>
      </c>
      <c r="AY36" s="343">
        <v>0</v>
      </c>
      <c r="AZ36" s="289">
        <v>0</v>
      </c>
      <c r="BA36" s="293">
        <v>0</v>
      </c>
      <c r="BB36" s="289" t="s">
        <v>763</v>
      </c>
      <c r="BC36" s="289"/>
      <c r="BD36" s="289"/>
      <c r="BE36" s="289"/>
      <c r="BF36" s="289"/>
      <c r="BG36" s="289"/>
      <c r="BH36" s="289"/>
      <c r="BI36" s="289"/>
      <c r="BJ36" s="289"/>
      <c r="BK36" s="289"/>
      <c r="BL36" s="289"/>
      <c r="BM36" s="289"/>
      <c r="BN36" s="289"/>
    </row>
    <row r="37" spans="1:66" ht="24.75" customHeight="1" x14ac:dyDescent="0.2">
      <c r="A37" s="289">
        <f t="shared" si="35"/>
        <v>34</v>
      </c>
      <c r="B37" s="290">
        <v>44166</v>
      </c>
      <c r="C37" s="289" t="s">
        <v>812</v>
      </c>
      <c r="D37" s="289" t="s">
        <v>676</v>
      </c>
      <c r="E37" s="291" t="s">
        <v>813</v>
      </c>
      <c r="F37" s="289" t="s">
        <v>175</v>
      </c>
      <c r="G37" s="289">
        <v>9902888200</v>
      </c>
      <c r="H37" s="289" t="s">
        <v>800</v>
      </c>
      <c r="I37" s="289">
        <v>19</v>
      </c>
      <c r="J37" s="295">
        <v>20.07</v>
      </c>
      <c r="K37" s="295">
        <v>216</v>
      </c>
      <c r="L37" s="295">
        <v>0</v>
      </c>
      <c r="M37" s="295">
        <v>88</v>
      </c>
      <c r="N37" s="295"/>
      <c r="O37" s="295">
        <v>304</v>
      </c>
      <c r="P37" s="289">
        <v>456</v>
      </c>
      <c r="Q37" s="289">
        <v>14250</v>
      </c>
      <c r="R37" s="293">
        <f t="shared" si="29"/>
        <v>6498000</v>
      </c>
      <c r="S37" s="297">
        <v>500000</v>
      </c>
      <c r="T37" s="297">
        <v>35000</v>
      </c>
      <c r="U37" s="293">
        <f t="shared" si="30"/>
        <v>7033000</v>
      </c>
      <c r="V37" s="293">
        <v>0</v>
      </c>
      <c r="W37" s="293">
        <v>0</v>
      </c>
      <c r="X37" s="293">
        <v>114000</v>
      </c>
      <c r="Y37" s="293">
        <v>91200</v>
      </c>
      <c r="Z37" s="293">
        <v>68400</v>
      </c>
      <c r="AA37" s="293">
        <v>0</v>
      </c>
      <c r="AB37" s="293">
        <f t="shared" si="31"/>
        <v>7306600</v>
      </c>
      <c r="AC37" s="297">
        <v>30000</v>
      </c>
      <c r="AD37" s="293">
        <f t="shared" si="32"/>
        <v>843960</v>
      </c>
      <c r="AE37" s="293">
        <f t="shared" ref="AE37:AE51" si="44">X37*12%+Y37*12%+Z37*12%+AA37*12%</f>
        <v>32832</v>
      </c>
      <c r="AF37" s="293">
        <f>U37*7%+90</f>
        <v>492400.00000000006</v>
      </c>
      <c r="AG37" s="293">
        <v>6000</v>
      </c>
      <c r="AH37" s="293">
        <f t="shared" si="42"/>
        <v>8711792</v>
      </c>
      <c r="AI37" s="338">
        <v>632970</v>
      </c>
      <c r="AJ37" s="342">
        <v>75956</v>
      </c>
      <c r="AK37" s="289" t="s">
        <v>687</v>
      </c>
      <c r="AL37" s="289">
        <f>1476930+703300</f>
        <v>2180230</v>
      </c>
      <c r="AM37" s="342">
        <f t="shared" ref="AM37:AM38" si="45">177232+84396</f>
        <v>261628</v>
      </c>
      <c r="AN37" s="289" t="s">
        <v>814</v>
      </c>
      <c r="AO37" s="289"/>
      <c r="AP37" s="289"/>
      <c r="AQ37" s="289"/>
      <c r="AR37" s="289"/>
      <c r="AS37" s="289"/>
      <c r="AT37" s="289"/>
      <c r="AU37" s="289" t="s">
        <v>679</v>
      </c>
      <c r="AV37" s="289" t="s">
        <v>815</v>
      </c>
      <c r="AW37" s="298" t="s">
        <v>732</v>
      </c>
      <c r="AX37" s="298" t="s">
        <v>816</v>
      </c>
      <c r="AY37" s="343">
        <v>2.75E-2</v>
      </c>
      <c r="AZ37" s="289">
        <v>0</v>
      </c>
      <c r="BA37" s="293">
        <f>(R37*2.75%)+AZ37</f>
        <v>178695</v>
      </c>
      <c r="BB37" s="289" t="s">
        <v>684</v>
      </c>
      <c r="BC37" s="289"/>
      <c r="BD37" s="289"/>
      <c r="BE37" s="289"/>
      <c r="BF37" s="289"/>
      <c r="BG37" s="289"/>
      <c r="BH37" s="289"/>
      <c r="BI37" s="289"/>
      <c r="BJ37" s="289"/>
      <c r="BK37" s="289"/>
      <c r="BL37" s="289"/>
      <c r="BM37" s="289"/>
      <c r="BN37" s="289"/>
    </row>
    <row r="38" spans="1:66" ht="24.75" customHeight="1" x14ac:dyDescent="0.2">
      <c r="A38" s="289">
        <f t="shared" si="35"/>
        <v>35</v>
      </c>
      <c r="B38" s="289" t="s">
        <v>817</v>
      </c>
      <c r="C38" s="289" t="s">
        <v>818</v>
      </c>
      <c r="D38" s="289" t="s">
        <v>676</v>
      </c>
      <c r="E38" s="291" t="s">
        <v>819</v>
      </c>
      <c r="F38" s="289" t="s">
        <v>175</v>
      </c>
      <c r="G38" s="289">
        <v>9850086836</v>
      </c>
      <c r="H38" s="289" t="s">
        <v>729</v>
      </c>
      <c r="I38" s="289">
        <v>11</v>
      </c>
      <c r="J38" s="295">
        <v>20.48</v>
      </c>
      <c r="K38" s="295">
        <v>220</v>
      </c>
      <c r="L38" s="295">
        <v>0</v>
      </c>
      <c r="M38" s="295">
        <v>0</v>
      </c>
      <c r="N38" s="295"/>
      <c r="O38" s="295">
        <v>220</v>
      </c>
      <c r="P38" s="289">
        <v>330</v>
      </c>
      <c r="Q38" s="289">
        <v>9000</v>
      </c>
      <c r="R38" s="293">
        <f t="shared" si="29"/>
        <v>2970000</v>
      </c>
      <c r="S38" s="297">
        <v>500000</v>
      </c>
      <c r="T38" s="297">
        <v>35000</v>
      </c>
      <c r="U38" s="293">
        <f t="shared" si="30"/>
        <v>3505000</v>
      </c>
      <c r="V38" s="293">
        <v>0</v>
      </c>
      <c r="W38" s="293">
        <v>0</v>
      </c>
      <c r="X38" s="293">
        <v>82500</v>
      </c>
      <c r="Y38" s="293">
        <v>66000</v>
      </c>
      <c r="Z38" s="293">
        <v>49500</v>
      </c>
      <c r="AA38" s="293">
        <v>0</v>
      </c>
      <c r="AB38" s="293">
        <f t="shared" si="31"/>
        <v>3703000</v>
      </c>
      <c r="AC38" s="297">
        <v>30000</v>
      </c>
      <c r="AD38" s="293">
        <f t="shared" si="32"/>
        <v>420600</v>
      </c>
      <c r="AE38" s="293">
        <f t="shared" si="44"/>
        <v>23760</v>
      </c>
      <c r="AF38" s="293">
        <f>U38*7%+50</f>
        <v>245400.00000000003</v>
      </c>
      <c r="AG38" s="293">
        <v>6000</v>
      </c>
      <c r="AH38" s="293">
        <f t="shared" si="42"/>
        <v>4428760</v>
      </c>
      <c r="AI38" s="338">
        <v>315450</v>
      </c>
      <c r="AJ38" s="342">
        <v>37854</v>
      </c>
      <c r="AK38" s="289" t="s">
        <v>687</v>
      </c>
      <c r="AL38" s="289" t="s">
        <v>820</v>
      </c>
      <c r="AM38" s="342">
        <f t="shared" si="45"/>
        <v>261628</v>
      </c>
      <c r="AN38" s="289"/>
      <c r="AO38" s="289"/>
      <c r="AP38" s="289"/>
      <c r="AQ38" s="289"/>
      <c r="AR38" s="289"/>
      <c r="AS38" s="289"/>
      <c r="AT38" s="289"/>
      <c r="AU38" s="289" t="s">
        <v>679</v>
      </c>
      <c r="AV38" s="289" t="s">
        <v>821</v>
      </c>
      <c r="AW38" s="298" t="s">
        <v>732</v>
      </c>
      <c r="AX38" s="298" t="s">
        <v>87</v>
      </c>
      <c r="AY38" s="343">
        <v>0</v>
      </c>
      <c r="AZ38" s="289">
        <v>0</v>
      </c>
      <c r="BA38" s="289">
        <v>0</v>
      </c>
      <c r="BB38" s="289" t="s">
        <v>763</v>
      </c>
      <c r="BC38" s="289" t="s">
        <v>822</v>
      </c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89"/>
    </row>
    <row r="39" spans="1:66" ht="24.75" customHeight="1" x14ac:dyDescent="0.2">
      <c r="A39" s="289">
        <f t="shared" si="35"/>
        <v>36</v>
      </c>
      <c r="B39" s="289" t="s">
        <v>823</v>
      </c>
      <c r="C39" s="290">
        <v>43892</v>
      </c>
      <c r="D39" s="289" t="s">
        <v>676</v>
      </c>
      <c r="E39" s="291" t="s">
        <v>824</v>
      </c>
      <c r="F39" s="289" t="s">
        <v>175</v>
      </c>
      <c r="G39" s="289">
        <v>8084574063</v>
      </c>
      <c r="H39" s="289" t="s">
        <v>677</v>
      </c>
      <c r="I39" s="289">
        <v>26</v>
      </c>
      <c r="J39" s="295">
        <v>26.31</v>
      </c>
      <c r="K39" s="295">
        <v>283</v>
      </c>
      <c r="L39" s="295">
        <v>0</v>
      </c>
      <c r="M39" s="295">
        <v>0</v>
      </c>
      <c r="N39" s="295"/>
      <c r="O39" s="295">
        <v>283</v>
      </c>
      <c r="P39" s="289">
        <v>425</v>
      </c>
      <c r="Q39" s="289">
        <v>10050</v>
      </c>
      <c r="R39" s="293">
        <f t="shared" si="29"/>
        <v>4271250</v>
      </c>
      <c r="S39" s="297">
        <v>0</v>
      </c>
      <c r="T39" s="297">
        <v>35000</v>
      </c>
      <c r="U39" s="293">
        <f t="shared" si="30"/>
        <v>4306250</v>
      </c>
      <c r="V39" s="293">
        <v>0</v>
      </c>
      <c r="W39" s="293">
        <v>0</v>
      </c>
      <c r="X39" s="293">
        <v>106250</v>
      </c>
      <c r="Y39" s="293">
        <v>85000</v>
      </c>
      <c r="Z39" s="293">
        <v>63750</v>
      </c>
      <c r="AA39" s="293">
        <v>0</v>
      </c>
      <c r="AB39" s="293">
        <f t="shared" si="31"/>
        <v>4561250</v>
      </c>
      <c r="AC39" s="297">
        <v>30000</v>
      </c>
      <c r="AD39" s="293">
        <f t="shared" si="32"/>
        <v>516750</v>
      </c>
      <c r="AE39" s="293">
        <f t="shared" si="44"/>
        <v>30600</v>
      </c>
      <c r="AF39" s="293">
        <f>U39*7%+62</f>
        <v>301499.5</v>
      </c>
      <c r="AG39" s="293">
        <v>6000</v>
      </c>
      <c r="AH39" s="293">
        <f t="shared" si="42"/>
        <v>5446099.5</v>
      </c>
      <c r="AI39" s="338">
        <v>387563</v>
      </c>
      <c r="AJ39" s="342">
        <v>46508</v>
      </c>
      <c r="AK39" s="289" t="s">
        <v>687</v>
      </c>
      <c r="AL39" s="289">
        <v>1550251</v>
      </c>
      <c r="AM39" s="342">
        <v>186031</v>
      </c>
      <c r="AN39" s="289" t="s">
        <v>825</v>
      </c>
      <c r="AO39" s="289"/>
      <c r="AP39" s="289"/>
      <c r="AQ39" s="289"/>
      <c r="AR39" s="289"/>
      <c r="AS39" s="289"/>
      <c r="AT39" s="289"/>
      <c r="AU39" s="289" t="s">
        <v>679</v>
      </c>
      <c r="AV39" s="289" t="s">
        <v>826</v>
      </c>
      <c r="AW39" s="298" t="s">
        <v>732</v>
      </c>
      <c r="AX39" s="298" t="s">
        <v>87</v>
      </c>
      <c r="AY39" s="343">
        <v>0</v>
      </c>
      <c r="AZ39" s="289">
        <v>0</v>
      </c>
      <c r="BA39" s="289">
        <v>0</v>
      </c>
      <c r="BB39" s="289" t="s">
        <v>763</v>
      </c>
      <c r="BC39" s="289" t="s">
        <v>822</v>
      </c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89"/>
    </row>
    <row r="40" spans="1:66" ht="24.75" customHeight="1" x14ac:dyDescent="0.2">
      <c r="A40" s="289">
        <f t="shared" si="35"/>
        <v>37</v>
      </c>
      <c r="B40" s="289" t="s">
        <v>823</v>
      </c>
      <c r="C40" s="290">
        <v>43923</v>
      </c>
      <c r="D40" s="289" t="s">
        <v>676</v>
      </c>
      <c r="E40" s="291" t="s">
        <v>239</v>
      </c>
      <c r="F40" s="289" t="s">
        <v>175</v>
      </c>
      <c r="G40" s="289">
        <v>8252626880</v>
      </c>
      <c r="H40" s="289" t="s">
        <v>677</v>
      </c>
      <c r="I40" s="289">
        <v>18</v>
      </c>
      <c r="J40" s="295">
        <v>21.5</v>
      </c>
      <c r="K40" s="295">
        <v>231</v>
      </c>
      <c r="L40" s="295">
        <v>0</v>
      </c>
      <c r="M40" s="295">
        <v>0</v>
      </c>
      <c r="N40" s="295"/>
      <c r="O40" s="295">
        <v>231</v>
      </c>
      <c r="P40" s="289">
        <v>347</v>
      </c>
      <c r="Q40" s="289">
        <v>10050</v>
      </c>
      <c r="R40" s="293">
        <f t="shared" si="29"/>
        <v>3487350</v>
      </c>
      <c r="S40" s="297">
        <v>0</v>
      </c>
      <c r="T40" s="297">
        <v>35000</v>
      </c>
      <c r="U40" s="293">
        <f t="shared" si="30"/>
        <v>3522350</v>
      </c>
      <c r="V40" s="293">
        <v>0</v>
      </c>
      <c r="W40" s="293">
        <v>0</v>
      </c>
      <c r="X40" s="293">
        <v>86750</v>
      </c>
      <c r="Y40" s="293">
        <v>69400</v>
      </c>
      <c r="Z40" s="293">
        <v>52050</v>
      </c>
      <c r="AA40" s="293">
        <v>0</v>
      </c>
      <c r="AB40" s="293">
        <f t="shared" si="31"/>
        <v>3730550</v>
      </c>
      <c r="AC40" s="297">
        <v>30000</v>
      </c>
      <c r="AD40" s="293">
        <f t="shared" si="32"/>
        <v>422682</v>
      </c>
      <c r="AE40" s="293">
        <f t="shared" si="44"/>
        <v>24984</v>
      </c>
      <c r="AF40" s="293">
        <f>U40*7%+35</f>
        <v>246599.50000000003</v>
      </c>
      <c r="AG40" s="293">
        <v>6000</v>
      </c>
      <c r="AH40" s="293">
        <f t="shared" si="42"/>
        <v>4460815.5</v>
      </c>
      <c r="AI40" s="338">
        <v>317012</v>
      </c>
      <c r="AJ40" s="342">
        <v>38041</v>
      </c>
      <c r="AK40" s="289" t="s">
        <v>687</v>
      </c>
      <c r="AL40" s="289">
        <v>1268047</v>
      </c>
      <c r="AM40" s="342">
        <v>152165</v>
      </c>
      <c r="AN40" s="289" t="s">
        <v>825</v>
      </c>
      <c r="AO40" s="289"/>
      <c r="AP40" s="289"/>
      <c r="AQ40" s="289"/>
      <c r="AR40" s="289"/>
      <c r="AS40" s="289"/>
      <c r="AT40" s="289"/>
      <c r="AU40" s="289" t="s">
        <v>679</v>
      </c>
      <c r="AV40" s="289" t="s">
        <v>827</v>
      </c>
      <c r="AW40" s="298" t="s">
        <v>732</v>
      </c>
      <c r="AX40" s="298" t="s">
        <v>87</v>
      </c>
      <c r="AY40" s="343">
        <v>0</v>
      </c>
      <c r="AZ40" s="289">
        <v>0</v>
      </c>
      <c r="BA40" s="289">
        <v>0</v>
      </c>
      <c r="BB40" s="289" t="s">
        <v>763</v>
      </c>
      <c r="BC40" s="289" t="s">
        <v>822</v>
      </c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89"/>
    </row>
    <row r="41" spans="1:66" ht="24.75" customHeight="1" x14ac:dyDescent="0.2">
      <c r="A41" s="289">
        <f t="shared" si="35"/>
        <v>38</v>
      </c>
      <c r="B41" s="289" t="s">
        <v>828</v>
      </c>
      <c r="C41" s="290">
        <v>44138</v>
      </c>
      <c r="D41" s="289" t="s">
        <v>676</v>
      </c>
      <c r="E41" s="291" t="s">
        <v>829</v>
      </c>
      <c r="F41" s="289" t="s">
        <v>175</v>
      </c>
      <c r="G41" s="289">
        <v>9823617211</v>
      </c>
      <c r="H41" s="289" t="s">
        <v>677</v>
      </c>
      <c r="I41" s="289">
        <v>6</v>
      </c>
      <c r="J41" s="295">
        <v>34.21</v>
      </c>
      <c r="K41" s="295">
        <v>368</v>
      </c>
      <c r="L41" s="295">
        <v>0</v>
      </c>
      <c r="M41" s="295">
        <v>0</v>
      </c>
      <c r="N41" s="295"/>
      <c r="O41" s="295">
        <v>368</v>
      </c>
      <c r="P41" s="289">
        <v>552</v>
      </c>
      <c r="Q41" s="289">
        <v>10300</v>
      </c>
      <c r="R41" s="293">
        <f t="shared" si="29"/>
        <v>5685600</v>
      </c>
      <c r="S41" s="297">
        <v>0</v>
      </c>
      <c r="T41" s="297">
        <v>35000</v>
      </c>
      <c r="U41" s="293">
        <f t="shared" si="30"/>
        <v>5720600</v>
      </c>
      <c r="V41" s="293">
        <v>0</v>
      </c>
      <c r="W41" s="293">
        <v>0</v>
      </c>
      <c r="X41" s="293">
        <v>138000</v>
      </c>
      <c r="Y41" s="293">
        <v>110400</v>
      </c>
      <c r="Z41" s="293">
        <v>82800</v>
      </c>
      <c r="AA41" s="293">
        <v>0</v>
      </c>
      <c r="AB41" s="293">
        <f t="shared" si="31"/>
        <v>6051800</v>
      </c>
      <c r="AC41" s="297">
        <v>30000</v>
      </c>
      <c r="AD41" s="293">
        <f t="shared" si="32"/>
        <v>686472</v>
      </c>
      <c r="AE41" s="293">
        <f t="shared" si="44"/>
        <v>39744</v>
      </c>
      <c r="AF41" s="293">
        <f>U41*7%+58</f>
        <v>400500.00000000006</v>
      </c>
      <c r="AG41" s="293">
        <v>6000</v>
      </c>
      <c r="AH41" s="293">
        <f t="shared" si="42"/>
        <v>7214516</v>
      </c>
      <c r="AI41" s="338">
        <v>514854</v>
      </c>
      <c r="AJ41" s="342">
        <v>61782</v>
      </c>
      <c r="AK41" s="289" t="s">
        <v>687</v>
      </c>
      <c r="AL41" s="289">
        <v>1201326</v>
      </c>
      <c r="AM41" s="342">
        <v>144159</v>
      </c>
      <c r="AN41" s="289"/>
      <c r="AO41" s="289"/>
      <c r="AP41" s="289"/>
      <c r="AQ41" s="289"/>
      <c r="AR41" s="289"/>
      <c r="AS41" s="289"/>
      <c r="AT41" s="289"/>
      <c r="AU41" s="289" t="s">
        <v>679</v>
      </c>
      <c r="AV41" s="289" t="s">
        <v>830</v>
      </c>
      <c r="AW41" s="298" t="s">
        <v>732</v>
      </c>
      <c r="AX41" s="298" t="s">
        <v>87</v>
      </c>
      <c r="AY41" s="343">
        <v>0</v>
      </c>
      <c r="AZ41" s="289">
        <v>0</v>
      </c>
      <c r="BA41" s="289">
        <v>0</v>
      </c>
      <c r="BB41" s="289" t="s">
        <v>763</v>
      </c>
      <c r="BC41" s="289" t="s">
        <v>676</v>
      </c>
      <c r="BD41" s="289"/>
      <c r="BE41" s="289"/>
      <c r="BF41" s="289"/>
      <c r="BG41" s="289"/>
      <c r="BH41" s="289"/>
      <c r="BI41" s="289"/>
      <c r="BJ41" s="289"/>
      <c r="BK41" s="289"/>
      <c r="BL41" s="289"/>
      <c r="BM41" s="289"/>
      <c r="BN41" s="289"/>
    </row>
    <row r="42" spans="1:66" ht="24.75" customHeight="1" x14ac:dyDescent="0.2">
      <c r="A42" s="289">
        <f t="shared" si="35"/>
        <v>39</v>
      </c>
      <c r="B42" s="289" t="s">
        <v>828</v>
      </c>
      <c r="C42" s="289"/>
      <c r="D42" s="289" t="s">
        <v>676</v>
      </c>
      <c r="E42" s="291" t="s">
        <v>831</v>
      </c>
      <c r="F42" s="289" t="s">
        <v>175</v>
      </c>
      <c r="G42" s="289">
        <v>8007047404</v>
      </c>
      <c r="H42" s="289" t="s">
        <v>800</v>
      </c>
      <c r="I42" s="289">
        <v>22</v>
      </c>
      <c r="J42" s="295">
        <v>20.07</v>
      </c>
      <c r="K42" s="295">
        <v>216</v>
      </c>
      <c r="L42" s="295">
        <v>0</v>
      </c>
      <c r="M42" s="295">
        <v>88</v>
      </c>
      <c r="N42" s="295"/>
      <c r="O42" s="295">
        <v>304</v>
      </c>
      <c r="P42" s="289">
        <v>456</v>
      </c>
      <c r="Q42" s="289">
        <v>10318</v>
      </c>
      <c r="R42" s="293">
        <f t="shared" si="29"/>
        <v>4705008</v>
      </c>
      <c r="S42" s="297">
        <v>500000</v>
      </c>
      <c r="T42" s="297">
        <v>35000</v>
      </c>
      <c r="U42" s="293">
        <f t="shared" si="30"/>
        <v>5240008</v>
      </c>
      <c r="V42" s="293">
        <v>0</v>
      </c>
      <c r="W42" s="293">
        <v>0</v>
      </c>
      <c r="X42" s="293">
        <v>114000</v>
      </c>
      <c r="Y42" s="293">
        <v>91200</v>
      </c>
      <c r="Z42" s="293">
        <v>68400</v>
      </c>
      <c r="AA42" s="293">
        <v>0</v>
      </c>
      <c r="AB42" s="293">
        <f t="shared" si="31"/>
        <v>5513608</v>
      </c>
      <c r="AC42" s="297">
        <v>30000</v>
      </c>
      <c r="AD42" s="293">
        <f t="shared" si="32"/>
        <v>628800.96</v>
      </c>
      <c r="AE42" s="293">
        <f t="shared" si="44"/>
        <v>32832</v>
      </c>
      <c r="AF42" s="293">
        <f>U42*7%+99</f>
        <v>366899.56000000006</v>
      </c>
      <c r="AG42" s="293">
        <v>6000</v>
      </c>
      <c r="AH42" s="293">
        <f t="shared" si="42"/>
        <v>6578140.5199999996</v>
      </c>
      <c r="AI42" s="338">
        <v>471601</v>
      </c>
      <c r="AJ42" s="342">
        <v>56592</v>
      </c>
      <c r="AK42" s="289" t="s">
        <v>687</v>
      </c>
      <c r="AL42" s="289">
        <v>1100402</v>
      </c>
      <c r="AM42" s="342">
        <v>132048</v>
      </c>
      <c r="AN42" s="289" t="s">
        <v>687</v>
      </c>
      <c r="AO42" s="289"/>
      <c r="AP42" s="289"/>
      <c r="AQ42" s="289"/>
      <c r="AR42" s="289"/>
      <c r="AS42" s="289"/>
      <c r="AT42" s="289"/>
      <c r="AU42" s="289" t="s">
        <v>679</v>
      </c>
      <c r="AV42" s="289" t="s">
        <v>832</v>
      </c>
      <c r="AW42" s="298" t="s">
        <v>732</v>
      </c>
      <c r="AX42" s="298" t="s">
        <v>833</v>
      </c>
      <c r="AY42" s="343">
        <v>0.01</v>
      </c>
      <c r="AZ42" s="289">
        <v>0</v>
      </c>
      <c r="BA42" s="289">
        <v>72048</v>
      </c>
      <c r="BB42" s="289" t="s">
        <v>684</v>
      </c>
      <c r="BC42" s="289"/>
      <c r="BD42" s="289"/>
      <c r="BE42" s="289"/>
      <c r="BF42" s="289"/>
      <c r="BG42" s="289"/>
      <c r="BH42" s="289"/>
      <c r="BI42" s="289"/>
      <c r="BJ42" s="289"/>
      <c r="BK42" s="289"/>
      <c r="BL42" s="289"/>
      <c r="BM42" s="289"/>
      <c r="BN42" s="289"/>
    </row>
    <row r="43" spans="1:66" ht="24.75" customHeight="1" x14ac:dyDescent="0.2">
      <c r="A43" s="289">
        <f t="shared" si="35"/>
        <v>40</v>
      </c>
      <c r="B43" s="289" t="s">
        <v>834</v>
      </c>
      <c r="C43" s="289" t="s">
        <v>835</v>
      </c>
      <c r="D43" s="289" t="s">
        <v>676</v>
      </c>
      <c r="E43" s="291" t="s">
        <v>836</v>
      </c>
      <c r="F43" s="289" t="s">
        <v>175</v>
      </c>
      <c r="G43" s="289">
        <v>9503095681</v>
      </c>
      <c r="H43" s="289" t="s">
        <v>729</v>
      </c>
      <c r="I43" s="289">
        <v>26</v>
      </c>
      <c r="J43" s="295">
        <v>26.31</v>
      </c>
      <c r="K43" s="295">
        <v>283</v>
      </c>
      <c r="L43" s="295">
        <v>0</v>
      </c>
      <c r="M43" s="295">
        <v>0</v>
      </c>
      <c r="N43" s="295"/>
      <c r="O43" s="295">
        <v>283</v>
      </c>
      <c r="P43" s="289">
        <v>425</v>
      </c>
      <c r="Q43" s="289">
        <v>9840</v>
      </c>
      <c r="R43" s="293">
        <f t="shared" si="29"/>
        <v>4182000</v>
      </c>
      <c r="S43" s="297">
        <v>0</v>
      </c>
      <c r="T43" s="297">
        <v>35000</v>
      </c>
      <c r="U43" s="293">
        <f t="shared" si="30"/>
        <v>4217000</v>
      </c>
      <c r="V43" s="293">
        <v>0</v>
      </c>
      <c r="W43" s="293">
        <v>0</v>
      </c>
      <c r="X43" s="293">
        <v>106250</v>
      </c>
      <c r="Y43" s="293">
        <v>85000</v>
      </c>
      <c r="Z43" s="293">
        <v>63750</v>
      </c>
      <c r="AA43" s="293">
        <v>0</v>
      </c>
      <c r="AB43" s="293">
        <f t="shared" si="31"/>
        <v>4472000</v>
      </c>
      <c r="AC43" s="297">
        <v>30000</v>
      </c>
      <c r="AD43" s="293">
        <f t="shared" si="32"/>
        <v>506040</v>
      </c>
      <c r="AE43" s="293">
        <f t="shared" si="44"/>
        <v>30600</v>
      </c>
      <c r="AF43" s="293">
        <f>U43*7%+10</f>
        <v>295200</v>
      </c>
      <c r="AG43" s="293">
        <v>6000</v>
      </c>
      <c r="AH43" s="293">
        <f t="shared" si="42"/>
        <v>5339840</v>
      </c>
      <c r="AI43" s="338">
        <v>379530</v>
      </c>
      <c r="AJ43" s="342">
        <v>45544</v>
      </c>
      <c r="AK43" s="289" t="s">
        <v>687</v>
      </c>
      <c r="AL43" s="289">
        <v>885570</v>
      </c>
      <c r="AM43" s="342">
        <v>106268</v>
      </c>
      <c r="AN43" s="289" t="s">
        <v>687</v>
      </c>
      <c r="AO43" s="289">
        <v>632550</v>
      </c>
      <c r="AP43" s="289">
        <v>75906</v>
      </c>
      <c r="AQ43" s="289" t="s">
        <v>687</v>
      </c>
      <c r="AR43" s="289">
        <v>210850</v>
      </c>
      <c r="AS43" s="289">
        <v>25302</v>
      </c>
      <c r="AT43" s="289" t="s">
        <v>687</v>
      </c>
      <c r="AU43" s="289" t="s">
        <v>679</v>
      </c>
      <c r="AV43" s="289" t="s">
        <v>837</v>
      </c>
      <c r="AW43" s="298" t="s">
        <v>732</v>
      </c>
      <c r="AX43" s="298" t="s">
        <v>83</v>
      </c>
      <c r="AY43" s="343">
        <v>0</v>
      </c>
      <c r="AZ43" s="289">
        <v>0</v>
      </c>
      <c r="BA43" s="289">
        <v>0</v>
      </c>
      <c r="BB43" s="289" t="s">
        <v>763</v>
      </c>
      <c r="BC43" s="289"/>
      <c r="BD43" s="289"/>
      <c r="BE43" s="289"/>
      <c r="BF43" s="289"/>
      <c r="BG43" s="289"/>
      <c r="BH43" s="289"/>
      <c r="BI43" s="289"/>
      <c r="BJ43" s="289"/>
      <c r="BK43" s="289"/>
      <c r="BL43" s="289"/>
      <c r="BM43" s="289"/>
      <c r="BN43" s="289"/>
    </row>
    <row r="44" spans="1:66" ht="24.75" customHeight="1" x14ac:dyDescent="0.2">
      <c r="A44" s="289">
        <f t="shared" si="35"/>
        <v>41</v>
      </c>
      <c r="B44" s="289" t="s">
        <v>834</v>
      </c>
      <c r="C44" s="290">
        <v>44173</v>
      </c>
      <c r="D44" s="289" t="s">
        <v>676</v>
      </c>
      <c r="E44" s="291" t="s">
        <v>838</v>
      </c>
      <c r="F44" s="289" t="s">
        <v>175</v>
      </c>
      <c r="G44" s="289">
        <v>9011038448</v>
      </c>
      <c r="H44" s="289" t="s">
        <v>800</v>
      </c>
      <c r="I44" s="289">
        <v>13</v>
      </c>
      <c r="J44" s="295">
        <v>16.989999999999998</v>
      </c>
      <c r="K44" s="295">
        <v>183</v>
      </c>
      <c r="L44" s="295">
        <v>0</v>
      </c>
      <c r="M44" s="295">
        <v>64</v>
      </c>
      <c r="N44" s="295"/>
      <c r="O44" s="295">
        <v>247</v>
      </c>
      <c r="P44" s="289">
        <v>371</v>
      </c>
      <c r="Q44" s="289">
        <v>15115</v>
      </c>
      <c r="R44" s="293">
        <f t="shared" si="29"/>
        <v>5607665</v>
      </c>
      <c r="S44" s="297">
        <v>0</v>
      </c>
      <c r="T44" s="297">
        <v>35000</v>
      </c>
      <c r="U44" s="293">
        <f t="shared" si="30"/>
        <v>5642665</v>
      </c>
      <c r="V44" s="293">
        <v>0</v>
      </c>
      <c r="W44" s="293">
        <v>0</v>
      </c>
      <c r="X44" s="293">
        <v>92750</v>
      </c>
      <c r="Y44" s="293">
        <v>74200</v>
      </c>
      <c r="Z44" s="293">
        <v>55650</v>
      </c>
      <c r="AA44" s="293">
        <v>0</v>
      </c>
      <c r="AB44" s="293">
        <f t="shared" si="31"/>
        <v>5865265</v>
      </c>
      <c r="AC44" s="297">
        <v>30000</v>
      </c>
      <c r="AD44" s="293">
        <f t="shared" si="32"/>
        <v>677119.79999999993</v>
      </c>
      <c r="AE44" s="293">
        <f t="shared" si="44"/>
        <v>26712</v>
      </c>
      <c r="AF44" s="293">
        <f>U44*7%+13</f>
        <v>394999.55000000005</v>
      </c>
      <c r="AG44" s="293">
        <v>6000</v>
      </c>
      <c r="AH44" s="293">
        <f t="shared" si="42"/>
        <v>7000096.3499999996</v>
      </c>
      <c r="AI44" s="338">
        <v>507840</v>
      </c>
      <c r="AJ44" s="342">
        <v>60941</v>
      </c>
      <c r="AK44" s="289" t="s">
        <v>687</v>
      </c>
      <c r="AL44" s="289">
        <v>1184960</v>
      </c>
      <c r="AM44" s="342">
        <v>142195</v>
      </c>
      <c r="AN44" s="344">
        <v>43860</v>
      </c>
      <c r="AO44" s="289" t="s">
        <v>839</v>
      </c>
      <c r="AP44" s="289">
        <v>67712</v>
      </c>
      <c r="AQ44" s="344">
        <v>43860</v>
      </c>
      <c r="AR44" s="289" t="s">
        <v>839</v>
      </c>
      <c r="AS44" s="289">
        <v>67712</v>
      </c>
      <c r="AT44" s="344">
        <v>43876</v>
      </c>
      <c r="AU44" s="289" t="s">
        <v>679</v>
      </c>
      <c r="AV44" s="289" t="s">
        <v>840</v>
      </c>
      <c r="AW44" s="298" t="s">
        <v>732</v>
      </c>
      <c r="AX44" s="298" t="s">
        <v>841</v>
      </c>
      <c r="AY44" s="343">
        <v>0.03</v>
      </c>
      <c r="AZ44" s="289">
        <v>20000</v>
      </c>
      <c r="BA44" s="293">
        <f t="shared" ref="BA44:BA48" si="46">(R44*3%)+AZ44</f>
        <v>188229.94999999998</v>
      </c>
      <c r="BB44" s="289" t="s">
        <v>702</v>
      </c>
      <c r="BC44" s="289"/>
      <c r="BD44" s="289"/>
      <c r="BE44" s="289"/>
      <c r="BF44" s="289"/>
      <c r="BG44" s="289"/>
      <c r="BH44" s="289"/>
      <c r="BI44" s="289"/>
      <c r="BJ44" s="289"/>
      <c r="BK44" s="289"/>
      <c r="BL44" s="289"/>
      <c r="BM44" s="289"/>
      <c r="BN44" s="289"/>
    </row>
    <row r="45" spans="1:66" ht="24.75" customHeight="1" x14ac:dyDescent="0.2">
      <c r="A45" s="289">
        <f t="shared" si="35"/>
        <v>42</v>
      </c>
      <c r="B45" s="289" t="s">
        <v>842</v>
      </c>
      <c r="C45" s="290">
        <v>43932</v>
      </c>
      <c r="D45" s="289" t="s">
        <v>676</v>
      </c>
      <c r="E45" s="291" t="s">
        <v>843</v>
      </c>
      <c r="F45" s="289" t="s">
        <v>175</v>
      </c>
      <c r="G45" s="289">
        <v>9545939668</v>
      </c>
      <c r="H45" s="289" t="s">
        <v>844</v>
      </c>
      <c r="I45" s="289">
        <v>1</v>
      </c>
      <c r="J45" s="295">
        <v>107.58</v>
      </c>
      <c r="K45" s="295">
        <v>1158</v>
      </c>
      <c r="L45" s="295">
        <v>119</v>
      </c>
      <c r="M45" s="295">
        <v>0</v>
      </c>
      <c r="N45" s="295">
        <v>279</v>
      </c>
      <c r="O45" s="295">
        <v>1555</v>
      </c>
      <c r="P45" s="289">
        <v>2255</v>
      </c>
      <c r="Q45" s="289">
        <v>6000</v>
      </c>
      <c r="R45" s="293">
        <f t="shared" si="29"/>
        <v>13530000</v>
      </c>
      <c r="S45" s="297">
        <v>1000000</v>
      </c>
      <c r="T45" s="297">
        <v>315000</v>
      </c>
      <c r="U45" s="293">
        <f t="shared" si="30"/>
        <v>14845000</v>
      </c>
      <c r="V45" s="293">
        <v>0</v>
      </c>
      <c r="W45" s="293">
        <v>0</v>
      </c>
      <c r="X45" s="293">
        <v>563750</v>
      </c>
      <c r="Y45" s="293">
        <v>451000</v>
      </c>
      <c r="Z45" s="293">
        <v>338250</v>
      </c>
      <c r="AA45" s="293">
        <v>0</v>
      </c>
      <c r="AB45" s="293">
        <f t="shared" si="31"/>
        <v>16198000</v>
      </c>
      <c r="AC45" s="297">
        <v>30000</v>
      </c>
      <c r="AD45" s="293">
        <f t="shared" si="32"/>
        <v>1781400</v>
      </c>
      <c r="AE45" s="293">
        <f t="shared" si="44"/>
        <v>162360</v>
      </c>
      <c r="AF45" s="293">
        <f>U45*7%+50</f>
        <v>1039200.0000000001</v>
      </c>
      <c r="AG45" s="293">
        <v>6000</v>
      </c>
      <c r="AH45" s="293">
        <f t="shared" si="42"/>
        <v>19216960</v>
      </c>
      <c r="AI45" s="338">
        <v>1336050</v>
      </c>
      <c r="AJ45" s="342">
        <v>160326</v>
      </c>
      <c r="AK45" s="289"/>
      <c r="AL45" s="289">
        <v>3117450</v>
      </c>
      <c r="AM45" s="342">
        <v>374094</v>
      </c>
      <c r="AN45" s="289"/>
      <c r="AO45" s="289">
        <v>2226750</v>
      </c>
      <c r="AP45" s="289">
        <v>267210</v>
      </c>
      <c r="AQ45" s="289"/>
      <c r="AR45" s="289">
        <v>742250</v>
      </c>
      <c r="AS45" s="289">
        <v>89070</v>
      </c>
      <c r="AT45" s="289"/>
      <c r="AU45" s="289" t="s">
        <v>679</v>
      </c>
      <c r="AV45" s="289" t="s">
        <v>845</v>
      </c>
      <c r="AW45" s="298" t="s">
        <v>732</v>
      </c>
      <c r="AX45" s="298" t="s">
        <v>345</v>
      </c>
      <c r="AY45" s="343">
        <v>0.03</v>
      </c>
      <c r="AZ45" s="289">
        <v>20000</v>
      </c>
      <c r="BA45" s="293">
        <f t="shared" si="46"/>
        <v>425900</v>
      </c>
      <c r="BB45" s="289" t="s">
        <v>702</v>
      </c>
      <c r="BC45" s="289"/>
      <c r="BD45" s="289"/>
      <c r="BE45" s="289"/>
      <c r="BF45" s="289"/>
      <c r="BG45" s="289"/>
      <c r="BH45" s="289"/>
      <c r="BI45" s="289"/>
      <c r="BJ45" s="289"/>
      <c r="BK45" s="289"/>
      <c r="BL45" s="289"/>
      <c r="BM45" s="289"/>
      <c r="BN45" s="289"/>
    </row>
    <row r="46" spans="1:66" ht="24.75" customHeight="1" x14ac:dyDescent="0.2">
      <c r="A46" s="289">
        <f t="shared" si="35"/>
        <v>43</v>
      </c>
      <c r="B46" s="289" t="s">
        <v>846</v>
      </c>
      <c r="C46" s="289" t="s">
        <v>847</v>
      </c>
      <c r="D46" s="289" t="s">
        <v>676</v>
      </c>
      <c r="E46" s="291" t="s">
        <v>848</v>
      </c>
      <c r="F46" s="289" t="s">
        <v>175</v>
      </c>
      <c r="G46" s="289">
        <v>491794366838</v>
      </c>
      <c r="H46" s="289" t="s">
        <v>800</v>
      </c>
      <c r="I46" s="289">
        <v>10</v>
      </c>
      <c r="J46" s="295">
        <v>22.74</v>
      </c>
      <c r="K46" s="295">
        <v>181</v>
      </c>
      <c r="L46" s="295">
        <v>0</v>
      </c>
      <c r="M46" s="295">
        <v>63</v>
      </c>
      <c r="N46" s="295">
        <v>0</v>
      </c>
      <c r="O46" s="295">
        <v>245</v>
      </c>
      <c r="P46" s="289">
        <v>368</v>
      </c>
      <c r="Q46" s="289">
        <v>16385</v>
      </c>
      <c r="R46" s="293">
        <f t="shared" si="29"/>
        <v>6029680</v>
      </c>
      <c r="S46" s="297">
        <v>0</v>
      </c>
      <c r="T46" s="297">
        <v>35000</v>
      </c>
      <c r="U46" s="293">
        <f t="shared" si="30"/>
        <v>6064680</v>
      </c>
      <c r="V46" s="293">
        <v>0</v>
      </c>
      <c r="W46" s="293">
        <v>0</v>
      </c>
      <c r="X46" s="293">
        <v>92000</v>
      </c>
      <c r="Y46" s="293">
        <v>73600</v>
      </c>
      <c r="Z46" s="293">
        <v>55200</v>
      </c>
      <c r="AA46" s="293">
        <v>0</v>
      </c>
      <c r="AB46" s="293">
        <f t="shared" si="31"/>
        <v>6285480</v>
      </c>
      <c r="AC46" s="297">
        <v>30000</v>
      </c>
      <c r="AD46" s="293">
        <f t="shared" si="32"/>
        <v>727761.6</v>
      </c>
      <c r="AE46" s="293">
        <f t="shared" si="44"/>
        <v>26496</v>
      </c>
      <c r="AF46" s="293">
        <f>U46*7%+72</f>
        <v>424599.60000000003</v>
      </c>
      <c r="AG46" s="293">
        <v>6000</v>
      </c>
      <c r="AH46" s="293">
        <f t="shared" ref="AH46:AH47" si="47">AB46+AC46+AD46+AE46+AF46+AG46+1</f>
        <v>7500338.1999999993</v>
      </c>
      <c r="AI46" s="338">
        <v>545821</v>
      </c>
      <c r="AJ46" s="342">
        <v>65499</v>
      </c>
      <c r="AK46" s="289"/>
      <c r="AL46" s="289">
        <v>1273583</v>
      </c>
      <c r="AM46" s="342">
        <v>152830</v>
      </c>
      <c r="AN46" s="344"/>
      <c r="AO46" s="289">
        <v>909702</v>
      </c>
      <c r="AP46" s="289">
        <v>109164</v>
      </c>
      <c r="AQ46" s="344"/>
      <c r="AR46" s="289">
        <v>303234</v>
      </c>
      <c r="AS46" s="289">
        <v>36388</v>
      </c>
      <c r="AT46" s="344"/>
      <c r="AU46" s="289" t="s">
        <v>679</v>
      </c>
      <c r="AV46" s="289" t="s">
        <v>849</v>
      </c>
      <c r="AW46" s="298" t="s">
        <v>732</v>
      </c>
      <c r="AX46" s="298" t="s">
        <v>850</v>
      </c>
      <c r="AY46" s="343">
        <v>0.03</v>
      </c>
      <c r="AZ46" s="289">
        <v>20000</v>
      </c>
      <c r="BA46" s="293">
        <f t="shared" si="46"/>
        <v>200890.4</v>
      </c>
      <c r="BB46" s="289" t="s">
        <v>684</v>
      </c>
      <c r="BC46" s="289" t="s">
        <v>676</v>
      </c>
      <c r="BD46" s="289"/>
      <c r="BE46" s="289"/>
      <c r="BF46" s="289"/>
      <c r="BG46" s="289"/>
      <c r="BH46" s="289"/>
      <c r="BI46" s="289"/>
      <c r="BJ46" s="289"/>
      <c r="BK46" s="289"/>
      <c r="BL46" s="289"/>
      <c r="BM46" s="289"/>
      <c r="BN46" s="289"/>
    </row>
    <row r="47" spans="1:66" ht="24.75" customHeight="1" x14ac:dyDescent="0.2">
      <c r="A47" s="289">
        <f t="shared" si="35"/>
        <v>44</v>
      </c>
      <c r="B47" s="289" t="s">
        <v>846</v>
      </c>
      <c r="C47" s="289" t="s">
        <v>851</v>
      </c>
      <c r="D47" s="289" t="s">
        <v>676</v>
      </c>
      <c r="E47" s="291" t="s">
        <v>225</v>
      </c>
      <c r="F47" s="289" t="s">
        <v>175</v>
      </c>
      <c r="G47" s="289">
        <v>9730323923</v>
      </c>
      <c r="H47" s="289" t="s">
        <v>677</v>
      </c>
      <c r="I47" s="289">
        <v>11</v>
      </c>
      <c r="J47" s="295">
        <v>20.48</v>
      </c>
      <c r="K47" s="295">
        <v>220</v>
      </c>
      <c r="L47" s="295">
        <v>0</v>
      </c>
      <c r="M47" s="295">
        <v>0</v>
      </c>
      <c r="N47" s="295">
        <v>0</v>
      </c>
      <c r="O47" s="295">
        <v>220</v>
      </c>
      <c r="P47" s="289">
        <v>330</v>
      </c>
      <c r="Q47" s="289">
        <v>10500</v>
      </c>
      <c r="R47" s="293">
        <f t="shared" si="29"/>
        <v>3465000</v>
      </c>
      <c r="S47" s="297">
        <v>500000</v>
      </c>
      <c r="T47" s="297">
        <v>35000</v>
      </c>
      <c r="U47" s="293">
        <f t="shared" si="30"/>
        <v>4000000</v>
      </c>
      <c r="V47" s="293">
        <v>0</v>
      </c>
      <c r="W47" s="293">
        <v>0</v>
      </c>
      <c r="X47" s="293">
        <v>82500</v>
      </c>
      <c r="Y47" s="293">
        <v>66000</v>
      </c>
      <c r="Z47" s="293">
        <v>49500</v>
      </c>
      <c r="AA47" s="293">
        <v>0</v>
      </c>
      <c r="AB47" s="293">
        <f t="shared" si="31"/>
        <v>4198000</v>
      </c>
      <c r="AC47" s="297">
        <v>30000</v>
      </c>
      <c r="AD47" s="293">
        <f t="shared" si="32"/>
        <v>480000</v>
      </c>
      <c r="AE47" s="293">
        <f t="shared" si="44"/>
        <v>23760</v>
      </c>
      <c r="AF47" s="293">
        <f>U47*7%</f>
        <v>280000</v>
      </c>
      <c r="AG47" s="293">
        <v>6000</v>
      </c>
      <c r="AH47" s="293">
        <f t="shared" si="47"/>
        <v>5017761</v>
      </c>
      <c r="AI47" s="338">
        <v>360000</v>
      </c>
      <c r="AJ47" s="342">
        <v>43200</v>
      </c>
      <c r="AK47" s="340">
        <v>43875</v>
      </c>
      <c r="AL47" s="289">
        <v>840000</v>
      </c>
      <c r="AM47" s="342">
        <v>100800</v>
      </c>
      <c r="AN47" s="344">
        <v>44107</v>
      </c>
      <c r="AO47" s="289">
        <v>0</v>
      </c>
      <c r="AP47" s="289">
        <v>0</v>
      </c>
      <c r="AQ47" s="344"/>
      <c r="AR47" s="289">
        <v>0</v>
      </c>
      <c r="AS47" s="289">
        <v>0</v>
      </c>
      <c r="AT47" s="344"/>
      <c r="AU47" s="289" t="s">
        <v>679</v>
      </c>
      <c r="AV47" s="289" t="s">
        <v>852</v>
      </c>
      <c r="AW47" s="298" t="s">
        <v>732</v>
      </c>
      <c r="AX47" s="298" t="s">
        <v>101</v>
      </c>
      <c r="AY47" s="343">
        <v>0.03</v>
      </c>
      <c r="AZ47" s="289">
        <v>20000</v>
      </c>
      <c r="BA47" s="293">
        <f t="shared" si="46"/>
        <v>123950</v>
      </c>
      <c r="BB47" s="289" t="s">
        <v>684</v>
      </c>
      <c r="BC47" s="289" t="s">
        <v>676</v>
      </c>
      <c r="BD47" s="289"/>
      <c r="BE47" s="289"/>
      <c r="BF47" s="289"/>
      <c r="BG47" s="289"/>
      <c r="BH47" s="289"/>
      <c r="BI47" s="289"/>
      <c r="BJ47" s="289"/>
      <c r="BK47" s="289"/>
      <c r="BL47" s="289"/>
      <c r="BM47" s="289"/>
      <c r="BN47" s="289"/>
    </row>
    <row r="48" spans="1:66" ht="24.75" customHeight="1" x14ac:dyDescent="0.2">
      <c r="A48" s="289">
        <f t="shared" si="35"/>
        <v>45</v>
      </c>
      <c r="B48" s="289" t="s">
        <v>853</v>
      </c>
      <c r="C48" s="290">
        <v>43984</v>
      </c>
      <c r="D48" s="289" t="s">
        <v>676</v>
      </c>
      <c r="E48" s="291" t="s">
        <v>854</v>
      </c>
      <c r="F48" s="289" t="s">
        <v>175</v>
      </c>
      <c r="G48" s="289">
        <v>9307244652</v>
      </c>
      <c r="H48" s="289" t="s">
        <v>729</v>
      </c>
      <c r="I48" s="289">
        <v>12</v>
      </c>
      <c r="J48" s="295">
        <v>20.89</v>
      </c>
      <c r="K48" s="295">
        <v>225</v>
      </c>
      <c r="L48" s="295">
        <v>0</v>
      </c>
      <c r="M48" s="295">
        <v>0</v>
      </c>
      <c r="N48" s="295">
        <v>0</v>
      </c>
      <c r="O48" s="295">
        <v>225</v>
      </c>
      <c r="P48" s="289">
        <v>338</v>
      </c>
      <c r="Q48" s="289">
        <v>9251</v>
      </c>
      <c r="R48" s="293">
        <f t="shared" si="29"/>
        <v>3126838</v>
      </c>
      <c r="S48" s="297">
        <v>0</v>
      </c>
      <c r="T48" s="297">
        <v>35000</v>
      </c>
      <c r="U48" s="293">
        <f t="shared" si="30"/>
        <v>3161838</v>
      </c>
      <c r="V48" s="293">
        <v>0</v>
      </c>
      <c r="W48" s="293">
        <v>0</v>
      </c>
      <c r="X48" s="293">
        <v>84500</v>
      </c>
      <c r="Y48" s="293">
        <v>67600</v>
      </c>
      <c r="Z48" s="293">
        <v>50700</v>
      </c>
      <c r="AA48" s="293">
        <v>0</v>
      </c>
      <c r="AB48" s="293">
        <f t="shared" si="31"/>
        <v>3364638</v>
      </c>
      <c r="AC48" s="297">
        <v>30000</v>
      </c>
      <c r="AD48" s="293">
        <f t="shared" si="32"/>
        <v>379420.56</v>
      </c>
      <c r="AE48" s="293">
        <f t="shared" si="44"/>
        <v>24336</v>
      </c>
      <c r="AF48" s="293">
        <f>U48*7%+71</f>
        <v>221399.66000000003</v>
      </c>
      <c r="AG48" s="293">
        <v>6000</v>
      </c>
      <c r="AH48" s="293">
        <f t="shared" ref="AH48:AH51" si="48">AB48+AC48+AD48+AE48+AF48+AG48</f>
        <v>4025794.22</v>
      </c>
      <c r="AI48" s="338">
        <v>284565</v>
      </c>
      <c r="AJ48" s="342">
        <v>34148</v>
      </c>
      <c r="AK48" s="289"/>
      <c r="AL48" s="289">
        <v>663986</v>
      </c>
      <c r="AM48" s="342">
        <v>79678</v>
      </c>
      <c r="AN48" s="344"/>
      <c r="AO48" s="289">
        <v>474276</v>
      </c>
      <c r="AP48" s="289">
        <v>56913</v>
      </c>
      <c r="AQ48" s="344"/>
      <c r="AR48" s="289">
        <v>158092</v>
      </c>
      <c r="AS48" s="289">
        <v>18971</v>
      </c>
      <c r="AT48" s="344"/>
      <c r="AU48" s="289" t="s">
        <v>679</v>
      </c>
      <c r="AV48" s="289" t="s">
        <v>855</v>
      </c>
      <c r="AW48" s="298" t="s">
        <v>732</v>
      </c>
      <c r="AX48" s="298" t="s">
        <v>856</v>
      </c>
      <c r="AY48" s="343">
        <v>0.03</v>
      </c>
      <c r="AZ48" s="289">
        <v>20000</v>
      </c>
      <c r="BA48" s="293">
        <f t="shared" si="46"/>
        <v>113805.14</v>
      </c>
      <c r="BB48" s="289" t="s">
        <v>684</v>
      </c>
      <c r="BC48" s="289" t="s">
        <v>676</v>
      </c>
      <c r="BD48" s="289"/>
      <c r="BE48" s="289"/>
      <c r="BF48" s="289"/>
      <c r="BG48" s="289"/>
      <c r="BH48" s="289"/>
      <c r="BI48" s="289"/>
      <c r="BJ48" s="289"/>
      <c r="BK48" s="289"/>
      <c r="BL48" s="289"/>
      <c r="BM48" s="289"/>
      <c r="BN48" s="289"/>
    </row>
    <row r="49" spans="1:66" ht="24.75" customHeight="1" x14ac:dyDescent="0.2">
      <c r="A49" s="289">
        <f t="shared" si="35"/>
        <v>46</v>
      </c>
      <c r="B49" s="290">
        <v>43984</v>
      </c>
      <c r="C49" s="290">
        <v>44142</v>
      </c>
      <c r="D49" s="289" t="s">
        <v>676</v>
      </c>
      <c r="E49" s="291" t="s">
        <v>857</v>
      </c>
      <c r="F49" s="289" t="s">
        <v>175</v>
      </c>
      <c r="G49" s="289">
        <v>9623630578</v>
      </c>
      <c r="H49" s="289" t="s">
        <v>729</v>
      </c>
      <c r="I49" s="289">
        <v>23</v>
      </c>
      <c r="J49" s="295">
        <v>17.899999999999999</v>
      </c>
      <c r="K49" s="295">
        <v>193</v>
      </c>
      <c r="L49" s="295">
        <v>0</v>
      </c>
      <c r="M49" s="295">
        <v>0</v>
      </c>
      <c r="N49" s="295">
        <v>0</v>
      </c>
      <c r="O49" s="295">
        <v>193</v>
      </c>
      <c r="P49" s="289">
        <v>290</v>
      </c>
      <c r="Q49" s="289">
        <v>10000</v>
      </c>
      <c r="R49" s="293">
        <f t="shared" si="29"/>
        <v>2900000</v>
      </c>
      <c r="S49" s="297">
        <v>500000</v>
      </c>
      <c r="T49" s="297">
        <v>35000</v>
      </c>
      <c r="U49" s="293">
        <f t="shared" si="30"/>
        <v>3435000</v>
      </c>
      <c r="V49" s="293">
        <v>0</v>
      </c>
      <c r="W49" s="293">
        <v>0</v>
      </c>
      <c r="X49" s="293">
        <v>72500</v>
      </c>
      <c r="Y49" s="293">
        <v>58000</v>
      </c>
      <c r="Z49" s="293">
        <v>43500</v>
      </c>
      <c r="AA49" s="293">
        <v>0</v>
      </c>
      <c r="AB49" s="293">
        <f t="shared" si="31"/>
        <v>3609000</v>
      </c>
      <c r="AC49" s="297">
        <v>30000</v>
      </c>
      <c r="AD49" s="293">
        <f t="shared" si="32"/>
        <v>412200</v>
      </c>
      <c r="AE49" s="293">
        <f t="shared" si="44"/>
        <v>20880</v>
      </c>
      <c r="AF49" s="293">
        <f>U49*7%+50</f>
        <v>240500.00000000003</v>
      </c>
      <c r="AG49" s="293">
        <v>6000</v>
      </c>
      <c r="AH49" s="293">
        <f t="shared" si="48"/>
        <v>4318580</v>
      </c>
      <c r="AI49" s="338">
        <v>309150</v>
      </c>
      <c r="AJ49" s="342">
        <v>37098</v>
      </c>
      <c r="AK49" s="289" t="s">
        <v>760</v>
      </c>
      <c r="AL49" s="289">
        <v>721350</v>
      </c>
      <c r="AM49" s="342">
        <v>86562</v>
      </c>
      <c r="AN49" s="289" t="s">
        <v>858</v>
      </c>
      <c r="AO49" s="289">
        <v>0</v>
      </c>
      <c r="AP49" s="289">
        <v>0</v>
      </c>
      <c r="AQ49" s="344"/>
      <c r="AR49" s="289">
        <v>0</v>
      </c>
      <c r="AS49" s="289">
        <v>0</v>
      </c>
      <c r="AT49" s="344"/>
      <c r="AU49" s="289" t="s">
        <v>679</v>
      </c>
      <c r="AV49" s="289"/>
      <c r="AW49" s="298" t="s">
        <v>732</v>
      </c>
      <c r="AX49" s="298"/>
      <c r="AY49" s="343">
        <v>0</v>
      </c>
      <c r="AZ49" s="289">
        <v>0</v>
      </c>
      <c r="BA49" s="289">
        <v>0</v>
      </c>
      <c r="BB49" s="289">
        <v>0</v>
      </c>
      <c r="BC49" s="289"/>
      <c r="BD49" s="289"/>
      <c r="BE49" s="289"/>
      <c r="BF49" s="289"/>
      <c r="BG49" s="289"/>
      <c r="BH49" s="289"/>
      <c r="BI49" s="289"/>
      <c r="BJ49" s="289"/>
      <c r="BK49" s="289"/>
      <c r="BL49" s="289"/>
      <c r="BM49" s="289"/>
      <c r="BN49" s="289"/>
    </row>
    <row r="50" spans="1:66" ht="24.75" customHeight="1" x14ac:dyDescent="0.2">
      <c r="A50" s="289">
        <f t="shared" si="35"/>
        <v>47</v>
      </c>
      <c r="B50" s="289" t="s">
        <v>859</v>
      </c>
      <c r="C50" s="290">
        <v>43957</v>
      </c>
      <c r="D50" s="289" t="s">
        <v>676</v>
      </c>
      <c r="E50" s="291" t="s">
        <v>79</v>
      </c>
      <c r="F50" s="289" t="s">
        <v>175</v>
      </c>
      <c r="G50" s="289">
        <v>9921389458</v>
      </c>
      <c r="H50" s="289" t="s">
        <v>694</v>
      </c>
      <c r="I50" s="289">
        <v>11</v>
      </c>
      <c r="J50" s="295">
        <v>20.48</v>
      </c>
      <c r="K50" s="295">
        <v>220</v>
      </c>
      <c r="L50" s="295">
        <v>0</v>
      </c>
      <c r="M50" s="295">
        <v>0</v>
      </c>
      <c r="N50" s="295">
        <v>0</v>
      </c>
      <c r="O50" s="295">
        <v>220</v>
      </c>
      <c r="P50" s="289">
        <v>330</v>
      </c>
      <c r="Q50" s="289">
        <v>13500</v>
      </c>
      <c r="R50" s="293">
        <f t="shared" si="29"/>
        <v>4455000</v>
      </c>
      <c r="S50" s="297">
        <v>0</v>
      </c>
      <c r="T50" s="297">
        <v>35000</v>
      </c>
      <c r="U50" s="293">
        <f t="shared" si="30"/>
        <v>4490000</v>
      </c>
      <c r="V50" s="293">
        <v>0</v>
      </c>
      <c r="W50" s="293">
        <v>0</v>
      </c>
      <c r="X50" s="293">
        <v>82500</v>
      </c>
      <c r="Y50" s="293">
        <v>66000</v>
      </c>
      <c r="Z50" s="293">
        <v>49500</v>
      </c>
      <c r="AA50" s="293">
        <v>0</v>
      </c>
      <c r="AB50" s="293">
        <f t="shared" si="31"/>
        <v>4688000</v>
      </c>
      <c r="AC50" s="297">
        <v>30000</v>
      </c>
      <c r="AD50" s="293">
        <f t="shared" si="32"/>
        <v>538800</v>
      </c>
      <c r="AE50" s="293">
        <f t="shared" si="44"/>
        <v>23760</v>
      </c>
      <c r="AF50" s="293">
        <f>U50*7%</f>
        <v>314300.00000000006</v>
      </c>
      <c r="AG50" s="293">
        <v>6000</v>
      </c>
      <c r="AH50" s="293">
        <f t="shared" si="48"/>
        <v>5600860</v>
      </c>
      <c r="AI50" s="338">
        <v>404100</v>
      </c>
      <c r="AJ50" s="342">
        <v>48492</v>
      </c>
      <c r="AK50" s="289" t="s">
        <v>760</v>
      </c>
      <c r="AL50" s="289">
        <v>942900</v>
      </c>
      <c r="AM50" s="342">
        <v>113148</v>
      </c>
      <c r="AN50" s="345">
        <v>43905</v>
      </c>
      <c r="AO50" s="289">
        <v>0</v>
      </c>
      <c r="AP50" s="289">
        <v>0</v>
      </c>
      <c r="AQ50" s="344"/>
      <c r="AR50" s="289">
        <v>0</v>
      </c>
      <c r="AS50" s="289">
        <v>0</v>
      </c>
      <c r="AT50" s="344"/>
      <c r="AU50" s="289" t="s">
        <v>679</v>
      </c>
      <c r="AV50" s="289" t="s">
        <v>860</v>
      </c>
      <c r="AW50" s="298" t="s">
        <v>861</v>
      </c>
      <c r="AX50" s="298" t="s">
        <v>862</v>
      </c>
      <c r="AY50" s="343">
        <v>0.03</v>
      </c>
      <c r="AZ50" s="289">
        <v>20000</v>
      </c>
      <c r="BA50" s="293">
        <f>(R50*3%)+AZ50</f>
        <v>153650</v>
      </c>
      <c r="BB50" s="289" t="s">
        <v>702</v>
      </c>
      <c r="BC50" s="289"/>
      <c r="BD50" s="289"/>
      <c r="BE50" s="289"/>
      <c r="BF50" s="289"/>
      <c r="BG50" s="289"/>
      <c r="BH50" s="289"/>
      <c r="BI50" s="289"/>
      <c r="BJ50" s="289"/>
      <c r="BK50" s="289"/>
      <c r="BL50" s="289"/>
      <c r="BM50" s="289"/>
      <c r="BN50" s="289"/>
    </row>
    <row r="51" spans="1:66" ht="24.75" customHeight="1" x14ac:dyDescent="0.2">
      <c r="A51" s="289">
        <f t="shared" si="35"/>
        <v>48</v>
      </c>
      <c r="B51" s="289" t="s">
        <v>863</v>
      </c>
      <c r="C51" s="290">
        <v>43868</v>
      </c>
      <c r="D51" s="289" t="s">
        <v>676</v>
      </c>
      <c r="E51" s="291" t="s">
        <v>864</v>
      </c>
      <c r="F51" s="289" t="s">
        <v>175</v>
      </c>
      <c r="G51" s="289" t="s">
        <v>865</v>
      </c>
      <c r="H51" s="289" t="s">
        <v>844</v>
      </c>
      <c r="I51" s="289">
        <v>11</v>
      </c>
      <c r="J51" s="295">
        <v>41.01</v>
      </c>
      <c r="K51" s="295">
        <v>441</v>
      </c>
      <c r="L51" s="295">
        <v>0</v>
      </c>
      <c r="M51" s="295">
        <v>0</v>
      </c>
      <c r="N51" s="295">
        <v>0</v>
      </c>
      <c r="O51" s="295">
        <v>441</v>
      </c>
      <c r="P51" s="289">
        <v>639</v>
      </c>
      <c r="Q51" s="289">
        <v>6100</v>
      </c>
      <c r="R51" s="293">
        <f t="shared" si="29"/>
        <v>3897900</v>
      </c>
      <c r="S51" s="297">
        <v>0</v>
      </c>
      <c r="T51" s="297">
        <v>70000</v>
      </c>
      <c r="U51" s="293">
        <f t="shared" si="30"/>
        <v>3967900</v>
      </c>
      <c r="V51" s="293">
        <v>0</v>
      </c>
      <c r="W51" s="293">
        <v>0</v>
      </c>
      <c r="X51" s="293">
        <v>159750</v>
      </c>
      <c r="Y51" s="293">
        <v>127800</v>
      </c>
      <c r="Z51" s="293">
        <v>95850</v>
      </c>
      <c r="AA51" s="293">
        <v>0</v>
      </c>
      <c r="AB51" s="293">
        <f t="shared" si="31"/>
        <v>4351300</v>
      </c>
      <c r="AC51" s="297">
        <v>30000</v>
      </c>
      <c r="AD51" s="293">
        <f t="shared" si="32"/>
        <v>476148</v>
      </c>
      <c r="AE51" s="293">
        <f t="shared" si="44"/>
        <v>46008</v>
      </c>
      <c r="AF51" s="293">
        <f>U51*7%+47</f>
        <v>277800</v>
      </c>
      <c r="AG51" s="293">
        <v>6000</v>
      </c>
      <c r="AH51" s="293">
        <f t="shared" si="48"/>
        <v>5187256</v>
      </c>
      <c r="AI51" s="338">
        <v>357111</v>
      </c>
      <c r="AJ51" s="342">
        <v>42853</v>
      </c>
      <c r="AK51" s="289" t="s">
        <v>760</v>
      </c>
      <c r="AL51" s="289">
        <v>833259</v>
      </c>
      <c r="AM51" s="342">
        <v>99991</v>
      </c>
      <c r="AN51" s="345">
        <v>43900</v>
      </c>
      <c r="AO51" s="289">
        <v>396790</v>
      </c>
      <c r="AP51" s="289">
        <v>47615</v>
      </c>
      <c r="AQ51" s="289" t="s">
        <v>866</v>
      </c>
      <c r="AR51" s="289">
        <v>396790</v>
      </c>
      <c r="AS51" s="289">
        <v>47615</v>
      </c>
      <c r="AT51" s="289" t="s">
        <v>867</v>
      </c>
      <c r="AU51" s="289" t="s">
        <v>679</v>
      </c>
      <c r="AV51" s="289" t="s">
        <v>868</v>
      </c>
      <c r="AW51" s="298" t="s">
        <v>732</v>
      </c>
      <c r="AX51" s="298" t="s">
        <v>83</v>
      </c>
      <c r="AY51" s="343">
        <v>0</v>
      </c>
      <c r="AZ51" s="289">
        <v>0</v>
      </c>
      <c r="BA51" s="289">
        <v>0</v>
      </c>
      <c r="BB51" s="289">
        <v>0</v>
      </c>
      <c r="BC51" s="289"/>
      <c r="BD51" s="289"/>
      <c r="BE51" s="289"/>
      <c r="BF51" s="289"/>
      <c r="BG51" s="289"/>
      <c r="BH51" s="289"/>
      <c r="BI51" s="289"/>
      <c r="BJ51" s="289"/>
      <c r="BK51" s="289"/>
      <c r="BL51" s="289"/>
      <c r="BM51" s="289"/>
      <c r="BN51" s="289"/>
    </row>
    <row r="52" spans="1:66" ht="24.75" customHeight="1" x14ac:dyDescent="0.2">
      <c r="A52" s="334"/>
      <c r="B52" s="346"/>
      <c r="C52" s="347"/>
      <c r="D52" s="348" t="s">
        <v>869</v>
      </c>
      <c r="E52" s="348"/>
      <c r="F52" s="323"/>
      <c r="G52" s="323"/>
      <c r="H52" s="323"/>
      <c r="I52" s="323"/>
      <c r="J52" s="337"/>
      <c r="K52" s="337"/>
      <c r="L52" s="337"/>
      <c r="M52" s="337"/>
      <c r="N52" s="337"/>
      <c r="O52" s="337"/>
      <c r="P52" s="323"/>
      <c r="Q52" s="323"/>
      <c r="R52" s="326"/>
      <c r="S52" s="327"/>
      <c r="T52" s="327"/>
      <c r="U52" s="323"/>
      <c r="V52" s="326"/>
      <c r="W52" s="326"/>
      <c r="X52" s="326"/>
      <c r="Y52" s="326"/>
      <c r="Z52" s="326"/>
      <c r="AA52" s="326"/>
      <c r="AB52" s="326"/>
      <c r="AC52" s="327"/>
      <c r="AD52" s="326"/>
      <c r="AE52" s="326"/>
      <c r="AF52" s="326"/>
      <c r="AG52" s="326"/>
      <c r="AH52" s="326"/>
      <c r="AI52" s="349"/>
      <c r="AJ52" s="350"/>
      <c r="AK52" s="351"/>
      <c r="AL52" s="323"/>
      <c r="AM52" s="350"/>
      <c r="AN52" s="351"/>
      <c r="AO52" s="323"/>
      <c r="AP52" s="323"/>
      <c r="AQ52" s="351"/>
      <c r="AR52" s="323"/>
      <c r="AS52" s="323"/>
      <c r="AT52" s="351"/>
      <c r="AU52" s="323"/>
      <c r="AV52" s="323"/>
      <c r="AW52" s="328"/>
      <c r="AX52" s="328"/>
      <c r="AY52" s="352"/>
      <c r="AZ52" s="323"/>
      <c r="BA52" s="323"/>
      <c r="BB52" s="323"/>
      <c r="BC52" s="323"/>
      <c r="BD52" s="323" t="s">
        <v>0</v>
      </c>
      <c r="BE52" s="323"/>
      <c r="BF52" s="323"/>
      <c r="BG52" s="323"/>
      <c r="BH52" s="323"/>
      <c r="BI52" s="323"/>
      <c r="BJ52" s="323"/>
      <c r="BK52" s="323"/>
      <c r="BL52" s="323"/>
      <c r="BM52" s="323"/>
      <c r="BN52" s="323"/>
    </row>
    <row r="53" spans="1:66" ht="24.75" customHeight="1" x14ac:dyDescent="0.2">
      <c r="A53" s="289">
        <v>49</v>
      </c>
      <c r="B53" s="289" t="s">
        <v>870</v>
      </c>
      <c r="C53" s="289" t="s">
        <v>871</v>
      </c>
      <c r="D53" s="289" t="s">
        <v>676</v>
      </c>
      <c r="E53" s="291" t="s">
        <v>318</v>
      </c>
      <c r="F53" s="289" t="s">
        <v>175</v>
      </c>
      <c r="G53" s="289">
        <v>9960335180</v>
      </c>
      <c r="H53" s="289" t="s">
        <v>729</v>
      </c>
      <c r="I53" s="289">
        <v>20</v>
      </c>
      <c r="J53" s="295">
        <v>24.09</v>
      </c>
      <c r="K53" s="295">
        <v>259</v>
      </c>
      <c r="L53" s="295">
        <v>0</v>
      </c>
      <c r="M53" s="295">
        <v>0</v>
      </c>
      <c r="N53" s="295">
        <v>0</v>
      </c>
      <c r="O53" s="295">
        <v>259</v>
      </c>
      <c r="P53" s="289">
        <v>389</v>
      </c>
      <c r="Q53" s="289">
        <v>9600</v>
      </c>
      <c r="R53" s="293">
        <f>P53*Q53</f>
        <v>3734400</v>
      </c>
      <c r="S53" s="297">
        <v>0</v>
      </c>
      <c r="T53" s="297">
        <v>35000</v>
      </c>
      <c r="U53" s="293">
        <f>R53+S53+T53</f>
        <v>3769400</v>
      </c>
      <c r="V53" s="293">
        <v>0</v>
      </c>
      <c r="W53" s="293">
        <v>0</v>
      </c>
      <c r="X53" s="293">
        <v>97250</v>
      </c>
      <c r="Y53" s="293">
        <v>77800</v>
      </c>
      <c r="Z53" s="293">
        <v>58350</v>
      </c>
      <c r="AA53" s="293">
        <v>0</v>
      </c>
      <c r="AB53" s="293">
        <f>U53+X53+Y53+Z53+AA53</f>
        <v>4002800</v>
      </c>
      <c r="AC53" s="297">
        <v>30000</v>
      </c>
      <c r="AD53" s="293">
        <f>U53*12%</f>
        <v>452328</v>
      </c>
      <c r="AE53" s="293">
        <f t="shared" ref="AE53:AE71" si="49">X53*12%+Y53*12%+Z53*12%+AA53*12%</f>
        <v>28008</v>
      </c>
      <c r="AF53" s="293">
        <f>U53*7%+42</f>
        <v>263900</v>
      </c>
      <c r="AG53" s="293">
        <v>6000</v>
      </c>
      <c r="AH53" s="293">
        <f>AB53+AC53+AD53+AE53+AF53+AG53</f>
        <v>4783036</v>
      </c>
      <c r="AI53" s="338">
        <v>376940</v>
      </c>
      <c r="AJ53" s="342">
        <v>45233</v>
      </c>
      <c r="AK53" s="289"/>
      <c r="AL53" s="289">
        <v>753880</v>
      </c>
      <c r="AM53" s="342">
        <v>90466</v>
      </c>
      <c r="AN53" s="345"/>
      <c r="AO53" s="289">
        <v>0</v>
      </c>
      <c r="AP53" s="289">
        <v>0</v>
      </c>
      <c r="AQ53" s="289"/>
      <c r="AR53" s="289">
        <v>0</v>
      </c>
      <c r="AS53" s="289">
        <v>0</v>
      </c>
      <c r="AT53" s="289"/>
      <c r="AU53" s="289" t="s">
        <v>679</v>
      </c>
      <c r="AV53" s="289" t="s">
        <v>872</v>
      </c>
      <c r="AW53" s="298" t="s">
        <v>732</v>
      </c>
      <c r="AX53" s="298" t="s">
        <v>83</v>
      </c>
      <c r="AY53" s="343">
        <v>0</v>
      </c>
      <c r="AZ53" s="289">
        <v>0</v>
      </c>
      <c r="BA53" s="289">
        <v>0</v>
      </c>
      <c r="BB53" s="289">
        <v>0</v>
      </c>
      <c r="BC53" s="289" t="s">
        <v>873</v>
      </c>
      <c r="BD53" s="289"/>
      <c r="BE53" s="289"/>
      <c r="BF53" s="289"/>
      <c r="BG53" s="289"/>
      <c r="BH53" s="289"/>
      <c r="BI53" s="289"/>
      <c r="BJ53" s="289"/>
      <c r="BK53" s="289"/>
      <c r="BL53" s="289"/>
      <c r="BM53" s="289"/>
      <c r="BN53" s="289"/>
    </row>
    <row r="54" spans="1:66" ht="24.75" customHeight="1" x14ac:dyDescent="0.2">
      <c r="A54" s="289">
        <f t="shared" ref="A54:A71" si="50">A53+1</f>
        <v>50</v>
      </c>
      <c r="B54" s="290">
        <v>44082</v>
      </c>
      <c r="C54" s="289" t="s">
        <v>874</v>
      </c>
      <c r="D54" s="289" t="s">
        <v>676</v>
      </c>
      <c r="E54" s="291" t="s">
        <v>875</v>
      </c>
      <c r="F54" s="289" t="s">
        <v>175</v>
      </c>
      <c r="G54" s="289">
        <v>9423467467</v>
      </c>
      <c r="H54" s="289" t="s">
        <v>694</v>
      </c>
      <c r="I54" s="289">
        <v>12</v>
      </c>
      <c r="J54" s="295">
        <v>20.89</v>
      </c>
      <c r="K54" s="295">
        <v>225</v>
      </c>
      <c r="L54" s="295">
        <v>0</v>
      </c>
      <c r="M54" s="295">
        <v>0</v>
      </c>
      <c r="N54" s="295">
        <v>0</v>
      </c>
      <c r="O54" s="295">
        <v>225</v>
      </c>
      <c r="P54" s="289">
        <v>338</v>
      </c>
      <c r="Q54" s="289">
        <v>13028</v>
      </c>
      <c r="R54" s="293">
        <v>4403464</v>
      </c>
      <c r="S54" s="297">
        <v>0</v>
      </c>
      <c r="T54" s="297">
        <v>35000</v>
      </c>
      <c r="U54" s="293">
        <v>4438464</v>
      </c>
      <c r="V54" s="293">
        <v>0</v>
      </c>
      <c r="W54" s="293">
        <v>0</v>
      </c>
      <c r="X54" s="293">
        <v>84500</v>
      </c>
      <c r="Y54" s="293">
        <v>67600</v>
      </c>
      <c r="Z54" s="293">
        <v>50700</v>
      </c>
      <c r="AA54" s="293">
        <v>0</v>
      </c>
      <c r="AB54" s="293">
        <v>4641264</v>
      </c>
      <c r="AC54" s="297">
        <v>30000</v>
      </c>
      <c r="AD54" s="293">
        <v>556952</v>
      </c>
      <c r="AE54" s="293">
        <f t="shared" si="49"/>
        <v>24336</v>
      </c>
      <c r="AF54" s="293">
        <v>266400</v>
      </c>
      <c r="AG54" s="293">
        <v>6000</v>
      </c>
      <c r="AH54" s="293">
        <v>5500616</v>
      </c>
      <c r="AI54" s="338">
        <v>399462</v>
      </c>
      <c r="AJ54" s="342">
        <v>47935</v>
      </c>
      <c r="AK54" s="289"/>
      <c r="AL54" s="289">
        <v>488231</v>
      </c>
      <c r="AM54" s="342">
        <v>58588</v>
      </c>
      <c r="AN54" s="345"/>
      <c r="AO54" s="289">
        <v>1109616</v>
      </c>
      <c r="AP54" s="289">
        <v>133154</v>
      </c>
      <c r="AQ54" s="289"/>
      <c r="AR54" s="289">
        <v>221923</v>
      </c>
      <c r="AS54" s="289">
        <v>26631</v>
      </c>
      <c r="AT54" s="289"/>
      <c r="AU54" s="289" t="s">
        <v>696</v>
      </c>
      <c r="AV54" s="289" t="s">
        <v>876</v>
      </c>
      <c r="AW54" s="298" t="s">
        <v>732</v>
      </c>
      <c r="AX54" s="298" t="s">
        <v>83</v>
      </c>
      <c r="AY54" s="343">
        <v>0</v>
      </c>
      <c r="AZ54" s="289">
        <v>0</v>
      </c>
      <c r="BA54" s="289">
        <v>0</v>
      </c>
      <c r="BB54" s="289">
        <v>0</v>
      </c>
      <c r="BC54" s="289" t="s">
        <v>873</v>
      </c>
      <c r="BD54" s="289"/>
      <c r="BE54" s="289"/>
      <c r="BF54" s="289"/>
      <c r="BG54" s="289"/>
      <c r="BH54" s="289"/>
      <c r="BI54" s="289"/>
      <c r="BJ54" s="289"/>
      <c r="BK54" s="289"/>
      <c r="BL54" s="289"/>
      <c r="BM54" s="289"/>
      <c r="BN54" s="289"/>
    </row>
    <row r="55" spans="1:66" ht="24.75" customHeight="1" x14ac:dyDescent="0.2">
      <c r="A55" s="289">
        <f t="shared" si="50"/>
        <v>51</v>
      </c>
      <c r="B55" s="289" t="s">
        <v>877</v>
      </c>
      <c r="C55" s="290">
        <v>44146</v>
      </c>
      <c r="D55" s="289" t="s">
        <v>676</v>
      </c>
      <c r="E55" s="291" t="s">
        <v>143</v>
      </c>
      <c r="F55" s="289" t="s">
        <v>175</v>
      </c>
      <c r="G55" s="289">
        <v>9595990551</v>
      </c>
      <c r="H55" s="289" t="s">
        <v>800</v>
      </c>
      <c r="I55" s="289">
        <v>8</v>
      </c>
      <c r="J55" s="295">
        <v>22.55</v>
      </c>
      <c r="K55" s="295">
        <v>180</v>
      </c>
      <c r="L55" s="295">
        <v>0</v>
      </c>
      <c r="M55" s="295">
        <v>0</v>
      </c>
      <c r="N55" s="295">
        <v>0</v>
      </c>
      <c r="O55" s="295">
        <v>243</v>
      </c>
      <c r="P55" s="289">
        <v>365</v>
      </c>
      <c r="Q55" s="289">
        <v>14500</v>
      </c>
      <c r="R55" s="293">
        <v>5292500</v>
      </c>
      <c r="S55" s="297">
        <v>500000</v>
      </c>
      <c r="T55" s="297">
        <v>35000</v>
      </c>
      <c r="U55" s="293">
        <v>5827500</v>
      </c>
      <c r="V55" s="293">
        <v>0</v>
      </c>
      <c r="W55" s="293">
        <v>0</v>
      </c>
      <c r="X55" s="293">
        <v>91250</v>
      </c>
      <c r="Y55" s="293">
        <v>73000</v>
      </c>
      <c r="Z55" s="293">
        <v>54750</v>
      </c>
      <c r="AA55" s="293">
        <v>0</v>
      </c>
      <c r="AB55" s="293">
        <v>6046500</v>
      </c>
      <c r="AC55" s="297">
        <v>30000</v>
      </c>
      <c r="AD55" s="293">
        <v>725580</v>
      </c>
      <c r="AE55" s="293">
        <f t="shared" si="49"/>
        <v>26280</v>
      </c>
      <c r="AF55" s="293">
        <v>349700</v>
      </c>
      <c r="AG55" s="293">
        <v>6000</v>
      </c>
      <c r="AH55" s="293">
        <v>7157780</v>
      </c>
      <c r="AI55" s="338">
        <v>582750</v>
      </c>
      <c r="AJ55" s="342">
        <v>69930</v>
      </c>
      <c r="AK55" s="289"/>
      <c r="AL55" s="289">
        <v>1165500</v>
      </c>
      <c r="AM55" s="342">
        <v>139860</v>
      </c>
      <c r="AN55" s="345"/>
      <c r="AO55" s="289">
        <v>874125</v>
      </c>
      <c r="AP55" s="289">
        <v>104895</v>
      </c>
      <c r="AQ55" s="289"/>
      <c r="AR55" s="289">
        <v>291375</v>
      </c>
      <c r="AS55" s="289">
        <v>34965</v>
      </c>
      <c r="AT55" s="289"/>
      <c r="AU55" s="289" t="s">
        <v>696</v>
      </c>
      <c r="AV55" s="289" t="s">
        <v>878</v>
      </c>
      <c r="AW55" s="298" t="s">
        <v>732</v>
      </c>
      <c r="AX55" s="298" t="s">
        <v>101</v>
      </c>
      <c r="AY55" s="343">
        <v>0.03</v>
      </c>
      <c r="AZ55" s="289">
        <v>20000</v>
      </c>
      <c r="BA55" s="289"/>
      <c r="BB55" s="289"/>
      <c r="BC55" s="289" t="s">
        <v>873</v>
      </c>
      <c r="BD55" s="289"/>
      <c r="BE55" s="289"/>
      <c r="BF55" s="289"/>
      <c r="BG55" s="289"/>
      <c r="BH55" s="289"/>
      <c r="BI55" s="289"/>
      <c r="BJ55" s="289"/>
      <c r="BK55" s="289"/>
      <c r="BL55" s="289"/>
      <c r="BM55" s="289"/>
      <c r="BN55" s="289"/>
    </row>
    <row r="56" spans="1:66" ht="24.75" customHeight="1" x14ac:dyDescent="0.2">
      <c r="A56" s="289">
        <f t="shared" si="50"/>
        <v>52</v>
      </c>
      <c r="B56" s="289" t="s">
        <v>879</v>
      </c>
      <c r="C56" s="289" t="s">
        <v>880</v>
      </c>
      <c r="D56" s="289" t="s">
        <v>676</v>
      </c>
      <c r="E56" s="291" t="s">
        <v>881</v>
      </c>
      <c r="F56" s="289" t="s">
        <v>175</v>
      </c>
      <c r="G56" s="289">
        <v>8237005031</v>
      </c>
      <c r="H56" s="289" t="s">
        <v>811</v>
      </c>
      <c r="I56" s="289">
        <v>21</v>
      </c>
      <c r="J56" s="295">
        <v>36.28</v>
      </c>
      <c r="K56" s="295">
        <v>390.52</v>
      </c>
      <c r="L56" s="295">
        <v>4.6399999999999997</v>
      </c>
      <c r="M56" s="295">
        <v>49.94</v>
      </c>
      <c r="N56" s="295">
        <v>0</v>
      </c>
      <c r="O56" s="295">
        <v>440</v>
      </c>
      <c r="P56" s="289">
        <v>639</v>
      </c>
      <c r="Q56" s="289">
        <v>5425</v>
      </c>
      <c r="R56" s="293">
        <v>3464785</v>
      </c>
      <c r="S56" s="297">
        <v>500000</v>
      </c>
      <c r="T56" s="297">
        <v>70000</v>
      </c>
      <c r="U56" s="293">
        <v>4034785</v>
      </c>
      <c r="V56" s="293">
        <v>0</v>
      </c>
      <c r="W56" s="293">
        <v>0</v>
      </c>
      <c r="X56" s="293">
        <v>159668</v>
      </c>
      <c r="Y56" s="293">
        <v>127734</v>
      </c>
      <c r="Z56" s="293">
        <v>95801</v>
      </c>
      <c r="AA56" s="293">
        <v>0</v>
      </c>
      <c r="AB56" s="293">
        <v>4417987</v>
      </c>
      <c r="AC56" s="297">
        <v>30000</v>
      </c>
      <c r="AD56" s="293">
        <v>530158</v>
      </c>
      <c r="AE56" s="293">
        <f t="shared" si="49"/>
        <v>45984.36</v>
      </c>
      <c r="AF56" s="293">
        <v>121100</v>
      </c>
      <c r="AG56" s="293">
        <v>6000</v>
      </c>
      <c r="AH56" s="293">
        <v>5105245</v>
      </c>
      <c r="AI56" s="338">
        <v>403478</v>
      </c>
      <c r="AJ56" s="342">
        <v>48417</v>
      </c>
      <c r="AK56" s="289" t="s">
        <v>882</v>
      </c>
      <c r="AL56" s="289">
        <v>806957</v>
      </c>
      <c r="AM56" s="342">
        <v>96835</v>
      </c>
      <c r="AN56" s="345"/>
      <c r="AO56" s="289">
        <v>605218</v>
      </c>
      <c r="AP56" s="289">
        <v>72626</v>
      </c>
      <c r="AQ56" s="289"/>
      <c r="AR56" s="289">
        <v>121044</v>
      </c>
      <c r="AS56" s="289">
        <v>14525</v>
      </c>
      <c r="AT56" s="289"/>
      <c r="AU56" s="289" t="s">
        <v>679</v>
      </c>
      <c r="AV56" s="289" t="s">
        <v>883</v>
      </c>
      <c r="AW56" s="298" t="s">
        <v>732</v>
      </c>
      <c r="AX56" s="298" t="s">
        <v>884</v>
      </c>
      <c r="AY56" s="343">
        <v>0</v>
      </c>
      <c r="AZ56" s="289">
        <v>0</v>
      </c>
      <c r="BA56" s="289">
        <v>0</v>
      </c>
      <c r="BB56" s="289">
        <v>0</v>
      </c>
      <c r="BC56" s="289" t="s">
        <v>873</v>
      </c>
      <c r="BD56" s="289"/>
      <c r="BE56" s="289"/>
      <c r="BF56" s="289"/>
      <c r="BG56" s="289"/>
      <c r="BH56" s="289"/>
      <c r="BI56" s="289"/>
      <c r="BJ56" s="289"/>
      <c r="BK56" s="289"/>
      <c r="BL56" s="289"/>
      <c r="BM56" s="289"/>
      <c r="BN56" s="289"/>
    </row>
    <row r="57" spans="1:66" ht="24.75" customHeight="1" x14ac:dyDescent="0.2">
      <c r="A57" s="289">
        <f t="shared" si="50"/>
        <v>53</v>
      </c>
      <c r="B57" s="289" t="s">
        <v>885</v>
      </c>
      <c r="C57" s="289" t="s">
        <v>886</v>
      </c>
      <c r="D57" s="289" t="s">
        <v>676</v>
      </c>
      <c r="E57" s="291" t="s">
        <v>244</v>
      </c>
      <c r="F57" s="289" t="s">
        <v>175</v>
      </c>
      <c r="G57" s="289">
        <v>9422655123</v>
      </c>
      <c r="H57" s="289" t="s">
        <v>677</v>
      </c>
      <c r="I57" s="289">
        <v>20</v>
      </c>
      <c r="J57" s="295">
        <v>24.09</v>
      </c>
      <c r="K57" s="295">
        <v>259</v>
      </c>
      <c r="L57" s="295">
        <v>0</v>
      </c>
      <c r="M57" s="295">
        <v>0</v>
      </c>
      <c r="N57" s="295">
        <v>0</v>
      </c>
      <c r="O57" s="295">
        <v>259</v>
      </c>
      <c r="P57" s="289">
        <v>389</v>
      </c>
      <c r="Q57" s="289">
        <v>9362</v>
      </c>
      <c r="R57" s="293">
        <v>3641818</v>
      </c>
      <c r="S57" s="297">
        <v>500000</v>
      </c>
      <c r="T57" s="297">
        <v>35000</v>
      </c>
      <c r="U57" s="293">
        <v>4176818</v>
      </c>
      <c r="V57" s="293">
        <v>0</v>
      </c>
      <c r="W57" s="293">
        <v>0</v>
      </c>
      <c r="X57" s="293">
        <v>97250</v>
      </c>
      <c r="Y57" s="293">
        <v>77800</v>
      </c>
      <c r="Z57" s="293">
        <v>58350</v>
      </c>
      <c r="AA57" s="293">
        <v>0</v>
      </c>
      <c r="AB57" s="293">
        <v>4410218</v>
      </c>
      <c r="AC57" s="297">
        <v>30000</v>
      </c>
      <c r="AD57" s="293">
        <v>529226</v>
      </c>
      <c r="AE57" s="293">
        <f t="shared" si="49"/>
        <v>28008</v>
      </c>
      <c r="AF57" s="293">
        <v>125400</v>
      </c>
      <c r="AG57" s="293">
        <v>6000</v>
      </c>
      <c r="AH57" s="293">
        <v>5100844</v>
      </c>
      <c r="AI57" s="338">
        <v>375914</v>
      </c>
      <c r="AJ57" s="342">
        <v>45110</v>
      </c>
      <c r="AK57" s="289" t="s">
        <v>882</v>
      </c>
      <c r="AL57" s="289">
        <v>877132</v>
      </c>
      <c r="AM57" s="342">
        <v>105256</v>
      </c>
      <c r="AN57" s="345"/>
      <c r="AO57" s="289">
        <v>626523</v>
      </c>
      <c r="AP57" s="289">
        <v>75183</v>
      </c>
      <c r="AQ57" s="289"/>
      <c r="AR57" s="289">
        <v>208841</v>
      </c>
      <c r="AS57" s="289">
        <v>25061</v>
      </c>
      <c r="AT57" s="289"/>
      <c r="AU57" s="289" t="s">
        <v>679</v>
      </c>
      <c r="AV57" s="289" t="s">
        <v>887</v>
      </c>
      <c r="AW57" s="298" t="s">
        <v>732</v>
      </c>
      <c r="AX57" s="298" t="s">
        <v>888</v>
      </c>
      <c r="AY57" s="343">
        <v>0.03</v>
      </c>
      <c r="AZ57" s="289">
        <v>20000</v>
      </c>
      <c r="BA57" s="289">
        <v>0</v>
      </c>
      <c r="BB57" s="289">
        <v>0</v>
      </c>
      <c r="BC57" s="289" t="s">
        <v>873</v>
      </c>
      <c r="BD57" s="289"/>
      <c r="BE57" s="289"/>
      <c r="BF57" s="289"/>
      <c r="BG57" s="289"/>
      <c r="BH57" s="289"/>
      <c r="BI57" s="289"/>
      <c r="BJ57" s="289"/>
      <c r="BK57" s="289"/>
      <c r="BL57" s="289"/>
      <c r="BM57" s="289"/>
      <c r="BN57" s="289"/>
    </row>
    <row r="58" spans="1:66" ht="24.75" customHeight="1" x14ac:dyDescent="0.2">
      <c r="A58" s="289">
        <f t="shared" si="50"/>
        <v>54</v>
      </c>
      <c r="B58" s="289" t="s">
        <v>889</v>
      </c>
      <c r="C58" s="290">
        <v>43902</v>
      </c>
      <c r="D58" s="289" t="s">
        <v>676</v>
      </c>
      <c r="E58" s="291" t="s">
        <v>890</v>
      </c>
      <c r="F58" s="289" t="s">
        <v>175</v>
      </c>
      <c r="G58" s="289">
        <v>9765133669</v>
      </c>
      <c r="H58" s="289" t="s">
        <v>844</v>
      </c>
      <c r="I58" s="289">
        <v>16</v>
      </c>
      <c r="J58" s="295">
        <v>44.28</v>
      </c>
      <c r="K58" s="295">
        <v>477</v>
      </c>
      <c r="L58" s="295">
        <v>6.3</v>
      </c>
      <c r="M58" s="295">
        <v>68</v>
      </c>
      <c r="N58" s="295">
        <v>0</v>
      </c>
      <c r="O58" s="295">
        <v>544</v>
      </c>
      <c r="P58" s="289">
        <v>790</v>
      </c>
      <c r="Q58" s="289">
        <v>6100</v>
      </c>
      <c r="R58" s="293">
        <v>4815584</v>
      </c>
      <c r="S58" s="297">
        <v>500000</v>
      </c>
      <c r="T58" s="297">
        <v>105000</v>
      </c>
      <c r="U58" s="293">
        <v>5420584</v>
      </c>
      <c r="V58" s="293">
        <v>0</v>
      </c>
      <c r="W58" s="293">
        <v>0</v>
      </c>
      <c r="X58" s="293">
        <v>197360</v>
      </c>
      <c r="Y58" s="293">
        <v>157888</v>
      </c>
      <c r="Z58" s="293">
        <v>118416</v>
      </c>
      <c r="AA58" s="293">
        <v>0</v>
      </c>
      <c r="AB58" s="293">
        <v>5894248</v>
      </c>
      <c r="AC58" s="297">
        <v>30000</v>
      </c>
      <c r="AD58" s="293">
        <v>707310</v>
      </c>
      <c r="AE58" s="293">
        <f t="shared" si="49"/>
        <v>56839.679999999993</v>
      </c>
      <c r="AF58" s="293">
        <v>162700</v>
      </c>
      <c r="AG58" s="293">
        <v>6000</v>
      </c>
      <c r="AH58" s="293">
        <v>6800258</v>
      </c>
      <c r="AI58" s="338">
        <v>1084117</v>
      </c>
      <c r="AJ58" s="342">
        <v>130094</v>
      </c>
      <c r="AK58" s="289" t="s">
        <v>696</v>
      </c>
      <c r="AL58" s="289">
        <v>542058</v>
      </c>
      <c r="AM58" s="342">
        <v>65047</v>
      </c>
      <c r="AN58" s="345"/>
      <c r="AO58" s="289">
        <v>813088</v>
      </c>
      <c r="AP58" s="289">
        <v>97571</v>
      </c>
      <c r="AQ58" s="289"/>
      <c r="AR58" s="289">
        <v>271029</v>
      </c>
      <c r="AS58" s="289">
        <v>32523</v>
      </c>
      <c r="AT58" s="289"/>
      <c r="AU58" s="289" t="s">
        <v>696</v>
      </c>
      <c r="AV58" s="289" t="s">
        <v>868</v>
      </c>
      <c r="AW58" s="298" t="s">
        <v>732</v>
      </c>
      <c r="AX58" s="298" t="s">
        <v>884</v>
      </c>
      <c r="AY58" s="343"/>
      <c r="AZ58" s="289"/>
      <c r="BA58" s="289">
        <v>0</v>
      </c>
      <c r="BB58" s="289">
        <v>0</v>
      </c>
      <c r="BC58" s="289" t="s">
        <v>873</v>
      </c>
      <c r="BD58" s="289"/>
      <c r="BE58" s="289"/>
      <c r="BF58" s="289"/>
      <c r="BG58" s="289"/>
      <c r="BH58" s="289"/>
      <c r="BI58" s="289"/>
      <c r="BJ58" s="289"/>
      <c r="BK58" s="289"/>
      <c r="BL58" s="289"/>
      <c r="BM58" s="289"/>
      <c r="BN58" s="289"/>
    </row>
    <row r="59" spans="1:66" ht="24.75" customHeight="1" x14ac:dyDescent="0.2">
      <c r="A59" s="289">
        <f t="shared" si="50"/>
        <v>55</v>
      </c>
      <c r="B59" s="289" t="s">
        <v>891</v>
      </c>
      <c r="C59" s="290">
        <v>43901</v>
      </c>
      <c r="D59" s="289" t="s">
        <v>676</v>
      </c>
      <c r="E59" s="291" t="s">
        <v>892</v>
      </c>
      <c r="F59" s="289" t="s">
        <v>175</v>
      </c>
      <c r="G59" s="289">
        <v>8668915945</v>
      </c>
      <c r="H59" s="289" t="s">
        <v>893</v>
      </c>
      <c r="I59" s="289">
        <v>3</v>
      </c>
      <c r="J59" s="295">
        <v>26.31</v>
      </c>
      <c r="K59" s="295">
        <v>283</v>
      </c>
      <c r="L59" s="295">
        <v>0</v>
      </c>
      <c r="M59" s="295">
        <v>10.52</v>
      </c>
      <c r="N59" s="295">
        <v>0</v>
      </c>
      <c r="O59" s="295">
        <v>396</v>
      </c>
      <c r="P59" s="353">
        <f>O59*150%</f>
        <v>594</v>
      </c>
      <c r="Q59" s="289">
        <v>11000</v>
      </c>
      <c r="R59" s="293">
        <v>6534000</v>
      </c>
      <c r="S59" s="297">
        <v>0</v>
      </c>
      <c r="T59" s="297">
        <v>70000</v>
      </c>
      <c r="U59" s="293">
        <v>6604000</v>
      </c>
      <c r="V59" s="293">
        <v>0</v>
      </c>
      <c r="W59" s="293">
        <v>0</v>
      </c>
      <c r="X59" s="293">
        <v>148500</v>
      </c>
      <c r="Y59" s="293">
        <v>118800</v>
      </c>
      <c r="Z59" s="293">
        <v>89100</v>
      </c>
      <c r="AA59" s="293">
        <v>0</v>
      </c>
      <c r="AB59" s="293">
        <v>6960400</v>
      </c>
      <c r="AC59" s="297">
        <v>30000</v>
      </c>
      <c r="AD59" s="293">
        <v>835248</v>
      </c>
      <c r="AE59" s="293">
        <f t="shared" si="49"/>
        <v>42768</v>
      </c>
      <c r="AF59" s="293">
        <v>198200</v>
      </c>
      <c r="AG59" s="293">
        <v>6000</v>
      </c>
      <c r="AH59" s="293">
        <v>8029848</v>
      </c>
      <c r="AI59" s="338">
        <v>594360</v>
      </c>
      <c r="AJ59" s="342">
        <v>71323</v>
      </c>
      <c r="AK59" s="289"/>
      <c r="AL59" s="289">
        <v>1386840</v>
      </c>
      <c r="AM59" s="342">
        <v>166421</v>
      </c>
      <c r="AN59" s="345"/>
      <c r="AO59" s="289">
        <v>990600</v>
      </c>
      <c r="AP59" s="289">
        <v>118872</v>
      </c>
      <c r="AQ59" s="289"/>
      <c r="AR59" s="289">
        <v>330200</v>
      </c>
      <c r="AS59" s="289">
        <v>39624</v>
      </c>
      <c r="AT59" s="289"/>
      <c r="AU59" s="289" t="s">
        <v>679</v>
      </c>
      <c r="AV59" s="289" t="s">
        <v>894</v>
      </c>
      <c r="AW59" s="298" t="s">
        <v>732</v>
      </c>
      <c r="AX59" s="298" t="s">
        <v>895</v>
      </c>
      <c r="AY59" s="343">
        <v>0.03</v>
      </c>
      <c r="AZ59" s="289">
        <v>20000</v>
      </c>
      <c r="BA59" s="289">
        <v>0</v>
      </c>
      <c r="BB59" s="289">
        <v>0</v>
      </c>
      <c r="BC59" s="289" t="s">
        <v>873</v>
      </c>
      <c r="BD59" s="289"/>
      <c r="BE59" s="289"/>
      <c r="BF59" s="289"/>
      <c r="BG59" s="289"/>
      <c r="BH59" s="289"/>
      <c r="BI59" s="289"/>
      <c r="BJ59" s="289"/>
      <c r="BK59" s="289"/>
      <c r="BL59" s="289"/>
      <c r="BM59" s="289"/>
      <c r="BN59" s="289"/>
    </row>
    <row r="60" spans="1:66" ht="24.75" customHeight="1" x14ac:dyDescent="0.2">
      <c r="A60" s="289">
        <f t="shared" si="50"/>
        <v>56</v>
      </c>
      <c r="B60" s="289" t="s">
        <v>896</v>
      </c>
      <c r="C60" s="290">
        <v>44146</v>
      </c>
      <c r="D60" s="289" t="s">
        <v>676</v>
      </c>
      <c r="E60" s="291" t="s">
        <v>320</v>
      </c>
      <c r="F60" s="289" t="s">
        <v>175</v>
      </c>
      <c r="G60" s="289">
        <v>7722090184</v>
      </c>
      <c r="H60" s="289" t="s">
        <v>729</v>
      </c>
      <c r="I60" s="289">
        <v>21</v>
      </c>
      <c r="J60" s="295">
        <v>21.5</v>
      </c>
      <c r="K60" s="295">
        <v>231</v>
      </c>
      <c r="L60" s="295">
        <v>0</v>
      </c>
      <c r="M60" s="295">
        <v>0</v>
      </c>
      <c r="N60" s="295">
        <v>0</v>
      </c>
      <c r="O60" s="295">
        <v>231</v>
      </c>
      <c r="P60" s="289">
        <v>347</v>
      </c>
      <c r="Q60" s="289">
        <v>8750</v>
      </c>
      <c r="R60" s="293">
        <v>2036250</v>
      </c>
      <c r="S60" s="297">
        <v>0</v>
      </c>
      <c r="T60" s="297">
        <v>35000</v>
      </c>
      <c r="U60" s="293">
        <v>2071250</v>
      </c>
      <c r="V60" s="293">
        <v>0</v>
      </c>
      <c r="W60" s="293">
        <v>0</v>
      </c>
      <c r="X60" s="293">
        <v>86750</v>
      </c>
      <c r="Y60" s="293">
        <v>69400</v>
      </c>
      <c r="Z60" s="293">
        <v>52050</v>
      </c>
      <c r="AA60" s="293">
        <v>0</v>
      </c>
      <c r="AB60" s="293">
        <v>2279450</v>
      </c>
      <c r="AC60" s="297">
        <v>30000</v>
      </c>
      <c r="AD60" s="293">
        <v>273534</v>
      </c>
      <c r="AE60" s="293">
        <f t="shared" si="49"/>
        <v>24984</v>
      </c>
      <c r="AF60" s="293">
        <v>62200</v>
      </c>
      <c r="AG60" s="293">
        <v>6000</v>
      </c>
      <c r="AH60" s="293">
        <v>2651184</v>
      </c>
      <c r="AI60" s="338">
        <v>310688</v>
      </c>
      <c r="AJ60" s="342">
        <v>37283</v>
      </c>
      <c r="AK60" s="289"/>
      <c r="AL60" s="289">
        <v>310688</v>
      </c>
      <c r="AM60" s="342">
        <v>37283</v>
      </c>
      <c r="AN60" s="345"/>
      <c r="AO60" s="289">
        <v>310688</v>
      </c>
      <c r="AP60" s="289">
        <v>37283</v>
      </c>
      <c r="AQ60" s="289"/>
      <c r="AR60" s="289">
        <v>103563</v>
      </c>
      <c r="AS60" s="289">
        <v>12428</v>
      </c>
      <c r="AT60" s="289"/>
      <c r="AU60" s="289"/>
      <c r="AV60" s="289" t="s">
        <v>897</v>
      </c>
      <c r="AW60" s="298" t="s">
        <v>732</v>
      </c>
      <c r="AX60" s="298" t="s">
        <v>315</v>
      </c>
      <c r="AY60" s="343">
        <v>0.03</v>
      </c>
      <c r="AZ60" s="289">
        <v>20000</v>
      </c>
      <c r="BA60" s="289">
        <v>0</v>
      </c>
      <c r="BB60" s="289">
        <v>0</v>
      </c>
      <c r="BC60" s="289" t="s">
        <v>873</v>
      </c>
      <c r="BD60" s="289"/>
      <c r="BE60" s="289"/>
      <c r="BF60" s="289"/>
      <c r="BG60" s="289"/>
      <c r="BH60" s="289"/>
      <c r="BI60" s="289"/>
      <c r="BJ60" s="289"/>
      <c r="BK60" s="289"/>
      <c r="BL60" s="289"/>
      <c r="BM60" s="289"/>
      <c r="BN60" s="289"/>
    </row>
    <row r="61" spans="1:66" ht="24.75" customHeight="1" x14ac:dyDescent="0.2">
      <c r="A61" s="289">
        <f t="shared" si="50"/>
        <v>57</v>
      </c>
      <c r="B61" s="289" t="s">
        <v>896</v>
      </c>
      <c r="C61" s="290">
        <v>44146</v>
      </c>
      <c r="D61" s="289" t="s">
        <v>676</v>
      </c>
      <c r="E61" s="291" t="s">
        <v>311</v>
      </c>
      <c r="F61" s="289" t="s">
        <v>175</v>
      </c>
      <c r="G61" s="289">
        <v>9527192900</v>
      </c>
      <c r="H61" s="289" t="s">
        <v>729</v>
      </c>
      <c r="I61" s="289">
        <v>17</v>
      </c>
      <c r="J61" s="295">
        <v>24.06</v>
      </c>
      <c r="K61" s="295">
        <v>259</v>
      </c>
      <c r="L61" s="295">
        <v>0</v>
      </c>
      <c r="M61" s="295">
        <v>0</v>
      </c>
      <c r="N61" s="295">
        <v>0</v>
      </c>
      <c r="O61" s="295">
        <v>259</v>
      </c>
      <c r="P61" s="289">
        <v>389</v>
      </c>
      <c r="Q61" s="289">
        <v>9000</v>
      </c>
      <c r="R61" s="293">
        <v>3501000</v>
      </c>
      <c r="S61" s="297">
        <v>500000</v>
      </c>
      <c r="T61" s="297">
        <v>35000</v>
      </c>
      <c r="U61" s="293">
        <v>4036000</v>
      </c>
      <c r="V61" s="293">
        <v>0</v>
      </c>
      <c r="W61" s="293">
        <v>0</v>
      </c>
      <c r="X61" s="293">
        <v>97250</v>
      </c>
      <c r="Y61" s="293">
        <v>77800</v>
      </c>
      <c r="Z61" s="293">
        <v>58350</v>
      </c>
      <c r="AA61" s="293">
        <v>0</v>
      </c>
      <c r="AB61" s="293">
        <v>4269400</v>
      </c>
      <c r="AC61" s="297">
        <v>30000</v>
      </c>
      <c r="AD61" s="293">
        <v>512100</v>
      </c>
      <c r="AE61" s="293">
        <f t="shared" si="49"/>
        <v>28008</v>
      </c>
      <c r="AF61" s="293">
        <v>121100</v>
      </c>
      <c r="AG61" s="293">
        <v>6000</v>
      </c>
      <c r="AH61" s="293">
        <v>4938828</v>
      </c>
      <c r="AI61" s="338">
        <v>403600</v>
      </c>
      <c r="AJ61" s="342">
        <v>48432</v>
      </c>
      <c r="AK61" s="289"/>
      <c r="AL61" s="289">
        <v>807200</v>
      </c>
      <c r="AM61" s="342">
        <v>96864</v>
      </c>
      <c r="AN61" s="345"/>
      <c r="AO61" s="289">
        <v>605400</v>
      </c>
      <c r="AP61" s="289">
        <v>72648</v>
      </c>
      <c r="AQ61" s="289"/>
      <c r="AR61" s="289">
        <v>201800</v>
      </c>
      <c r="AS61" s="289">
        <v>24216</v>
      </c>
      <c r="AT61" s="289"/>
      <c r="AU61" s="289"/>
      <c r="AV61" s="289" t="s">
        <v>898</v>
      </c>
      <c r="AW61" s="298" t="s">
        <v>732</v>
      </c>
      <c r="AX61" s="298" t="s">
        <v>312</v>
      </c>
      <c r="AY61" s="343">
        <v>0.03</v>
      </c>
      <c r="AZ61" s="289">
        <v>20000</v>
      </c>
      <c r="BA61" s="289">
        <v>0</v>
      </c>
      <c r="BB61" s="289">
        <v>0</v>
      </c>
      <c r="BC61" s="289" t="s">
        <v>873</v>
      </c>
      <c r="BD61" s="289"/>
      <c r="BE61" s="289"/>
      <c r="BF61" s="289"/>
      <c r="BG61" s="289"/>
      <c r="BH61" s="289"/>
      <c r="BI61" s="289"/>
      <c r="BJ61" s="289"/>
      <c r="BK61" s="289"/>
      <c r="BL61" s="289"/>
      <c r="BM61" s="289"/>
      <c r="BN61" s="289"/>
    </row>
    <row r="62" spans="1:66" ht="24.75" customHeight="1" x14ac:dyDescent="0.2">
      <c r="A62" s="289">
        <f t="shared" si="50"/>
        <v>58</v>
      </c>
      <c r="B62" s="290">
        <v>44054</v>
      </c>
      <c r="C62" s="290">
        <v>44146</v>
      </c>
      <c r="D62" s="289" t="s">
        <v>676</v>
      </c>
      <c r="E62" s="291" t="s">
        <v>314</v>
      </c>
      <c r="F62" s="289" t="s">
        <v>175</v>
      </c>
      <c r="G62" s="289">
        <v>9822952229</v>
      </c>
      <c r="H62" s="289" t="s">
        <v>729</v>
      </c>
      <c r="I62" s="289">
        <v>18</v>
      </c>
      <c r="J62" s="295">
        <v>21.48</v>
      </c>
      <c r="K62" s="295">
        <v>231</v>
      </c>
      <c r="L62" s="295">
        <v>0</v>
      </c>
      <c r="M62" s="295">
        <v>0</v>
      </c>
      <c r="N62" s="295">
        <v>0</v>
      </c>
      <c r="O62" s="295">
        <v>231</v>
      </c>
      <c r="P62" s="289">
        <v>347</v>
      </c>
      <c r="Q62" s="289">
        <v>8627</v>
      </c>
      <c r="R62" s="293">
        <v>1992134</v>
      </c>
      <c r="S62" s="297">
        <v>0</v>
      </c>
      <c r="T62" s="297">
        <v>35000</v>
      </c>
      <c r="U62" s="293">
        <v>2027134</v>
      </c>
      <c r="V62" s="293">
        <v>0</v>
      </c>
      <c r="W62" s="293">
        <v>0</v>
      </c>
      <c r="X62" s="293">
        <v>86705</v>
      </c>
      <c r="Y62" s="293">
        <v>69364</v>
      </c>
      <c r="Z62" s="293">
        <v>52023</v>
      </c>
      <c r="AA62" s="293">
        <v>0</v>
      </c>
      <c r="AB62" s="293">
        <v>2235226</v>
      </c>
      <c r="AC62" s="297">
        <v>30000</v>
      </c>
      <c r="AD62" s="293">
        <v>208092</v>
      </c>
      <c r="AE62" s="293">
        <f t="shared" si="49"/>
        <v>24971.040000000001</v>
      </c>
      <c r="AF62" s="293">
        <v>60900</v>
      </c>
      <c r="AG62" s="293">
        <v>6000</v>
      </c>
      <c r="AH62" s="293">
        <v>2600354</v>
      </c>
      <c r="AI62" s="338">
        <v>202713</v>
      </c>
      <c r="AJ62" s="342">
        <v>24326</v>
      </c>
      <c r="AK62" s="289"/>
      <c r="AL62" s="289">
        <v>425698</v>
      </c>
      <c r="AM62" s="342">
        <v>51084</v>
      </c>
      <c r="AN62" s="345"/>
      <c r="AO62" s="289">
        <v>202713</v>
      </c>
      <c r="AP62" s="289">
        <v>24326</v>
      </c>
      <c r="AQ62" s="289"/>
      <c r="AR62" s="289">
        <v>182442</v>
      </c>
      <c r="AS62" s="289">
        <v>21893</v>
      </c>
      <c r="AT62" s="289"/>
      <c r="AU62" s="289"/>
      <c r="AV62" s="289" t="s">
        <v>899</v>
      </c>
      <c r="AW62" s="298" t="s">
        <v>732</v>
      </c>
      <c r="AX62" s="298" t="s">
        <v>315</v>
      </c>
      <c r="AY62" s="343">
        <v>0.03</v>
      </c>
      <c r="AZ62" s="289">
        <v>20000</v>
      </c>
      <c r="BA62" s="289">
        <v>0</v>
      </c>
      <c r="BB62" s="289">
        <v>0</v>
      </c>
      <c r="BC62" s="289" t="s">
        <v>873</v>
      </c>
      <c r="BD62" s="289"/>
      <c r="BE62" s="289"/>
      <c r="BF62" s="289"/>
      <c r="BG62" s="289"/>
      <c r="BH62" s="289"/>
      <c r="BI62" s="289"/>
      <c r="BJ62" s="289"/>
      <c r="BK62" s="289"/>
      <c r="BL62" s="289"/>
      <c r="BM62" s="289"/>
      <c r="BN62" s="289"/>
    </row>
    <row r="63" spans="1:66" ht="24.75" customHeight="1" x14ac:dyDescent="0.2">
      <c r="A63" s="289">
        <f t="shared" si="50"/>
        <v>59</v>
      </c>
      <c r="B63" s="290">
        <v>43994</v>
      </c>
      <c r="C63" s="289" t="s">
        <v>900</v>
      </c>
      <c r="D63" s="289" t="s">
        <v>676</v>
      </c>
      <c r="E63" s="291" t="s">
        <v>332</v>
      </c>
      <c r="F63" s="289" t="s">
        <v>175</v>
      </c>
      <c r="G63" s="289">
        <v>8007376622</v>
      </c>
      <c r="H63" s="289" t="s">
        <v>729</v>
      </c>
      <c r="I63" s="289">
        <v>28</v>
      </c>
      <c r="J63" s="295">
        <v>26.25</v>
      </c>
      <c r="K63" s="295">
        <v>283</v>
      </c>
      <c r="L63" s="295">
        <v>0</v>
      </c>
      <c r="M63" s="295">
        <v>0</v>
      </c>
      <c r="N63" s="295">
        <v>0</v>
      </c>
      <c r="O63" s="295">
        <v>283</v>
      </c>
      <c r="P63" s="289">
        <v>425</v>
      </c>
      <c r="Q63" s="289">
        <v>8700</v>
      </c>
      <c r="R63" s="293">
        <v>3693150</v>
      </c>
      <c r="S63" s="297">
        <v>0</v>
      </c>
      <c r="T63" s="297">
        <v>35000</v>
      </c>
      <c r="U63" s="293">
        <v>3728150</v>
      </c>
      <c r="V63" s="293">
        <v>0</v>
      </c>
      <c r="W63" s="293">
        <v>0</v>
      </c>
      <c r="X63" s="293">
        <v>106125</v>
      </c>
      <c r="Y63" s="293">
        <v>84900</v>
      </c>
      <c r="Z63" s="293">
        <v>63675</v>
      </c>
      <c r="AA63" s="293">
        <v>0</v>
      </c>
      <c r="AB63" s="293">
        <v>3982850</v>
      </c>
      <c r="AC63" s="297">
        <v>30000</v>
      </c>
      <c r="AD63" s="293">
        <v>477942</v>
      </c>
      <c r="AE63" s="293">
        <f t="shared" si="49"/>
        <v>30564</v>
      </c>
      <c r="AF63" s="293">
        <v>111900</v>
      </c>
      <c r="AG63" s="293">
        <v>6000</v>
      </c>
      <c r="AH63" s="293">
        <v>4608692</v>
      </c>
      <c r="AI63" s="338">
        <v>372815</v>
      </c>
      <c r="AJ63" s="342">
        <v>44738</v>
      </c>
      <c r="AK63" s="289"/>
      <c r="AL63" s="289">
        <v>745630</v>
      </c>
      <c r="AM63" s="342">
        <v>89476</v>
      </c>
      <c r="AN63" s="345"/>
      <c r="AO63" s="289">
        <v>559223</v>
      </c>
      <c r="AP63" s="289">
        <v>67107</v>
      </c>
      <c r="AQ63" s="289"/>
      <c r="AR63" s="289">
        <v>186408</v>
      </c>
      <c r="AS63" s="289">
        <v>22369</v>
      </c>
      <c r="AT63" s="289"/>
      <c r="AU63" s="289"/>
      <c r="AV63" s="289" t="s">
        <v>901</v>
      </c>
      <c r="AW63" s="298" t="s">
        <v>732</v>
      </c>
      <c r="AX63" s="298" t="s">
        <v>331</v>
      </c>
      <c r="AY63" s="343">
        <v>0.03</v>
      </c>
      <c r="AZ63" s="289">
        <v>20000</v>
      </c>
      <c r="BA63" s="289">
        <v>0</v>
      </c>
      <c r="BB63" s="289">
        <v>0</v>
      </c>
      <c r="BC63" s="289" t="s">
        <v>873</v>
      </c>
      <c r="BD63" s="289"/>
      <c r="BE63" s="289"/>
      <c r="BF63" s="289"/>
      <c r="BG63" s="289"/>
      <c r="BH63" s="289"/>
      <c r="BI63" s="289"/>
      <c r="BJ63" s="289"/>
      <c r="BK63" s="289"/>
      <c r="BL63" s="289"/>
      <c r="BM63" s="289"/>
      <c r="BN63" s="289"/>
    </row>
    <row r="64" spans="1:66" ht="24.75" customHeight="1" x14ac:dyDescent="0.2">
      <c r="A64" s="289">
        <f t="shared" si="50"/>
        <v>60</v>
      </c>
      <c r="B64" s="290" t="s">
        <v>902</v>
      </c>
      <c r="C64" s="290">
        <v>44317</v>
      </c>
      <c r="D64" s="289" t="s">
        <v>676</v>
      </c>
      <c r="E64" s="291" t="s">
        <v>903</v>
      </c>
      <c r="F64" s="289" t="s">
        <v>175</v>
      </c>
      <c r="G64" s="289">
        <v>8446466316</v>
      </c>
      <c r="H64" s="289" t="s">
        <v>729</v>
      </c>
      <c r="I64" s="289">
        <v>16</v>
      </c>
      <c r="J64" s="295">
        <v>25.71</v>
      </c>
      <c r="K64" s="295">
        <v>277</v>
      </c>
      <c r="L64" s="295">
        <v>0</v>
      </c>
      <c r="M64" s="295">
        <v>0</v>
      </c>
      <c r="N64" s="295">
        <v>0</v>
      </c>
      <c r="O64" s="295">
        <v>277</v>
      </c>
      <c r="P64" s="289">
        <v>416</v>
      </c>
      <c r="Q64" s="289">
        <v>9093</v>
      </c>
      <c r="R64" s="293">
        <v>3778142</v>
      </c>
      <c r="S64" s="297">
        <v>0</v>
      </c>
      <c r="T64" s="297">
        <v>35000</v>
      </c>
      <c r="U64" s="293">
        <v>3813142</v>
      </c>
      <c r="V64" s="293">
        <v>0</v>
      </c>
      <c r="W64" s="293">
        <v>0</v>
      </c>
      <c r="X64" s="293">
        <v>103875</v>
      </c>
      <c r="Y64" s="293">
        <v>83100</v>
      </c>
      <c r="Z64" s="293">
        <v>62325</v>
      </c>
      <c r="AA64" s="293">
        <v>0</v>
      </c>
      <c r="AB64" s="293">
        <v>4062442</v>
      </c>
      <c r="AC64" s="297">
        <v>30000</v>
      </c>
      <c r="AD64" s="293">
        <v>487492</v>
      </c>
      <c r="AE64" s="293">
        <f t="shared" si="49"/>
        <v>29916</v>
      </c>
      <c r="AF64" s="293">
        <v>114400</v>
      </c>
      <c r="AG64" s="293">
        <v>6000</v>
      </c>
      <c r="AH64" s="293">
        <v>4700334</v>
      </c>
      <c r="AI64" s="338">
        <v>381314</v>
      </c>
      <c r="AJ64" s="342">
        <v>45758</v>
      </c>
      <c r="AK64" s="289"/>
      <c r="AL64" s="289">
        <v>762628</v>
      </c>
      <c r="AM64" s="342">
        <v>91515</v>
      </c>
      <c r="AN64" s="345"/>
      <c r="AO64" s="289">
        <v>571971</v>
      </c>
      <c r="AP64" s="289">
        <v>68637</v>
      </c>
      <c r="AQ64" s="289"/>
      <c r="AR64" s="289">
        <v>190657</v>
      </c>
      <c r="AS64" s="289">
        <v>22879</v>
      </c>
      <c r="AT64" s="289"/>
      <c r="AU64" s="289"/>
      <c r="AV64" s="289" t="s">
        <v>904</v>
      </c>
      <c r="AW64" s="298" t="s">
        <v>732</v>
      </c>
      <c r="AX64" s="298" t="s">
        <v>97</v>
      </c>
      <c r="AY64" s="343">
        <v>0</v>
      </c>
      <c r="AZ64" s="289">
        <v>0</v>
      </c>
      <c r="BA64" s="289">
        <v>0</v>
      </c>
      <c r="BB64" s="289">
        <v>0</v>
      </c>
      <c r="BC64" s="289" t="s">
        <v>873</v>
      </c>
      <c r="BD64" s="289"/>
      <c r="BE64" s="289"/>
      <c r="BF64" s="289"/>
      <c r="BG64" s="289"/>
      <c r="BH64" s="289"/>
      <c r="BI64" s="289"/>
      <c r="BJ64" s="289"/>
      <c r="BK64" s="289"/>
      <c r="BL64" s="289"/>
      <c r="BM64" s="289"/>
      <c r="BN64" s="289"/>
    </row>
    <row r="65" spans="1:66" ht="24.75" customHeight="1" x14ac:dyDescent="0.2">
      <c r="A65" s="289">
        <f t="shared" si="50"/>
        <v>61</v>
      </c>
      <c r="B65" s="290" t="s">
        <v>905</v>
      </c>
      <c r="C65" s="289" t="s">
        <v>871</v>
      </c>
      <c r="D65" s="289" t="s">
        <v>676</v>
      </c>
      <c r="E65" s="291" t="s">
        <v>330</v>
      </c>
      <c r="F65" s="289" t="s">
        <v>175</v>
      </c>
      <c r="G65" s="289">
        <v>9822876286</v>
      </c>
      <c r="H65" s="289" t="s">
        <v>729</v>
      </c>
      <c r="I65" s="289">
        <v>27</v>
      </c>
      <c r="J65" s="295">
        <v>26.23</v>
      </c>
      <c r="K65" s="295">
        <v>282</v>
      </c>
      <c r="L65" s="295">
        <v>0</v>
      </c>
      <c r="M65" s="295">
        <v>0</v>
      </c>
      <c r="N65" s="295">
        <v>0</v>
      </c>
      <c r="O65" s="295">
        <v>282</v>
      </c>
      <c r="P65" s="289">
        <v>423</v>
      </c>
      <c r="Q65" s="289">
        <v>8716</v>
      </c>
      <c r="R65" s="293">
        <v>3686868</v>
      </c>
      <c r="S65" s="297">
        <v>0</v>
      </c>
      <c r="T65" s="297">
        <v>35000</v>
      </c>
      <c r="U65" s="293">
        <v>3721868</v>
      </c>
      <c r="V65" s="293">
        <v>0</v>
      </c>
      <c r="W65" s="293">
        <v>0</v>
      </c>
      <c r="X65" s="293">
        <v>105750</v>
      </c>
      <c r="Y65" s="293">
        <v>84600</v>
      </c>
      <c r="Z65" s="293">
        <v>63450</v>
      </c>
      <c r="AA65" s="293">
        <v>0</v>
      </c>
      <c r="AB65" s="293">
        <v>3975668</v>
      </c>
      <c r="AC65" s="297">
        <v>30000</v>
      </c>
      <c r="AD65" s="293">
        <v>477080</v>
      </c>
      <c r="AE65" s="293">
        <f t="shared" si="49"/>
        <v>30456</v>
      </c>
      <c r="AF65" s="293">
        <v>111700</v>
      </c>
      <c r="AG65" s="293">
        <v>6000</v>
      </c>
      <c r="AH65" s="293">
        <v>4600448</v>
      </c>
      <c r="AI65" s="338">
        <v>372187</v>
      </c>
      <c r="AJ65" s="342">
        <v>44662</v>
      </c>
      <c r="AK65" s="289"/>
      <c r="AL65" s="289">
        <v>744374</v>
      </c>
      <c r="AM65" s="342">
        <v>89325</v>
      </c>
      <c r="AN65" s="345"/>
      <c r="AO65" s="289">
        <v>558280</v>
      </c>
      <c r="AP65" s="289">
        <v>66994</v>
      </c>
      <c r="AQ65" s="289"/>
      <c r="AR65" s="289">
        <v>186093</v>
      </c>
      <c r="AS65" s="289">
        <v>22331</v>
      </c>
      <c r="AT65" s="289"/>
      <c r="AU65" s="289"/>
      <c r="AV65" s="289" t="s">
        <v>906</v>
      </c>
      <c r="AW65" s="298" t="s">
        <v>732</v>
      </c>
      <c r="AX65" s="298" t="s">
        <v>331</v>
      </c>
      <c r="AY65" s="343">
        <v>0.03</v>
      </c>
      <c r="AZ65" s="289">
        <v>20000</v>
      </c>
      <c r="BA65" s="289">
        <v>0</v>
      </c>
      <c r="BB65" s="289">
        <v>0</v>
      </c>
      <c r="BC65" s="289" t="s">
        <v>873</v>
      </c>
      <c r="BD65" s="289"/>
      <c r="BE65" s="289"/>
      <c r="BF65" s="289"/>
      <c r="BG65" s="289"/>
      <c r="BH65" s="289"/>
      <c r="BI65" s="289"/>
      <c r="BJ65" s="289"/>
      <c r="BK65" s="289"/>
      <c r="BL65" s="289"/>
      <c r="BM65" s="289"/>
      <c r="BN65" s="289"/>
    </row>
    <row r="66" spans="1:66" ht="24.75" customHeight="1" x14ac:dyDescent="0.2">
      <c r="A66" s="289">
        <f t="shared" si="50"/>
        <v>62</v>
      </c>
      <c r="B66" s="290" t="s">
        <v>907</v>
      </c>
      <c r="C66" s="289"/>
      <c r="D66" s="289" t="s">
        <v>676</v>
      </c>
      <c r="E66" s="291" t="s">
        <v>908</v>
      </c>
      <c r="F66" s="289" t="s">
        <v>175</v>
      </c>
      <c r="G66" s="289">
        <v>9765677860</v>
      </c>
      <c r="H66" s="289" t="s">
        <v>694</v>
      </c>
      <c r="I66" s="289">
        <v>16</v>
      </c>
      <c r="J66" s="295">
        <v>26.13</v>
      </c>
      <c r="K66" s="295">
        <v>281</v>
      </c>
      <c r="L66" s="295">
        <v>0</v>
      </c>
      <c r="M66" s="295">
        <v>0</v>
      </c>
      <c r="N66" s="295">
        <v>0</v>
      </c>
      <c r="O66" s="295">
        <v>281</v>
      </c>
      <c r="P66" s="289">
        <v>422</v>
      </c>
      <c r="Q66" s="289">
        <v>12600</v>
      </c>
      <c r="R66" s="293">
        <v>5310900</v>
      </c>
      <c r="S66" s="297">
        <v>500000</v>
      </c>
      <c r="T66" s="297">
        <v>35000</v>
      </c>
      <c r="U66" s="293">
        <v>5845900</v>
      </c>
      <c r="V66" s="293">
        <v>0</v>
      </c>
      <c r="W66" s="293">
        <v>0</v>
      </c>
      <c r="X66" s="293">
        <v>105375</v>
      </c>
      <c r="Y66" s="293">
        <v>84300</v>
      </c>
      <c r="Z66" s="293">
        <v>63225</v>
      </c>
      <c r="AA66" s="293">
        <v>0</v>
      </c>
      <c r="AB66" s="293">
        <v>6098800</v>
      </c>
      <c r="AC66" s="297">
        <v>30000</v>
      </c>
      <c r="AD66" s="293">
        <v>731856</v>
      </c>
      <c r="AE66" s="293">
        <f t="shared" si="49"/>
        <v>30348</v>
      </c>
      <c r="AF66" s="293">
        <v>175400</v>
      </c>
      <c r="AG66" s="293">
        <v>6000</v>
      </c>
      <c r="AH66" s="293">
        <v>7042056</v>
      </c>
      <c r="AI66" s="338">
        <v>993803</v>
      </c>
      <c r="AJ66" s="342">
        <v>119256</v>
      </c>
      <c r="AK66" s="289"/>
      <c r="AL66" s="289">
        <v>759967</v>
      </c>
      <c r="AM66" s="342">
        <v>91196</v>
      </c>
      <c r="AN66" s="345"/>
      <c r="AO66" s="289">
        <v>876885</v>
      </c>
      <c r="AP66" s="289">
        <v>105226</v>
      </c>
      <c r="AQ66" s="289"/>
      <c r="AR66" s="289">
        <v>292295</v>
      </c>
      <c r="AS66" s="289">
        <v>35075</v>
      </c>
      <c r="AT66" s="289"/>
      <c r="AU66" s="289"/>
      <c r="AV66" s="289" t="s">
        <v>909</v>
      </c>
      <c r="AW66" s="298" t="s">
        <v>732</v>
      </c>
      <c r="AX66" s="298" t="s">
        <v>97</v>
      </c>
      <c r="AY66" s="343">
        <v>0</v>
      </c>
      <c r="AZ66" s="289">
        <v>0</v>
      </c>
      <c r="BA66" s="289">
        <v>0</v>
      </c>
      <c r="BB66" s="289">
        <v>0</v>
      </c>
      <c r="BC66" s="289" t="s">
        <v>873</v>
      </c>
      <c r="BD66" s="289"/>
      <c r="BE66" s="289"/>
      <c r="BF66" s="289"/>
      <c r="BG66" s="289"/>
      <c r="BH66" s="289"/>
      <c r="BI66" s="289"/>
      <c r="BJ66" s="289"/>
      <c r="BK66" s="289"/>
      <c r="BL66" s="289"/>
      <c r="BM66" s="289"/>
      <c r="BN66" s="289"/>
    </row>
    <row r="67" spans="1:66" ht="15.75" customHeight="1" x14ac:dyDescent="0.25">
      <c r="A67" s="289">
        <f t="shared" si="50"/>
        <v>63</v>
      </c>
      <c r="B67" s="354" t="s">
        <v>910</v>
      </c>
      <c r="C67" s="354" t="s">
        <v>911</v>
      </c>
      <c r="D67" s="354" t="s">
        <v>676</v>
      </c>
      <c r="E67" s="355" t="s">
        <v>328</v>
      </c>
      <c r="F67" s="354" t="s">
        <v>175</v>
      </c>
      <c r="G67" s="354">
        <v>9920050638</v>
      </c>
      <c r="H67" s="354" t="s">
        <v>729</v>
      </c>
      <c r="I67" s="354">
        <v>25</v>
      </c>
      <c r="J67" s="356">
        <v>17.68</v>
      </c>
      <c r="K67" s="356">
        <v>190</v>
      </c>
      <c r="L67" s="356">
        <v>0</v>
      </c>
      <c r="M67" s="356">
        <v>0</v>
      </c>
      <c r="N67" s="356">
        <v>0</v>
      </c>
      <c r="O67" s="356">
        <v>190</v>
      </c>
      <c r="P67" s="356">
        <v>285</v>
      </c>
      <c r="Q67" s="354">
        <v>8500</v>
      </c>
      <c r="R67" s="357">
        <v>2457500</v>
      </c>
      <c r="S67" s="357">
        <v>0</v>
      </c>
      <c r="T67" s="358">
        <v>35000</v>
      </c>
      <c r="U67" s="358">
        <v>2457500</v>
      </c>
      <c r="V67" s="358">
        <v>0</v>
      </c>
      <c r="W67" s="358">
        <v>0</v>
      </c>
      <c r="X67" s="358">
        <v>71250</v>
      </c>
      <c r="Y67" s="358">
        <v>57000</v>
      </c>
      <c r="Z67" s="358">
        <v>42750</v>
      </c>
      <c r="AA67" s="358">
        <v>0</v>
      </c>
      <c r="AB67" s="358">
        <v>2628500</v>
      </c>
      <c r="AC67" s="358">
        <v>30000</v>
      </c>
      <c r="AD67" s="358">
        <v>315420</v>
      </c>
      <c r="AE67" s="358">
        <f t="shared" si="49"/>
        <v>20520</v>
      </c>
      <c r="AF67" s="358">
        <v>73800</v>
      </c>
      <c r="AG67" s="358">
        <v>6000</v>
      </c>
      <c r="AH67" s="358">
        <v>3053720</v>
      </c>
      <c r="AI67" s="358">
        <v>122875</v>
      </c>
      <c r="AJ67" s="358">
        <v>14745</v>
      </c>
      <c r="AK67" s="359"/>
      <c r="AL67" s="358">
        <v>368625</v>
      </c>
      <c r="AM67" s="358">
        <v>44235</v>
      </c>
      <c r="AN67" s="354"/>
      <c r="AO67" s="354">
        <v>245750</v>
      </c>
      <c r="AP67" s="354">
        <v>29490</v>
      </c>
      <c r="AQ67" s="354"/>
      <c r="AR67" s="354">
        <v>491500</v>
      </c>
      <c r="AS67" s="354">
        <v>58980</v>
      </c>
      <c r="AT67" s="354"/>
      <c r="AU67" s="354"/>
      <c r="AV67" s="354" t="s">
        <v>912</v>
      </c>
      <c r="AW67" s="354" t="s">
        <v>732</v>
      </c>
      <c r="AX67" s="354" t="s">
        <v>884</v>
      </c>
      <c r="AY67" s="360">
        <v>0</v>
      </c>
      <c r="AZ67" s="354">
        <v>0</v>
      </c>
      <c r="BA67" s="354">
        <v>0</v>
      </c>
      <c r="BB67" s="354">
        <v>0</v>
      </c>
      <c r="BC67" s="354" t="s">
        <v>873</v>
      </c>
      <c r="BD67" s="354"/>
      <c r="BE67" s="361"/>
      <c r="BF67" s="361"/>
      <c r="BG67" s="361"/>
      <c r="BH67" s="361"/>
      <c r="BI67" s="361"/>
      <c r="BJ67" s="361"/>
      <c r="BK67" s="361"/>
      <c r="BL67" s="361"/>
      <c r="BM67" s="361"/>
      <c r="BN67" s="361"/>
    </row>
    <row r="68" spans="1:66" ht="24.75" customHeight="1" x14ac:dyDescent="0.2">
      <c r="A68" s="289">
        <f t="shared" si="50"/>
        <v>64</v>
      </c>
      <c r="B68" s="290" t="s">
        <v>913</v>
      </c>
      <c r="C68" s="289" t="s">
        <v>914</v>
      </c>
      <c r="D68" s="289" t="s">
        <v>676</v>
      </c>
      <c r="E68" s="291" t="s">
        <v>915</v>
      </c>
      <c r="F68" s="289" t="s">
        <v>175</v>
      </c>
      <c r="G68" s="289">
        <v>9881731955</v>
      </c>
      <c r="H68" s="289" t="s">
        <v>677</v>
      </c>
      <c r="I68" s="289">
        <v>25</v>
      </c>
      <c r="J68" s="295">
        <v>17.68</v>
      </c>
      <c r="K68" s="295">
        <v>190</v>
      </c>
      <c r="L68" s="295">
        <v>0</v>
      </c>
      <c r="M68" s="295">
        <v>0</v>
      </c>
      <c r="N68" s="295">
        <v>0</v>
      </c>
      <c r="O68" s="295">
        <v>190</v>
      </c>
      <c r="P68" s="289">
        <v>285</v>
      </c>
      <c r="Q68" s="289">
        <v>11500</v>
      </c>
      <c r="R68" s="293" t="s">
        <v>916</v>
      </c>
      <c r="S68" s="297">
        <v>0</v>
      </c>
      <c r="T68" s="297">
        <v>35000</v>
      </c>
      <c r="U68" s="293">
        <v>3312500</v>
      </c>
      <c r="V68" s="293">
        <v>0</v>
      </c>
      <c r="W68" s="293">
        <v>0</v>
      </c>
      <c r="X68" s="293">
        <v>71250</v>
      </c>
      <c r="Y68" s="293">
        <v>57000</v>
      </c>
      <c r="Z68" s="293">
        <v>42750</v>
      </c>
      <c r="AA68" s="293">
        <v>0</v>
      </c>
      <c r="AB68" s="293">
        <v>3483500</v>
      </c>
      <c r="AC68" s="297">
        <v>30000</v>
      </c>
      <c r="AD68" s="293">
        <v>418020</v>
      </c>
      <c r="AE68" s="293">
        <f t="shared" si="49"/>
        <v>20520</v>
      </c>
      <c r="AF68" s="293">
        <v>99400</v>
      </c>
      <c r="AG68" s="293">
        <v>6000</v>
      </c>
      <c r="AH68" s="293">
        <v>4036920</v>
      </c>
      <c r="AI68" s="338">
        <v>331250</v>
      </c>
      <c r="AJ68" s="342">
        <v>39750</v>
      </c>
      <c r="AK68" s="289"/>
      <c r="AL68" s="289">
        <v>662500</v>
      </c>
      <c r="AM68" s="342">
        <v>79500</v>
      </c>
      <c r="AN68" s="345"/>
      <c r="AO68" s="289">
        <v>496875</v>
      </c>
      <c r="AP68" s="289">
        <v>59625</v>
      </c>
      <c r="AQ68" s="289"/>
      <c r="AR68" s="289">
        <v>165625</v>
      </c>
      <c r="AS68" s="289">
        <v>19875</v>
      </c>
      <c r="AT68" s="289"/>
      <c r="AU68" s="289"/>
      <c r="AV68" s="289" t="s">
        <v>917</v>
      </c>
      <c r="AW68" s="298" t="s">
        <v>732</v>
      </c>
      <c r="AX68" s="298" t="s">
        <v>918</v>
      </c>
      <c r="AY68" s="343">
        <v>0.03</v>
      </c>
      <c r="AZ68" s="289">
        <v>20000</v>
      </c>
      <c r="BA68" s="289">
        <v>0</v>
      </c>
      <c r="BB68" s="289">
        <v>0</v>
      </c>
      <c r="BC68" s="289" t="s">
        <v>873</v>
      </c>
      <c r="BD68" s="289"/>
      <c r="BE68" s="289"/>
      <c r="BF68" s="289"/>
      <c r="BG68" s="289"/>
      <c r="BH68" s="289"/>
      <c r="BI68" s="289"/>
      <c r="BJ68" s="289"/>
      <c r="BK68" s="289"/>
      <c r="BL68" s="289"/>
      <c r="BM68" s="289"/>
      <c r="BN68" s="289"/>
    </row>
    <row r="69" spans="1:66" ht="24.75" customHeight="1" x14ac:dyDescent="0.2">
      <c r="A69" s="289">
        <f t="shared" si="50"/>
        <v>65</v>
      </c>
      <c r="B69" s="290" t="s">
        <v>913</v>
      </c>
      <c r="C69" s="289" t="s">
        <v>914</v>
      </c>
      <c r="D69" s="289" t="s">
        <v>676</v>
      </c>
      <c r="E69" s="291" t="s">
        <v>254</v>
      </c>
      <c r="F69" s="289" t="s">
        <v>175</v>
      </c>
      <c r="G69" s="289">
        <v>9881731955</v>
      </c>
      <c r="H69" s="289" t="s">
        <v>677</v>
      </c>
      <c r="I69" s="289">
        <v>24</v>
      </c>
      <c r="J69" s="295">
        <v>17.64</v>
      </c>
      <c r="K69" s="295">
        <v>190</v>
      </c>
      <c r="L69" s="295">
        <v>0</v>
      </c>
      <c r="M69" s="295">
        <v>0</v>
      </c>
      <c r="N69" s="295">
        <v>0</v>
      </c>
      <c r="O69" s="295">
        <v>190</v>
      </c>
      <c r="P69" s="289">
        <v>285</v>
      </c>
      <c r="Q69" s="293">
        <f t="shared" ref="Q69:Q71" si="51">R69/P69</f>
        <v>11500</v>
      </c>
      <c r="R69" s="293">
        <v>3277500</v>
      </c>
      <c r="S69" s="297">
        <v>0</v>
      </c>
      <c r="T69" s="297">
        <v>35000</v>
      </c>
      <c r="U69" s="293">
        <v>3312500</v>
      </c>
      <c r="V69" s="293">
        <v>0</v>
      </c>
      <c r="W69" s="293">
        <v>0</v>
      </c>
      <c r="X69" s="293">
        <v>71250</v>
      </c>
      <c r="Y69" s="293">
        <v>57000</v>
      </c>
      <c r="Z69" s="293">
        <v>42750</v>
      </c>
      <c r="AA69" s="293">
        <v>0</v>
      </c>
      <c r="AB69" s="293">
        <v>3483500</v>
      </c>
      <c r="AC69" s="297">
        <v>30000</v>
      </c>
      <c r="AD69" s="293">
        <v>418020</v>
      </c>
      <c r="AE69" s="293">
        <f t="shared" si="49"/>
        <v>20520</v>
      </c>
      <c r="AF69" s="293">
        <v>99400</v>
      </c>
      <c r="AG69" s="293">
        <v>6000</v>
      </c>
      <c r="AH69" s="293">
        <v>4036920</v>
      </c>
      <c r="AI69" s="338">
        <v>331250</v>
      </c>
      <c r="AJ69" s="342">
        <v>39750</v>
      </c>
      <c r="AK69" s="289"/>
      <c r="AL69" s="289">
        <v>662500</v>
      </c>
      <c r="AM69" s="342">
        <v>79500</v>
      </c>
      <c r="AN69" s="345"/>
      <c r="AO69" s="289">
        <v>496875</v>
      </c>
      <c r="AP69" s="289">
        <v>59625</v>
      </c>
      <c r="AQ69" s="289"/>
      <c r="AR69" s="289">
        <v>165625</v>
      </c>
      <c r="AS69" s="289">
        <v>19875</v>
      </c>
      <c r="AT69" s="289"/>
      <c r="AU69" s="289"/>
      <c r="AV69" s="289" t="s">
        <v>919</v>
      </c>
      <c r="AW69" s="298" t="s">
        <v>732</v>
      </c>
      <c r="AX69" s="298" t="s">
        <v>918</v>
      </c>
      <c r="AY69" s="343">
        <v>0.03</v>
      </c>
      <c r="AZ69" s="289">
        <v>20000</v>
      </c>
      <c r="BA69" s="289">
        <v>0</v>
      </c>
      <c r="BB69" s="289">
        <v>0</v>
      </c>
      <c r="BC69" s="289" t="s">
        <v>873</v>
      </c>
      <c r="BD69" s="289"/>
      <c r="BE69" s="289"/>
      <c r="BF69" s="289"/>
      <c r="BG69" s="289"/>
      <c r="BH69" s="289"/>
      <c r="BI69" s="289"/>
      <c r="BJ69" s="289"/>
      <c r="BK69" s="289"/>
      <c r="BL69" s="289"/>
      <c r="BM69" s="289"/>
      <c r="BN69" s="289"/>
    </row>
    <row r="70" spans="1:66" ht="24.75" customHeight="1" x14ac:dyDescent="0.2">
      <c r="A70" s="289">
        <f t="shared" si="50"/>
        <v>66</v>
      </c>
      <c r="B70" s="290" t="s">
        <v>920</v>
      </c>
      <c r="C70" s="290">
        <v>44198</v>
      </c>
      <c r="D70" s="289" t="s">
        <v>676</v>
      </c>
      <c r="E70" s="291" t="s">
        <v>921</v>
      </c>
      <c r="F70" s="289" t="s">
        <v>175</v>
      </c>
      <c r="G70" s="289">
        <v>9890815248</v>
      </c>
      <c r="H70" s="289" t="s">
        <v>677</v>
      </c>
      <c r="I70" s="289">
        <v>28</v>
      </c>
      <c r="J70" s="295">
        <v>26.25</v>
      </c>
      <c r="K70" s="295">
        <v>283</v>
      </c>
      <c r="L70" s="295">
        <v>0</v>
      </c>
      <c r="M70" s="295">
        <v>0</v>
      </c>
      <c r="N70" s="295">
        <v>0</v>
      </c>
      <c r="O70" s="295">
        <v>283</v>
      </c>
      <c r="P70" s="289">
        <v>425</v>
      </c>
      <c r="Q70" s="293">
        <f t="shared" si="51"/>
        <v>8764.6776470588229</v>
      </c>
      <c r="R70" s="293">
        <v>3724988</v>
      </c>
      <c r="S70" s="297">
        <v>0</v>
      </c>
      <c r="T70" s="297">
        <v>0</v>
      </c>
      <c r="U70" s="293">
        <v>3724988</v>
      </c>
      <c r="V70" s="293">
        <v>0</v>
      </c>
      <c r="W70" s="293">
        <v>0</v>
      </c>
      <c r="X70" s="293">
        <v>106125</v>
      </c>
      <c r="Y70" s="293">
        <v>84900</v>
      </c>
      <c r="Z70" s="293">
        <v>63675</v>
      </c>
      <c r="AA70" s="293">
        <v>0</v>
      </c>
      <c r="AB70" s="293">
        <v>3979688</v>
      </c>
      <c r="AC70" s="297">
        <v>30000</v>
      </c>
      <c r="AD70" s="293">
        <v>477562</v>
      </c>
      <c r="AE70" s="293">
        <f t="shared" si="49"/>
        <v>30564</v>
      </c>
      <c r="AF70" s="293">
        <v>149000</v>
      </c>
      <c r="AG70" s="293">
        <v>6000</v>
      </c>
      <c r="AH70" s="293">
        <v>4642250</v>
      </c>
      <c r="AI70" s="338">
        <v>372499</v>
      </c>
      <c r="AJ70" s="342">
        <v>44700</v>
      </c>
      <c r="AK70" s="289"/>
      <c r="AL70" s="289">
        <v>744998</v>
      </c>
      <c r="AM70" s="342">
        <v>89400</v>
      </c>
      <c r="AN70" s="345"/>
      <c r="AO70" s="289">
        <v>558748</v>
      </c>
      <c r="AP70" s="289">
        <v>67050</v>
      </c>
      <c r="AQ70" s="289"/>
      <c r="AR70" s="289">
        <v>186249</v>
      </c>
      <c r="AS70" s="289">
        <v>22350</v>
      </c>
      <c r="AT70" s="289"/>
      <c r="AU70" s="289"/>
      <c r="AV70" s="289" t="s">
        <v>922</v>
      </c>
      <c r="AW70" s="298" t="s">
        <v>732</v>
      </c>
      <c r="AX70" s="298" t="s">
        <v>315</v>
      </c>
      <c r="AY70" s="343">
        <v>0.03</v>
      </c>
      <c r="AZ70" s="289">
        <v>20000</v>
      </c>
      <c r="BA70" s="289">
        <v>0</v>
      </c>
      <c r="BB70" s="289">
        <v>0</v>
      </c>
      <c r="BC70" s="289" t="s">
        <v>873</v>
      </c>
      <c r="BD70" s="289"/>
      <c r="BE70" s="289"/>
      <c r="BF70" s="289"/>
      <c r="BG70" s="289"/>
      <c r="BH70" s="289"/>
      <c r="BI70" s="289"/>
      <c r="BJ70" s="289"/>
      <c r="BK70" s="289"/>
      <c r="BL70" s="289"/>
      <c r="BM70" s="289"/>
      <c r="BN70" s="289"/>
    </row>
    <row r="71" spans="1:66" ht="15.75" customHeight="1" x14ac:dyDescent="0.25">
      <c r="A71" s="289">
        <f t="shared" si="50"/>
        <v>67</v>
      </c>
      <c r="B71" s="354" t="s">
        <v>923</v>
      </c>
      <c r="C71" s="362">
        <v>44350</v>
      </c>
      <c r="D71" s="289" t="s">
        <v>676</v>
      </c>
      <c r="E71" s="355" t="s">
        <v>261</v>
      </c>
      <c r="F71" s="354" t="s">
        <v>175</v>
      </c>
      <c r="G71" s="354">
        <v>9011021400</v>
      </c>
      <c r="H71" s="354" t="s">
        <v>677</v>
      </c>
      <c r="I71" s="354">
        <v>27</v>
      </c>
      <c r="J71" s="356">
        <v>26.23</v>
      </c>
      <c r="K71" s="356">
        <v>282</v>
      </c>
      <c r="L71" s="356">
        <v>0</v>
      </c>
      <c r="M71" s="356">
        <v>0</v>
      </c>
      <c r="N71" s="356">
        <v>0</v>
      </c>
      <c r="O71" s="356">
        <v>282</v>
      </c>
      <c r="P71" s="356">
        <f>K71*150%</f>
        <v>423</v>
      </c>
      <c r="Q71" s="358">
        <f t="shared" si="51"/>
        <v>12110</v>
      </c>
      <c r="R71" s="357">
        <v>5122530</v>
      </c>
      <c r="S71" s="357">
        <v>0</v>
      </c>
      <c r="T71" s="358">
        <v>35000</v>
      </c>
      <c r="U71" s="358">
        <v>5157530</v>
      </c>
      <c r="V71" s="358">
        <v>0</v>
      </c>
      <c r="W71" s="358">
        <v>0</v>
      </c>
      <c r="X71" s="358">
        <v>105750</v>
      </c>
      <c r="Y71" s="358">
        <v>84600</v>
      </c>
      <c r="Z71" s="358">
        <v>63450</v>
      </c>
      <c r="AA71" s="358">
        <v>0</v>
      </c>
      <c r="AB71" s="358">
        <v>5411330</v>
      </c>
      <c r="AC71" s="358">
        <v>30000</v>
      </c>
      <c r="AD71" s="358">
        <v>649360</v>
      </c>
      <c r="AE71" s="358">
        <f t="shared" si="49"/>
        <v>30456</v>
      </c>
      <c r="AF71" s="358">
        <v>206400</v>
      </c>
      <c r="AG71" s="358">
        <v>6000</v>
      </c>
      <c r="AH71" s="358">
        <v>6303090</v>
      </c>
      <c r="AI71" s="358">
        <v>515753</v>
      </c>
      <c r="AJ71" s="358">
        <v>61890</v>
      </c>
      <c r="AK71" s="359"/>
      <c r="AL71" s="358">
        <v>1031506</v>
      </c>
      <c r="AM71" s="358">
        <v>123781</v>
      </c>
      <c r="AN71" s="354"/>
      <c r="AO71" s="354">
        <v>773630</v>
      </c>
      <c r="AP71" s="354">
        <v>92836</v>
      </c>
      <c r="AQ71" s="354"/>
      <c r="AR71" s="354">
        <v>257877</v>
      </c>
      <c r="AS71" s="354">
        <v>30945</v>
      </c>
      <c r="AT71" s="354"/>
      <c r="AU71" s="354"/>
      <c r="AV71" s="354" t="s">
        <v>924</v>
      </c>
      <c r="AW71" s="354" t="s">
        <v>732</v>
      </c>
      <c r="AX71" s="354" t="s">
        <v>925</v>
      </c>
      <c r="AY71" s="360">
        <v>0.03</v>
      </c>
      <c r="AZ71" s="354">
        <v>20000</v>
      </c>
      <c r="BA71" s="354">
        <v>0</v>
      </c>
      <c r="BB71" s="354">
        <v>0</v>
      </c>
      <c r="BC71" s="354" t="s">
        <v>873</v>
      </c>
      <c r="BD71" s="354"/>
      <c r="BE71" s="361"/>
      <c r="BF71" s="361"/>
      <c r="BG71" s="361"/>
      <c r="BH71" s="361"/>
      <c r="BI71" s="361"/>
      <c r="BJ71" s="361"/>
      <c r="BK71" s="361"/>
      <c r="BL71" s="361"/>
      <c r="BM71" s="361"/>
      <c r="BN71" s="361"/>
    </row>
    <row r="72" spans="1:66" ht="15.75" customHeight="1" x14ac:dyDescent="0.2"/>
    <row r="73" spans="1:66" ht="15.75" customHeight="1" x14ac:dyDescent="0.2">
      <c r="A73" s="289">
        <v>68</v>
      </c>
      <c r="B73" s="289" t="s">
        <v>926</v>
      </c>
      <c r="C73" s="289" t="s">
        <v>927</v>
      </c>
      <c r="D73" s="289" t="s">
        <v>676</v>
      </c>
      <c r="E73" s="291" t="s">
        <v>928</v>
      </c>
      <c r="F73" s="354" t="s">
        <v>175</v>
      </c>
      <c r="G73" s="289">
        <v>8087042550</v>
      </c>
      <c r="H73" s="289" t="s">
        <v>800</v>
      </c>
      <c r="I73" s="289">
        <v>15</v>
      </c>
      <c r="J73" s="295">
        <v>17.13</v>
      </c>
      <c r="K73" s="292">
        <f>J73*10.764</f>
        <v>184.38731999999999</v>
      </c>
      <c r="L73" s="295">
        <v>0</v>
      </c>
      <c r="M73" s="292">
        <f>5.95*10.764</f>
        <v>64.0458</v>
      </c>
      <c r="N73" s="295">
        <v>0</v>
      </c>
      <c r="O73" s="292">
        <f>K73+M73</f>
        <v>248.43311999999997</v>
      </c>
      <c r="P73" s="353">
        <f t="shared" ref="P73:P82" si="52">O73*150%</f>
        <v>372.64967999999999</v>
      </c>
      <c r="Q73" s="363">
        <v>11500</v>
      </c>
      <c r="R73" s="295">
        <v>4278000</v>
      </c>
      <c r="S73" s="357">
        <v>0</v>
      </c>
      <c r="T73" s="358">
        <v>35000</v>
      </c>
      <c r="U73" s="293">
        <v>4813000</v>
      </c>
      <c r="V73" s="293">
        <v>0</v>
      </c>
      <c r="W73" s="293">
        <v>0</v>
      </c>
      <c r="X73" s="358">
        <v>93000</v>
      </c>
      <c r="Y73" s="358">
        <v>74400</v>
      </c>
      <c r="Z73" s="358">
        <v>55800</v>
      </c>
      <c r="AA73" s="293">
        <v>0</v>
      </c>
      <c r="AB73" s="358">
        <v>5036200</v>
      </c>
      <c r="AC73" s="358">
        <v>30000</v>
      </c>
      <c r="AD73" s="293">
        <v>604344</v>
      </c>
      <c r="AE73" s="293"/>
      <c r="AF73" s="293">
        <v>192600</v>
      </c>
      <c r="AG73" s="358">
        <v>6000</v>
      </c>
      <c r="AH73" s="293">
        <v>5869144</v>
      </c>
      <c r="AI73" s="293">
        <f t="shared" ref="AI73:AI82" si="53">U73*9%</f>
        <v>433170</v>
      </c>
      <c r="AJ73" s="293">
        <f t="shared" ref="AJ73:AJ82" si="54">AI73*12%</f>
        <v>51980.4</v>
      </c>
      <c r="AK73" s="293"/>
      <c r="AL73" s="293">
        <f t="shared" ref="AL73:AL82" si="55">U73*21%</f>
        <v>1010730</v>
      </c>
      <c r="AM73" s="293">
        <f t="shared" ref="AM73:AM82" si="56">AL73*12%</f>
        <v>121287.59999999999</v>
      </c>
      <c r="AN73" s="289"/>
      <c r="AO73" s="293">
        <f t="shared" ref="AO73:AO82" si="57">U73*15%</f>
        <v>721950</v>
      </c>
      <c r="AP73" s="293">
        <f t="shared" ref="AP73:AP82" si="58">AO73*12%</f>
        <v>86634</v>
      </c>
      <c r="AQ73" s="289"/>
      <c r="AR73" s="293">
        <f t="shared" ref="AR73:AR82" si="59">U73*5%</f>
        <v>240650</v>
      </c>
      <c r="AS73" s="293">
        <f t="shared" ref="AS73:AS82" si="60">AR73*12%</f>
        <v>28878</v>
      </c>
      <c r="AT73" s="289"/>
      <c r="AU73" s="289"/>
      <c r="AV73" s="289" t="s">
        <v>929</v>
      </c>
      <c r="AW73" s="354" t="s">
        <v>732</v>
      </c>
      <c r="AX73" s="364" t="s">
        <v>382</v>
      </c>
      <c r="AY73" s="360">
        <v>0</v>
      </c>
      <c r="AZ73" s="354">
        <v>0</v>
      </c>
      <c r="BA73" s="354">
        <v>0</v>
      </c>
      <c r="BB73" s="354">
        <v>0</v>
      </c>
      <c r="BC73" s="354" t="s">
        <v>873</v>
      </c>
      <c r="BD73" s="289"/>
      <c r="BE73" s="289"/>
      <c r="BF73" s="289"/>
      <c r="BG73" s="289"/>
      <c r="BH73" s="289"/>
      <c r="BI73" s="289"/>
      <c r="BJ73" s="289"/>
      <c r="BK73" s="289"/>
      <c r="BL73" s="289"/>
      <c r="BM73" s="289"/>
      <c r="BN73" s="289"/>
    </row>
    <row r="74" spans="1:66" ht="15.75" customHeight="1" x14ac:dyDescent="0.2">
      <c r="A74" s="289">
        <f t="shared" ref="A74:A81" si="61">A73+1</f>
        <v>69</v>
      </c>
      <c r="B74" s="290">
        <v>44319</v>
      </c>
      <c r="C74" s="289" t="s">
        <v>930</v>
      </c>
      <c r="D74" s="289" t="s">
        <v>676</v>
      </c>
      <c r="E74" s="291" t="s">
        <v>195</v>
      </c>
      <c r="F74" s="354" t="s">
        <v>175</v>
      </c>
      <c r="G74" s="289">
        <v>9226984546</v>
      </c>
      <c r="H74" s="289" t="s">
        <v>800</v>
      </c>
      <c r="I74" s="289">
        <v>27</v>
      </c>
      <c r="J74" s="295">
        <v>26.25</v>
      </c>
      <c r="K74" s="295">
        <v>283</v>
      </c>
      <c r="L74" s="295">
        <v>0</v>
      </c>
      <c r="M74" s="295">
        <v>136</v>
      </c>
      <c r="N74" s="295">
        <v>0</v>
      </c>
      <c r="O74" s="295">
        <v>419</v>
      </c>
      <c r="P74" s="353">
        <f t="shared" si="52"/>
        <v>628.5</v>
      </c>
      <c r="Q74" s="363">
        <f t="shared" ref="Q74:Q77" si="62">R74/P74</f>
        <v>7700</v>
      </c>
      <c r="R74" s="357">
        <v>4839450</v>
      </c>
      <c r="S74" s="357">
        <v>0</v>
      </c>
      <c r="T74" s="358">
        <v>70000</v>
      </c>
      <c r="U74" s="293">
        <v>4909450</v>
      </c>
      <c r="V74" s="293">
        <v>0</v>
      </c>
      <c r="W74" s="293">
        <v>0</v>
      </c>
      <c r="X74" s="358">
        <v>157125</v>
      </c>
      <c r="Y74" s="358">
        <v>125700</v>
      </c>
      <c r="Z74" s="358">
        <v>94275</v>
      </c>
      <c r="AA74" s="293">
        <v>0</v>
      </c>
      <c r="AB74" s="358">
        <v>5286550</v>
      </c>
      <c r="AC74" s="358">
        <v>30000</v>
      </c>
      <c r="AD74" s="293">
        <v>634386</v>
      </c>
      <c r="AE74" s="293"/>
      <c r="AF74" s="358">
        <v>196400</v>
      </c>
      <c r="AG74" s="358">
        <v>6000</v>
      </c>
      <c r="AH74" s="293">
        <v>6153336</v>
      </c>
      <c r="AI74" s="293">
        <f t="shared" si="53"/>
        <v>441850.5</v>
      </c>
      <c r="AJ74" s="293">
        <f t="shared" si="54"/>
        <v>53022.06</v>
      </c>
      <c r="AK74" s="293"/>
      <c r="AL74" s="293">
        <f t="shared" si="55"/>
        <v>1030984.5</v>
      </c>
      <c r="AM74" s="293">
        <f t="shared" si="56"/>
        <v>123718.14</v>
      </c>
      <c r="AN74" s="289"/>
      <c r="AO74" s="293">
        <f t="shared" si="57"/>
        <v>736417.5</v>
      </c>
      <c r="AP74" s="293">
        <f t="shared" si="58"/>
        <v>88370.099999999991</v>
      </c>
      <c r="AQ74" s="289"/>
      <c r="AR74" s="293">
        <f t="shared" si="59"/>
        <v>245472.5</v>
      </c>
      <c r="AS74" s="293">
        <f t="shared" si="60"/>
        <v>29456.7</v>
      </c>
      <c r="AT74" s="289"/>
      <c r="AU74" s="289"/>
      <c r="AV74" s="289" t="s">
        <v>931</v>
      </c>
      <c r="AW74" s="354" t="s">
        <v>732</v>
      </c>
      <c r="AX74" s="354" t="s">
        <v>101</v>
      </c>
      <c r="AY74" s="360">
        <v>0.03</v>
      </c>
      <c r="AZ74" s="354">
        <v>20000</v>
      </c>
      <c r="BA74" s="289">
        <v>0</v>
      </c>
      <c r="BB74" s="289">
        <v>0</v>
      </c>
      <c r="BC74" s="354" t="s">
        <v>873</v>
      </c>
      <c r="BD74" s="289"/>
      <c r="BE74" s="289"/>
      <c r="BF74" s="289"/>
      <c r="BG74" s="289"/>
      <c r="BH74" s="289"/>
      <c r="BI74" s="289"/>
      <c r="BJ74" s="289"/>
      <c r="BK74" s="289"/>
      <c r="BL74" s="289"/>
      <c r="BM74" s="289"/>
      <c r="BN74" s="289"/>
    </row>
    <row r="75" spans="1:66" ht="15.75" customHeight="1" x14ac:dyDescent="0.2">
      <c r="A75" s="289">
        <f t="shared" si="61"/>
        <v>70</v>
      </c>
      <c r="B75" s="290">
        <v>44230</v>
      </c>
      <c r="C75" s="289" t="s">
        <v>932</v>
      </c>
      <c r="D75" s="289" t="s">
        <v>676</v>
      </c>
      <c r="E75" s="291" t="s">
        <v>165</v>
      </c>
      <c r="F75" s="354" t="s">
        <v>175</v>
      </c>
      <c r="G75" s="289">
        <v>8971694597</v>
      </c>
      <c r="H75" s="289" t="s">
        <v>800</v>
      </c>
      <c r="I75" s="289">
        <v>18</v>
      </c>
      <c r="J75" s="295">
        <v>16.989999999999998</v>
      </c>
      <c r="K75" s="292">
        <f t="shared" ref="K75:K76" si="63">J75*10.764</f>
        <v>182.88035999999997</v>
      </c>
      <c r="L75" s="295">
        <v>0</v>
      </c>
      <c r="M75" s="292">
        <f>5.85*10.764</f>
        <v>62.969399999999993</v>
      </c>
      <c r="N75" s="295">
        <v>0</v>
      </c>
      <c r="O75" s="292">
        <f t="shared" ref="O75:O94" si="64">K75+M75</f>
        <v>245.84975999999995</v>
      </c>
      <c r="P75" s="353">
        <f t="shared" si="52"/>
        <v>368.77463999999992</v>
      </c>
      <c r="Q75" s="363">
        <f t="shared" si="62"/>
        <v>13992.2853697315</v>
      </c>
      <c r="R75" s="357">
        <v>5160000</v>
      </c>
      <c r="S75" s="357">
        <v>0</v>
      </c>
      <c r="T75" s="358">
        <v>35000</v>
      </c>
      <c r="U75" s="293">
        <v>5195000</v>
      </c>
      <c r="V75" s="293">
        <v>0</v>
      </c>
      <c r="W75" s="293">
        <v>0</v>
      </c>
      <c r="X75" s="358">
        <v>129000</v>
      </c>
      <c r="Y75" s="358">
        <v>103200</v>
      </c>
      <c r="Z75" s="358">
        <v>77400</v>
      </c>
      <c r="AA75" s="293">
        <v>0</v>
      </c>
      <c r="AB75" s="358">
        <v>5504600</v>
      </c>
      <c r="AC75" s="358">
        <v>30000</v>
      </c>
      <c r="AD75" s="293">
        <v>660552</v>
      </c>
      <c r="AE75" s="293"/>
      <c r="AF75" s="293">
        <v>207800</v>
      </c>
      <c r="AG75" s="358">
        <v>6000</v>
      </c>
      <c r="AH75" s="293">
        <v>6408952</v>
      </c>
      <c r="AI75" s="293">
        <f t="shared" si="53"/>
        <v>467550</v>
      </c>
      <c r="AJ75" s="293">
        <f t="shared" si="54"/>
        <v>56106</v>
      </c>
      <c r="AK75" s="293"/>
      <c r="AL75" s="293">
        <f t="shared" si="55"/>
        <v>1090950</v>
      </c>
      <c r="AM75" s="293">
        <f t="shared" si="56"/>
        <v>130914</v>
      </c>
      <c r="AN75" s="289"/>
      <c r="AO75" s="293">
        <f t="shared" si="57"/>
        <v>779250</v>
      </c>
      <c r="AP75" s="293">
        <f t="shared" si="58"/>
        <v>93510</v>
      </c>
      <c r="AQ75" s="289"/>
      <c r="AR75" s="293">
        <f t="shared" si="59"/>
        <v>259750</v>
      </c>
      <c r="AS75" s="293">
        <f t="shared" si="60"/>
        <v>31170</v>
      </c>
      <c r="AT75" s="289"/>
      <c r="AU75" s="289"/>
      <c r="AV75" s="289" t="s">
        <v>933</v>
      </c>
      <c r="AW75" s="354" t="s">
        <v>732</v>
      </c>
      <c r="AX75" s="354" t="s">
        <v>101</v>
      </c>
      <c r="AY75" s="360">
        <v>0.03</v>
      </c>
      <c r="AZ75" s="354">
        <v>20000</v>
      </c>
      <c r="BA75" s="289">
        <v>0</v>
      </c>
      <c r="BB75" s="289">
        <v>0</v>
      </c>
      <c r="BC75" s="354" t="s">
        <v>873</v>
      </c>
      <c r="BD75" s="289"/>
      <c r="BE75" s="289"/>
      <c r="BF75" s="289"/>
      <c r="BG75" s="289"/>
      <c r="BH75" s="289"/>
      <c r="BI75" s="289"/>
      <c r="BJ75" s="289"/>
      <c r="BK75" s="289"/>
      <c r="BL75" s="289"/>
      <c r="BM75" s="289"/>
      <c r="BN75" s="289"/>
    </row>
    <row r="76" spans="1:66" ht="15.75" customHeight="1" x14ac:dyDescent="0.2">
      <c r="A76" s="289">
        <f t="shared" si="61"/>
        <v>71</v>
      </c>
      <c r="B76" s="289" t="s">
        <v>934</v>
      </c>
      <c r="C76" s="289" t="s">
        <v>930</v>
      </c>
      <c r="D76" s="289" t="s">
        <v>676</v>
      </c>
      <c r="E76" s="291" t="s">
        <v>935</v>
      </c>
      <c r="F76" s="354" t="s">
        <v>175</v>
      </c>
      <c r="G76" s="289">
        <v>9940229637</v>
      </c>
      <c r="H76" s="289" t="s">
        <v>800</v>
      </c>
      <c r="I76" s="289">
        <v>17</v>
      </c>
      <c r="J76" s="295">
        <v>23.71</v>
      </c>
      <c r="K76" s="292">
        <f t="shared" si="63"/>
        <v>255.21444</v>
      </c>
      <c r="L76" s="295">
        <v>0</v>
      </c>
      <c r="M76" s="292">
        <f>11.61*10.764</f>
        <v>124.97003999999998</v>
      </c>
      <c r="N76" s="295">
        <v>0</v>
      </c>
      <c r="O76" s="292">
        <f t="shared" si="64"/>
        <v>380.18448000000001</v>
      </c>
      <c r="P76" s="353">
        <f t="shared" si="52"/>
        <v>570.27672000000007</v>
      </c>
      <c r="Q76" s="363">
        <f t="shared" si="62"/>
        <v>9995.1476188612414</v>
      </c>
      <c r="R76" s="357">
        <v>5700000</v>
      </c>
      <c r="S76" s="357">
        <v>0</v>
      </c>
      <c r="T76" s="358">
        <v>35000</v>
      </c>
      <c r="U76" s="293">
        <v>6235000</v>
      </c>
      <c r="V76" s="293">
        <v>0</v>
      </c>
      <c r="W76" s="293">
        <v>0</v>
      </c>
      <c r="X76" s="358">
        <v>142500</v>
      </c>
      <c r="Y76" s="358">
        <v>114000</v>
      </c>
      <c r="Z76" s="358">
        <v>85500</v>
      </c>
      <c r="AA76" s="293">
        <v>0</v>
      </c>
      <c r="AB76" s="358">
        <v>6577000</v>
      </c>
      <c r="AC76" s="358">
        <v>30000</v>
      </c>
      <c r="AD76" s="293">
        <v>789240</v>
      </c>
      <c r="AE76" s="293"/>
      <c r="AF76" s="293">
        <v>249400</v>
      </c>
      <c r="AG76" s="358">
        <v>6000</v>
      </c>
      <c r="AH76" s="293">
        <v>7651640</v>
      </c>
      <c r="AI76" s="293">
        <f t="shared" si="53"/>
        <v>561150</v>
      </c>
      <c r="AJ76" s="293">
        <f t="shared" si="54"/>
        <v>67338</v>
      </c>
      <c r="AK76" s="293"/>
      <c r="AL76" s="293">
        <f t="shared" si="55"/>
        <v>1309350</v>
      </c>
      <c r="AM76" s="293">
        <f t="shared" si="56"/>
        <v>157122</v>
      </c>
      <c r="AN76" s="289"/>
      <c r="AO76" s="293">
        <f t="shared" si="57"/>
        <v>935250</v>
      </c>
      <c r="AP76" s="293">
        <f t="shared" si="58"/>
        <v>112230</v>
      </c>
      <c r="AQ76" s="289"/>
      <c r="AR76" s="293">
        <f t="shared" si="59"/>
        <v>311750</v>
      </c>
      <c r="AS76" s="293">
        <f t="shared" si="60"/>
        <v>37410</v>
      </c>
      <c r="AT76" s="289"/>
      <c r="AU76" s="289"/>
      <c r="AV76" s="289" t="s">
        <v>936</v>
      </c>
      <c r="AW76" s="354" t="s">
        <v>732</v>
      </c>
      <c r="AX76" s="354" t="s">
        <v>101</v>
      </c>
      <c r="AY76" s="360">
        <v>0.03</v>
      </c>
      <c r="AZ76" s="354">
        <v>20000</v>
      </c>
      <c r="BA76" s="289">
        <v>0</v>
      </c>
      <c r="BB76" s="289">
        <v>0</v>
      </c>
      <c r="BC76" s="354" t="s">
        <v>873</v>
      </c>
      <c r="BD76" s="289"/>
      <c r="BE76" s="289"/>
      <c r="BF76" s="289"/>
      <c r="BG76" s="289"/>
      <c r="BH76" s="289"/>
      <c r="BI76" s="289"/>
      <c r="BJ76" s="289"/>
      <c r="BK76" s="289"/>
      <c r="BL76" s="289"/>
      <c r="BM76" s="289"/>
      <c r="BN76" s="289"/>
    </row>
    <row r="77" spans="1:66" ht="15.75" customHeight="1" x14ac:dyDescent="0.2">
      <c r="A77" s="289">
        <f t="shared" si="61"/>
        <v>72</v>
      </c>
      <c r="B77" s="365" t="s">
        <v>937</v>
      </c>
      <c r="C77" s="365" t="s">
        <v>938</v>
      </c>
      <c r="D77" s="289" t="s">
        <v>676</v>
      </c>
      <c r="E77" s="366" t="s">
        <v>179</v>
      </c>
      <c r="F77" s="354" t="s">
        <v>175</v>
      </c>
      <c r="G77" s="365">
        <v>9325004120</v>
      </c>
      <c r="H77" s="289" t="s">
        <v>800</v>
      </c>
      <c r="I77" s="365">
        <v>23</v>
      </c>
      <c r="J77" s="365">
        <v>20.73</v>
      </c>
      <c r="K77" s="365">
        <v>223</v>
      </c>
      <c r="L77" s="365">
        <v>0</v>
      </c>
      <c r="M77" s="365">
        <v>107</v>
      </c>
      <c r="N77" s="365">
        <v>0</v>
      </c>
      <c r="O77" s="295">
        <f t="shared" si="64"/>
        <v>330</v>
      </c>
      <c r="P77" s="353">
        <f t="shared" si="52"/>
        <v>495</v>
      </c>
      <c r="Q77" s="363">
        <f t="shared" si="62"/>
        <v>11340</v>
      </c>
      <c r="R77" s="357">
        <v>5613300</v>
      </c>
      <c r="S77" s="357">
        <v>500000</v>
      </c>
      <c r="T77" s="358">
        <v>35000</v>
      </c>
      <c r="U77" s="293">
        <v>6148300</v>
      </c>
      <c r="V77" s="293">
        <v>0</v>
      </c>
      <c r="W77" s="293">
        <v>0</v>
      </c>
      <c r="X77" s="358">
        <v>123750</v>
      </c>
      <c r="Y77" s="358">
        <v>99000</v>
      </c>
      <c r="Z77" s="358">
        <v>74250</v>
      </c>
      <c r="AA77" s="293">
        <v>0</v>
      </c>
      <c r="AB77" s="358">
        <v>6445300</v>
      </c>
      <c r="AC77" s="358">
        <v>30000</v>
      </c>
      <c r="AD77" s="293">
        <v>773436</v>
      </c>
      <c r="AE77" s="365"/>
      <c r="AF77" s="293">
        <v>246000</v>
      </c>
      <c r="AG77" s="358">
        <v>6000</v>
      </c>
      <c r="AH77" s="293">
        <v>7500736</v>
      </c>
      <c r="AI77" s="293">
        <f t="shared" si="53"/>
        <v>553347</v>
      </c>
      <c r="AJ77" s="293">
        <f t="shared" si="54"/>
        <v>66401.64</v>
      </c>
      <c r="AK77" s="365"/>
      <c r="AL77" s="293">
        <f t="shared" si="55"/>
        <v>1291143</v>
      </c>
      <c r="AM77" s="293">
        <f t="shared" si="56"/>
        <v>154937.16</v>
      </c>
      <c r="AN77" s="365"/>
      <c r="AO77" s="293">
        <f t="shared" si="57"/>
        <v>922245</v>
      </c>
      <c r="AP77" s="293">
        <f t="shared" si="58"/>
        <v>110669.4</v>
      </c>
      <c r="AQ77" s="365"/>
      <c r="AR77" s="293">
        <f t="shared" si="59"/>
        <v>307415</v>
      </c>
      <c r="AS77" s="293">
        <f t="shared" si="60"/>
        <v>36889.799999999996</v>
      </c>
      <c r="AT77" s="365"/>
      <c r="AU77" s="365"/>
      <c r="AV77" s="365" t="s">
        <v>939</v>
      </c>
      <c r="AW77" s="354" t="s">
        <v>732</v>
      </c>
      <c r="AX77" s="365" t="s">
        <v>940</v>
      </c>
      <c r="AY77" s="360">
        <v>0.03</v>
      </c>
      <c r="AZ77" s="354">
        <v>20000</v>
      </c>
      <c r="BA77" s="289">
        <v>0</v>
      </c>
      <c r="BB77" s="289">
        <v>0</v>
      </c>
      <c r="BC77" s="354" t="s">
        <v>873</v>
      </c>
      <c r="BD77" s="367"/>
      <c r="BE77" s="367"/>
      <c r="BF77" s="368"/>
      <c r="BG77" s="368"/>
      <c r="BH77" s="368"/>
      <c r="BI77" s="368"/>
      <c r="BJ77" s="368"/>
      <c r="BK77" s="368"/>
      <c r="BL77" s="368"/>
      <c r="BM77" s="368"/>
      <c r="BN77" s="368"/>
    </row>
    <row r="78" spans="1:66" ht="15.75" customHeight="1" x14ac:dyDescent="0.2">
      <c r="A78" s="289">
        <f t="shared" si="61"/>
        <v>73</v>
      </c>
      <c r="B78" s="289" t="s">
        <v>941</v>
      </c>
      <c r="C78" s="290">
        <v>44443</v>
      </c>
      <c r="D78" s="289" t="s">
        <v>676</v>
      </c>
      <c r="E78" s="291" t="s">
        <v>942</v>
      </c>
      <c r="F78" s="354" t="s">
        <v>175</v>
      </c>
      <c r="G78" s="289">
        <v>992154911</v>
      </c>
      <c r="H78" s="289" t="s">
        <v>694</v>
      </c>
      <c r="I78" s="289">
        <v>19</v>
      </c>
      <c r="J78" s="295">
        <v>32.6</v>
      </c>
      <c r="K78" s="295">
        <v>351</v>
      </c>
      <c r="L78" s="295">
        <v>0</v>
      </c>
      <c r="M78" s="295">
        <v>0</v>
      </c>
      <c r="N78" s="295">
        <v>0</v>
      </c>
      <c r="O78" s="295">
        <f t="shared" si="64"/>
        <v>351</v>
      </c>
      <c r="P78" s="353">
        <f t="shared" si="52"/>
        <v>526.5</v>
      </c>
      <c r="Q78" s="289">
        <v>12300</v>
      </c>
      <c r="R78" s="357">
        <v>6482100</v>
      </c>
      <c r="S78" s="295">
        <v>0</v>
      </c>
      <c r="T78" s="295">
        <v>0</v>
      </c>
      <c r="U78" s="357">
        <v>6482100</v>
      </c>
      <c r="V78" s="293">
        <v>0</v>
      </c>
      <c r="W78" s="293">
        <v>0</v>
      </c>
      <c r="X78" s="358">
        <v>131750</v>
      </c>
      <c r="Y78" s="358">
        <v>105400</v>
      </c>
      <c r="Z78" s="358">
        <v>79050</v>
      </c>
      <c r="AA78" s="293">
        <v>0</v>
      </c>
      <c r="AB78" s="358">
        <v>6798300</v>
      </c>
      <c r="AC78" s="358">
        <v>30000</v>
      </c>
      <c r="AD78" s="293">
        <v>815796</v>
      </c>
      <c r="AE78" s="293"/>
      <c r="AF78" s="293">
        <v>259300</v>
      </c>
      <c r="AG78" s="358">
        <v>6000</v>
      </c>
      <c r="AH78" s="293">
        <v>7909396</v>
      </c>
      <c r="AI78" s="293">
        <f t="shared" si="53"/>
        <v>583389</v>
      </c>
      <c r="AJ78" s="293">
        <f t="shared" si="54"/>
        <v>70006.679999999993</v>
      </c>
      <c r="AK78" s="293"/>
      <c r="AL78" s="293">
        <f t="shared" si="55"/>
        <v>1361241</v>
      </c>
      <c r="AM78" s="293">
        <f t="shared" si="56"/>
        <v>163348.91999999998</v>
      </c>
      <c r="AN78" s="289"/>
      <c r="AO78" s="293">
        <f t="shared" si="57"/>
        <v>972315</v>
      </c>
      <c r="AP78" s="293">
        <f t="shared" si="58"/>
        <v>116677.8</v>
      </c>
      <c r="AQ78" s="289"/>
      <c r="AR78" s="293">
        <f t="shared" si="59"/>
        <v>324105</v>
      </c>
      <c r="AS78" s="293">
        <f t="shared" si="60"/>
        <v>38892.6</v>
      </c>
      <c r="AT78" s="289"/>
      <c r="AU78" s="289"/>
      <c r="AV78" s="289" t="s">
        <v>943</v>
      </c>
      <c r="AW78" s="354" t="s">
        <v>732</v>
      </c>
      <c r="AX78" s="298" t="s">
        <v>110</v>
      </c>
      <c r="AY78" s="360">
        <v>0.03</v>
      </c>
      <c r="AZ78" s="354">
        <v>20000</v>
      </c>
      <c r="BA78" s="289">
        <v>0</v>
      </c>
      <c r="BB78" s="289">
        <v>0</v>
      </c>
      <c r="BC78" s="354" t="s">
        <v>873</v>
      </c>
      <c r="BD78" s="289"/>
      <c r="BE78" s="289"/>
      <c r="BF78" s="289"/>
      <c r="BG78" s="289"/>
      <c r="BH78" s="289"/>
      <c r="BI78" s="289"/>
      <c r="BJ78" s="289"/>
      <c r="BK78" s="289"/>
      <c r="BL78" s="289"/>
      <c r="BM78" s="289"/>
      <c r="BN78" s="289"/>
    </row>
    <row r="79" spans="1:66" ht="15.75" customHeight="1" x14ac:dyDescent="0.2">
      <c r="A79" s="289">
        <f t="shared" si="61"/>
        <v>74</v>
      </c>
      <c r="B79" s="289" t="s">
        <v>944</v>
      </c>
      <c r="C79" s="290">
        <v>44443</v>
      </c>
      <c r="D79" s="289" t="s">
        <v>676</v>
      </c>
      <c r="E79" s="291" t="s">
        <v>945</v>
      </c>
      <c r="F79" s="354" t="s">
        <v>175</v>
      </c>
      <c r="G79" s="289">
        <v>9860007402</v>
      </c>
      <c r="H79" s="289" t="s">
        <v>729</v>
      </c>
      <c r="I79" s="289">
        <v>24</v>
      </c>
      <c r="J79" s="295">
        <v>17.64</v>
      </c>
      <c r="K79" s="295">
        <v>190</v>
      </c>
      <c r="L79" s="295">
        <v>0</v>
      </c>
      <c r="M79" s="295">
        <v>0</v>
      </c>
      <c r="N79" s="295">
        <v>0</v>
      </c>
      <c r="O79" s="295">
        <f t="shared" si="64"/>
        <v>190</v>
      </c>
      <c r="P79" s="353">
        <f t="shared" si="52"/>
        <v>285</v>
      </c>
      <c r="Q79" s="289">
        <v>10000</v>
      </c>
      <c r="R79" s="357">
        <v>2850000</v>
      </c>
      <c r="S79" s="295">
        <v>0</v>
      </c>
      <c r="T79" s="358">
        <v>35000</v>
      </c>
      <c r="U79" s="357">
        <v>2885000</v>
      </c>
      <c r="V79" s="293">
        <v>0</v>
      </c>
      <c r="W79" s="293">
        <v>0</v>
      </c>
      <c r="X79" s="358">
        <v>71250</v>
      </c>
      <c r="Y79" s="358">
        <v>57000</v>
      </c>
      <c r="Z79" s="358">
        <v>42750</v>
      </c>
      <c r="AA79" s="293">
        <v>0</v>
      </c>
      <c r="AB79" s="358" t="s">
        <v>946</v>
      </c>
      <c r="AC79" s="358">
        <v>30000</v>
      </c>
      <c r="AD79" s="293">
        <v>366720</v>
      </c>
      <c r="AE79" s="293"/>
      <c r="AF79" s="293">
        <v>115400</v>
      </c>
      <c r="AG79" s="358">
        <v>6000</v>
      </c>
      <c r="AH79" s="293">
        <v>3574120</v>
      </c>
      <c r="AI79" s="293">
        <f t="shared" si="53"/>
        <v>259650</v>
      </c>
      <c r="AJ79" s="293">
        <f t="shared" si="54"/>
        <v>31158</v>
      </c>
      <c r="AK79" s="293"/>
      <c r="AL79" s="293">
        <f t="shared" si="55"/>
        <v>605850</v>
      </c>
      <c r="AM79" s="293">
        <f t="shared" si="56"/>
        <v>72702</v>
      </c>
      <c r="AN79" s="289"/>
      <c r="AO79" s="293">
        <f t="shared" si="57"/>
        <v>432750</v>
      </c>
      <c r="AP79" s="293">
        <f t="shared" si="58"/>
        <v>51930</v>
      </c>
      <c r="AQ79" s="289"/>
      <c r="AR79" s="293">
        <f t="shared" si="59"/>
        <v>144250</v>
      </c>
      <c r="AS79" s="293">
        <f t="shared" si="60"/>
        <v>17310</v>
      </c>
      <c r="AT79" s="289"/>
      <c r="AU79" s="289"/>
      <c r="AV79" s="289" t="s">
        <v>947</v>
      </c>
      <c r="AW79" s="354" t="s">
        <v>732</v>
      </c>
      <c r="AX79" s="354" t="s">
        <v>948</v>
      </c>
      <c r="AY79" s="360">
        <v>0.01</v>
      </c>
      <c r="AZ79" s="354">
        <v>0</v>
      </c>
      <c r="BA79" s="289">
        <v>0</v>
      </c>
      <c r="BB79" s="289">
        <v>0</v>
      </c>
      <c r="BC79" s="354" t="s">
        <v>873</v>
      </c>
      <c r="BD79" s="289"/>
      <c r="BE79" s="289"/>
      <c r="BF79" s="289"/>
      <c r="BG79" s="289"/>
      <c r="BH79" s="289"/>
      <c r="BI79" s="289"/>
      <c r="BJ79" s="289"/>
      <c r="BK79" s="289"/>
      <c r="BL79" s="289"/>
      <c r="BM79" s="289"/>
      <c r="BN79" s="289"/>
    </row>
    <row r="80" spans="1:66" ht="15.75" customHeight="1" x14ac:dyDescent="0.2">
      <c r="A80" s="289">
        <f t="shared" si="61"/>
        <v>75</v>
      </c>
      <c r="B80" s="289" t="s">
        <v>938</v>
      </c>
      <c r="C80" s="290">
        <v>44200</v>
      </c>
      <c r="D80" s="289" t="s">
        <v>676</v>
      </c>
      <c r="E80" s="291" t="s">
        <v>949</v>
      </c>
      <c r="F80" s="354" t="s">
        <v>175</v>
      </c>
      <c r="G80" s="289">
        <v>9923154367</v>
      </c>
      <c r="H80" s="289" t="s">
        <v>694</v>
      </c>
      <c r="I80" s="289">
        <v>17</v>
      </c>
      <c r="J80" s="295">
        <v>32.6</v>
      </c>
      <c r="K80" s="295">
        <v>351</v>
      </c>
      <c r="L80" s="295">
        <v>0</v>
      </c>
      <c r="M80" s="295">
        <v>0</v>
      </c>
      <c r="N80" s="295">
        <v>0</v>
      </c>
      <c r="O80" s="295">
        <f t="shared" si="64"/>
        <v>351</v>
      </c>
      <c r="P80" s="353">
        <f t="shared" si="52"/>
        <v>526.5</v>
      </c>
      <c r="Q80" s="289">
        <v>11500</v>
      </c>
      <c r="R80" s="357">
        <v>6054750</v>
      </c>
      <c r="S80" s="295">
        <v>0</v>
      </c>
      <c r="T80" s="358">
        <v>35000</v>
      </c>
      <c r="U80" s="357">
        <v>6054750</v>
      </c>
      <c r="V80" s="293">
        <v>0</v>
      </c>
      <c r="W80" s="293">
        <v>0</v>
      </c>
      <c r="X80" s="293">
        <v>131625</v>
      </c>
      <c r="Y80" s="358">
        <v>105300</v>
      </c>
      <c r="Z80" s="358">
        <v>78975</v>
      </c>
      <c r="AA80" s="293">
        <v>0</v>
      </c>
      <c r="AB80" s="358" t="s">
        <v>950</v>
      </c>
      <c r="AC80" s="358">
        <v>30000</v>
      </c>
      <c r="AD80" s="293" t="s">
        <v>951</v>
      </c>
      <c r="AE80" s="293"/>
      <c r="AF80" s="293">
        <v>242200</v>
      </c>
      <c r="AG80" s="358">
        <v>6000</v>
      </c>
      <c r="AH80" s="293">
        <v>7413328</v>
      </c>
      <c r="AI80" s="293">
        <f t="shared" si="53"/>
        <v>544927.5</v>
      </c>
      <c r="AJ80" s="293">
        <f t="shared" si="54"/>
        <v>65391.299999999996</v>
      </c>
      <c r="AK80" s="293"/>
      <c r="AL80" s="293">
        <f t="shared" si="55"/>
        <v>1271497.5</v>
      </c>
      <c r="AM80" s="293">
        <f t="shared" si="56"/>
        <v>152579.69999999998</v>
      </c>
      <c r="AN80" s="289"/>
      <c r="AO80" s="293">
        <f t="shared" si="57"/>
        <v>908212.5</v>
      </c>
      <c r="AP80" s="293">
        <f t="shared" si="58"/>
        <v>108985.5</v>
      </c>
      <c r="AQ80" s="289"/>
      <c r="AR80" s="293">
        <f t="shared" si="59"/>
        <v>302737.5</v>
      </c>
      <c r="AS80" s="293">
        <f t="shared" si="60"/>
        <v>36328.5</v>
      </c>
      <c r="AT80" s="289"/>
      <c r="AU80" s="289"/>
      <c r="AV80" s="289" t="s">
        <v>952</v>
      </c>
      <c r="AW80" s="354" t="s">
        <v>732</v>
      </c>
      <c r="AX80" s="354" t="s">
        <v>101</v>
      </c>
      <c r="AY80" s="360">
        <v>0.03</v>
      </c>
      <c r="AZ80" s="354">
        <v>20000</v>
      </c>
      <c r="BA80" s="289">
        <v>0</v>
      </c>
      <c r="BB80" s="289">
        <v>0</v>
      </c>
      <c r="BC80" s="354" t="s">
        <v>873</v>
      </c>
      <c r="BD80" s="289"/>
      <c r="BE80" s="289"/>
      <c r="BF80" s="289"/>
      <c r="BG80" s="289"/>
      <c r="BH80" s="289"/>
      <c r="BI80" s="289"/>
      <c r="BJ80" s="289"/>
      <c r="BK80" s="289"/>
      <c r="BL80" s="289"/>
      <c r="BM80" s="289"/>
      <c r="BN80" s="289"/>
    </row>
    <row r="81" spans="1:66" ht="15.75" customHeight="1" x14ac:dyDescent="0.2">
      <c r="A81" s="289">
        <f t="shared" si="61"/>
        <v>76</v>
      </c>
      <c r="B81" s="289" t="s">
        <v>927</v>
      </c>
      <c r="C81" s="290">
        <v>44443</v>
      </c>
      <c r="D81" s="289" t="s">
        <v>676</v>
      </c>
      <c r="E81" s="291" t="s">
        <v>953</v>
      </c>
      <c r="F81" s="354" t="s">
        <v>175</v>
      </c>
      <c r="G81" s="289">
        <v>9552585012</v>
      </c>
      <c r="H81" s="289" t="s">
        <v>677</v>
      </c>
      <c r="I81" s="289">
        <v>16</v>
      </c>
      <c r="J81" s="295">
        <v>25.71</v>
      </c>
      <c r="K81" s="295">
        <v>277</v>
      </c>
      <c r="L81" s="295">
        <v>0</v>
      </c>
      <c r="M81" s="295">
        <v>0</v>
      </c>
      <c r="N81" s="295">
        <v>0</v>
      </c>
      <c r="O81" s="295">
        <f t="shared" si="64"/>
        <v>277</v>
      </c>
      <c r="P81" s="353">
        <f t="shared" si="52"/>
        <v>415.5</v>
      </c>
      <c r="Q81" s="289">
        <v>10673</v>
      </c>
      <c r="R81" s="295">
        <v>4434632</v>
      </c>
      <c r="S81" s="295">
        <v>0</v>
      </c>
      <c r="T81" s="358">
        <v>35000</v>
      </c>
      <c r="U81" s="293">
        <v>4469632</v>
      </c>
      <c r="V81" s="293">
        <v>0</v>
      </c>
      <c r="W81" s="293">
        <v>0</v>
      </c>
      <c r="X81" s="293">
        <v>103875</v>
      </c>
      <c r="Y81" s="293">
        <v>83100</v>
      </c>
      <c r="Z81" s="293">
        <v>62325</v>
      </c>
      <c r="AA81" s="293">
        <v>0</v>
      </c>
      <c r="AB81" s="293">
        <v>4718932</v>
      </c>
      <c r="AC81" s="358">
        <v>30000</v>
      </c>
      <c r="AD81" s="293">
        <v>249300</v>
      </c>
      <c r="AE81" s="293"/>
      <c r="AF81" s="293">
        <v>178800</v>
      </c>
      <c r="AG81" s="358">
        <v>6000</v>
      </c>
      <c r="AH81" s="293">
        <v>5500004</v>
      </c>
      <c r="AI81" s="293">
        <f t="shared" si="53"/>
        <v>402266.88</v>
      </c>
      <c r="AJ81" s="293">
        <f t="shared" si="54"/>
        <v>48272.025600000001</v>
      </c>
      <c r="AK81" s="293"/>
      <c r="AL81" s="293">
        <f t="shared" si="55"/>
        <v>938622.72</v>
      </c>
      <c r="AM81" s="293">
        <f t="shared" si="56"/>
        <v>112634.7264</v>
      </c>
      <c r="AN81" s="289"/>
      <c r="AO81" s="293">
        <f t="shared" si="57"/>
        <v>670444.79999999993</v>
      </c>
      <c r="AP81" s="293">
        <f t="shared" si="58"/>
        <v>80453.375999999989</v>
      </c>
      <c r="AQ81" s="289"/>
      <c r="AR81" s="293">
        <f t="shared" si="59"/>
        <v>223481.60000000001</v>
      </c>
      <c r="AS81" s="293">
        <f t="shared" si="60"/>
        <v>26817.792000000001</v>
      </c>
      <c r="AT81" s="289"/>
      <c r="AU81" s="289"/>
      <c r="AV81" s="289"/>
      <c r="AW81" s="354" t="s">
        <v>732</v>
      </c>
      <c r="AX81" s="354" t="s">
        <v>101</v>
      </c>
      <c r="AY81" s="360">
        <v>0.03</v>
      </c>
      <c r="AZ81" s="354">
        <v>20000</v>
      </c>
      <c r="BA81" s="289">
        <v>0</v>
      </c>
      <c r="BB81" s="289">
        <v>0</v>
      </c>
      <c r="BC81" s="354" t="s">
        <v>873</v>
      </c>
      <c r="BD81" s="289"/>
      <c r="BE81" s="289"/>
      <c r="BF81" s="289"/>
      <c r="BG81" s="289"/>
      <c r="BH81" s="289"/>
      <c r="BI81" s="289"/>
      <c r="BJ81" s="289"/>
      <c r="BK81" s="289"/>
      <c r="BL81" s="289"/>
      <c r="BM81" s="289"/>
      <c r="BN81" s="289"/>
    </row>
    <row r="82" spans="1:66" ht="15.75" customHeight="1" x14ac:dyDescent="0.2">
      <c r="A82" s="365">
        <v>77</v>
      </c>
      <c r="B82" s="369">
        <v>44536</v>
      </c>
      <c r="C82" s="365" t="s">
        <v>954</v>
      </c>
      <c r="D82" s="289" t="s">
        <v>676</v>
      </c>
      <c r="E82" s="366" t="s">
        <v>157</v>
      </c>
      <c r="F82" s="354" t="s">
        <v>175</v>
      </c>
      <c r="G82" s="365" t="s">
        <v>955</v>
      </c>
      <c r="H82" s="365" t="s">
        <v>800</v>
      </c>
      <c r="I82" s="365">
        <v>14</v>
      </c>
      <c r="J82" s="365">
        <v>16.989999999999998</v>
      </c>
      <c r="K82" s="365">
        <v>183</v>
      </c>
      <c r="L82" s="365">
        <v>5.85</v>
      </c>
      <c r="M82" s="365">
        <v>63</v>
      </c>
      <c r="N82" s="365"/>
      <c r="O82" s="295">
        <f t="shared" si="64"/>
        <v>246</v>
      </c>
      <c r="P82" s="353">
        <f t="shared" si="52"/>
        <v>369</v>
      </c>
      <c r="Q82" s="363">
        <f>R82/P82</f>
        <v>10500</v>
      </c>
      <c r="R82" s="357">
        <v>3874500</v>
      </c>
      <c r="S82" s="357">
        <v>500000</v>
      </c>
      <c r="T82" s="358">
        <v>35000</v>
      </c>
      <c r="U82" s="357">
        <v>4409500</v>
      </c>
      <c r="V82" s="293">
        <v>0</v>
      </c>
      <c r="W82" s="365"/>
      <c r="X82" s="293">
        <v>92250</v>
      </c>
      <c r="Y82" s="293">
        <v>73800</v>
      </c>
      <c r="Z82" s="293">
        <v>55350</v>
      </c>
      <c r="AA82" s="293">
        <v>0</v>
      </c>
      <c r="AB82" s="293">
        <v>4630900</v>
      </c>
      <c r="AC82" s="358">
        <v>30000</v>
      </c>
      <c r="AD82" s="293">
        <v>555708</v>
      </c>
      <c r="AE82" s="365"/>
      <c r="AF82" s="293">
        <v>264600</v>
      </c>
      <c r="AG82" s="358">
        <v>6000</v>
      </c>
      <c r="AH82" s="293">
        <v>5487208</v>
      </c>
      <c r="AI82" s="293">
        <f t="shared" si="53"/>
        <v>396855</v>
      </c>
      <c r="AJ82" s="293">
        <f t="shared" si="54"/>
        <v>47622.6</v>
      </c>
      <c r="AK82" s="293"/>
      <c r="AL82" s="293">
        <f t="shared" si="55"/>
        <v>925995</v>
      </c>
      <c r="AM82" s="293">
        <f t="shared" si="56"/>
        <v>111119.4</v>
      </c>
      <c r="AN82" s="289"/>
      <c r="AO82" s="293">
        <f t="shared" si="57"/>
        <v>661425</v>
      </c>
      <c r="AP82" s="293">
        <f t="shared" si="58"/>
        <v>79371</v>
      </c>
      <c r="AQ82" s="289"/>
      <c r="AR82" s="293">
        <f t="shared" si="59"/>
        <v>220475</v>
      </c>
      <c r="AS82" s="293">
        <f t="shared" si="60"/>
        <v>26457</v>
      </c>
      <c r="AT82" s="365"/>
      <c r="AU82" s="365"/>
      <c r="AV82" s="365" t="s">
        <v>956</v>
      </c>
      <c r="AW82" s="354" t="s">
        <v>732</v>
      </c>
      <c r="AX82" s="354" t="s">
        <v>101</v>
      </c>
      <c r="AY82" s="360">
        <v>0.03</v>
      </c>
      <c r="AZ82" s="354">
        <v>20000</v>
      </c>
      <c r="BA82" s="289">
        <v>0</v>
      </c>
      <c r="BB82" s="289">
        <v>0</v>
      </c>
      <c r="BC82" s="354" t="s">
        <v>873</v>
      </c>
      <c r="BD82" s="365"/>
      <c r="BE82" s="365"/>
      <c r="BF82" s="365"/>
      <c r="BG82" s="365"/>
      <c r="BH82" s="365"/>
      <c r="BI82" s="365"/>
      <c r="BJ82" s="365"/>
      <c r="BK82" s="365"/>
      <c r="BL82" s="365"/>
      <c r="BM82" s="365"/>
      <c r="BN82" s="365"/>
    </row>
    <row r="83" spans="1:66" ht="15.75" customHeight="1" x14ac:dyDescent="0.2">
      <c r="A83" s="321">
        <v>78</v>
      </c>
      <c r="B83" s="321" t="s">
        <v>957</v>
      </c>
      <c r="C83" s="321"/>
      <c r="D83" s="321"/>
      <c r="E83" s="370" t="s">
        <v>958</v>
      </c>
      <c r="F83" s="354" t="s">
        <v>175</v>
      </c>
      <c r="G83" s="321">
        <v>9890086768</v>
      </c>
      <c r="H83" s="321" t="s">
        <v>811</v>
      </c>
      <c r="I83" s="321">
        <v>22</v>
      </c>
      <c r="J83" s="371">
        <v>36.28</v>
      </c>
      <c r="K83" s="371">
        <v>391</v>
      </c>
      <c r="L83" s="371">
        <v>4.6500000000000004</v>
      </c>
      <c r="M83" s="371">
        <v>50</v>
      </c>
      <c r="N83" s="371"/>
      <c r="O83" s="295">
        <f t="shared" si="64"/>
        <v>441</v>
      </c>
      <c r="P83" s="353">
        <f>O83*145%</f>
        <v>639.44999999999993</v>
      </c>
      <c r="Q83" s="289">
        <v>6350</v>
      </c>
      <c r="R83" s="357">
        <v>4060508</v>
      </c>
      <c r="S83" s="295"/>
      <c r="T83" s="358">
        <v>70000</v>
      </c>
      <c r="U83" s="357" t="s">
        <v>959</v>
      </c>
      <c r="V83" s="293"/>
      <c r="W83" s="372"/>
      <c r="X83" s="293" t="s">
        <v>960</v>
      </c>
      <c r="Y83" s="293" t="s">
        <v>961</v>
      </c>
      <c r="Z83" s="293">
        <v>95918</v>
      </c>
      <c r="AA83" s="293"/>
      <c r="AB83" s="293" t="s">
        <v>962</v>
      </c>
      <c r="AC83" s="358">
        <v>30000</v>
      </c>
      <c r="AD83" s="293" t="s">
        <v>963</v>
      </c>
      <c r="AE83" s="372"/>
      <c r="AF83" s="293" t="s">
        <v>964</v>
      </c>
      <c r="AG83" s="358">
        <v>6000</v>
      </c>
      <c r="AH83" s="293" t="s">
        <v>965</v>
      </c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  <c r="AT83" s="372"/>
      <c r="AU83" s="372"/>
      <c r="AV83" s="372" t="s">
        <v>966</v>
      </c>
      <c r="AW83" s="354" t="s">
        <v>732</v>
      </c>
      <c r="AX83" s="364" t="s">
        <v>382</v>
      </c>
      <c r="AY83" s="289"/>
      <c r="AZ83" s="289"/>
      <c r="BA83" s="289"/>
      <c r="BB83" s="289"/>
      <c r="BC83" s="354" t="s">
        <v>873</v>
      </c>
      <c r="BD83" s="324"/>
      <c r="BE83" s="324"/>
      <c r="BF83" s="324"/>
      <c r="BG83" s="324"/>
      <c r="BH83" s="324"/>
      <c r="BI83" s="324"/>
      <c r="BJ83" s="324"/>
      <c r="BK83" s="324"/>
      <c r="BL83" s="324"/>
      <c r="BM83" s="324"/>
      <c r="BN83" s="324"/>
    </row>
    <row r="84" spans="1:66" ht="15.75" customHeight="1" x14ac:dyDescent="0.2">
      <c r="A84" s="324">
        <v>79</v>
      </c>
      <c r="B84" s="324" t="s">
        <v>967</v>
      </c>
      <c r="C84" s="324" t="s">
        <v>968</v>
      </c>
      <c r="D84" s="289" t="s">
        <v>676</v>
      </c>
      <c r="E84" s="373" t="s">
        <v>969</v>
      </c>
      <c r="F84" s="354" t="s">
        <v>175</v>
      </c>
      <c r="G84" s="324">
        <v>9960250279</v>
      </c>
      <c r="H84" s="324" t="s">
        <v>844</v>
      </c>
      <c r="I84" s="324">
        <v>4</v>
      </c>
      <c r="J84" s="374">
        <v>70.33</v>
      </c>
      <c r="K84" s="374">
        <v>757</v>
      </c>
      <c r="L84" s="374">
        <v>0</v>
      </c>
      <c r="M84" s="374">
        <v>0</v>
      </c>
      <c r="N84" s="374">
        <v>0</v>
      </c>
      <c r="O84" s="295">
        <f t="shared" si="64"/>
        <v>757</v>
      </c>
      <c r="P84" s="353">
        <f>O84*145%</f>
        <v>1097.6499999999999</v>
      </c>
      <c r="Q84" s="363">
        <f t="shared" ref="Q84:Q88" si="65">R84/P84</f>
        <v>5884.0003644148874</v>
      </c>
      <c r="R84" s="357">
        <v>6458573</v>
      </c>
      <c r="S84" s="357">
        <v>500000</v>
      </c>
      <c r="T84" s="337">
        <v>140000</v>
      </c>
      <c r="U84" s="357">
        <v>7098573</v>
      </c>
      <c r="V84" s="326"/>
      <c r="W84" s="375"/>
      <c r="X84" s="326">
        <v>274413</v>
      </c>
      <c r="Y84" s="326">
        <v>219530</v>
      </c>
      <c r="Z84" s="326">
        <v>164648</v>
      </c>
      <c r="AA84" s="293"/>
      <c r="AB84" s="326">
        <v>7757163</v>
      </c>
      <c r="AC84" s="358">
        <v>30000</v>
      </c>
      <c r="AD84" s="326">
        <v>930860</v>
      </c>
      <c r="AE84" s="375"/>
      <c r="AF84" s="326">
        <v>426000</v>
      </c>
      <c r="AG84" s="358">
        <v>6000</v>
      </c>
      <c r="AH84" s="326">
        <v>9150023</v>
      </c>
      <c r="AI84" s="326"/>
      <c r="AJ84" s="326"/>
      <c r="AK84" s="326"/>
      <c r="AL84" s="326"/>
      <c r="AM84" s="326"/>
      <c r="AN84" s="326"/>
      <c r="AO84" s="326"/>
      <c r="AP84" s="326"/>
      <c r="AQ84" s="326"/>
      <c r="AR84" s="326"/>
      <c r="AS84" s="326"/>
      <c r="AT84" s="375"/>
      <c r="AU84" s="375"/>
      <c r="AV84" s="375" t="s">
        <v>970</v>
      </c>
      <c r="AW84" s="376" t="s">
        <v>971</v>
      </c>
      <c r="AX84" s="376" t="s">
        <v>219</v>
      </c>
      <c r="AY84" s="323"/>
      <c r="AZ84" s="323"/>
      <c r="BA84" s="323"/>
      <c r="BB84" s="323"/>
      <c r="BC84" s="354" t="s">
        <v>873</v>
      </c>
      <c r="BD84" s="324"/>
      <c r="BE84" s="324"/>
      <c r="BF84" s="324"/>
      <c r="BG84" s="324"/>
      <c r="BH84" s="324"/>
      <c r="BI84" s="324"/>
      <c r="BJ84" s="324"/>
      <c r="BK84" s="324"/>
      <c r="BL84" s="324"/>
      <c r="BM84" s="324"/>
      <c r="BN84" s="324"/>
    </row>
    <row r="85" spans="1:66" ht="15.75" customHeight="1" x14ac:dyDescent="0.2">
      <c r="A85" s="324">
        <v>80</v>
      </c>
      <c r="B85" s="377">
        <v>44416</v>
      </c>
      <c r="C85" s="377">
        <v>44448</v>
      </c>
      <c r="D85" s="289" t="s">
        <v>676</v>
      </c>
      <c r="E85" s="373" t="s">
        <v>151</v>
      </c>
      <c r="F85" s="354" t="s">
        <v>175</v>
      </c>
      <c r="G85" s="324">
        <v>8087525117</v>
      </c>
      <c r="H85" s="324" t="s">
        <v>800</v>
      </c>
      <c r="I85" s="324">
        <v>11</v>
      </c>
      <c r="J85" s="374">
        <v>20.81</v>
      </c>
      <c r="K85" s="374">
        <v>221</v>
      </c>
      <c r="L85" s="374">
        <v>0</v>
      </c>
      <c r="M85" s="374">
        <v>0</v>
      </c>
      <c r="N85" s="374">
        <v>7.25</v>
      </c>
      <c r="O85" s="295">
        <f t="shared" si="64"/>
        <v>221</v>
      </c>
      <c r="P85" s="353">
        <f>O85*150%</f>
        <v>331.5</v>
      </c>
      <c r="Q85" s="363">
        <f t="shared" si="65"/>
        <v>17725.49019607843</v>
      </c>
      <c r="R85" s="337">
        <v>5876000</v>
      </c>
      <c r="S85" s="357">
        <v>500000</v>
      </c>
      <c r="T85" s="337">
        <v>35000</v>
      </c>
      <c r="U85" s="357">
        <v>6411000</v>
      </c>
      <c r="V85" s="326"/>
      <c r="W85" s="375"/>
      <c r="X85" s="326">
        <v>113000</v>
      </c>
      <c r="Y85" s="326">
        <v>90400</v>
      </c>
      <c r="Z85" s="326">
        <v>67800</v>
      </c>
      <c r="AA85" s="326"/>
      <c r="AB85" s="326">
        <v>6682200</v>
      </c>
      <c r="AC85" s="358">
        <v>30000</v>
      </c>
      <c r="AD85" s="326">
        <v>801864</v>
      </c>
      <c r="AE85" s="375"/>
      <c r="AF85" s="326">
        <v>384700</v>
      </c>
      <c r="AG85" s="358">
        <v>6000</v>
      </c>
      <c r="AH85" s="326">
        <v>7904764</v>
      </c>
      <c r="AI85" s="326"/>
      <c r="AJ85" s="326"/>
      <c r="AK85" s="326"/>
      <c r="AL85" s="326"/>
      <c r="AM85" s="326"/>
      <c r="AN85" s="326"/>
      <c r="AO85" s="326"/>
      <c r="AP85" s="326"/>
      <c r="AQ85" s="326"/>
      <c r="AR85" s="326"/>
      <c r="AS85" s="326"/>
      <c r="AT85" s="375"/>
      <c r="AU85" s="375"/>
      <c r="AV85" s="375" t="s">
        <v>972</v>
      </c>
      <c r="AW85" s="376" t="s">
        <v>971</v>
      </c>
      <c r="AX85" s="328" t="s">
        <v>973</v>
      </c>
      <c r="AY85" s="323"/>
      <c r="AZ85" s="323"/>
      <c r="BA85" s="323"/>
      <c r="BB85" s="323"/>
      <c r="BC85" s="354" t="s">
        <v>873</v>
      </c>
      <c r="BD85" s="324"/>
      <c r="BE85" s="324"/>
      <c r="BF85" s="324"/>
      <c r="BG85" s="324"/>
      <c r="BH85" s="324"/>
      <c r="BI85" s="324"/>
      <c r="BJ85" s="324"/>
      <c r="BK85" s="324"/>
      <c r="BL85" s="324"/>
      <c r="BM85" s="324"/>
      <c r="BN85" s="324"/>
    </row>
    <row r="86" spans="1:66" ht="15.75" customHeight="1" x14ac:dyDescent="0.2">
      <c r="A86" s="324">
        <v>81</v>
      </c>
      <c r="B86" s="377">
        <v>44538</v>
      </c>
      <c r="C86" s="324"/>
      <c r="D86" s="324"/>
      <c r="E86" s="373" t="s">
        <v>974</v>
      </c>
      <c r="F86" s="354" t="s">
        <v>175</v>
      </c>
      <c r="G86" s="324">
        <v>9970192931</v>
      </c>
      <c r="H86" s="324" t="s">
        <v>811</v>
      </c>
      <c r="I86" s="324">
        <v>13</v>
      </c>
      <c r="J86" s="374">
        <v>72.8</v>
      </c>
      <c r="K86" s="374">
        <v>784</v>
      </c>
      <c r="L86" s="374">
        <v>34.369999999999997</v>
      </c>
      <c r="M86" s="374">
        <v>0</v>
      </c>
      <c r="N86" s="374">
        <v>0</v>
      </c>
      <c r="O86" s="295">
        <f t="shared" si="64"/>
        <v>784</v>
      </c>
      <c r="P86" s="353">
        <f>O86*145%</f>
        <v>1136.8</v>
      </c>
      <c r="Q86" s="363">
        <f t="shared" si="65"/>
        <v>8831.6326530612241</v>
      </c>
      <c r="R86" s="337">
        <v>10039800</v>
      </c>
      <c r="S86" s="357">
        <v>500000</v>
      </c>
      <c r="T86" s="337">
        <v>70000</v>
      </c>
      <c r="U86" s="326">
        <v>10609800</v>
      </c>
      <c r="V86" s="326"/>
      <c r="W86" s="375"/>
      <c r="X86" s="326">
        <v>418325</v>
      </c>
      <c r="Y86" s="326">
        <v>334660</v>
      </c>
      <c r="Z86" s="326">
        <v>250995</v>
      </c>
      <c r="AA86" s="326"/>
      <c r="AB86" s="326">
        <v>11613780</v>
      </c>
      <c r="AC86" s="358">
        <v>30000</v>
      </c>
      <c r="AD86" s="326">
        <v>1393654</v>
      </c>
      <c r="AE86" s="375"/>
      <c r="AF86" s="326">
        <v>672588</v>
      </c>
      <c r="AG86" s="358">
        <v>6000</v>
      </c>
      <c r="AH86" s="326">
        <v>13680022</v>
      </c>
      <c r="AI86" s="326"/>
      <c r="AJ86" s="326"/>
      <c r="AK86" s="326"/>
      <c r="AL86" s="326"/>
      <c r="AM86" s="326"/>
      <c r="AN86" s="326"/>
      <c r="AO86" s="326"/>
      <c r="AP86" s="326"/>
      <c r="AQ86" s="326"/>
      <c r="AR86" s="326"/>
      <c r="AS86" s="326"/>
      <c r="AT86" s="375"/>
      <c r="AU86" s="375"/>
      <c r="AV86" s="375" t="s">
        <v>975</v>
      </c>
      <c r="AW86" s="328"/>
      <c r="AX86" s="376" t="s">
        <v>382</v>
      </c>
      <c r="AY86" s="323"/>
      <c r="AZ86" s="323"/>
      <c r="BA86" s="323"/>
      <c r="BB86" s="323"/>
      <c r="BC86" s="354" t="s">
        <v>873</v>
      </c>
      <c r="BD86" s="324"/>
      <c r="BE86" s="324"/>
      <c r="BF86" s="324"/>
      <c r="BG86" s="324"/>
      <c r="BH86" s="324"/>
      <c r="BI86" s="324"/>
      <c r="BJ86" s="324"/>
      <c r="BK86" s="324"/>
      <c r="BL86" s="324"/>
      <c r="BM86" s="324"/>
      <c r="BN86" s="324"/>
    </row>
    <row r="87" spans="1:66" ht="15.75" customHeight="1" x14ac:dyDescent="0.2">
      <c r="A87" s="324">
        <v>82</v>
      </c>
      <c r="B87" s="324" t="s">
        <v>976</v>
      </c>
      <c r="C87" s="377">
        <v>44449</v>
      </c>
      <c r="D87" s="289" t="s">
        <v>676</v>
      </c>
      <c r="E87" s="373" t="s">
        <v>289</v>
      </c>
      <c r="F87" s="354" t="s">
        <v>175</v>
      </c>
      <c r="G87" s="324">
        <v>7378452245</v>
      </c>
      <c r="H87" s="324" t="s">
        <v>729</v>
      </c>
      <c r="I87" s="324">
        <v>6</v>
      </c>
      <c r="J87" s="374">
        <v>34.28</v>
      </c>
      <c r="K87" s="374">
        <v>369</v>
      </c>
      <c r="L87" s="374">
        <v>0</v>
      </c>
      <c r="M87" s="374">
        <v>0</v>
      </c>
      <c r="N87" s="374">
        <v>0</v>
      </c>
      <c r="O87" s="295">
        <f t="shared" si="64"/>
        <v>369</v>
      </c>
      <c r="P87" s="353">
        <f>O87*150%</f>
        <v>553.5</v>
      </c>
      <c r="Q87" s="363">
        <f t="shared" si="65"/>
        <v>10353.000903342367</v>
      </c>
      <c r="R87" s="337">
        <v>5730386</v>
      </c>
      <c r="S87" s="357">
        <v>500000</v>
      </c>
      <c r="T87" s="337">
        <v>35000</v>
      </c>
      <c r="U87" s="326">
        <f t="shared" ref="U87:U89" si="66">R87+S87+T87</f>
        <v>6265386</v>
      </c>
      <c r="V87" s="326"/>
      <c r="W87" s="375"/>
      <c r="X87" s="326">
        <v>138375</v>
      </c>
      <c r="Y87" s="326">
        <v>110700</v>
      </c>
      <c r="Z87" s="326">
        <v>83025</v>
      </c>
      <c r="AA87" s="326"/>
      <c r="AB87" s="326">
        <v>6597486</v>
      </c>
      <c r="AC87" s="358">
        <v>30000</v>
      </c>
      <c r="AD87" s="326">
        <v>791698</v>
      </c>
      <c r="AE87" s="375"/>
      <c r="AF87" s="326">
        <v>376000</v>
      </c>
      <c r="AG87" s="358">
        <v>6000</v>
      </c>
      <c r="AH87" s="326">
        <v>7801184</v>
      </c>
      <c r="AI87" s="326"/>
      <c r="AJ87" s="326"/>
      <c r="AK87" s="326"/>
      <c r="AL87" s="326"/>
      <c r="AM87" s="326"/>
      <c r="AN87" s="326"/>
      <c r="AO87" s="326"/>
      <c r="AP87" s="326"/>
      <c r="AQ87" s="326"/>
      <c r="AR87" s="326"/>
      <c r="AS87" s="326"/>
      <c r="AT87" s="375"/>
      <c r="AU87" s="375"/>
      <c r="AV87" s="375" t="s">
        <v>977</v>
      </c>
      <c r="AW87" s="376" t="s">
        <v>971</v>
      </c>
      <c r="AX87" s="328" t="s">
        <v>978</v>
      </c>
      <c r="AY87" s="323"/>
      <c r="AZ87" s="323"/>
      <c r="BA87" s="323"/>
      <c r="BB87" s="323"/>
      <c r="BC87" s="354" t="s">
        <v>873</v>
      </c>
      <c r="BD87" s="324"/>
      <c r="BE87" s="324"/>
      <c r="BF87" s="324"/>
      <c r="BG87" s="324"/>
      <c r="BH87" s="324"/>
      <c r="BI87" s="324"/>
      <c r="BJ87" s="324"/>
      <c r="BK87" s="324"/>
      <c r="BL87" s="324"/>
      <c r="BM87" s="324"/>
      <c r="BN87" s="324"/>
    </row>
    <row r="88" spans="1:66" ht="15.75" customHeight="1" x14ac:dyDescent="0.2">
      <c r="A88" s="324">
        <v>83</v>
      </c>
      <c r="B88" s="377">
        <v>44386</v>
      </c>
      <c r="C88" s="324"/>
      <c r="D88" s="324"/>
      <c r="E88" s="373" t="s">
        <v>979</v>
      </c>
      <c r="F88" s="354" t="s">
        <v>175</v>
      </c>
      <c r="G88" s="324">
        <v>9822282520</v>
      </c>
      <c r="H88" s="324" t="s">
        <v>811</v>
      </c>
      <c r="I88" s="324">
        <v>20</v>
      </c>
      <c r="J88" s="374">
        <v>43.66</v>
      </c>
      <c r="K88" s="374">
        <v>470</v>
      </c>
      <c r="L88" s="374">
        <v>0</v>
      </c>
      <c r="M88" s="374">
        <v>0</v>
      </c>
      <c r="N88" s="374">
        <v>6.13</v>
      </c>
      <c r="O88" s="295">
        <f t="shared" si="64"/>
        <v>470</v>
      </c>
      <c r="P88" s="353">
        <f>O88*145%</f>
        <v>681.5</v>
      </c>
      <c r="Q88" s="363">
        <f t="shared" si="65"/>
        <v>8211.0638297872338</v>
      </c>
      <c r="R88" s="337">
        <v>5595840</v>
      </c>
      <c r="S88" s="357">
        <v>500000</v>
      </c>
      <c r="T88" s="337">
        <v>70000</v>
      </c>
      <c r="U88" s="326">
        <f t="shared" si="66"/>
        <v>6165840</v>
      </c>
      <c r="V88" s="326"/>
      <c r="W88" s="375"/>
      <c r="X88" s="326">
        <v>194300</v>
      </c>
      <c r="Y88" s="326">
        <v>155440</v>
      </c>
      <c r="Z88" s="326">
        <v>116580</v>
      </c>
      <c r="AA88" s="326"/>
      <c r="AB88" s="326">
        <v>6632160</v>
      </c>
      <c r="AC88" s="358">
        <v>30000</v>
      </c>
      <c r="AD88" s="326">
        <v>795860</v>
      </c>
      <c r="AE88" s="375"/>
      <c r="AF88" s="326">
        <v>370000</v>
      </c>
      <c r="AG88" s="358">
        <v>6000</v>
      </c>
      <c r="AH88" s="326">
        <v>7834020</v>
      </c>
      <c r="AI88" s="326"/>
      <c r="AJ88" s="326"/>
      <c r="AK88" s="326"/>
      <c r="AL88" s="326"/>
      <c r="AM88" s="326"/>
      <c r="AN88" s="326"/>
      <c r="AO88" s="326"/>
      <c r="AP88" s="326"/>
      <c r="AQ88" s="326"/>
      <c r="AR88" s="326"/>
      <c r="AS88" s="326"/>
      <c r="AT88" s="375"/>
      <c r="AU88" s="375"/>
      <c r="AV88" s="375"/>
      <c r="AW88" s="328"/>
      <c r="AX88" s="376" t="s">
        <v>980</v>
      </c>
      <c r="AY88" s="323"/>
      <c r="AZ88" s="323"/>
      <c r="BA88" s="323"/>
      <c r="BB88" s="323"/>
      <c r="BC88" s="354" t="s">
        <v>873</v>
      </c>
      <c r="BD88" s="324"/>
      <c r="BE88" s="324"/>
      <c r="BF88" s="324"/>
      <c r="BG88" s="324"/>
      <c r="BH88" s="324"/>
      <c r="BI88" s="324"/>
      <c r="BJ88" s="324"/>
      <c r="BK88" s="324"/>
      <c r="BL88" s="324"/>
      <c r="BM88" s="324"/>
      <c r="BN88" s="324"/>
    </row>
    <row r="89" spans="1:66" ht="15.75" customHeight="1" x14ac:dyDescent="0.2">
      <c r="A89" s="324">
        <v>84</v>
      </c>
      <c r="B89" s="324" t="s">
        <v>981</v>
      </c>
      <c r="C89" s="378" t="s">
        <v>982</v>
      </c>
      <c r="D89" s="378" t="s">
        <v>822</v>
      </c>
      <c r="E89" s="379" t="s">
        <v>206</v>
      </c>
      <c r="F89" s="354" t="s">
        <v>175</v>
      </c>
      <c r="G89" s="378">
        <v>8087609376</v>
      </c>
      <c r="H89" s="324" t="s">
        <v>677</v>
      </c>
      <c r="I89" s="378">
        <v>102</v>
      </c>
      <c r="J89" s="380">
        <v>255.01</v>
      </c>
      <c r="K89" s="380">
        <v>2744.93</v>
      </c>
      <c r="L89" s="380">
        <v>56.63</v>
      </c>
      <c r="M89" s="380">
        <v>609.57000000000005</v>
      </c>
      <c r="N89" s="374">
        <v>0</v>
      </c>
      <c r="O89" s="295">
        <f t="shared" si="64"/>
        <v>3354.5</v>
      </c>
      <c r="P89" s="353">
        <f>O89*150%</f>
        <v>5031.75</v>
      </c>
      <c r="Q89" s="363">
        <f>R89/O89</f>
        <v>6729.7999701892977</v>
      </c>
      <c r="R89" s="381">
        <v>22575114</v>
      </c>
      <c r="S89" s="357">
        <v>500000</v>
      </c>
      <c r="T89" s="382">
        <v>280000</v>
      </c>
      <c r="U89" s="326">
        <f t="shared" si="66"/>
        <v>23355114</v>
      </c>
      <c r="V89" s="326"/>
      <c r="W89" s="375"/>
      <c r="X89" s="383">
        <v>922488</v>
      </c>
      <c r="Y89" s="383">
        <v>737990</v>
      </c>
      <c r="Z89" s="383">
        <v>553493</v>
      </c>
      <c r="AA89" s="326"/>
      <c r="AB89" s="383">
        <v>25569048</v>
      </c>
      <c r="AC89" s="358">
        <v>30000</v>
      </c>
      <c r="AD89" s="383">
        <v>3001870</v>
      </c>
      <c r="AE89" s="375"/>
      <c r="AF89" s="383">
        <v>1401400</v>
      </c>
      <c r="AG89" s="358">
        <v>6000</v>
      </c>
      <c r="AH89" s="383">
        <v>30008354</v>
      </c>
      <c r="AI89" s="326"/>
      <c r="AJ89" s="326"/>
      <c r="AK89" s="326"/>
      <c r="AL89" s="326"/>
      <c r="AM89" s="326"/>
      <c r="AN89" s="326"/>
      <c r="AO89" s="326"/>
      <c r="AP89" s="326"/>
      <c r="AQ89" s="326"/>
      <c r="AR89" s="326"/>
      <c r="AS89" s="326"/>
      <c r="AT89" s="375"/>
      <c r="AU89" s="375"/>
      <c r="AV89" s="384" t="s">
        <v>983</v>
      </c>
      <c r="AW89" s="328"/>
      <c r="AX89" s="376" t="s">
        <v>984</v>
      </c>
      <c r="AY89" s="323"/>
      <c r="AZ89" s="323"/>
      <c r="BA89" s="323"/>
      <c r="BB89" s="323"/>
      <c r="BC89" s="354" t="s">
        <v>873</v>
      </c>
      <c r="BD89" s="324"/>
      <c r="BE89" s="324"/>
      <c r="BF89" s="324"/>
      <c r="BG89" s="324"/>
      <c r="BH89" s="324"/>
      <c r="BI89" s="324"/>
      <c r="BJ89" s="324"/>
      <c r="BK89" s="324"/>
      <c r="BL89" s="324"/>
      <c r="BM89" s="324"/>
      <c r="BN89" s="324"/>
    </row>
    <row r="90" spans="1:66" ht="15.75" customHeight="1" x14ac:dyDescent="0.2">
      <c r="A90" s="324">
        <v>85</v>
      </c>
      <c r="B90" s="324" t="s">
        <v>985</v>
      </c>
      <c r="C90" s="324"/>
      <c r="D90" s="324"/>
      <c r="E90" s="373" t="s">
        <v>986</v>
      </c>
      <c r="F90" s="354" t="s">
        <v>175</v>
      </c>
      <c r="G90" s="324">
        <v>9850603600</v>
      </c>
      <c r="H90" s="324" t="s">
        <v>811</v>
      </c>
      <c r="I90" s="324" t="s">
        <v>987</v>
      </c>
      <c r="J90" s="374">
        <v>327.02</v>
      </c>
      <c r="K90" s="374">
        <v>3520</v>
      </c>
      <c r="L90" s="374">
        <v>0</v>
      </c>
      <c r="M90" s="374">
        <v>0</v>
      </c>
      <c r="N90" s="374">
        <v>0</v>
      </c>
      <c r="O90" s="295">
        <f t="shared" si="64"/>
        <v>3520</v>
      </c>
      <c r="P90" s="353">
        <f t="shared" ref="P90:P91" si="67">O90*145%</f>
        <v>5104</v>
      </c>
      <c r="Q90" s="363">
        <f>R90/P90</f>
        <v>6900</v>
      </c>
      <c r="R90" s="337">
        <v>35217600</v>
      </c>
      <c r="S90" s="337">
        <v>1500000</v>
      </c>
      <c r="T90" s="337">
        <v>35000</v>
      </c>
      <c r="U90" s="326">
        <v>37067600</v>
      </c>
      <c r="V90" s="326"/>
      <c r="W90" s="375"/>
      <c r="X90" s="326">
        <v>1276000</v>
      </c>
      <c r="Y90" s="326">
        <v>1020800</v>
      </c>
      <c r="Z90" s="326">
        <v>765600</v>
      </c>
      <c r="AA90" s="326"/>
      <c r="AB90" s="326">
        <v>40130000</v>
      </c>
      <c r="AC90" s="326">
        <v>30000</v>
      </c>
      <c r="AD90" s="326">
        <v>4815600</v>
      </c>
      <c r="AE90" s="375"/>
      <c r="AF90" s="326">
        <v>2224100</v>
      </c>
      <c r="AG90" s="326">
        <v>6000</v>
      </c>
      <c r="AH90" s="326">
        <v>47205700</v>
      </c>
      <c r="AI90" s="326"/>
      <c r="AJ90" s="326"/>
      <c r="AK90" s="326"/>
      <c r="AL90" s="326"/>
      <c r="AM90" s="326"/>
      <c r="AN90" s="326"/>
      <c r="AO90" s="326"/>
      <c r="AP90" s="326"/>
      <c r="AQ90" s="326"/>
      <c r="AR90" s="326"/>
      <c r="AS90" s="326"/>
      <c r="AT90" s="375"/>
      <c r="AU90" s="375"/>
      <c r="AV90" s="375" t="s">
        <v>988</v>
      </c>
      <c r="AW90" s="328"/>
      <c r="AX90" s="376" t="s">
        <v>382</v>
      </c>
      <c r="AY90" s="323"/>
      <c r="AZ90" s="323"/>
      <c r="BA90" s="323"/>
      <c r="BB90" s="323"/>
      <c r="BC90" s="354" t="s">
        <v>873</v>
      </c>
      <c r="BD90" s="324"/>
      <c r="BE90" s="324"/>
      <c r="BF90" s="324"/>
      <c r="BG90" s="324"/>
      <c r="BH90" s="324"/>
      <c r="BI90" s="324"/>
      <c r="BJ90" s="324"/>
      <c r="BK90" s="324"/>
      <c r="BL90" s="324"/>
      <c r="BM90" s="324"/>
      <c r="BN90" s="324"/>
    </row>
    <row r="91" spans="1:66" ht="15.75" customHeight="1" x14ac:dyDescent="0.2">
      <c r="A91" s="324">
        <v>86</v>
      </c>
      <c r="B91" s="324" t="s">
        <v>989</v>
      </c>
      <c r="C91" s="324"/>
      <c r="D91" s="324"/>
      <c r="E91" s="373" t="s">
        <v>159</v>
      </c>
      <c r="F91" s="354" t="s">
        <v>175</v>
      </c>
      <c r="G91" s="324">
        <v>8087042550</v>
      </c>
      <c r="H91" s="324" t="s">
        <v>844</v>
      </c>
      <c r="I91" s="324" t="s">
        <v>990</v>
      </c>
      <c r="J91" s="374">
        <v>115.76</v>
      </c>
      <c r="K91" s="374">
        <v>1246</v>
      </c>
      <c r="L91" s="374"/>
      <c r="M91" s="374"/>
      <c r="N91" s="374"/>
      <c r="O91" s="295">
        <f t="shared" si="64"/>
        <v>1246</v>
      </c>
      <c r="P91" s="353">
        <f t="shared" si="67"/>
        <v>1806.7</v>
      </c>
      <c r="Q91" s="323">
        <v>6800</v>
      </c>
      <c r="R91" s="337">
        <v>12285560</v>
      </c>
      <c r="S91" s="337">
        <v>1000000</v>
      </c>
      <c r="T91" s="337">
        <v>140000</v>
      </c>
      <c r="U91" s="326">
        <v>13425560</v>
      </c>
      <c r="V91" s="326"/>
      <c r="W91" s="375"/>
      <c r="X91" s="326">
        <v>451675</v>
      </c>
      <c r="Y91" s="326">
        <v>361340</v>
      </c>
      <c r="Z91" s="326">
        <v>140000</v>
      </c>
      <c r="AA91" s="326"/>
      <c r="AB91" s="326">
        <v>14509580</v>
      </c>
      <c r="AC91" s="326">
        <v>30000</v>
      </c>
      <c r="AD91" s="326">
        <v>1708630</v>
      </c>
      <c r="AE91" s="375"/>
      <c r="AF91" s="326">
        <v>805600</v>
      </c>
      <c r="AG91" s="326">
        <v>6000</v>
      </c>
      <c r="AH91" s="326">
        <v>17059810</v>
      </c>
      <c r="AI91" s="326"/>
      <c r="AJ91" s="326"/>
      <c r="AK91" s="326"/>
      <c r="AL91" s="326"/>
      <c r="AM91" s="326"/>
      <c r="AN91" s="326"/>
      <c r="AO91" s="326"/>
      <c r="AP91" s="326"/>
      <c r="AQ91" s="326"/>
      <c r="AR91" s="326"/>
      <c r="AS91" s="326"/>
      <c r="AT91" s="375"/>
      <c r="AU91" s="375"/>
      <c r="AV91" s="375" t="s">
        <v>929</v>
      </c>
      <c r="AW91" s="328"/>
      <c r="AX91" s="376" t="s">
        <v>382</v>
      </c>
      <c r="AY91" s="323"/>
      <c r="AZ91" s="323"/>
      <c r="BA91" s="323"/>
      <c r="BB91" s="323"/>
      <c r="BC91" s="354" t="s">
        <v>873</v>
      </c>
      <c r="BD91" s="324"/>
      <c r="BE91" s="324"/>
      <c r="BF91" s="324"/>
      <c r="BG91" s="324"/>
      <c r="BH91" s="324"/>
      <c r="BI91" s="324"/>
      <c r="BJ91" s="324"/>
      <c r="BK91" s="324"/>
      <c r="BL91" s="324"/>
      <c r="BM91" s="324"/>
      <c r="BN91" s="324"/>
    </row>
    <row r="92" spans="1:66" ht="15.75" customHeight="1" x14ac:dyDescent="0.2">
      <c r="A92" s="385">
        <v>87</v>
      </c>
      <c r="B92" s="386" t="s">
        <v>991</v>
      </c>
      <c r="C92" s="387">
        <v>44544</v>
      </c>
      <c r="D92" s="289" t="s">
        <v>676</v>
      </c>
      <c r="E92" s="388" t="s">
        <v>61</v>
      </c>
      <c r="F92" s="389" t="s">
        <v>175</v>
      </c>
      <c r="G92" s="385">
        <v>9823076488</v>
      </c>
      <c r="H92" s="385" t="s">
        <v>694</v>
      </c>
      <c r="I92" s="385">
        <v>6</v>
      </c>
      <c r="J92" s="385">
        <v>33.35</v>
      </c>
      <c r="K92" s="390">
        <v>359</v>
      </c>
      <c r="L92" s="390"/>
      <c r="M92" s="390"/>
      <c r="N92" s="390"/>
      <c r="O92" s="292">
        <f t="shared" si="64"/>
        <v>359</v>
      </c>
      <c r="P92" s="353">
        <f>O92*150%</f>
        <v>538.5</v>
      </c>
      <c r="Q92" s="391">
        <f t="shared" ref="Q92:Q97" si="68">R92/P92</f>
        <v>11625.000928505107</v>
      </c>
      <c r="R92" s="392">
        <v>6260063</v>
      </c>
      <c r="S92" s="393">
        <v>0</v>
      </c>
      <c r="T92" s="393">
        <v>0</v>
      </c>
      <c r="U92" s="394">
        <v>6260063</v>
      </c>
      <c r="V92" s="395"/>
      <c r="W92" s="395"/>
      <c r="X92" s="394">
        <v>134625</v>
      </c>
      <c r="Y92" s="394">
        <v>107700</v>
      </c>
      <c r="Z92" s="394">
        <v>80775</v>
      </c>
      <c r="AA92" s="394"/>
      <c r="AB92" s="394">
        <v>6583163</v>
      </c>
      <c r="AC92" s="394">
        <v>30000</v>
      </c>
      <c r="AD92" s="394">
        <v>780286</v>
      </c>
      <c r="AE92" s="395"/>
      <c r="AF92" s="394">
        <v>375700</v>
      </c>
      <c r="AG92" s="394">
        <v>6000</v>
      </c>
      <c r="AH92" s="394">
        <v>7775149</v>
      </c>
      <c r="AI92" s="395"/>
      <c r="AJ92" s="395"/>
      <c r="AK92" s="395"/>
      <c r="AL92" s="395"/>
      <c r="AM92" s="395"/>
      <c r="AN92" s="395"/>
      <c r="AO92" s="395"/>
      <c r="AP92" s="395"/>
      <c r="AQ92" s="395"/>
      <c r="AR92" s="395"/>
      <c r="AS92" s="395"/>
      <c r="AT92" s="396"/>
      <c r="AU92" s="396"/>
      <c r="AV92" s="397" t="s">
        <v>992</v>
      </c>
      <c r="AW92" s="376" t="s">
        <v>971</v>
      </c>
      <c r="AX92" s="398" t="s">
        <v>973</v>
      </c>
      <c r="AY92" s="389"/>
      <c r="AZ92" s="389"/>
      <c r="BA92" s="389"/>
      <c r="BB92" s="399"/>
      <c r="BC92" s="400" t="s">
        <v>873</v>
      </c>
      <c r="BD92" s="385"/>
      <c r="BE92" s="401"/>
      <c r="BF92" s="401"/>
      <c r="BG92" s="401"/>
      <c r="BH92" s="401"/>
      <c r="BI92" s="401"/>
      <c r="BJ92" s="401"/>
      <c r="BK92" s="401"/>
      <c r="BL92" s="401"/>
      <c r="BM92" s="401"/>
      <c r="BN92" s="401"/>
    </row>
    <row r="93" spans="1:66" ht="15.75" customHeight="1" x14ac:dyDescent="0.2">
      <c r="A93" s="389">
        <v>88</v>
      </c>
      <c r="B93" s="402">
        <v>44298</v>
      </c>
      <c r="C93" s="389"/>
      <c r="D93" s="389"/>
      <c r="E93" s="388" t="s">
        <v>473</v>
      </c>
      <c r="F93" s="389" t="s">
        <v>175</v>
      </c>
      <c r="G93" s="389">
        <v>9890302005</v>
      </c>
      <c r="H93" s="389" t="s">
        <v>811</v>
      </c>
      <c r="I93" s="389">
        <v>23</v>
      </c>
      <c r="J93" s="389">
        <v>37.21</v>
      </c>
      <c r="K93" s="403">
        <v>401</v>
      </c>
      <c r="L93" s="403">
        <v>4.83</v>
      </c>
      <c r="M93" s="403">
        <v>52</v>
      </c>
      <c r="N93" s="403"/>
      <c r="O93" s="292">
        <f t="shared" si="64"/>
        <v>453</v>
      </c>
      <c r="P93" s="353">
        <f t="shared" ref="P93:P95" si="69">O93*145%</f>
        <v>656.85</v>
      </c>
      <c r="Q93" s="391">
        <f t="shared" si="68"/>
        <v>6223.9993910329604</v>
      </c>
      <c r="R93" s="393">
        <v>4088234</v>
      </c>
      <c r="S93" s="393">
        <v>0</v>
      </c>
      <c r="T93" s="393">
        <v>0</v>
      </c>
      <c r="U93" s="394">
        <v>4088234</v>
      </c>
      <c r="V93" s="395"/>
      <c r="W93" s="395"/>
      <c r="X93" s="394">
        <v>164213</v>
      </c>
      <c r="Y93" s="394">
        <v>131370</v>
      </c>
      <c r="Z93" s="394">
        <v>98528</v>
      </c>
      <c r="AA93" s="394"/>
      <c r="AB93" s="394">
        <v>4482344</v>
      </c>
      <c r="AC93" s="394">
        <v>30000</v>
      </c>
      <c r="AD93" s="394">
        <v>526058</v>
      </c>
      <c r="AE93" s="395"/>
      <c r="AF93" s="394">
        <v>245300</v>
      </c>
      <c r="AG93" s="394">
        <v>6000</v>
      </c>
      <c r="AH93" s="394">
        <v>5300585</v>
      </c>
      <c r="AI93" s="395"/>
      <c r="AJ93" s="395"/>
      <c r="AK93" s="395"/>
      <c r="AL93" s="395"/>
      <c r="AM93" s="395"/>
      <c r="AN93" s="395"/>
      <c r="AO93" s="395"/>
      <c r="AP93" s="395"/>
      <c r="AQ93" s="395"/>
      <c r="AR93" s="395"/>
      <c r="AS93" s="395"/>
      <c r="AT93" s="395"/>
      <c r="AU93" s="395"/>
      <c r="AV93" s="394" t="s">
        <v>993</v>
      </c>
      <c r="AW93" s="376" t="s">
        <v>971</v>
      </c>
      <c r="AX93" s="404" t="s">
        <v>994</v>
      </c>
      <c r="AY93" s="389"/>
      <c r="AZ93" s="389"/>
      <c r="BA93" s="389"/>
      <c r="BB93" s="399"/>
      <c r="BC93" s="400" t="s">
        <v>873</v>
      </c>
      <c r="BD93" s="389"/>
      <c r="BE93" s="399"/>
      <c r="BF93" s="399"/>
      <c r="BG93" s="399"/>
      <c r="BH93" s="399"/>
      <c r="BI93" s="399"/>
      <c r="BJ93" s="399"/>
      <c r="BK93" s="399"/>
      <c r="BL93" s="399"/>
      <c r="BM93" s="399"/>
      <c r="BN93" s="399"/>
    </row>
    <row r="94" spans="1:66" ht="15.75" customHeight="1" x14ac:dyDescent="0.2">
      <c r="A94" s="405">
        <v>89</v>
      </c>
      <c r="B94" s="406">
        <v>44359</v>
      </c>
      <c r="C94" s="323"/>
      <c r="D94" s="323"/>
      <c r="E94" s="407" t="s">
        <v>995</v>
      </c>
      <c r="F94" s="405" t="s">
        <v>175</v>
      </c>
      <c r="G94" s="405">
        <v>9156855999</v>
      </c>
      <c r="H94" s="405" t="s">
        <v>811</v>
      </c>
      <c r="I94" s="405" t="s">
        <v>996</v>
      </c>
      <c r="J94" s="381">
        <v>127.13</v>
      </c>
      <c r="K94" s="408">
        <v>1368</v>
      </c>
      <c r="L94" s="409"/>
      <c r="M94" s="409"/>
      <c r="N94" s="409"/>
      <c r="O94" s="292">
        <f t="shared" si="64"/>
        <v>1368</v>
      </c>
      <c r="P94" s="353">
        <f t="shared" si="69"/>
        <v>1983.6</v>
      </c>
      <c r="Q94" s="391">
        <f t="shared" si="68"/>
        <v>6020.9018955434567</v>
      </c>
      <c r="R94" s="410">
        <v>11943061</v>
      </c>
      <c r="S94" s="411">
        <v>700000</v>
      </c>
      <c r="T94" s="411">
        <v>210000</v>
      </c>
      <c r="U94" s="411">
        <v>12853061</v>
      </c>
      <c r="V94" s="326"/>
      <c r="W94" s="326"/>
      <c r="X94" s="383">
        <v>496056</v>
      </c>
      <c r="Y94" s="383">
        <v>396845</v>
      </c>
      <c r="Z94" s="383">
        <v>297634</v>
      </c>
      <c r="AA94" s="326"/>
      <c r="AB94" s="383">
        <v>14043595</v>
      </c>
      <c r="AC94" s="394">
        <v>30000</v>
      </c>
      <c r="AD94" s="383">
        <v>1649516</v>
      </c>
      <c r="AE94" s="326"/>
      <c r="AF94" s="383">
        <v>771200</v>
      </c>
      <c r="AG94" s="394">
        <v>6000</v>
      </c>
      <c r="AH94" s="383">
        <v>16500311</v>
      </c>
      <c r="AI94" s="326"/>
      <c r="AJ94" s="326"/>
      <c r="AK94" s="326"/>
      <c r="AL94" s="326"/>
      <c r="AM94" s="326"/>
      <c r="AN94" s="326"/>
      <c r="AO94" s="326"/>
      <c r="AP94" s="326"/>
      <c r="AQ94" s="326"/>
      <c r="AR94" s="326"/>
      <c r="AS94" s="326"/>
      <c r="AT94" s="326"/>
      <c r="AU94" s="326"/>
      <c r="AV94" s="383" t="s">
        <v>997</v>
      </c>
      <c r="AW94" s="412"/>
      <c r="AX94" s="413" t="s">
        <v>382</v>
      </c>
      <c r="AY94" s="323"/>
      <c r="AZ94" s="323"/>
      <c r="BA94" s="323"/>
      <c r="BB94" s="323"/>
      <c r="BC94" s="400" t="s">
        <v>873</v>
      </c>
      <c r="BD94" s="323"/>
      <c r="BE94" s="323"/>
      <c r="BF94" s="323"/>
      <c r="BG94" s="323"/>
      <c r="BH94" s="323"/>
      <c r="BI94" s="323"/>
      <c r="BJ94" s="323"/>
      <c r="BK94" s="323"/>
      <c r="BL94" s="323"/>
      <c r="BM94" s="323"/>
      <c r="BN94" s="323"/>
    </row>
    <row r="95" spans="1:66" ht="15.75" customHeight="1" x14ac:dyDescent="0.2">
      <c r="A95" s="405">
        <v>90</v>
      </c>
      <c r="B95" s="405" t="s">
        <v>998</v>
      </c>
      <c r="C95" s="323"/>
      <c r="D95" s="323"/>
      <c r="E95" s="407" t="s">
        <v>424</v>
      </c>
      <c r="F95" s="405" t="s">
        <v>175</v>
      </c>
      <c r="G95" s="405">
        <v>9890621330</v>
      </c>
      <c r="H95" s="405" t="s">
        <v>844</v>
      </c>
      <c r="I95" s="405">
        <v>26</v>
      </c>
      <c r="J95" s="381">
        <v>58.99</v>
      </c>
      <c r="K95" s="408">
        <v>635</v>
      </c>
      <c r="L95" s="408">
        <v>73</v>
      </c>
      <c r="M95" s="409"/>
      <c r="N95" s="409"/>
      <c r="O95" s="292">
        <f>K95+L95</f>
        <v>708</v>
      </c>
      <c r="P95" s="353">
        <f t="shared" si="69"/>
        <v>1026.5999999999999</v>
      </c>
      <c r="Q95" s="391">
        <f t="shared" si="68"/>
        <v>7028.9996103643098</v>
      </c>
      <c r="R95" s="414">
        <v>7215971</v>
      </c>
      <c r="S95" s="411">
        <v>500000</v>
      </c>
      <c r="T95" s="411">
        <v>70000</v>
      </c>
      <c r="U95" s="383">
        <v>7785971</v>
      </c>
      <c r="V95" s="326"/>
      <c r="W95" s="326"/>
      <c r="X95" s="383">
        <v>256650</v>
      </c>
      <c r="Y95" s="383">
        <v>205320</v>
      </c>
      <c r="Z95" s="383">
        <v>153990</v>
      </c>
      <c r="AA95" s="326"/>
      <c r="AB95" s="383">
        <v>8401931</v>
      </c>
      <c r="AC95" s="394">
        <v>30000</v>
      </c>
      <c r="AD95" s="383">
        <v>989752</v>
      </c>
      <c r="AE95" s="326"/>
      <c r="AF95" s="383">
        <v>467200</v>
      </c>
      <c r="AG95" s="383">
        <v>6000</v>
      </c>
      <c r="AH95" s="383">
        <v>9894883</v>
      </c>
      <c r="AI95" s="326"/>
      <c r="AJ95" s="326"/>
      <c r="AK95" s="326"/>
      <c r="AL95" s="326"/>
      <c r="AM95" s="326"/>
      <c r="AN95" s="326"/>
      <c r="AO95" s="326"/>
      <c r="AP95" s="326"/>
      <c r="AQ95" s="326"/>
      <c r="AR95" s="326"/>
      <c r="AS95" s="326"/>
      <c r="AT95" s="326"/>
      <c r="AU95" s="326"/>
      <c r="AV95" s="383" t="s">
        <v>999</v>
      </c>
      <c r="AW95" s="412"/>
      <c r="AX95" s="413" t="s">
        <v>980</v>
      </c>
      <c r="AY95" s="323"/>
      <c r="AZ95" s="323"/>
      <c r="BA95" s="323"/>
      <c r="BB95" s="323"/>
      <c r="BC95" s="400" t="s">
        <v>873</v>
      </c>
      <c r="BD95" s="323"/>
      <c r="BE95" s="323"/>
      <c r="BF95" s="323"/>
      <c r="BG95" s="323"/>
      <c r="BH95" s="323"/>
      <c r="BI95" s="323"/>
      <c r="BJ95" s="323"/>
      <c r="BK95" s="323"/>
      <c r="BL95" s="323"/>
      <c r="BM95" s="323"/>
      <c r="BN95" s="323"/>
    </row>
    <row r="96" spans="1:66" ht="15.75" customHeight="1" x14ac:dyDescent="0.2">
      <c r="A96" s="405">
        <v>91</v>
      </c>
      <c r="B96" s="406">
        <v>44806</v>
      </c>
      <c r="C96" s="323"/>
      <c r="D96" s="323"/>
      <c r="E96" s="407" t="s">
        <v>154</v>
      </c>
      <c r="F96" s="405" t="s">
        <v>175</v>
      </c>
      <c r="G96" s="405" t="s">
        <v>1000</v>
      </c>
      <c r="H96" s="405" t="s">
        <v>800</v>
      </c>
      <c r="I96" s="405">
        <v>12</v>
      </c>
      <c r="J96" s="381">
        <v>20.84</v>
      </c>
      <c r="K96" s="408">
        <v>224</v>
      </c>
      <c r="L96" s="409"/>
      <c r="M96" s="408">
        <v>75.13</v>
      </c>
      <c r="N96" s="409"/>
      <c r="O96" s="292">
        <f t="shared" ref="O96:O97" si="70">K96+M96</f>
        <v>299.13</v>
      </c>
      <c r="P96" s="353">
        <f>O96*150%</f>
        <v>448.69499999999999</v>
      </c>
      <c r="Q96" s="391">
        <f t="shared" si="68"/>
        <v>10884.393630417098</v>
      </c>
      <c r="R96" s="414">
        <v>4883773</v>
      </c>
      <c r="S96" s="411">
        <v>0</v>
      </c>
      <c r="T96" s="411">
        <v>0</v>
      </c>
      <c r="U96" s="383">
        <v>4883773</v>
      </c>
      <c r="V96" s="326"/>
      <c r="W96" s="326"/>
      <c r="X96" s="383">
        <v>112250</v>
      </c>
      <c r="Y96" s="383">
        <v>89800</v>
      </c>
      <c r="Z96" s="383">
        <v>67350</v>
      </c>
      <c r="AA96" s="326"/>
      <c r="AB96" s="383">
        <v>5153173</v>
      </c>
      <c r="AC96" s="394">
        <v>30000</v>
      </c>
      <c r="AD96" s="383">
        <v>618380</v>
      </c>
      <c r="AE96" s="326"/>
      <c r="AF96" s="326">
        <f>293100+30000</f>
        <v>323100</v>
      </c>
      <c r="AG96" s="383">
        <v>6000</v>
      </c>
      <c r="AH96" s="383">
        <v>6100653</v>
      </c>
      <c r="AI96" s="326"/>
      <c r="AJ96" s="326"/>
      <c r="AK96" s="326"/>
      <c r="AL96" s="326"/>
      <c r="AM96" s="326"/>
      <c r="AN96" s="326"/>
      <c r="AO96" s="326"/>
      <c r="AP96" s="326"/>
      <c r="AQ96" s="326"/>
      <c r="AR96" s="326"/>
      <c r="AS96" s="326"/>
      <c r="AT96" s="326"/>
      <c r="AU96" s="326"/>
      <c r="AV96" s="383" t="s">
        <v>1001</v>
      </c>
      <c r="AW96" s="413" t="s">
        <v>1002</v>
      </c>
      <c r="AX96" s="413" t="s">
        <v>87</v>
      </c>
      <c r="AY96" s="323"/>
      <c r="AZ96" s="323"/>
      <c r="BA96" s="323"/>
      <c r="BB96" s="323"/>
      <c r="BC96" s="400" t="s">
        <v>873</v>
      </c>
      <c r="BD96" s="323"/>
      <c r="BE96" s="323"/>
      <c r="BF96" s="323"/>
      <c r="BG96" s="323"/>
      <c r="BH96" s="323"/>
      <c r="BI96" s="323"/>
      <c r="BJ96" s="323"/>
      <c r="BK96" s="323"/>
      <c r="BL96" s="323"/>
      <c r="BM96" s="323"/>
      <c r="BN96" s="323"/>
    </row>
    <row r="97" spans="1:66" ht="15.75" customHeight="1" x14ac:dyDescent="0.2">
      <c r="A97" s="405">
        <v>98</v>
      </c>
      <c r="B97" s="415">
        <v>44622</v>
      </c>
      <c r="C97" s="323"/>
      <c r="D97" s="323"/>
      <c r="E97" s="407" t="s">
        <v>381</v>
      </c>
      <c r="F97" s="405" t="s">
        <v>175</v>
      </c>
      <c r="G97" s="405">
        <v>8605693332</v>
      </c>
      <c r="H97" s="405" t="s">
        <v>844</v>
      </c>
      <c r="I97" s="405">
        <v>11</v>
      </c>
      <c r="J97" s="381">
        <v>56.86</v>
      </c>
      <c r="K97" s="408">
        <v>612</v>
      </c>
      <c r="L97" s="408">
        <v>18.260000000000002</v>
      </c>
      <c r="M97" s="408">
        <v>98</v>
      </c>
      <c r="N97" s="409"/>
      <c r="O97" s="292">
        <f t="shared" si="70"/>
        <v>710</v>
      </c>
      <c r="P97" s="353">
        <f>O97*145%</f>
        <v>1029.5</v>
      </c>
      <c r="Q97" s="391">
        <f t="shared" si="68"/>
        <v>7461.3229723166587</v>
      </c>
      <c r="R97" s="414">
        <v>7681432</v>
      </c>
      <c r="S97" s="411">
        <v>400000</v>
      </c>
      <c r="T97" s="411">
        <v>200000</v>
      </c>
      <c r="U97" s="383">
        <v>8281432</v>
      </c>
      <c r="V97" s="326"/>
      <c r="W97" s="326"/>
      <c r="X97" s="383">
        <v>257490</v>
      </c>
      <c r="Y97" s="383">
        <v>200000</v>
      </c>
      <c r="Z97" s="383">
        <v>154494</v>
      </c>
      <c r="AA97" s="326"/>
      <c r="AB97" s="383">
        <v>8899407</v>
      </c>
      <c r="AC97" s="394">
        <v>30000</v>
      </c>
      <c r="AD97" s="383">
        <v>1067929</v>
      </c>
      <c r="AE97" s="326"/>
      <c r="AF97" s="326">
        <f>496886+30000</f>
        <v>526886</v>
      </c>
      <c r="AG97" s="383">
        <v>6000</v>
      </c>
      <c r="AH97" s="383">
        <v>10500222</v>
      </c>
      <c r="AI97" s="326"/>
      <c r="AJ97" s="326"/>
      <c r="AK97" s="326"/>
      <c r="AL97" s="326"/>
      <c r="AM97" s="326"/>
      <c r="AN97" s="326"/>
      <c r="AO97" s="326"/>
      <c r="AP97" s="326"/>
      <c r="AQ97" s="326"/>
      <c r="AR97" s="326"/>
      <c r="AS97" s="326"/>
      <c r="AT97" s="326"/>
      <c r="AU97" s="326"/>
      <c r="AV97" s="383" t="s">
        <v>1003</v>
      </c>
      <c r="AW97" s="413" t="s">
        <v>1004</v>
      </c>
      <c r="AX97" s="413" t="s">
        <v>382</v>
      </c>
      <c r="AY97" s="323"/>
      <c r="AZ97" s="323"/>
      <c r="BA97" s="323"/>
      <c r="BB97" s="323"/>
      <c r="BC97" s="400" t="s">
        <v>873</v>
      </c>
      <c r="BD97" s="323"/>
      <c r="BE97" s="323"/>
      <c r="BF97" s="323"/>
      <c r="BG97" s="323"/>
      <c r="BH97" s="323"/>
      <c r="BI97" s="323"/>
      <c r="BJ97" s="323"/>
      <c r="BK97" s="323"/>
      <c r="BL97" s="323"/>
      <c r="BM97" s="323"/>
      <c r="BN97" s="323"/>
    </row>
    <row r="98" spans="1:66" ht="15.75" customHeight="1" x14ac:dyDescent="0.2">
      <c r="A98" s="348"/>
      <c r="B98" s="348" t="s">
        <v>1005</v>
      </c>
      <c r="C98" s="348"/>
      <c r="D98" s="348"/>
      <c r="E98" s="348" t="s">
        <v>0</v>
      </c>
      <c r="F98" s="348"/>
      <c r="G98" s="348"/>
      <c r="H98" s="348"/>
      <c r="I98" s="348"/>
      <c r="J98" s="416"/>
      <c r="K98" s="417">
        <f>SUM(K2:K97)</f>
        <v>34034.932119999998</v>
      </c>
      <c r="L98" s="417">
        <f>SUM(L2:L95)</f>
        <v>309.27</v>
      </c>
      <c r="M98" s="417">
        <f>SUM(M2:M97)</f>
        <v>1937.1452400000003</v>
      </c>
      <c r="N98" s="417">
        <f>SUM(N2:N95)</f>
        <v>292.38</v>
      </c>
      <c r="O98" s="417">
        <f>SUM(O2:O96)</f>
        <v>35897.09736</v>
      </c>
      <c r="P98" s="417">
        <f>SUM(P2:P95)</f>
        <v>52759.101039999994</v>
      </c>
      <c r="Q98" s="418">
        <f>AVERAGE(Q2:Q95)</f>
        <v>10400.166670866343</v>
      </c>
      <c r="R98" s="419">
        <f t="shared" ref="R98:U98" si="71">SUM(R2:R97)</f>
        <v>472564443</v>
      </c>
      <c r="S98" s="419">
        <f t="shared" si="71"/>
        <v>18100000</v>
      </c>
      <c r="T98" s="419">
        <f t="shared" si="71"/>
        <v>4715000</v>
      </c>
      <c r="U98" s="420">
        <f t="shared" si="71"/>
        <v>495771435</v>
      </c>
      <c r="V98" s="420">
        <f t="shared" ref="V98:W98" si="72">SUM(V2:V95)</f>
        <v>1412347.68</v>
      </c>
      <c r="W98" s="420">
        <f t="shared" si="72"/>
        <v>33896344.32</v>
      </c>
      <c r="X98" s="420">
        <f t="shared" ref="X98:Z98" si="73">SUM(X2:X97)</f>
        <v>13288468</v>
      </c>
      <c r="Y98" s="420">
        <f t="shared" si="73"/>
        <v>10624781</v>
      </c>
      <c r="Z98" s="420">
        <f t="shared" si="73"/>
        <v>7937995</v>
      </c>
      <c r="AA98" s="420"/>
      <c r="AB98" s="420">
        <f>SUM(AB2:AB97)</f>
        <v>516944718.31999999</v>
      </c>
      <c r="AC98" s="420">
        <f>SUM(AC2:AC95)</f>
        <v>2695200</v>
      </c>
      <c r="AD98" s="420">
        <f>SUM(AD2:AD97)</f>
        <v>60391831.238399997</v>
      </c>
      <c r="AE98" s="420">
        <f t="shared" ref="AE98:AG98" si="74">SUM(AE2:AE95)</f>
        <v>1960890.08</v>
      </c>
      <c r="AF98" s="420">
        <f t="shared" si="74"/>
        <v>28250818.472400002</v>
      </c>
      <c r="AG98" s="420">
        <f t="shared" si="74"/>
        <v>420000</v>
      </c>
      <c r="AH98" s="420">
        <f>SUM(AH2:AH97)</f>
        <v>621492784.03079998</v>
      </c>
      <c r="AI98" s="420">
        <f t="shared" ref="AI98:AM98" si="75">SUM(AI2:AI95)</f>
        <v>29384662.648800001</v>
      </c>
      <c r="AJ98" s="420">
        <f t="shared" si="75"/>
        <v>3619262.7056</v>
      </c>
      <c r="AK98" s="420">
        <f t="shared" si="75"/>
        <v>43875</v>
      </c>
      <c r="AL98" s="420">
        <f t="shared" si="75"/>
        <v>66458956.420000002</v>
      </c>
      <c r="AM98" s="420">
        <f t="shared" si="75"/>
        <v>9029994.583999997</v>
      </c>
      <c r="AN98" s="420"/>
      <c r="AO98" s="420">
        <f t="shared" ref="AO98:AP98" si="76">SUM(AO2:AO95)</f>
        <v>23656535.800000001</v>
      </c>
      <c r="AP98" s="420">
        <f t="shared" si="76"/>
        <v>2906499.176</v>
      </c>
      <c r="AQ98" s="420"/>
      <c r="AR98" s="420">
        <f t="shared" ref="AR98:AS98" si="77">SUM(AR2:AR95)</f>
        <v>8445848.5999999996</v>
      </c>
      <c r="AS98" s="420">
        <f t="shared" si="77"/>
        <v>1081213.392</v>
      </c>
      <c r="AT98" s="420"/>
      <c r="AU98" s="420"/>
      <c r="AV98" s="420"/>
      <c r="AW98" s="421"/>
      <c r="AX98" s="421"/>
      <c r="AY98" s="348"/>
      <c r="AZ98" s="348"/>
      <c r="BA98" s="348"/>
      <c r="BB98" s="348"/>
      <c r="BC98" s="422"/>
      <c r="BD98" s="348"/>
      <c r="BE98" s="348"/>
      <c r="BF98" s="348"/>
      <c r="BG98" s="348"/>
      <c r="BH98" s="348"/>
      <c r="BI98" s="348"/>
      <c r="BJ98" s="348"/>
      <c r="BK98" s="348"/>
      <c r="BL98" s="348"/>
      <c r="BM98" s="348"/>
      <c r="BN98" s="348"/>
    </row>
    <row r="99" spans="1:66" ht="15.75" customHeight="1" x14ac:dyDescent="0.2">
      <c r="A99" s="324"/>
      <c r="B99" s="324"/>
      <c r="C99" s="324"/>
      <c r="D99" s="324"/>
      <c r="E99" s="324"/>
      <c r="F99" s="324"/>
      <c r="G99" s="324"/>
      <c r="H99" s="324"/>
      <c r="I99" s="324"/>
      <c r="J99" s="374"/>
      <c r="K99" s="374"/>
      <c r="L99" s="374"/>
      <c r="M99" s="374"/>
      <c r="N99" s="374"/>
      <c r="O99" s="374"/>
      <c r="P99" s="374"/>
      <c r="Q99" s="324"/>
      <c r="R99" s="374"/>
      <c r="S99" s="374"/>
      <c r="T99" s="374"/>
      <c r="U99" s="375"/>
      <c r="V99" s="375"/>
      <c r="W99" s="375"/>
      <c r="X99" s="326"/>
      <c r="Y99" s="375"/>
      <c r="Z99" s="375"/>
      <c r="AA99" s="375"/>
      <c r="AB99" s="375"/>
      <c r="AC99" s="375"/>
      <c r="AD99" s="375"/>
      <c r="AE99" s="375"/>
      <c r="AF99" s="375"/>
      <c r="AG99" s="375"/>
      <c r="AH99" s="375"/>
      <c r="AI99" s="375"/>
      <c r="AJ99" s="375"/>
      <c r="AK99" s="375"/>
      <c r="AL99" s="375"/>
      <c r="AM99" s="375"/>
      <c r="AN99" s="324"/>
      <c r="AO99" s="324"/>
      <c r="AP99" s="324"/>
      <c r="AQ99" s="324"/>
      <c r="AR99" s="324"/>
      <c r="AS99" s="324"/>
      <c r="AT99" s="324"/>
      <c r="AU99" s="324"/>
      <c r="AV99" s="324"/>
      <c r="AW99" s="324"/>
      <c r="AX99" s="324"/>
      <c r="AY99" s="324"/>
      <c r="AZ99" s="324"/>
      <c r="BA99" s="324"/>
      <c r="BB99" s="324"/>
      <c r="BC99" s="324"/>
      <c r="BD99" s="324"/>
      <c r="BE99" s="324"/>
      <c r="BF99" s="324"/>
      <c r="BG99" s="324"/>
      <c r="BH99" s="324"/>
      <c r="BI99" s="324"/>
      <c r="BJ99" s="324"/>
      <c r="BK99" s="324"/>
      <c r="BL99" s="324"/>
      <c r="BM99" s="324"/>
      <c r="BN99" s="324"/>
    </row>
    <row r="100" spans="1:66" ht="15.75" customHeight="1" x14ac:dyDescent="0.2">
      <c r="A100" s="324"/>
      <c r="B100" s="324"/>
      <c r="C100" s="324"/>
      <c r="D100" s="324"/>
      <c r="E100" s="324"/>
      <c r="F100" s="324"/>
      <c r="G100" s="324"/>
      <c r="H100" s="324"/>
      <c r="I100" s="324"/>
      <c r="J100" s="374"/>
      <c r="K100" s="374"/>
      <c r="L100" s="374"/>
      <c r="M100" s="374"/>
      <c r="N100" s="374"/>
      <c r="O100" s="374"/>
      <c r="P100" s="374"/>
      <c r="Q100" s="324"/>
      <c r="R100" s="374"/>
      <c r="S100" s="374"/>
      <c r="T100" s="374"/>
      <c r="U100" s="375"/>
      <c r="V100" s="375"/>
      <c r="W100" s="375"/>
      <c r="X100" s="326"/>
      <c r="Y100" s="375"/>
      <c r="Z100" s="375"/>
      <c r="AA100" s="375"/>
      <c r="AB100" s="375"/>
      <c r="AC100" s="375"/>
      <c r="AD100" s="375"/>
      <c r="AE100" s="375"/>
      <c r="AF100" s="375"/>
      <c r="AG100" s="375"/>
      <c r="AH100" s="375"/>
      <c r="AI100" s="375"/>
      <c r="AJ100" s="375"/>
      <c r="AK100" s="375"/>
      <c r="AL100" s="375"/>
      <c r="AM100" s="375"/>
      <c r="AN100" s="324"/>
      <c r="AO100" s="324"/>
      <c r="AP100" s="324"/>
      <c r="AQ100" s="324"/>
      <c r="AR100" s="324"/>
      <c r="AS100" s="324"/>
      <c r="AT100" s="324"/>
      <c r="AU100" s="324"/>
      <c r="AV100" s="324"/>
      <c r="AW100" s="324"/>
      <c r="AX100" s="324"/>
      <c r="AY100" s="324"/>
      <c r="AZ100" s="324"/>
      <c r="BA100" s="324"/>
      <c r="BB100" s="324"/>
      <c r="BC100" s="324"/>
      <c r="BD100" s="324"/>
      <c r="BE100" s="324"/>
      <c r="BF100" s="324"/>
      <c r="BG100" s="324"/>
      <c r="BH100" s="324"/>
      <c r="BI100" s="324"/>
      <c r="BJ100" s="324"/>
      <c r="BK100" s="324"/>
      <c r="BL100" s="324"/>
      <c r="BM100" s="324"/>
      <c r="BN100" s="324"/>
    </row>
    <row r="101" spans="1:66" ht="15.75" customHeight="1" x14ac:dyDescent="0.2">
      <c r="A101" s="324"/>
      <c r="B101" s="324"/>
      <c r="C101" s="324"/>
      <c r="D101" s="324"/>
      <c r="E101" s="324"/>
      <c r="F101" s="324"/>
      <c r="G101" s="324"/>
      <c r="H101" s="324"/>
      <c r="I101" s="324"/>
      <c r="J101" s="374"/>
      <c r="K101" s="374"/>
      <c r="L101" s="374"/>
      <c r="M101" s="374"/>
      <c r="N101" s="374"/>
      <c r="O101" s="374"/>
      <c r="P101" s="324"/>
      <c r="Q101" s="324"/>
      <c r="R101" s="375"/>
      <c r="S101" s="375"/>
      <c r="T101" s="375"/>
      <c r="U101" s="375"/>
      <c r="V101" s="375"/>
      <c r="W101" s="375"/>
      <c r="X101" s="326"/>
      <c r="Y101" s="375"/>
      <c r="Z101" s="375"/>
      <c r="AA101" s="375"/>
      <c r="AB101" s="375"/>
      <c r="AC101" s="375"/>
      <c r="AD101" s="375"/>
      <c r="AE101" s="375"/>
      <c r="AF101" s="375"/>
      <c r="AG101" s="375"/>
      <c r="AH101" s="375"/>
      <c r="AI101" s="375"/>
      <c r="AJ101" s="375"/>
      <c r="AK101" s="375"/>
      <c r="AL101" s="375"/>
      <c r="AM101" s="375"/>
      <c r="AN101" s="324"/>
      <c r="AO101" s="324"/>
      <c r="AP101" s="324"/>
      <c r="AQ101" s="324"/>
      <c r="AR101" s="324"/>
      <c r="AS101" s="324"/>
      <c r="AT101" s="324"/>
      <c r="AU101" s="324"/>
      <c r="AV101" s="324"/>
      <c r="AW101" s="324"/>
      <c r="AX101" s="324"/>
      <c r="AY101" s="324"/>
      <c r="AZ101" s="324"/>
      <c r="BA101" s="324"/>
      <c r="BB101" s="324"/>
      <c r="BC101" s="324"/>
      <c r="BD101" s="324"/>
      <c r="BE101" s="324"/>
      <c r="BF101" s="324"/>
      <c r="BG101" s="324"/>
      <c r="BH101" s="324"/>
      <c r="BI101" s="324"/>
      <c r="BJ101" s="324"/>
      <c r="BK101" s="324"/>
      <c r="BL101" s="324"/>
      <c r="BM101" s="324"/>
      <c r="BN101" s="324"/>
    </row>
    <row r="102" spans="1:66" ht="15.75" customHeight="1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74"/>
      <c r="K102" s="374"/>
      <c r="L102" s="374"/>
      <c r="M102" s="374"/>
      <c r="N102" s="374"/>
      <c r="O102" s="374"/>
      <c r="P102" s="324"/>
      <c r="Q102" s="324"/>
      <c r="R102" s="375"/>
      <c r="S102" s="375"/>
      <c r="T102" s="375"/>
      <c r="U102" s="375"/>
      <c r="V102" s="375"/>
      <c r="W102" s="375"/>
      <c r="X102" s="375"/>
      <c r="Y102" s="375"/>
      <c r="Z102" s="375"/>
      <c r="AA102" s="375"/>
      <c r="AB102" s="375"/>
      <c r="AC102" s="375"/>
      <c r="AD102" s="375"/>
      <c r="AE102" s="375"/>
      <c r="AF102" s="375"/>
      <c r="AG102" s="375"/>
      <c r="AH102" s="375"/>
      <c r="AI102" s="375"/>
      <c r="AJ102" s="375"/>
      <c r="AK102" s="375"/>
      <c r="AL102" s="375"/>
      <c r="AM102" s="375"/>
      <c r="AN102" s="324"/>
      <c r="AO102" s="324"/>
      <c r="AP102" s="324"/>
      <c r="AQ102" s="324"/>
      <c r="AR102" s="324"/>
      <c r="AS102" s="324"/>
      <c r="AT102" s="324"/>
      <c r="AU102" s="324"/>
      <c r="AV102" s="324"/>
      <c r="AW102" s="324"/>
      <c r="AX102" s="324"/>
      <c r="AY102" s="324"/>
      <c r="AZ102" s="324"/>
      <c r="BA102" s="324"/>
      <c r="BB102" s="324"/>
      <c r="BC102" s="324"/>
      <c r="BD102" s="324"/>
      <c r="BE102" s="324"/>
      <c r="BF102" s="324"/>
      <c r="BG102" s="324"/>
      <c r="BH102" s="324"/>
      <c r="BI102" s="324"/>
      <c r="BJ102" s="324"/>
      <c r="BK102" s="324"/>
      <c r="BL102" s="324"/>
      <c r="BM102" s="324"/>
      <c r="BN102" s="324"/>
    </row>
    <row r="103" spans="1:66" ht="15.75" customHeight="1" x14ac:dyDescent="0.2">
      <c r="A103" s="324"/>
      <c r="B103" s="324"/>
      <c r="C103" s="324"/>
      <c r="D103" s="324"/>
      <c r="E103" s="324"/>
      <c r="F103" s="324"/>
      <c r="G103" s="324"/>
      <c r="H103" s="324"/>
      <c r="I103" s="324"/>
      <c r="J103" s="374"/>
      <c r="K103" s="374"/>
      <c r="L103" s="374"/>
      <c r="M103" s="374"/>
      <c r="N103" s="374"/>
      <c r="O103" s="374"/>
      <c r="P103" s="324"/>
      <c r="Q103" s="324"/>
      <c r="R103" s="375"/>
      <c r="S103" s="375"/>
      <c r="T103" s="375"/>
      <c r="U103" s="375"/>
      <c r="V103" s="375"/>
      <c r="W103" s="375"/>
      <c r="X103" s="375"/>
      <c r="Y103" s="375"/>
      <c r="Z103" s="375"/>
      <c r="AA103" s="375"/>
      <c r="AB103" s="375"/>
      <c r="AC103" s="375"/>
      <c r="AD103" s="375"/>
      <c r="AE103" s="375"/>
      <c r="AF103" s="375"/>
      <c r="AG103" s="375"/>
      <c r="AH103" s="375"/>
      <c r="AI103" s="375"/>
      <c r="AJ103" s="375"/>
      <c r="AK103" s="375"/>
      <c r="AL103" s="375"/>
      <c r="AM103" s="375"/>
      <c r="AN103" s="324"/>
      <c r="AO103" s="324"/>
      <c r="AP103" s="324"/>
      <c r="AQ103" s="324"/>
      <c r="AR103" s="324"/>
      <c r="AS103" s="324"/>
      <c r="AT103" s="324"/>
      <c r="AU103" s="324"/>
      <c r="AV103" s="324"/>
      <c r="AW103" s="324"/>
      <c r="AX103" s="324"/>
      <c r="AY103" s="324"/>
      <c r="AZ103" s="324"/>
      <c r="BA103" s="324"/>
      <c r="BB103" s="324"/>
      <c r="BC103" s="324"/>
      <c r="BD103" s="324"/>
      <c r="BE103" s="324"/>
      <c r="BF103" s="324"/>
      <c r="BG103" s="324"/>
      <c r="BH103" s="324"/>
      <c r="BI103" s="324"/>
      <c r="BJ103" s="324"/>
      <c r="BK103" s="324"/>
      <c r="BL103" s="324"/>
      <c r="BM103" s="324"/>
      <c r="BN103" s="324"/>
    </row>
    <row r="104" spans="1:66" ht="15.75" customHeight="1" x14ac:dyDescent="0.2">
      <c r="A104" s="324"/>
      <c r="B104" s="324"/>
      <c r="C104" s="324"/>
      <c r="D104" s="324"/>
      <c r="E104" s="324"/>
      <c r="F104" s="324"/>
      <c r="G104" s="324"/>
      <c r="H104" s="324"/>
      <c r="I104" s="324"/>
      <c r="J104" s="374"/>
      <c r="K104" s="374"/>
      <c r="L104" s="374"/>
      <c r="M104" s="374"/>
      <c r="N104" s="374"/>
      <c r="O104" s="374"/>
      <c r="P104" s="324"/>
      <c r="Q104" s="324"/>
      <c r="R104" s="375"/>
      <c r="S104" s="375"/>
      <c r="T104" s="375"/>
      <c r="U104" s="375"/>
      <c r="V104" s="375"/>
      <c r="W104" s="375"/>
      <c r="X104" s="375"/>
      <c r="Y104" s="375"/>
      <c r="Z104" s="375"/>
      <c r="AA104" s="375"/>
      <c r="AB104" s="375"/>
      <c r="AC104" s="375"/>
      <c r="AD104" s="375"/>
      <c r="AE104" s="375"/>
      <c r="AF104" s="375"/>
      <c r="AG104" s="375"/>
      <c r="AH104" s="375"/>
      <c r="AI104" s="375"/>
      <c r="AJ104" s="375"/>
      <c r="AK104" s="375"/>
      <c r="AL104" s="375"/>
      <c r="AM104" s="375"/>
      <c r="AN104" s="324"/>
      <c r="AO104" s="324"/>
      <c r="AP104" s="324"/>
      <c r="AQ104" s="324"/>
      <c r="AR104" s="324"/>
      <c r="AS104" s="324"/>
      <c r="AT104" s="324"/>
      <c r="AU104" s="324"/>
      <c r="AV104" s="324"/>
      <c r="AW104" s="324"/>
      <c r="AX104" s="324"/>
      <c r="AY104" s="324"/>
      <c r="AZ104" s="324"/>
      <c r="BA104" s="324"/>
      <c r="BB104" s="324"/>
      <c r="BC104" s="324"/>
      <c r="BD104" s="324"/>
      <c r="BE104" s="324"/>
      <c r="BF104" s="324"/>
      <c r="BG104" s="324"/>
      <c r="BH104" s="324"/>
      <c r="BI104" s="324"/>
      <c r="BJ104" s="324"/>
      <c r="BK104" s="324"/>
      <c r="BL104" s="324"/>
      <c r="BM104" s="324"/>
      <c r="BN104" s="324"/>
    </row>
    <row r="105" spans="1:66" ht="15.75" customHeight="1" x14ac:dyDescent="0.2">
      <c r="G105" s="423" t="s">
        <v>0</v>
      </c>
    </row>
    <row r="106" spans="1:66" ht="15.75" customHeight="1" x14ac:dyDescent="0.2">
      <c r="G106" s="423"/>
    </row>
    <row r="107" spans="1:66" ht="15.75" customHeight="1" x14ac:dyDescent="0.2">
      <c r="G107" s="423"/>
    </row>
    <row r="108" spans="1:66" ht="15.75" customHeight="1" x14ac:dyDescent="0.2">
      <c r="G108" s="423"/>
    </row>
    <row r="109" spans="1:66" ht="15.75" customHeight="1" x14ac:dyDescent="0.2">
      <c r="G109" s="423"/>
    </row>
    <row r="110" spans="1:66" ht="15.75" customHeight="1" x14ac:dyDescent="0.2"/>
    <row r="111" spans="1:66" ht="15.75" customHeight="1" x14ac:dyDescent="0.2">
      <c r="F111" s="423" t="s">
        <v>0</v>
      </c>
    </row>
    <row r="112" spans="1:66" ht="15.75" customHeight="1" x14ac:dyDescent="0.2"/>
    <row r="113" spans="1:66" ht="15.75" customHeight="1" x14ac:dyDescent="0.2"/>
    <row r="114" spans="1:66" ht="15.75" customHeight="1" x14ac:dyDescent="0.2">
      <c r="A114" s="424"/>
      <c r="B114" s="424"/>
      <c r="C114" s="424"/>
      <c r="D114" s="424"/>
      <c r="E114" s="424"/>
      <c r="F114" s="425"/>
      <c r="G114" s="425"/>
      <c r="H114" s="424"/>
      <c r="I114" s="424"/>
      <c r="J114" s="425"/>
      <c r="K114" s="425"/>
      <c r="L114" s="425"/>
      <c r="M114" s="425"/>
      <c r="N114" s="425"/>
      <c r="O114" s="425"/>
      <c r="P114" s="425"/>
      <c r="Q114" s="424"/>
      <c r="R114" s="426"/>
      <c r="S114" s="426"/>
      <c r="T114" s="426"/>
      <c r="U114" s="426"/>
      <c r="V114" s="326"/>
      <c r="W114" s="326"/>
      <c r="X114" s="426"/>
      <c r="Y114" s="426"/>
      <c r="Z114" s="426"/>
      <c r="AA114" s="426"/>
      <c r="AB114" s="426"/>
      <c r="AC114" s="426"/>
      <c r="AD114" s="426"/>
      <c r="AE114" s="426"/>
      <c r="AF114" s="426"/>
      <c r="AG114" s="326"/>
      <c r="AH114" s="326"/>
      <c r="AI114" s="424"/>
      <c r="AJ114" s="424"/>
      <c r="AK114" s="424"/>
      <c r="AL114" s="424"/>
      <c r="AM114" s="424"/>
      <c r="AN114" s="424"/>
      <c r="AO114" s="425"/>
      <c r="AP114" s="425"/>
      <c r="AQ114" s="425"/>
      <c r="AR114" s="425"/>
      <c r="AS114" s="425"/>
      <c r="AT114" s="425"/>
      <c r="AU114" s="425"/>
      <c r="AV114" s="425"/>
      <c r="AW114" s="425"/>
      <c r="AX114" s="425"/>
      <c r="AY114" s="425"/>
      <c r="AZ114" s="425"/>
      <c r="BA114" s="425"/>
      <c r="BB114" s="425"/>
      <c r="BC114" s="425"/>
      <c r="BD114" s="425"/>
      <c r="BE114" s="425"/>
      <c r="BF114" s="425"/>
      <c r="BG114" s="425"/>
      <c r="BH114" s="425"/>
      <c r="BI114" s="425"/>
      <c r="BJ114" s="425"/>
      <c r="BK114" s="425"/>
      <c r="BL114" s="425"/>
      <c r="BM114" s="425"/>
      <c r="BN114" s="425"/>
    </row>
    <row r="115" spans="1:66" ht="15.75" customHeight="1" x14ac:dyDescent="0.2">
      <c r="A115" s="424"/>
      <c r="B115" s="424"/>
      <c r="C115" s="424"/>
      <c r="D115" s="424"/>
      <c r="E115" s="424"/>
      <c r="F115" s="425"/>
      <c r="G115" s="425"/>
      <c r="H115" s="424"/>
      <c r="I115" s="424"/>
      <c r="J115" s="425"/>
      <c r="K115" s="425"/>
      <c r="L115" s="425"/>
      <c r="M115" s="425"/>
      <c r="N115" s="425"/>
      <c r="O115" s="425"/>
      <c r="P115" s="425"/>
      <c r="Q115" s="424"/>
      <c r="R115" s="426"/>
      <c r="S115" s="426"/>
      <c r="T115" s="426"/>
      <c r="U115" s="426"/>
      <c r="V115" s="326"/>
      <c r="W115" s="326"/>
      <c r="X115" s="426"/>
      <c r="Y115" s="426"/>
      <c r="Z115" s="426"/>
      <c r="AA115" s="426"/>
      <c r="AB115" s="426"/>
      <c r="AC115" s="426"/>
      <c r="AD115" s="426"/>
      <c r="AE115" s="426"/>
      <c r="AF115" s="426"/>
      <c r="AG115" s="326"/>
      <c r="AH115" s="326"/>
      <c r="AI115" s="424"/>
      <c r="AJ115" s="424"/>
      <c r="AK115" s="424"/>
      <c r="AL115" s="424"/>
      <c r="AM115" s="424"/>
      <c r="AN115" s="424"/>
      <c r="AO115" s="425"/>
      <c r="AP115" s="425"/>
      <c r="AQ115" s="425"/>
      <c r="AR115" s="425"/>
      <c r="AS115" s="425"/>
      <c r="AT115" s="425"/>
      <c r="AU115" s="425"/>
      <c r="AV115" s="425"/>
      <c r="AW115" s="425"/>
      <c r="AX115" s="425"/>
      <c r="AY115" s="425"/>
      <c r="AZ115" s="425"/>
      <c r="BA115" s="425"/>
      <c r="BB115" s="425"/>
      <c r="BC115" s="425"/>
      <c r="BD115" s="425"/>
      <c r="BE115" s="425"/>
      <c r="BF115" s="425"/>
      <c r="BG115" s="425"/>
      <c r="BH115" s="425"/>
      <c r="BI115" s="425"/>
      <c r="BJ115" s="425"/>
      <c r="BK115" s="425"/>
      <c r="BL115" s="425"/>
      <c r="BM115" s="425"/>
      <c r="BN115" s="425"/>
    </row>
    <row r="116" spans="1:66" ht="15.75" customHeight="1" x14ac:dyDescent="0.2">
      <c r="A116" s="424"/>
      <c r="B116" s="424"/>
      <c r="C116" s="424"/>
      <c r="D116" s="424"/>
      <c r="E116" s="424"/>
      <c r="F116" s="425"/>
      <c r="G116" s="425"/>
      <c r="H116" s="424"/>
      <c r="I116" s="424"/>
      <c r="J116" s="425"/>
      <c r="K116" s="425"/>
      <c r="L116" s="425"/>
      <c r="M116" s="425"/>
      <c r="N116" s="425"/>
      <c r="O116" s="425"/>
      <c r="P116" s="425"/>
      <c r="Q116" s="424"/>
      <c r="R116" s="426"/>
      <c r="S116" s="426"/>
      <c r="T116" s="426"/>
      <c r="U116" s="426"/>
      <c r="V116" s="326"/>
      <c r="W116" s="326"/>
      <c r="X116" s="426"/>
      <c r="Y116" s="426"/>
      <c r="Z116" s="426"/>
      <c r="AA116" s="426"/>
      <c r="AB116" s="426"/>
      <c r="AC116" s="426"/>
      <c r="AD116" s="426"/>
      <c r="AE116" s="426"/>
      <c r="AF116" s="426"/>
      <c r="AG116" s="326"/>
      <c r="AH116" s="326"/>
      <c r="AI116" s="424"/>
      <c r="AJ116" s="424"/>
      <c r="AK116" s="424"/>
      <c r="AL116" s="424"/>
      <c r="AM116" s="424"/>
      <c r="AN116" s="424"/>
      <c r="AO116" s="425"/>
      <c r="AP116" s="425"/>
      <c r="AQ116" s="425"/>
      <c r="AR116" s="425"/>
      <c r="AS116" s="425"/>
      <c r="AT116" s="425"/>
      <c r="AU116" s="425"/>
      <c r="AV116" s="425"/>
      <c r="AW116" s="425"/>
      <c r="AX116" s="425"/>
      <c r="AY116" s="425"/>
      <c r="AZ116" s="425"/>
      <c r="BA116" s="425"/>
      <c r="BB116" s="425"/>
      <c r="BC116" s="425"/>
      <c r="BD116" s="425"/>
      <c r="BE116" s="425"/>
      <c r="BF116" s="425"/>
      <c r="BG116" s="425"/>
      <c r="BH116" s="425"/>
      <c r="BI116" s="425"/>
      <c r="BJ116" s="425"/>
      <c r="BK116" s="425"/>
      <c r="BL116" s="425"/>
      <c r="BM116" s="425"/>
      <c r="BN116" s="425"/>
    </row>
    <row r="117" spans="1:66" ht="15.75" customHeight="1" x14ac:dyDescent="0.2">
      <c r="A117" s="424"/>
      <c r="B117" s="424"/>
      <c r="C117" s="424"/>
      <c r="D117" s="424"/>
      <c r="E117" s="424"/>
      <c r="F117" s="425"/>
      <c r="G117" s="425"/>
      <c r="H117" s="424"/>
      <c r="I117" s="424"/>
      <c r="J117" s="425"/>
      <c r="K117" s="425"/>
      <c r="L117" s="425"/>
      <c r="M117" s="425"/>
      <c r="N117" s="425"/>
      <c r="O117" s="425"/>
      <c r="P117" s="425"/>
      <c r="Q117" s="424"/>
      <c r="R117" s="426"/>
      <c r="S117" s="426"/>
      <c r="T117" s="426"/>
      <c r="U117" s="426"/>
      <c r="V117" s="326"/>
      <c r="W117" s="326"/>
      <c r="X117" s="426"/>
      <c r="Y117" s="426"/>
      <c r="Z117" s="426"/>
      <c r="AA117" s="426"/>
      <c r="AB117" s="426"/>
      <c r="AC117" s="426"/>
      <c r="AD117" s="426"/>
      <c r="AE117" s="426"/>
      <c r="AF117" s="426"/>
      <c r="AG117" s="326"/>
      <c r="AH117" s="326"/>
      <c r="AI117" s="424"/>
      <c r="AJ117" s="424"/>
      <c r="AK117" s="424"/>
      <c r="AL117" s="424"/>
      <c r="AM117" s="424"/>
      <c r="AN117" s="424"/>
      <c r="AO117" s="425"/>
      <c r="AP117" s="425"/>
      <c r="AQ117" s="425"/>
      <c r="AR117" s="425"/>
      <c r="AS117" s="425"/>
      <c r="AT117" s="425"/>
      <c r="AU117" s="425"/>
      <c r="AV117" s="425"/>
      <c r="AW117" s="425"/>
      <c r="AX117" s="425"/>
      <c r="AY117" s="425"/>
      <c r="AZ117" s="425"/>
      <c r="BA117" s="425"/>
      <c r="BB117" s="425"/>
      <c r="BC117" s="425"/>
      <c r="BD117" s="425"/>
      <c r="BE117" s="425"/>
      <c r="BF117" s="425"/>
      <c r="BG117" s="425"/>
      <c r="BH117" s="425"/>
      <c r="BI117" s="425"/>
      <c r="BJ117" s="425"/>
      <c r="BK117" s="425"/>
      <c r="BL117" s="425"/>
      <c r="BM117" s="425"/>
      <c r="BN117" s="425"/>
    </row>
    <row r="118" spans="1:66" ht="15.75" customHeight="1" x14ac:dyDescent="0.2">
      <c r="A118" s="424"/>
      <c r="B118" s="424"/>
      <c r="C118" s="424"/>
      <c r="D118" s="424"/>
      <c r="E118" s="424"/>
      <c r="F118" s="425"/>
      <c r="G118" s="425"/>
      <c r="H118" s="424"/>
      <c r="I118" s="424"/>
      <c r="J118" s="425"/>
      <c r="K118" s="425"/>
      <c r="L118" s="425"/>
      <c r="M118" s="425"/>
      <c r="N118" s="425"/>
      <c r="O118" s="425"/>
      <c r="P118" s="425"/>
      <c r="Q118" s="424"/>
      <c r="R118" s="426"/>
      <c r="S118" s="426"/>
      <c r="T118" s="426"/>
      <c r="U118" s="426"/>
      <c r="V118" s="326"/>
      <c r="W118" s="326"/>
      <c r="X118" s="426"/>
      <c r="Y118" s="426"/>
      <c r="Z118" s="426"/>
      <c r="AA118" s="426"/>
      <c r="AB118" s="426"/>
      <c r="AC118" s="426"/>
      <c r="AD118" s="426"/>
      <c r="AE118" s="426"/>
      <c r="AF118" s="426"/>
      <c r="AG118" s="326"/>
      <c r="AH118" s="326"/>
      <c r="AI118" s="424"/>
      <c r="AJ118" s="424"/>
      <c r="AK118" s="424"/>
      <c r="AL118" s="424"/>
      <c r="AM118" s="424"/>
      <c r="AN118" s="424"/>
      <c r="AO118" s="425"/>
      <c r="AP118" s="425"/>
      <c r="AQ118" s="425"/>
      <c r="AR118" s="425"/>
      <c r="AS118" s="425"/>
      <c r="AT118" s="425"/>
      <c r="AU118" s="425"/>
      <c r="AV118" s="425"/>
      <c r="AW118" s="425"/>
      <c r="AX118" s="425"/>
      <c r="AY118" s="425"/>
      <c r="AZ118" s="425"/>
      <c r="BA118" s="425"/>
      <c r="BB118" s="425"/>
      <c r="BC118" s="425"/>
      <c r="BD118" s="425"/>
      <c r="BE118" s="425"/>
      <c r="BF118" s="425"/>
      <c r="BG118" s="425"/>
      <c r="BH118" s="425"/>
      <c r="BI118" s="425"/>
      <c r="BJ118" s="425"/>
      <c r="BK118" s="425"/>
      <c r="BL118" s="425"/>
      <c r="BM118" s="425"/>
      <c r="BN118" s="425"/>
    </row>
    <row r="119" spans="1:66" ht="15.75" customHeight="1" x14ac:dyDescent="0.2">
      <c r="A119" s="424"/>
      <c r="B119" s="424"/>
      <c r="C119" s="424"/>
      <c r="D119" s="424"/>
      <c r="E119" s="424"/>
      <c r="F119" s="425"/>
      <c r="G119" s="425"/>
      <c r="H119" s="424"/>
      <c r="I119" s="424"/>
      <c r="J119" s="425"/>
      <c r="K119" s="425"/>
      <c r="L119" s="425"/>
      <c r="M119" s="425"/>
      <c r="N119" s="425"/>
      <c r="O119" s="425"/>
      <c r="P119" s="425"/>
      <c r="Q119" s="424"/>
      <c r="R119" s="426"/>
      <c r="S119" s="426"/>
      <c r="T119" s="426"/>
      <c r="U119" s="426"/>
      <c r="V119" s="326"/>
      <c r="W119" s="326"/>
      <c r="X119" s="426"/>
      <c r="Y119" s="426"/>
      <c r="Z119" s="426"/>
      <c r="AA119" s="426"/>
      <c r="AB119" s="426"/>
      <c r="AC119" s="426"/>
      <c r="AD119" s="426"/>
      <c r="AE119" s="426"/>
      <c r="AF119" s="426"/>
      <c r="AG119" s="326"/>
      <c r="AH119" s="326"/>
      <c r="AI119" s="424"/>
      <c r="AJ119" s="424"/>
      <c r="AK119" s="424"/>
      <c r="AL119" s="424"/>
      <c r="AM119" s="424"/>
      <c r="AN119" s="424"/>
      <c r="AO119" s="425"/>
      <c r="AP119" s="425"/>
      <c r="AQ119" s="425"/>
      <c r="AR119" s="425"/>
      <c r="AS119" s="425"/>
      <c r="AT119" s="425"/>
      <c r="AU119" s="425"/>
      <c r="AV119" s="425"/>
      <c r="AW119" s="425"/>
      <c r="AX119" s="425"/>
      <c r="AY119" s="425"/>
      <c r="AZ119" s="425"/>
      <c r="BA119" s="425"/>
      <c r="BB119" s="425"/>
      <c r="BC119" s="425"/>
      <c r="BD119" s="425"/>
      <c r="BE119" s="425"/>
      <c r="BF119" s="425"/>
      <c r="BG119" s="425"/>
      <c r="BH119" s="425"/>
      <c r="BI119" s="425"/>
      <c r="BJ119" s="425"/>
      <c r="BK119" s="425"/>
      <c r="BL119" s="425"/>
      <c r="BM119" s="425"/>
      <c r="BN119" s="425"/>
    </row>
    <row r="120" spans="1:66" ht="15.75" customHeight="1" x14ac:dyDescent="0.2">
      <c r="A120" s="424"/>
      <c r="B120" s="424"/>
      <c r="C120" s="424"/>
      <c r="D120" s="424"/>
      <c r="E120" s="424"/>
      <c r="F120" s="425"/>
      <c r="G120" s="425"/>
      <c r="H120" s="424"/>
      <c r="I120" s="424"/>
      <c r="J120" s="425"/>
      <c r="K120" s="425"/>
      <c r="L120" s="425"/>
      <c r="M120" s="425"/>
      <c r="N120" s="425"/>
      <c r="O120" s="425"/>
      <c r="P120" s="425"/>
      <c r="Q120" s="424"/>
      <c r="R120" s="426"/>
      <c r="S120" s="426"/>
      <c r="T120" s="426"/>
      <c r="U120" s="426"/>
      <c r="V120" s="326"/>
      <c r="W120" s="326"/>
      <c r="X120" s="426"/>
      <c r="Y120" s="426"/>
      <c r="Z120" s="426"/>
      <c r="AA120" s="426"/>
      <c r="AB120" s="426"/>
      <c r="AC120" s="426"/>
      <c r="AD120" s="426"/>
      <c r="AE120" s="426"/>
      <c r="AF120" s="426"/>
      <c r="AG120" s="326"/>
      <c r="AH120" s="326"/>
      <c r="AI120" s="424"/>
      <c r="AJ120" s="424"/>
      <c r="AK120" s="424"/>
      <c r="AL120" s="424"/>
      <c r="AM120" s="424"/>
      <c r="AN120" s="424"/>
      <c r="AO120" s="425"/>
      <c r="AP120" s="425"/>
      <c r="AQ120" s="425"/>
      <c r="AR120" s="425"/>
      <c r="AS120" s="425"/>
      <c r="AT120" s="425"/>
      <c r="AU120" s="425"/>
      <c r="AV120" s="425"/>
      <c r="AW120" s="425"/>
      <c r="AX120" s="425"/>
      <c r="AY120" s="425"/>
      <c r="AZ120" s="425"/>
      <c r="BA120" s="425"/>
      <c r="BB120" s="425"/>
      <c r="BC120" s="425"/>
      <c r="BD120" s="425"/>
      <c r="BE120" s="425"/>
      <c r="BF120" s="425"/>
      <c r="BG120" s="425"/>
      <c r="BH120" s="425"/>
      <c r="BI120" s="425"/>
      <c r="BJ120" s="425"/>
      <c r="BK120" s="425"/>
      <c r="BL120" s="425"/>
      <c r="BM120" s="425"/>
      <c r="BN120" s="425"/>
    </row>
    <row r="121" spans="1:66" ht="15.75" customHeight="1" x14ac:dyDescent="0.2">
      <c r="A121" s="424"/>
      <c r="B121" s="424"/>
      <c r="C121" s="424"/>
      <c r="D121" s="424"/>
      <c r="E121" s="424"/>
      <c r="F121" s="425"/>
      <c r="G121" s="425"/>
      <c r="H121" s="424"/>
      <c r="I121" s="424"/>
      <c r="J121" s="425"/>
      <c r="K121" s="425"/>
      <c r="L121" s="425"/>
      <c r="M121" s="425"/>
      <c r="N121" s="425"/>
      <c r="O121" s="425"/>
      <c r="P121" s="425"/>
      <c r="Q121" s="424"/>
      <c r="R121" s="426"/>
      <c r="S121" s="426"/>
      <c r="T121" s="426"/>
      <c r="U121" s="426"/>
      <c r="V121" s="326"/>
      <c r="W121" s="326"/>
      <c r="X121" s="426"/>
      <c r="Y121" s="426"/>
      <c r="Z121" s="426"/>
      <c r="AA121" s="426"/>
      <c r="AB121" s="426"/>
      <c r="AC121" s="426"/>
      <c r="AD121" s="426"/>
      <c r="AE121" s="426"/>
      <c r="AF121" s="426"/>
      <c r="AG121" s="326"/>
      <c r="AH121" s="326"/>
      <c r="AI121" s="424"/>
      <c r="AJ121" s="424"/>
      <c r="AK121" s="424"/>
      <c r="AL121" s="424"/>
      <c r="AM121" s="424"/>
      <c r="AN121" s="424"/>
      <c r="AO121" s="425"/>
      <c r="AP121" s="425"/>
      <c r="AQ121" s="425"/>
      <c r="AR121" s="425"/>
      <c r="AS121" s="425"/>
      <c r="AT121" s="425"/>
      <c r="AU121" s="425"/>
      <c r="AV121" s="425"/>
      <c r="AW121" s="425"/>
      <c r="AX121" s="425"/>
      <c r="AY121" s="425"/>
      <c r="AZ121" s="425"/>
      <c r="BA121" s="425"/>
      <c r="BB121" s="425"/>
      <c r="BC121" s="425"/>
      <c r="BD121" s="425"/>
      <c r="BE121" s="425"/>
      <c r="BF121" s="425"/>
      <c r="BG121" s="425"/>
      <c r="BH121" s="425"/>
      <c r="BI121" s="425"/>
      <c r="BJ121" s="425"/>
      <c r="BK121" s="425"/>
      <c r="BL121" s="425"/>
      <c r="BM121" s="425"/>
      <c r="BN121" s="425"/>
    </row>
    <row r="122" spans="1:66" ht="15.75" customHeight="1" x14ac:dyDescent="0.2">
      <c r="A122" s="424"/>
      <c r="B122" s="424"/>
      <c r="C122" s="424"/>
      <c r="D122" s="424"/>
      <c r="E122" s="424"/>
      <c r="F122" s="425"/>
      <c r="G122" s="425"/>
      <c r="H122" s="424"/>
      <c r="I122" s="424"/>
      <c r="J122" s="425"/>
      <c r="K122" s="425"/>
      <c r="L122" s="425"/>
      <c r="M122" s="425"/>
      <c r="N122" s="425"/>
      <c r="O122" s="425"/>
      <c r="P122" s="425"/>
      <c r="Q122" s="424"/>
      <c r="R122" s="426"/>
      <c r="S122" s="426"/>
      <c r="T122" s="426"/>
      <c r="U122" s="426"/>
      <c r="V122" s="326"/>
      <c r="W122" s="326"/>
      <c r="X122" s="426"/>
      <c r="Y122" s="426"/>
      <c r="Z122" s="426"/>
      <c r="AA122" s="426"/>
      <c r="AB122" s="426"/>
      <c r="AC122" s="426"/>
      <c r="AD122" s="426"/>
      <c r="AE122" s="426"/>
      <c r="AF122" s="426"/>
      <c r="AG122" s="326"/>
      <c r="AH122" s="326"/>
      <c r="AI122" s="424"/>
      <c r="AJ122" s="424"/>
      <c r="AK122" s="424"/>
      <c r="AL122" s="424"/>
      <c r="AM122" s="424"/>
      <c r="AN122" s="424"/>
      <c r="AO122" s="425"/>
      <c r="AP122" s="425"/>
      <c r="AQ122" s="425"/>
      <c r="AR122" s="425"/>
      <c r="AS122" s="425"/>
      <c r="AT122" s="425"/>
      <c r="AU122" s="425"/>
      <c r="AV122" s="425"/>
      <c r="AW122" s="425"/>
      <c r="AX122" s="425"/>
      <c r="AY122" s="425"/>
      <c r="AZ122" s="425"/>
      <c r="BA122" s="425"/>
      <c r="BB122" s="425"/>
      <c r="BC122" s="425"/>
      <c r="BD122" s="425"/>
      <c r="BE122" s="425"/>
      <c r="BF122" s="425"/>
      <c r="BG122" s="425"/>
      <c r="BH122" s="425"/>
      <c r="BI122" s="425"/>
      <c r="BJ122" s="425"/>
      <c r="BK122" s="425"/>
      <c r="BL122" s="425"/>
      <c r="BM122" s="425"/>
      <c r="BN122" s="425"/>
    </row>
    <row r="123" spans="1:66" ht="15.75" customHeight="1" x14ac:dyDescent="0.2">
      <c r="A123" s="424"/>
      <c r="B123" s="424"/>
      <c r="C123" s="424"/>
      <c r="D123" s="424"/>
      <c r="E123" s="424"/>
      <c r="F123" s="425"/>
      <c r="G123" s="425"/>
      <c r="H123" s="424"/>
      <c r="I123" s="424"/>
      <c r="J123" s="425"/>
      <c r="K123" s="425"/>
      <c r="L123" s="425"/>
      <c r="M123" s="425"/>
      <c r="N123" s="425"/>
      <c r="O123" s="425"/>
      <c r="P123" s="425"/>
      <c r="Q123" s="424"/>
      <c r="R123" s="426"/>
      <c r="S123" s="426"/>
      <c r="T123" s="426"/>
      <c r="U123" s="426"/>
      <c r="V123" s="326"/>
      <c r="W123" s="326"/>
      <c r="X123" s="426"/>
      <c r="Y123" s="426"/>
      <c r="Z123" s="426"/>
      <c r="AA123" s="426"/>
      <c r="AB123" s="426"/>
      <c r="AC123" s="426"/>
      <c r="AD123" s="426"/>
      <c r="AE123" s="426"/>
      <c r="AF123" s="426"/>
      <c r="AG123" s="326"/>
      <c r="AH123" s="326"/>
      <c r="AI123" s="424"/>
      <c r="AJ123" s="424"/>
      <c r="AK123" s="424"/>
      <c r="AL123" s="424"/>
      <c r="AM123" s="424"/>
      <c r="AN123" s="424"/>
      <c r="AO123" s="425"/>
      <c r="AP123" s="425"/>
      <c r="AQ123" s="425"/>
      <c r="AR123" s="425"/>
      <c r="AS123" s="425"/>
      <c r="AT123" s="425"/>
      <c r="AU123" s="425"/>
      <c r="AV123" s="425"/>
      <c r="AW123" s="425"/>
      <c r="AX123" s="425"/>
      <c r="AY123" s="425"/>
      <c r="AZ123" s="425"/>
      <c r="BA123" s="425"/>
      <c r="BB123" s="425"/>
      <c r="BC123" s="425"/>
      <c r="BD123" s="425"/>
      <c r="BE123" s="425"/>
      <c r="BF123" s="425"/>
      <c r="BG123" s="425"/>
      <c r="BH123" s="425"/>
      <c r="BI123" s="425"/>
      <c r="BJ123" s="425"/>
      <c r="BK123" s="425"/>
      <c r="BL123" s="425"/>
      <c r="BM123" s="425"/>
      <c r="BN123" s="425"/>
    </row>
    <row r="124" spans="1:66" ht="15.75" customHeight="1" x14ac:dyDescent="0.2">
      <c r="A124" s="424"/>
      <c r="B124" s="424"/>
      <c r="C124" s="424"/>
      <c r="D124" s="424"/>
      <c r="E124" s="424"/>
      <c r="F124" s="425"/>
      <c r="G124" s="425"/>
      <c r="H124" s="424"/>
      <c r="I124" s="424"/>
      <c r="J124" s="425"/>
      <c r="K124" s="425"/>
      <c r="L124" s="425"/>
      <c r="M124" s="425"/>
      <c r="N124" s="425"/>
      <c r="O124" s="425"/>
      <c r="P124" s="425"/>
      <c r="Q124" s="424"/>
      <c r="R124" s="426"/>
      <c r="S124" s="426"/>
      <c r="T124" s="426"/>
      <c r="U124" s="426"/>
      <c r="V124" s="326"/>
      <c r="W124" s="326"/>
      <c r="X124" s="426"/>
      <c r="Y124" s="426"/>
      <c r="Z124" s="426"/>
      <c r="AA124" s="426"/>
      <c r="AB124" s="426"/>
      <c r="AC124" s="426"/>
      <c r="AD124" s="426"/>
      <c r="AE124" s="426"/>
      <c r="AF124" s="426"/>
      <c r="AG124" s="326"/>
      <c r="AH124" s="326"/>
      <c r="AI124" s="424"/>
      <c r="AJ124" s="424"/>
      <c r="AK124" s="424"/>
      <c r="AL124" s="424"/>
      <c r="AM124" s="424"/>
      <c r="AN124" s="424"/>
      <c r="AO124" s="425"/>
      <c r="AP124" s="425"/>
      <c r="AQ124" s="425"/>
      <c r="AR124" s="425"/>
      <c r="AS124" s="425"/>
      <c r="AT124" s="425"/>
      <c r="AU124" s="425"/>
      <c r="AV124" s="425"/>
      <c r="AW124" s="425"/>
      <c r="AX124" s="425"/>
      <c r="AY124" s="425"/>
      <c r="AZ124" s="425"/>
      <c r="BA124" s="425"/>
      <c r="BB124" s="425"/>
      <c r="BC124" s="425"/>
      <c r="BD124" s="425"/>
      <c r="BE124" s="425"/>
      <c r="BF124" s="425"/>
      <c r="BG124" s="425"/>
      <c r="BH124" s="425"/>
      <c r="BI124" s="425"/>
      <c r="BJ124" s="425"/>
      <c r="BK124" s="425"/>
      <c r="BL124" s="425"/>
      <c r="BM124" s="425"/>
      <c r="BN124" s="425"/>
    </row>
    <row r="125" spans="1:66" ht="15.75" customHeight="1" x14ac:dyDescent="0.2">
      <c r="A125" s="424"/>
      <c r="B125" s="424"/>
      <c r="C125" s="424"/>
      <c r="D125" s="424"/>
      <c r="E125" s="424"/>
      <c r="F125" s="425"/>
      <c r="G125" s="425"/>
      <c r="H125" s="424"/>
      <c r="I125" s="424"/>
      <c r="J125" s="425"/>
      <c r="K125" s="425"/>
      <c r="L125" s="425"/>
      <c r="M125" s="425"/>
      <c r="N125" s="425"/>
      <c r="O125" s="425"/>
      <c r="P125" s="425"/>
      <c r="Q125" s="424"/>
      <c r="R125" s="426"/>
      <c r="S125" s="426"/>
      <c r="T125" s="426"/>
      <c r="U125" s="426"/>
      <c r="V125" s="326"/>
      <c r="W125" s="326"/>
      <c r="X125" s="426"/>
      <c r="Y125" s="426"/>
      <c r="Z125" s="426"/>
      <c r="AA125" s="426"/>
      <c r="AB125" s="426"/>
      <c r="AC125" s="426"/>
      <c r="AD125" s="426"/>
      <c r="AE125" s="426"/>
      <c r="AF125" s="426"/>
      <c r="AG125" s="326"/>
      <c r="AH125" s="326"/>
      <c r="AI125" s="424"/>
      <c r="AJ125" s="424"/>
      <c r="AK125" s="424"/>
      <c r="AL125" s="424"/>
      <c r="AM125" s="424"/>
      <c r="AN125" s="424"/>
      <c r="AO125" s="425"/>
      <c r="AP125" s="425"/>
      <c r="AQ125" s="425"/>
      <c r="AR125" s="425"/>
      <c r="AS125" s="425"/>
      <c r="AT125" s="425"/>
      <c r="AU125" s="425"/>
      <c r="AV125" s="425"/>
      <c r="AW125" s="425"/>
      <c r="AX125" s="425"/>
      <c r="AY125" s="425"/>
      <c r="AZ125" s="425"/>
      <c r="BA125" s="425"/>
      <c r="BB125" s="425"/>
      <c r="BC125" s="425"/>
      <c r="BD125" s="425"/>
      <c r="BE125" s="425"/>
      <c r="BF125" s="425"/>
      <c r="BG125" s="425"/>
      <c r="BH125" s="425"/>
      <c r="BI125" s="425"/>
      <c r="BJ125" s="425"/>
      <c r="BK125" s="425"/>
      <c r="BL125" s="425"/>
      <c r="BM125" s="425"/>
      <c r="BN125" s="425"/>
    </row>
    <row r="126" spans="1:66" ht="15.75" customHeight="1" x14ac:dyDescent="0.2">
      <c r="A126" s="424"/>
      <c r="B126" s="424"/>
      <c r="C126" s="424"/>
      <c r="D126" s="424"/>
      <c r="E126" s="424"/>
      <c r="F126" s="425"/>
      <c r="G126" s="425"/>
      <c r="H126" s="424"/>
      <c r="I126" s="424"/>
      <c r="J126" s="425"/>
      <c r="K126" s="425"/>
      <c r="L126" s="425"/>
      <c r="M126" s="425"/>
      <c r="N126" s="425"/>
      <c r="O126" s="425"/>
      <c r="P126" s="425"/>
      <c r="Q126" s="424"/>
      <c r="R126" s="426"/>
      <c r="S126" s="426"/>
      <c r="T126" s="426"/>
      <c r="U126" s="426"/>
      <c r="V126" s="326"/>
      <c r="W126" s="326"/>
      <c r="X126" s="426"/>
      <c r="Y126" s="426"/>
      <c r="Z126" s="426"/>
      <c r="AA126" s="426"/>
      <c r="AB126" s="426"/>
      <c r="AC126" s="426"/>
      <c r="AD126" s="426"/>
      <c r="AE126" s="426"/>
      <c r="AF126" s="426"/>
      <c r="AG126" s="326"/>
      <c r="AH126" s="326"/>
      <c r="AI126" s="424"/>
      <c r="AJ126" s="424"/>
      <c r="AK126" s="424"/>
      <c r="AL126" s="424"/>
      <c r="AM126" s="424"/>
      <c r="AN126" s="424"/>
      <c r="AO126" s="425"/>
      <c r="AP126" s="425"/>
      <c r="AQ126" s="425"/>
      <c r="AR126" s="425"/>
      <c r="AS126" s="425"/>
      <c r="AT126" s="425"/>
      <c r="AU126" s="425"/>
      <c r="AV126" s="425"/>
      <c r="AW126" s="425"/>
      <c r="AX126" s="425"/>
      <c r="AY126" s="425"/>
      <c r="AZ126" s="425"/>
      <c r="BA126" s="425"/>
      <c r="BB126" s="425"/>
      <c r="BC126" s="425"/>
      <c r="BD126" s="425"/>
      <c r="BE126" s="425"/>
      <c r="BF126" s="425"/>
      <c r="BG126" s="425"/>
      <c r="BH126" s="425"/>
      <c r="BI126" s="425"/>
      <c r="BJ126" s="425"/>
      <c r="BK126" s="425"/>
      <c r="BL126" s="425"/>
      <c r="BM126" s="425"/>
      <c r="BN126" s="425"/>
    </row>
    <row r="127" spans="1:66" ht="15.75" customHeight="1" x14ac:dyDescent="0.2">
      <c r="A127" s="424"/>
      <c r="B127" s="424"/>
      <c r="C127" s="424"/>
      <c r="D127" s="424"/>
      <c r="E127" s="424"/>
      <c r="F127" s="425"/>
      <c r="G127" s="425"/>
      <c r="H127" s="424"/>
      <c r="I127" s="424"/>
      <c r="J127" s="425"/>
      <c r="K127" s="425"/>
      <c r="L127" s="425"/>
      <c r="M127" s="425"/>
      <c r="N127" s="425"/>
      <c r="O127" s="425"/>
      <c r="P127" s="425"/>
      <c r="Q127" s="424"/>
      <c r="R127" s="426"/>
      <c r="S127" s="426"/>
      <c r="T127" s="426"/>
      <c r="U127" s="426"/>
      <c r="V127" s="326"/>
      <c r="W127" s="326"/>
      <c r="X127" s="426"/>
      <c r="Y127" s="426"/>
      <c r="Z127" s="426"/>
      <c r="AA127" s="426"/>
      <c r="AB127" s="426"/>
      <c r="AC127" s="426"/>
      <c r="AD127" s="426"/>
      <c r="AE127" s="426"/>
      <c r="AF127" s="426"/>
      <c r="AG127" s="326"/>
      <c r="AH127" s="326"/>
      <c r="AI127" s="424"/>
      <c r="AJ127" s="424"/>
      <c r="AK127" s="424"/>
      <c r="AL127" s="424"/>
      <c r="AM127" s="424"/>
      <c r="AN127" s="424"/>
      <c r="AO127" s="425"/>
      <c r="AP127" s="425"/>
      <c r="AQ127" s="425"/>
      <c r="AR127" s="425"/>
      <c r="AS127" s="425"/>
      <c r="AT127" s="425"/>
      <c r="AU127" s="425"/>
      <c r="AV127" s="425"/>
      <c r="AW127" s="425"/>
      <c r="AX127" s="425"/>
      <c r="AY127" s="425"/>
      <c r="AZ127" s="425"/>
      <c r="BA127" s="425"/>
      <c r="BB127" s="425"/>
      <c r="BC127" s="425"/>
      <c r="BD127" s="425"/>
      <c r="BE127" s="425"/>
      <c r="BF127" s="425"/>
      <c r="BG127" s="425"/>
      <c r="BH127" s="425"/>
      <c r="BI127" s="425"/>
      <c r="BJ127" s="425"/>
      <c r="BK127" s="425"/>
      <c r="BL127" s="425"/>
      <c r="BM127" s="425"/>
      <c r="BN127" s="425"/>
    </row>
    <row r="128" spans="1:66" ht="15.75" customHeight="1" x14ac:dyDescent="0.2">
      <c r="A128" s="424"/>
      <c r="B128" s="424"/>
      <c r="C128" s="424"/>
      <c r="D128" s="424"/>
      <c r="E128" s="424"/>
      <c r="F128" s="425"/>
      <c r="G128" s="425"/>
      <c r="H128" s="424"/>
      <c r="I128" s="424"/>
      <c r="J128" s="425"/>
      <c r="K128" s="425"/>
      <c r="L128" s="425"/>
      <c r="M128" s="425"/>
      <c r="N128" s="425"/>
      <c r="O128" s="425"/>
      <c r="P128" s="425"/>
      <c r="Q128" s="424"/>
      <c r="R128" s="426"/>
      <c r="S128" s="426"/>
      <c r="T128" s="426"/>
      <c r="U128" s="426"/>
      <c r="V128" s="326"/>
      <c r="W128" s="326"/>
      <c r="X128" s="426"/>
      <c r="Y128" s="426"/>
      <c r="Z128" s="426"/>
      <c r="AA128" s="426"/>
      <c r="AB128" s="426"/>
      <c r="AC128" s="426"/>
      <c r="AD128" s="426"/>
      <c r="AE128" s="426"/>
      <c r="AF128" s="426"/>
      <c r="AG128" s="326"/>
      <c r="AH128" s="326"/>
      <c r="AI128" s="424"/>
      <c r="AJ128" s="424"/>
      <c r="AK128" s="424"/>
      <c r="AL128" s="424"/>
      <c r="AM128" s="424"/>
      <c r="AN128" s="424"/>
      <c r="AO128" s="425"/>
      <c r="AP128" s="425"/>
      <c r="AQ128" s="425"/>
      <c r="AR128" s="425"/>
      <c r="AS128" s="425"/>
      <c r="AT128" s="425"/>
      <c r="AU128" s="425"/>
      <c r="AV128" s="425"/>
      <c r="AW128" s="425"/>
      <c r="AX128" s="425"/>
      <c r="AY128" s="425"/>
      <c r="AZ128" s="425"/>
      <c r="BA128" s="425"/>
      <c r="BB128" s="425"/>
      <c r="BC128" s="425"/>
      <c r="BD128" s="425"/>
      <c r="BE128" s="425"/>
      <c r="BF128" s="425"/>
      <c r="BG128" s="425"/>
      <c r="BH128" s="425"/>
      <c r="BI128" s="425"/>
      <c r="BJ128" s="425"/>
      <c r="BK128" s="425"/>
      <c r="BL128" s="425"/>
      <c r="BM128" s="425"/>
      <c r="BN128" s="425"/>
    </row>
    <row r="129" spans="1:66" ht="15.75" customHeight="1" x14ac:dyDescent="0.2">
      <c r="A129" s="424"/>
      <c r="B129" s="424"/>
      <c r="C129" s="424"/>
      <c r="D129" s="424"/>
      <c r="E129" s="424"/>
      <c r="F129" s="425"/>
      <c r="G129" s="425"/>
      <c r="H129" s="424"/>
      <c r="I129" s="424"/>
      <c r="J129" s="425"/>
      <c r="K129" s="425"/>
      <c r="L129" s="425"/>
      <c r="M129" s="425"/>
      <c r="N129" s="425"/>
      <c r="O129" s="425"/>
      <c r="P129" s="425"/>
      <c r="Q129" s="424"/>
      <c r="R129" s="426"/>
      <c r="S129" s="426"/>
      <c r="T129" s="426"/>
      <c r="U129" s="426"/>
      <c r="V129" s="326"/>
      <c r="W129" s="326"/>
      <c r="X129" s="426"/>
      <c r="Y129" s="426"/>
      <c r="Z129" s="426"/>
      <c r="AA129" s="426"/>
      <c r="AB129" s="426"/>
      <c r="AC129" s="426"/>
      <c r="AD129" s="426"/>
      <c r="AE129" s="426"/>
      <c r="AF129" s="426"/>
      <c r="AG129" s="326"/>
      <c r="AH129" s="326"/>
      <c r="AI129" s="424"/>
      <c r="AJ129" s="424"/>
      <c r="AK129" s="424"/>
      <c r="AL129" s="424"/>
      <c r="AM129" s="424"/>
      <c r="AN129" s="424"/>
      <c r="AO129" s="425"/>
      <c r="AP129" s="425"/>
      <c r="AQ129" s="425"/>
      <c r="AR129" s="425"/>
      <c r="AS129" s="425"/>
      <c r="AT129" s="425"/>
      <c r="AU129" s="425"/>
      <c r="AV129" s="425"/>
      <c r="AW129" s="425"/>
      <c r="AX129" s="425"/>
      <c r="AY129" s="425"/>
      <c r="AZ129" s="425"/>
      <c r="BA129" s="425"/>
      <c r="BB129" s="425"/>
      <c r="BC129" s="425"/>
      <c r="BD129" s="425"/>
      <c r="BE129" s="425"/>
      <c r="BF129" s="425"/>
      <c r="BG129" s="425"/>
      <c r="BH129" s="425"/>
      <c r="BI129" s="425"/>
      <c r="BJ129" s="425"/>
      <c r="BK129" s="425"/>
      <c r="BL129" s="425"/>
      <c r="BM129" s="425"/>
      <c r="BN129" s="425"/>
    </row>
    <row r="130" spans="1:66" ht="15.75" customHeight="1" x14ac:dyDescent="0.2">
      <c r="A130" s="424"/>
      <c r="B130" s="424"/>
      <c r="C130" s="424"/>
      <c r="D130" s="424"/>
      <c r="E130" s="424"/>
      <c r="F130" s="425"/>
      <c r="G130" s="425"/>
      <c r="H130" s="424"/>
      <c r="I130" s="424"/>
      <c r="J130" s="425"/>
      <c r="K130" s="425"/>
      <c r="L130" s="425"/>
      <c r="M130" s="425"/>
      <c r="N130" s="425"/>
      <c r="O130" s="425"/>
      <c r="P130" s="425"/>
      <c r="Q130" s="424"/>
      <c r="R130" s="426"/>
      <c r="S130" s="426"/>
      <c r="T130" s="426"/>
      <c r="U130" s="426"/>
      <c r="V130" s="326"/>
      <c r="W130" s="326"/>
      <c r="X130" s="426"/>
      <c r="Y130" s="426"/>
      <c r="Z130" s="426"/>
      <c r="AA130" s="426"/>
      <c r="AB130" s="426"/>
      <c r="AC130" s="426"/>
      <c r="AD130" s="426"/>
      <c r="AE130" s="426"/>
      <c r="AF130" s="426"/>
      <c r="AG130" s="326"/>
      <c r="AH130" s="326"/>
      <c r="AI130" s="424"/>
      <c r="AJ130" s="424"/>
      <c r="AK130" s="424"/>
      <c r="AL130" s="424"/>
      <c r="AM130" s="424"/>
      <c r="AN130" s="424"/>
      <c r="AO130" s="425"/>
      <c r="AP130" s="425"/>
      <c r="AQ130" s="425"/>
      <c r="AR130" s="425"/>
      <c r="AS130" s="425"/>
      <c r="AT130" s="425"/>
      <c r="AU130" s="425"/>
      <c r="AV130" s="425"/>
      <c r="AW130" s="425"/>
      <c r="AX130" s="425"/>
      <c r="AY130" s="425"/>
      <c r="AZ130" s="425"/>
      <c r="BA130" s="425"/>
      <c r="BB130" s="425"/>
      <c r="BC130" s="425"/>
      <c r="BD130" s="425"/>
      <c r="BE130" s="425"/>
      <c r="BF130" s="425"/>
      <c r="BG130" s="425"/>
      <c r="BH130" s="425"/>
      <c r="BI130" s="425"/>
      <c r="BJ130" s="425"/>
      <c r="BK130" s="425"/>
      <c r="BL130" s="425"/>
      <c r="BM130" s="425"/>
      <c r="BN130" s="425"/>
    </row>
    <row r="131" spans="1:66" ht="15.75" customHeight="1" x14ac:dyDescent="0.2">
      <c r="A131" s="424"/>
      <c r="B131" s="424"/>
      <c r="C131" s="424"/>
      <c r="D131" s="424"/>
      <c r="E131" s="424"/>
      <c r="F131" s="425"/>
      <c r="G131" s="425"/>
      <c r="H131" s="424"/>
      <c r="I131" s="424"/>
      <c r="J131" s="425"/>
      <c r="K131" s="425"/>
      <c r="L131" s="425"/>
      <c r="M131" s="425"/>
      <c r="N131" s="425"/>
      <c r="O131" s="425"/>
      <c r="P131" s="425"/>
      <c r="Q131" s="424"/>
      <c r="R131" s="426"/>
      <c r="S131" s="426"/>
      <c r="T131" s="426"/>
      <c r="U131" s="426"/>
      <c r="V131" s="326"/>
      <c r="W131" s="326"/>
      <c r="X131" s="426"/>
      <c r="Y131" s="426"/>
      <c r="Z131" s="426"/>
      <c r="AA131" s="426"/>
      <c r="AB131" s="426"/>
      <c r="AC131" s="426"/>
      <c r="AD131" s="426"/>
      <c r="AE131" s="426"/>
      <c r="AF131" s="426"/>
      <c r="AG131" s="326"/>
      <c r="AH131" s="326"/>
      <c r="AI131" s="424"/>
      <c r="AJ131" s="424"/>
      <c r="AK131" s="424"/>
      <c r="AL131" s="424"/>
      <c r="AM131" s="424"/>
      <c r="AN131" s="424"/>
      <c r="AO131" s="425"/>
      <c r="AP131" s="425"/>
      <c r="AQ131" s="425"/>
      <c r="AR131" s="425"/>
      <c r="AS131" s="425"/>
      <c r="AT131" s="425"/>
      <c r="AU131" s="425"/>
      <c r="AV131" s="425"/>
      <c r="AW131" s="425"/>
      <c r="AX131" s="425"/>
      <c r="AY131" s="425"/>
      <c r="AZ131" s="425"/>
      <c r="BA131" s="425"/>
      <c r="BB131" s="425"/>
      <c r="BC131" s="425"/>
      <c r="BD131" s="425"/>
      <c r="BE131" s="425"/>
      <c r="BF131" s="425"/>
      <c r="BG131" s="425"/>
      <c r="BH131" s="425"/>
      <c r="BI131" s="425"/>
      <c r="BJ131" s="425"/>
      <c r="BK131" s="425"/>
      <c r="BL131" s="425"/>
      <c r="BM131" s="425"/>
      <c r="BN131" s="425"/>
    </row>
    <row r="132" spans="1:66" ht="15.75" customHeight="1" x14ac:dyDescent="0.2">
      <c r="A132" s="424"/>
      <c r="B132" s="424"/>
      <c r="C132" s="424"/>
      <c r="D132" s="424"/>
      <c r="E132" s="424"/>
      <c r="F132" s="425"/>
      <c r="G132" s="425"/>
      <c r="H132" s="424"/>
      <c r="I132" s="424"/>
      <c r="J132" s="425"/>
      <c r="K132" s="425"/>
      <c r="L132" s="425"/>
      <c r="M132" s="425"/>
      <c r="N132" s="425"/>
      <c r="O132" s="425"/>
      <c r="P132" s="425"/>
      <c r="Q132" s="424"/>
      <c r="R132" s="426"/>
      <c r="S132" s="426"/>
      <c r="T132" s="426"/>
      <c r="U132" s="426"/>
      <c r="V132" s="326"/>
      <c r="W132" s="326"/>
      <c r="X132" s="426"/>
      <c r="Y132" s="426"/>
      <c r="Z132" s="426"/>
      <c r="AA132" s="426"/>
      <c r="AB132" s="426"/>
      <c r="AC132" s="426"/>
      <c r="AD132" s="426"/>
      <c r="AE132" s="426"/>
      <c r="AF132" s="426"/>
      <c r="AG132" s="326"/>
      <c r="AH132" s="326"/>
      <c r="AI132" s="424"/>
      <c r="AJ132" s="424"/>
      <c r="AK132" s="424"/>
      <c r="AL132" s="424"/>
      <c r="AM132" s="424"/>
      <c r="AN132" s="424"/>
      <c r="AO132" s="425"/>
      <c r="AP132" s="425"/>
      <c r="AQ132" s="425"/>
      <c r="AR132" s="425"/>
      <c r="AS132" s="425"/>
      <c r="AT132" s="425"/>
      <c r="AU132" s="425"/>
      <c r="AV132" s="425"/>
      <c r="AW132" s="425"/>
      <c r="AX132" s="425"/>
      <c r="AY132" s="425"/>
      <c r="AZ132" s="425"/>
      <c r="BA132" s="425"/>
      <c r="BB132" s="425"/>
      <c r="BC132" s="425"/>
      <c r="BD132" s="425"/>
      <c r="BE132" s="425"/>
      <c r="BF132" s="425"/>
      <c r="BG132" s="425"/>
      <c r="BH132" s="425"/>
      <c r="BI132" s="425"/>
      <c r="BJ132" s="425"/>
      <c r="BK132" s="425"/>
      <c r="BL132" s="425"/>
      <c r="BM132" s="425"/>
      <c r="BN132" s="425"/>
    </row>
    <row r="133" spans="1:66" ht="15.75" customHeight="1" x14ac:dyDescent="0.2">
      <c r="A133" s="424"/>
      <c r="B133" s="424"/>
      <c r="C133" s="424"/>
      <c r="D133" s="424"/>
      <c r="E133" s="424"/>
      <c r="F133" s="425"/>
      <c r="G133" s="425"/>
      <c r="H133" s="424"/>
      <c r="I133" s="424"/>
      <c r="J133" s="425"/>
      <c r="K133" s="425"/>
      <c r="L133" s="425"/>
      <c r="M133" s="425"/>
      <c r="N133" s="425"/>
      <c r="O133" s="425"/>
      <c r="P133" s="425"/>
      <c r="Q133" s="424"/>
      <c r="R133" s="426"/>
      <c r="S133" s="426"/>
      <c r="T133" s="426"/>
      <c r="U133" s="426"/>
      <c r="V133" s="326"/>
      <c r="W133" s="326"/>
      <c r="X133" s="426"/>
      <c r="Y133" s="426"/>
      <c r="Z133" s="426"/>
      <c r="AA133" s="426"/>
      <c r="AB133" s="426"/>
      <c r="AC133" s="426"/>
      <c r="AD133" s="426"/>
      <c r="AE133" s="426"/>
      <c r="AF133" s="426"/>
      <c r="AG133" s="326"/>
      <c r="AH133" s="326"/>
      <c r="AI133" s="424"/>
      <c r="AJ133" s="424"/>
      <c r="AK133" s="424"/>
      <c r="AL133" s="424"/>
      <c r="AM133" s="424"/>
      <c r="AN133" s="424"/>
      <c r="AO133" s="425"/>
      <c r="AP133" s="425"/>
      <c r="AQ133" s="425"/>
      <c r="AR133" s="425"/>
      <c r="AS133" s="425"/>
      <c r="AT133" s="425"/>
      <c r="AU133" s="425"/>
      <c r="AV133" s="425"/>
      <c r="AW133" s="425"/>
      <c r="AX133" s="425"/>
      <c r="AY133" s="425"/>
      <c r="AZ133" s="425"/>
      <c r="BA133" s="425"/>
      <c r="BB133" s="425"/>
      <c r="BC133" s="425"/>
      <c r="BD133" s="425"/>
      <c r="BE133" s="425"/>
      <c r="BF133" s="425"/>
      <c r="BG133" s="425"/>
      <c r="BH133" s="425"/>
      <c r="BI133" s="425"/>
      <c r="BJ133" s="425"/>
      <c r="BK133" s="425"/>
      <c r="BL133" s="425"/>
      <c r="BM133" s="425"/>
      <c r="BN133" s="425"/>
    </row>
    <row r="134" spans="1:66" ht="15.75" customHeight="1" x14ac:dyDescent="0.2">
      <c r="A134" s="424"/>
      <c r="B134" s="424"/>
      <c r="C134" s="424"/>
      <c r="D134" s="424"/>
      <c r="E134" s="424"/>
      <c r="F134" s="425"/>
      <c r="G134" s="425"/>
      <c r="H134" s="424"/>
      <c r="I134" s="424"/>
      <c r="J134" s="425"/>
      <c r="K134" s="425"/>
      <c r="L134" s="425"/>
      <c r="M134" s="425"/>
      <c r="N134" s="425"/>
      <c r="O134" s="425"/>
      <c r="P134" s="425"/>
      <c r="Q134" s="424"/>
      <c r="R134" s="426"/>
      <c r="S134" s="426"/>
      <c r="T134" s="426"/>
      <c r="U134" s="426"/>
      <c r="V134" s="326"/>
      <c r="W134" s="326"/>
      <c r="X134" s="426"/>
      <c r="Y134" s="426"/>
      <c r="Z134" s="426"/>
      <c r="AA134" s="426"/>
      <c r="AB134" s="426"/>
      <c r="AC134" s="426"/>
      <c r="AD134" s="426"/>
      <c r="AE134" s="426"/>
      <c r="AF134" s="426"/>
      <c r="AG134" s="326"/>
      <c r="AH134" s="326"/>
      <c r="AI134" s="424"/>
      <c r="AJ134" s="424"/>
      <c r="AK134" s="424"/>
      <c r="AL134" s="424"/>
      <c r="AM134" s="424"/>
      <c r="AN134" s="424"/>
      <c r="AO134" s="425"/>
      <c r="AP134" s="425"/>
      <c r="AQ134" s="425"/>
      <c r="AR134" s="425"/>
      <c r="AS134" s="425"/>
      <c r="AT134" s="425"/>
      <c r="AU134" s="425"/>
      <c r="AV134" s="425"/>
      <c r="AW134" s="425"/>
      <c r="AX134" s="425"/>
      <c r="AY134" s="425"/>
      <c r="AZ134" s="425"/>
      <c r="BA134" s="425"/>
      <c r="BB134" s="425"/>
      <c r="BC134" s="425"/>
      <c r="BD134" s="425"/>
      <c r="BE134" s="425"/>
      <c r="BF134" s="425"/>
      <c r="BG134" s="425"/>
      <c r="BH134" s="425"/>
      <c r="BI134" s="425"/>
      <c r="BJ134" s="425"/>
      <c r="BK134" s="425"/>
      <c r="BL134" s="425"/>
      <c r="BM134" s="425"/>
      <c r="BN134" s="425"/>
    </row>
    <row r="135" spans="1:66" ht="15.75" customHeight="1" x14ac:dyDescent="0.2">
      <c r="A135" s="424"/>
      <c r="B135" s="424"/>
      <c r="C135" s="424"/>
      <c r="D135" s="424"/>
      <c r="E135" s="424"/>
      <c r="F135" s="425"/>
      <c r="G135" s="425"/>
      <c r="H135" s="424"/>
      <c r="I135" s="424"/>
      <c r="J135" s="425"/>
      <c r="K135" s="425"/>
      <c r="L135" s="425"/>
      <c r="M135" s="425"/>
      <c r="N135" s="425"/>
      <c r="O135" s="425"/>
      <c r="P135" s="425"/>
      <c r="Q135" s="424"/>
      <c r="R135" s="426"/>
      <c r="S135" s="426"/>
      <c r="T135" s="426"/>
      <c r="U135" s="426"/>
      <c r="V135" s="326"/>
      <c r="W135" s="326"/>
      <c r="X135" s="426"/>
      <c r="Y135" s="426"/>
      <c r="Z135" s="426"/>
      <c r="AA135" s="426"/>
      <c r="AB135" s="426"/>
      <c r="AC135" s="426"/>
      <c r="AD135" s="426"/>
      <c r="AE135" s="426"/>
      <c r="AF135" s="426"/>
      <c r="AG135" s="326"/>
      <c r="AH135" s="326"/>
      <c r="AI135" s="424"/>
      <c r="AJ135" s="424"/>
      <c r="AK135" s="424"/>
      <c r="AL135" s="424"/>
      <c r="AM135" s="424"/>
      <c r="AN135" s="424"/>
      <c r="AO135" s="425"/>
      <c r="AP135" s="425"/>
      <c r="AQ135" s="425"/>
      <c r="AR135" s="425"/>
      <c r="AS135" s="425"/>
      <c r="AT135" s="425"/>
      <c r="AU135" s="425"/>
      <c r="AV135" s="425"/>
      <c r="AW135" s="425"/>
      <c r="AX135" s="425"/>
      <c r="AY135" s="425"/>
      <c r="AZ135" s="425"/>
      <c r="BA135" s="425"/>
      <c r="BB135" s="425"/>
      <c r="BC135" s="425"/>
      <c r="BD135" s="425"/>
      <c r="BE135" s="425"/>
      <c r="BF135" s="425"/>
      <c r="BG135" s="425"/>
      <c r="BH135" s="425"/>
      <c r="BI135" s="425"/>
      <c r="BJ135" s="425"/>
      <c r="BK135" s="425"/>
      <c r="BL135" s="425"/>
      <c r="BM135" s="425"/>
      <c r="BN135" s="425"/>
    </row>
    <row r="136" spans="1:66" ht="15.75" customHeight="1" x14ac:dyDescent="0.2">
      <c r="A136" s="424"/>
      <c r="B136" s="424"/>
      <c r="C136" s="424"/>
      <c r="D136" s="424"/>
      <c r="E136" s="424"/>
      <c r="F136" s="425"/>
      <c r="G136" s="425"/>
      <c r="H136" s="424"/>
      <c r="I136" s="424"/>
      <c r="J136" s="425"/>
      <c r="K136" s="425"/>
      <c r="L136" s="425"/>
      <c r="M136" s="425"/>
      <c r="N136" s="425"/>
      <c r="O136" s="425"/>
      <c r="P136" s="425"/>
      <c r="Q136" s="424"/>
      <c r="R136" s="426"/>
      <c r="S136" s="426"/>
      <c r="T136" s="426"/>
      <c r="U136" s="426"/>
      <c r="V136" s="326"/>
      <c r="W136" s="326"/>
      <c r="X136" s="426"/>
      <c r="Y136" s="426"/>
      <c r="Z136" s="426"/>
      <c r="AA136" s="426"/>
      <c r="AB136" s="426"/>
      <c r="AC136" s="426"/>
      <c r="AD136" s="426"/>
      <c r="AE136" s="426"/>
      <c r="AF136" s="426"/>
      <c r="AG136" s="326"/>
      <c r="AH136" s="326"/>
      <c r="AI136" s="424"/>
      <c r="AJ136" s="424"/>
      <c r="AK136" s="424"/>
      <c r="AL136" s="424"/>
      <c r="AM136" s="424"/>
      <c r="AN136" s="424"/>
      <c r="AO136" s="425"/>
      <c r="AP136" s="425"/>
      <c r="AQ136" s="425"/>
      <c r="AR136" s="425"/>
      <c r="AS136" s="425"/>
      <c r="AT136" s="425"/>
      <c r="AU136" s="425"/>
      <c r="AV136" s="425"/>
      <c r="AW136" s="425"/>
      <c r="AX136" s="425"/>
      <c r="AY136" s="425"/>
      <c r="AZ136" s="425"/>
      <c r="BA136" s="425"/>
      <c r="BB136" s="425"/>
      <c r="BC136" s="425"/>
      <c r="BD136" s="425"/>
      <c r="BE136" s="425"/>
      <c r="BF136" s="425"/>
      <c r="BG136" s="425"/>
      <c r="BH136" s="425"/>
      <c r="BI136" s="425"/>
      <c r="BJ136" s="425"/>
      <c r="BK136" s="425"/>
      <c r="BL136" s="425"/>
      <c r="BM136" s="425"/>
      <c r="BN136" s="425"/>
    </row>
    <row r="137" spans="1:66" ht="15.75" customHeight="1" x14ac:dyDescent="0.2">
      <c r="A137" s="424"/>
      <c r="B137" s="424"/>
      <c r="C137" s="424"/>
      <c r="D137" s="424"/>
      <c r="E137" s="424"/>
      <c r="F137" s="425"/>
      <c r="G137" s="425"/>
      <c r="H137" s="424"/>
      <c r="I137" s="424"/>
      <c r="J137" s="425"/>
      <c r="K137" s="425"/>
      <c r="L137" s="425"/>
      <c r="M137" s="425"/>
      <c r="N137" s="425"/>
      <c r="O137" s="425"/>
      <c r="P137" s="425"/>
      <c r="Q137" s="424"/>
      <c r="R137" s="426"/>
      <c r="S137" s="426"/>
      <c r="T137" s="426"/>
      <c r="U137" s="426"/>
      <c r="V137" s="326"/>
      <c r="W137" s="326"/>
      <c r="X137" s="426"/>
      <c r="Y137" s="426"/>
      <c r="Z137" s="426"/>
      <c r="AA137" s="426"/>
      <c r="AB137" s="426"/>
      <c r="AC137" s="426"/>
      <c r="AD137" s="426"/>
      <c r="AE137" s="426"/>
      <c r="AF137" s="426"/>
      <c r="AG137" s="326"/>
      <c r="AH137" s="326"/>
      <c r="AI137" s="424"/>
      <c r="AJ137" s="424"/>
      <c r="AK137" s="424"/>
      <c r="AL137" s="424"/>
      <c r="AM137" s="424"/>
      <c r="AN137" s="424"/>
      <c r="AO137" s="425"/>
      <c r="AP137" s="425"/>
      <c r="AQ137" s="425"/>
      <c r="AR137" s="425"/>
      <c r="AS137" s="425"/>
      <c r="AT137" s="425"/>
      <c r="AU137" s="425"/>
      <c r="AV137" s="425"/>
      <c r="AW137" s="425"/>
      <c r="AX137" s="425"/>
      <c r="AY137" s="425"/>
      <c r="AZ137" s="425"/>
      <c r="BA137" s="425"/>
      <c r="BB137" s="425"/>
      <c r="BC137" s="425"/>
      <c r="BD137" s="425"/>
      <c r="BE137" s="425"/>
      <c r="BF137" s="425"/>
      <c r="BG137" s="425"/>
      <c r="BH137" s="425"/>
      <c r="BI137" s="425"/>
      <c r="BJ137" s="425"/>
      <c r="BK137" s="425"/>
      <c r="BL137" s="425"/>
      <c r="BM137" s="425"/>
      <c r="BN137" s="425"/>
    </row>
    <row r="138" spans="1:66" ht="15.75" customHeight="1" x14ac:dyDescent="0.2">
      <c r="A138" s="424"/>
      <c r="B138" s="424"/>
      <c r="C138" s="424"/>
      <c r="D138" s="424"/>
      <c r="E138" s="424"/>
      <c r="F138" s="425"/>
      <c r="G138" s="425"/>
      <c r="H138" s="424"/>
      <c r="I138" s="424"/>
      <c r="J138" s="425"/>
      <c r="K138" s="425"/>
      <c r="L138" s="425"/>
      <c r="M138" s="425"/>
      <c r="N138" s="425"/>
      <c r="O138" s="425"/>
      <c r="P138" s="425"/>
      <c r="Q138" s="424"/>
      <c r="R138" s="426"/>
      <c r="S138" s="426"/>
      <c r="T138" s="426"/>
      <c r="U138" s="426"/>
      <c r="V138" s="326"/>
      <c r="W138" s="326"/>
      <c r="X138" s="426"/>
      <c r="Y138" s="426"/>
      <c r="Z138" s="426"/>
      <c r="AA138" s="426"/>
      <c r="AB138" s="426"/>
      <c r="AC138" s="426"/>
      <c r="AD138" s="426"/>
      <c r="AE138" s="426"/>
      <c r="AF138" s="426"/>
      <c r="AG138" s="326"/>
      <c r="AH138" s="326"/>
      <c r="AI138" s="424"/>
      <c r="AJ138" s="424"/>
      <c r="AK138" s="424"/>
      <c r="AL138" s="424"/>
      <c r="AM138" s="424"/>
      <c r="AN138" s="424"/>
      <c r="AO138" s="425"/>
      <c r="AP138" s="425"/>
      <c r="AQ138" s="425"/>
      <c r="AR138" s="425"/>
      <c r="AS138" s="425"/>
      <c r="AT138" s="425"/>
      <c r="AU138" s="425"/>
      <c r="AV138" s="425"/>
      <c r="AW138" s="425"/>
      <c r="AX138" s="425"/>
      <c r="AY138" s="425"/>
      <c r="AZ138" s="425"/>
      <c r="BA138" s="425"/>
      <c r="BB138" s="425"/>
      <c r="BC138" s="425"/>
      <c r="BD138" s="425"/>
      <c r="BE138" s="425"/>
      <c r="BF138" s="425"/>
      <c r="BG138" s="425"/>
      <c r="BH138" s="425"/>
      <c r="BI138" s="425"/>
      <c r="BJ138" s="425"/>
      <c r="BK138" s="425"/>
      <c r="BL138" s="425"/>
      <c r="BM138" s="425"/>
      <c r="BN138" s="425"/>
    </row>
    <row r="139" spans="1:66" ht="15.75" customHeight="1" x14ac:dyDescent="0.2">
      <c r="A139" s="424"/>
      <c r="B139" s="424"/>
      <c r="C139" s="424"/>
      <c r="D139" s="424"/>
      <c r="E139" s="424"/>
      <c r="F139" s="425"/>
      <c r="G139" s="425"/>
      <c r="H139" s="424"/>
      <c r="I139" s="424"/>
      <c r="J139" s="425"/>
      <c r="K139" s="425"/>
      <c r="L139" s="425"/>
      <c r="M139" s="425"/>
      <c r="N139" s="425"/>
      <c r="O139" s="425"/>
      <c r="P139" s="425"/>
      <c r="Q139" s="424"/>
      <c r="R139" s="426"/>
      <c r="S139" s="426"/>
      <c r="T139" s="426"/>
      <c r="U139" s="426"/>
      <c r="V139" s="326"/>
      <c r="W139" s="326"/>
      <c r="X139" s="426"/>
      <c r="Y139" s="426"/>
      <c r="Z139" s="426"/>
      <c r="AA139" s="426"/>
      <c r="AB139" s="426"/>
      <c r="AC139" s="426"/>
      <c r="AD139" s="426"/>
      <c r="AE139" s="426"/>
      <c r="AF139" s="426"/>
      <c r="AG139" s="326"/>
      <c r="AH139" s="326"/>
      <c r="AI139" s="424"/>
      <c r="AJ139" s="424"/>
      <c r="AK139" s="424"/>
      <c r="AL139" s="424"/>
      <c r="AM139" s="424"/>
      <c r="AN139" s="424"/>
      <c r="AO139" s="425"/>
      <c r="AP139" s="425"/>
      <c r="AQ139" s="425"/>
      <c r="AR139" s="425"/>
      <c r="AS139" s="425"/>
      <c r="AT139" s="425"/>
      <c r="AU139" s="425"/>
      <c r="AV139" s="425"/>
      <c r="AW139" s="425"/>
      <c r="AX139" s="425"/>
      <c r="AY139" s="425"/>
      <c r="AZ139" s="425"/>
      <c r="BA139" s="425"/>
      <c r="BB139" s="425"/>
      <c r="BC139" s="425"/>
      <c r="BD139" s="425"/>
      <c r="BE139" s="425"/>
      <c r="BF139" s="425"/>
      <c r="BG139" s="425"/>
      <c r="BH139" s="425"/>
      <c r="BI139" s="425"/>
      <c r="BJ139" s="425"/>
      <c r="BK139" s="425"/>
      <c r="BL139" s="425"/>
      <c r="BM139" s="425"/>
      <c r="BN139" s="425"/>
    </row>
    <row r="140" spans="1:66" ht="15.75" customHeight="1" x14ac:dyDescent="0.2">
      <c r="A140" s="424"/>
      <c r="B140" s="424"/>
      <c r="C140" s="424"/>
      <c r="D140" s="424"/>
      <c r="E140" s="424"/>
      <c r="F140" s="425"/>
      <c r="G140" s="425"/>
      <c r="H140" s="424"/>
      <c r="I140" s="424"/>
      <c r="J140" s="425"/>
      <c r="K140" s="425"/>
      <c r="L140" s="425"/>
      <c r="M140" s="425"/>
      <c r="N140" s="425"/>
      <c r="O140" s="425"/>
      <c r="P140" s="425"/>
      <c r="Q140" s="424"/>
      <c r="R140" s="426"/>
      <c r="S140" s="426"/>
      <c r="T140" s="426"/>
      <c r="U140" s="426"/>
      <c r="V140" s="326"/>
      <c r="W140" s="326"/>
      <c r="X140" s="426"/>
      <c r="Y140" s="426"/>
      <c r="Z140" s="426"/>
      <c r="AA140" s="426"/>
      <c r="AB140" s="426"/>
      <c r="AC140" s="426"/>
      <c r="AD140" s="426"/>
      <c r="AE140" s="426"/>
      <c r="AF140" s="426"/>
      <c r="AG140" s="326"/>
      <c r="AH140" s="326"/>
      <c r="AI140" s="424"/>
      <c r="AJ140" s="424"/>
      <c r="AK140" s="424"/>
      <c r="AL140" s="424"/>
      <c r="AM140" s="424"/>
      <c r="AN140" s="424"/>
      <c r="AO140" s="425"/>
      <c r="AP140" s="425"/>
      <c r="AQ140" s="425"/>
      <c r="AR140" s="425"/>
      <c r="AS140" s="425"/>
      <c r="AT140" s="425"/>
      <c r="AU140" s="425"/>
      <c r="AV140" s="425"/>
      <c r="AW140" s="425"/>
      <c r="AX140" s="425"/>
      <c r="AY140" s="425"/>
      <c r="AZ140" s="425"/>
      <c r="BA140" s="425"/>
      <c r="BB140" s="425"/>
      <c r="BC140" s="425"/>
      <c r="BD140" s="425"/>
      <c r="BE140" s="425"/>
      <c r="BF140" s="425"/>
      <c r="BG140" s="425"/>
      <c r="BH140" s="425"/>
      <c r="BI140" s="425"/>
      <c r="BJ140" s="425"/>
      <c r="BK140" s="425"/>
      <c r="BL140" s="425"/>
      <c r="BM140" s="425"/>
      <c r="BN140" s="425"/>
    </row>
    <row r="141" spans="1:66" ht="15.75" customHeight="1" x14ac:dyDescent="0.2">
      <c r="A141" s="424"/>
      <c r="B141" s="424"/>
      <c r="C141" s="424"/>
      <c r="D141" s="424"/>
      <c r="E141" s="424"/>
      <c r="F141" s="425"/>
      <c r="G141" s="425"/>
      <c r="H141" s="424"/>
      <c r="I141" s="424"/>
      <c r="J141" s="425"/>
      <c r="K141" s="425"/>
      <c r="L141" s="425"/>
      <c r="M141" s="425"/>
      <c r="N141" s="425"/>
      <c r="O141" s="425"/>
      <c r="P141" s="425"/>
      <c r="Q141" s="424"/>
      <c r="R141" s="426"/>
      <c r="S141" s="426"/>
      <c r="T141" s="426"/>
      <c r="U141" s="426"/>
      <c r="V141" s="326"/>
      <c r="W141" s="326"/>
      <c r="X141" s="426"/>
      <c r="Y141" s="426"/>
      <c r="Z141" s="426"/>
      <c r="AA141" s="426"/>
      <c r="AB141" s="426"/>
      <c r="AC141" s="426"/>
      <c r="AD141" s="426"/>
      <c r="AE141" s="426"/>
      <c r="AF141" s="426"/>
      <c r="AG141" s="326"/>
      <c r="AH141" s="326"/>
      <c r="AI141" s="424"/>
      <c r="AJ141" s="424"/>
      <c r="AK141" s="424"/>
      <c r="AL141" s="424"/>
      <c r="AM141" s="424"/>
      <c r="AN141" s="424"/>
      <c r="AO141" s="425"/>
      <c r="AP141" s="425"/>
      <c r="AQ141" s="425"/>
      <c r="AR141" s="425"/>
      <c r="AS141" s="425"/>
      <c r="AT141" s="425"/>
      <c r="AU141" s="425"/>
      <c r="AV141" s="425"/>
      <c r="AW141" s="425"/>
      <c r="AX141" s="425"/>
      <c r="AY141" s="425"/>
      <c r="AZ141" s="425"/>
      <c r="BA141" s="425"/>
      <c r="BB141" s="425"/>
      <c r="BC141" s="425"/>
      <c r="BD141" s="425"/>
      <c r="BE141" s="425"/>
      <c r="BF141" s="425"/>
      <c r="BG141" s="425"/>
      <c r="BH141" s="425"/>
      <c r="BI141" s="425"/>
      <c r="BJ141" s="425"/>
      <c r="BK141" s="425"/>
      <c r="BL141" s="425"/>
      <c r="BM141" s="425"/>
      <c r="BN141" s="425"/>
    </row>
    <row r="142" spans="1:66" ht="15.75" customHeight="1" x14ac:dyDescent="0.2">
      <c r="A142" s="424"/>
      <c r="B142" s="424"/>
      <c r="C142" s="424"/>
      <c r="D142" s="424"/>
      <c r="E142" s="424"/>
      <c r="F142" s="425"/>
      <c r="G142" s="425"/>
      <c r="H142" s="424"/>
      <c r="I142" s="424"/>
      <c r="J142" s="425"/>
      <c r="K142" s="425"/>
      <c r="L142" s="425"/>
      <c r="M142" s="425"/>
      <c r="N142" s="425"/>
      <c r="O142" s="425"/>
      <c r="P142" s="425"/>
      <c r="Q142" s="424"/>
      <c r="R142" s="426"/>
      <c r="S142" s="426"/>
      <c r="T142" s="426"/>
      <c r="U142" s="426"/>
      <c r="V142" s="326"/>
      <c r="W142" s="326"/>
      <c r="X142" s="426"/>
      <c r="Y142" s="426"/>
      <c r="Z142" s="426"/>
      <c r="AA142" s="426"/>
      <c r="AB142" s="426"/>
      <c r="AC142" s="426"/>
      <c r="AD142" s="426"/>
      <c r="AE142" s="426"/>
      <c r="AF142" s="426"/>
      <c r="AG142" s="326"/>
      <c r="AH142" s="326"/>
      <c r="AI142" s="424"/>
      <c r="AJ142" s="424"/>
      <c r="AK142" s="424"/>
      <c r="AL142" s="424"/>
      <c r="AM142" s="424"/>
      <c r="AN142" s="424"/>
      <c r="AO142" s="425"/>
      <c r="AP142" s="425"/>
      <c r="AQ142" s="425"/>
      <c r="AR142" s="425"/>
      <c r="AS142" s="425"/>
      <c r="AT142" s="425"/>
      <c r="AU142" s="425"/>
      <c r="AV142" s="425"/>
      <c r="AW142" s="425"/>
      <c r="AX142" s="425"/>
      <c r="AY142" s="425"/>
      <c r="AZ142" s="425"/>
      <c r="BA142" s="425"/>
      <c r="BB142" s="425"/>
      <c r="BC142" s="425"/>
      <c r="BD142" s="425"/>
      <c r="BE142" s="425"/>
      <c r="BF142" s="425"/>
      <c r="BG142" s="425"/>
      <c r="BH142" s="425"/>
      <c r="BI142" s="425"/>
      <c r="BJ142" s="425"/>
      <c r="BK142" s="425"/>
      <c r="BL142" s="425"/>
      <c r="BM142" s="425"/>
      <c r="BN142" s="425"/>
    </row>
    <row r="143" spans="1:66" ht="15.75" customHeight="1" x14ac:dyDescent="0.2">
      <c r="A143" s="424"/>
      <c r="B143" s="424"/>
      <c r="C143" s="424"/>
      <c r="D143" s="424"/>
      <c r="E143" s="424"/>
      <c r="F143" s="425"/>
      <c r="G143" s="425"/>
      <c r="H143" s="424"/>
      <c r="I143" s="424"/>
      <c r="J143" s="425"/>
      <c r="K143" s="425"/>
      <c r="L143" s="425"/>
      <c r="M143" s="425"/>
      <c r="N143" s="425"/>
      <c r="O143" s="425"/>
      <c r="P143" s="425"/>
      <c r="Q143" s="424"/>
      <c r="R143" s="426"/>
      <c r="S143" s="426"/>
      <c r="T143" s="426"/>
      <c r="U143" s="426"/>
      <c r="V143" s="326"/>
      <c r="W143" s="326"/>
      <c r="X143" s="426"/>
      <c r="Y143" s="426"/>
      <c r="Z143" s="426"/>
      <c r="AA143" s="426"/>
      <c r="AB143" s="426"/>
      <c r="AC143" s="426"/>
      <c r="AD143" s="426"/>
      <c r="AE143" s="426"/>
      <c r="AF143" s="426"/>
      <c r="AG143" s="326"/>
      <c r="AH143" s="326"/>
      <c r="AI143" s="424"/>
      <c r="AJ143" s="424"/>
      <c r="AK143" s="424"/>
      <c r="AL143" s="424"/>
      <c r="AM143" s="424"/>
      <c r="AN143" s="424"/>
      <c r="AO143" s="425"/>
      <c r="AP143" s="425"/>
      <c r="AQ143" s="425"/>
      <c r="AR143" s="425"/>
      <c r="AS143" s="425"/>
      <c r="AT143" s="425"/>
      <c r="AU143" s="425"/>
      <c r="AV143" s="425"/>
      <c r="AW143" s="425"/>
      <c r="AX143" s="425"/>
      <c r="AY143" s="425"/>
      <c r="AZ143" s="425"/>
      <c r="BA143" s="425"/>
      <c r="BB143" s="425"/>
      <c r="BC143" s="425"/>
      <c r="BD143" s="425"/>
      <c r="BE143" s="425"/>
      <c r="BF143" s="425"/>
      <c r="BG143" s="425"/>
      <c r="BH143" s="425"/>
      <c r="BI143" s="425"/>
      <c r="BJ143" s="425"/>
      <c r="BK143" s="425"/>
      <c r="BL143" s="425"/>
      <c r="BM143" s="425"/>
      <c r="BN143" s="425"/>
    </row>
    <row r="144" spans="1:66" ht="15.75" customHeight="1" x14ac:dyDescent="0.2">
      <c r="A144" s="424"/>
      <c r="B144" s="424"/>
      <c r="C144" s="424"/>
      <c r="D144" s="424"/>
      <c r="E144" s="424"/>
      <c r="F144" s="425"/>
      <c r="G144" s="425"/>
      <c r="H144" s="424"/>
      <c r="I144" s="424"/>
      <c r="J144" s="425"/>
      <c r="K144" s="425"/>
      <c r="L144" s="425"/>
      <c r="M144" s="425"/>
      <c r="N144" s="425"/>
      <c r="O144" s="425"/>
      <c r="P144" s="425"/>
      <c r="Q144" s="424"/>
      <c r="R144" s="426"/>
      <c r="S144" s="426"/>
      <c r="T144" s="426"/>
      <c r="U144" s="426"/>
      <c r="V144" s="326"/>
      <c r="W144" s="326"/>
      <c r="X144" s="426"/>
      <c r="Y144" s="426"/>
      <c r="Z144" s="426"/>
      <c r="AA144" s="426"/>
      <c r="AB144" s="426"/>
      <c r="AC144" s="426"/>
      <c r="AD144" s="426"/>
      <c r="AE144" s="426"/>
      <c r="AF144" s="426"/>
      <c r="AG144" s="326"/>
      <c r="AH144" s="326"/>
      <c r="AI144" s="424"/>
      <c r="AJ144" s="424"/>
      <c r="AK144" s="424"/>
      <c r="AL144" s="424"/>
      <c r="AM144" s="424"/>
      <c r="AN144" s="424"/>
      <c r="AO144" s="425"/>
      <c r="AP144" s="425"/>
      <c r="AQ144" s="425"/>
      <c r="AR144" s="425"/>
      <c r="AS144" s="425"/>
      <c r="AT144" s="425"/>
      <c r="AU144" s="425"/>
      <c r="AV144" s="425"/>
      <c r="AW144" s="425"/>
      <c r="AX144" s="425"/>
      <c r="AY144" s="425"/>
      <c r="AZ144" s="425"/>
      <c r="BA144" s="425"/>
      <c r="BB144" s="425"/>
      <c r="BC144" s="425"/>
      <c r="BD144" s="425"/>
      <c r="BE144" s="425"/>
      <c r="BF144" s="425"/>
      <c r="BG144" s="425"/>
      <c r="BH144" s="425"/>
      <c r="BI144" s="425"/>
      <c r="BJ144" s="425"/>
      <c r="BK144" s="425"/>
      <c r="BL144" s="425"/>
      <c r="BM144" s="425"/>
      <c r="BN144" s="425"/>
    </row>
    <row r="145" spans="1:66" ht="15.75" customHeight="1" x14ac:dyDescent="0.2">
      <c r="A145" s="424"/>
      <c r="B145" s="424"/>
      <c r="C145" s="424"/>
      <c r="D145" s="424"/>
      <c r="E145" s="424"/>
      <c r="F145" s="425"/>
      <c r="G145" s="425"/>
      <c r="H145" s="424"/>
      <c r="I145" s="424"/>
      <c r="J145" s="425"/>
      <c r="K145" s="425"/>
      <c r="L145" s="425"/>
      <c r="M145" s="425"/>
      <c r="N145" s="425"/>
      <c r="O145" s="425"/>
      <c r="P145" s="425"/>
      <c r="Q145" s="424"/>
      <c r="R145" s="426"/>
      <c r="S145" s="426"/>
      <c r="T145" s="426"/>
      <c r="U145" s="426"/>
      <c r="V145" s="326"/>
      <c r="W145" s="326"/>
      <c r="X145" s="426"/>
      <c r="Y145" s="426"/>
      <c r="Z145" s="426"/>
      <c r="AA145" s="426"/>
      <c r="AB145" s="426"/>
      <c r="AC145" s="426"/>
      <c r="AD145" s="426"/>
      <c r="AE145" s="426"/>
      <c r="AF145" s="426"/>
      <c r="AG145" s="326"/>
      <c r="AH145" s="326"/>
      <c r="AI145" s="424"/>
      <c r="AJ145" s="424"/>
      <c r="AK145" s="424"/>
      <c r="AL145" s="424"/>
      <c r="AM145" s="424"/>
      <c r="AN145" s="424"/>
      <c r="AO145" s="425"/>
      <c r="AP145" s="425"/>
      <c r="AQ145" s="425"/>
      <c r="AR145" s="425"/>
      <c r="AS145" s="425"/>
      <c r="AT145" s="425"/>
      <c r="AU145" s="425"/>
      <c r="AV145" s="425"/>
      <c r="AW145" s="425"/>
      <c r="AX145" s="425"/>
      <c r="AY145" s="425"/>
      <c r="AZ145" s="425"/>
      <c r="BA145" s="425"/>
      <c r="BB145" s="425"/>
      <c r="BC145" s="425"/>
      <c r="BD145" s="425"/>
      <c r="BE145" s="425"/>
      <c r="BF145" s="425"/>
      <c r="BG145" s="425"/>
      <c r="BH145" s="425"/>
      <c r="BI145" s="425"/>
      <c r="BJ145" s="425"/>
      <c r="BK145" s="425"/>
      <c r="BL145" s="425"/>
      <c r="BM145" s="425"/>
      <c r="BN145" s="425"/>
    </row>
    <row r="146" spans="1:66" ht="15.75" customHeight="1" x14ac:dyDescent="0.2">
      <c r="A146" s="424"/>
      <c r="B146" s="424"/>
      <c r="C146" s="424"/>
      <c r="D146" s="424"/>
      <c r="E146" s="424"/>
      <c r="F146" s="425"/>
      <c r="G146" s="425"/>
      <c r="H146" s="424"/>
      <c r="I146" s="424"/>
      <c r="J146" s="425"/>
      <c r="K146" s="425"/>
      <c r="L146" s="425"/>
      <c r="M146" s="425"/>
      <c r="N146" s="425"/>
      <c r="O146" s="425"/>
      <c r="P146" s="425"/>
      <c r="Q146" s="424"/>
      <c r="R146" s="426"/>
      <c r="S146" s="426"/>
      <c r="T146" s="426"/>
      <c r="U146" s="426"/>
      <c r="V146" s="326"/>
      <c r="W146" s="326"/>
      <c r="X146" s="426"/>
      <c r="Y146" s="426"/>
      <c r="Z146" s="426"/>
      <c r="AA146" s="426"/>
      <c r="AB146" s="426"/>
      <c r="AC146" s="426"/>
      <c r="AD146" s="426"/>
      <c r="AE146" s="426"/>
      <c r="AF146" s="426"/>
      <c r="AG146" s="326"/>
      <c r="AH146" s="326"/>
      <c r="AI146" s="424"/>
      <c r="AJ146" s="424"/>
      <c r="AK146" s="424"/>
      <c r="AL146" s="424"/>
      <c r="AM146" s="424"/>
      <c r="AN146" s="424"/>
      <c r="AO146" s="425"/>
      <c r="AP146" s="425"/>
      <c r="AQ146" s="425"/>
      <c r="AR146" s="425"/>
      <c r="AS146" s="425"/>
      <c r="AT146" s="425"/>
      <c r="AU146" s="425"/>
      <c r="AV146" s="425"/>
      <c r="AW146" s="425"/>
      <c r="AX146" s="425"/>
      <c r="AY146" s="425"/>
      <c r="AZ146" s="425"/>
      <c r="BA146" s="425"/>
      <c r="BB146" s="425"/>
      <c r="BC146" s="425"/>
      <c r="BD146" s="425"/>
      <c r="BE146" s="425"/>
      <c r="BF146" s="425"/>
      <c r="BG146" s="425"/>
      <c r="BH146" s="425"/>
      <c r="BI146" s="425"/>
      <c r="BJ146" s="425"/>
      <c r="BK146" s="425"/>
      <c r="BL146" s="425"/>
      <c r="BM146" s="425"/>
      <c r="BN146" s="425"/>
    </row>
    <row r="147" spans="1:66" ht="15.75" customHeight="1" x14ac:dyDescent="0.2">
      <c r="A147" s="424"/>
      <c r="B147" s="424"/>
      <c r="C147" s="424"/>
      <c r="D147" s="424"/>
      <c r="E147" s="424"/>
      <c r="F147" s="425"/>
      <c r="G147" s="425"/>
      <c r="H147" s="424"/>
      <c r="I147" s="424"/>
      <c r="J147" s="425"/>
      <c r="K147" s="425"/>
      <c r="L147" s="425"/>
      <c r="M147" s="425"/>
      <c r="N147" s="425"/>
      <c r="O147" s="425"/>
      <c r="P147" s="425"/>
      <c r="Q147" s="424"/>
      <c r="R147" s="426"/>
      <c r="S147" s="426"/>
      <c r="T147" s="426"/>
      <c r="U147" s="426"/>
      <c r="V147" s="326"/>
      <c r="W147" s="326"/>
      <c r="X147" s="426"/>
      <c r="Y147" s="426"/>
      <c r="Z147" s="426"/>
      <c r="AA147" s="426"/>
      <c r="AB147" s="426"/>
      <c r="AC147" s="426"/>
      <c r="AD147" s="426"/>
      <c r="AE147" s="426"/>
      <c r="AF147" s="426"/>
      <c r="AG147" s="326"/>
      <c r="AH147" s="326"/>
      <c r="AI147" s="424"/>
      <c r="AJ147" s="424"/>
      <c r="AK147" s="424"/>
      <c r="AL147" s="424"/>
      <c r="AM147" s="424"/>
      <c r="AN147" s="424"/>
      <c r="AO147" s="425"/>
      <c r="AP147" s="425"/>
      <c r="AQ147" s="425"/>
      <c r="AR147" s="425"/>
      <c r="AS147" s="425"/>
      <c r="AT147" s="425"/>
      <c r="AU147" s="425"/>
      <c r="AV147" s="425"/>
      <c r="AW147" s="425"/>
      <c r="AX147" s="425"/>
      <c r="AY147" s="425"/>
      <c r="AZ147" s="425"/>
      <c r="BA147" s="425"/>
      <c r="BB147" s="425"/>
      <c r="BC147" s="425"/>
      <c r="BD147" s="425"/>
      <c r="BE147" s="425"/>
      <c r="BF147" s="425"/>
      <c r="BG147" s="425"/>
      <c r="BH147" s="425"/>
      <c r="BI147" s="425"/>
      <c r="BJ147" s="425"/>
      <c r="BK147" s="425"/>
      <c r="BL147" s="425"/>
      <c r="BM147" s="425"/>
      <c r="BN147" s="425"/>
    </row>
    <row r="148" spans="1:66" ht="15.75" customHeight="1" x14ac:dyDescent="0.2">
      <c r="A148" s="424"/>
      <c r="B148" s="424"/>
      <c r="C148" s="424"/>
      <c r="D148" s="424"/>
      <c r="E148" s="424"/>
      <c r="F148" s="425"/>
      <c r="G148" s="425"/>
      <c r="H148" s="424"/>
      <c r="I148" s="424"/>
      <c r="J148" s="425"/>
      <c r="K148" s="425"/>
      <c r="L148" s="425"/>
      <c r="M148" s="425"/>
      <c r="N148" s="425"/>
      <c r="O148" s="425"/>
      <c r="P148" s="425"/>
      <c r="Q148" s="424"/>
      <c r="R148" s="426"/>
      <c r="S148" s="426"/>
      <c r="T148" s="426"/>
      <c r="U148" s="426"/>
      <c r="V148" s="326"/>
      <c r="W148" s="326"/>
      <c r="X148" s="426"/>
      <c r="Y148" s="426"/>
      <c r="Z148" s="426"/>
      <c r="AA148" s="426"/>
      <c r="AB148" s="426"/>
      <c r="AC148" s="426"/>
      <c r="AD148" s="426"/>
      <c r="AE148" s="426"/>
      <c r="AF148" s="426"/>
      <c r="AG148" s="326"/>
      <c r="AH148" s="326"/>
      <c r="AI148" s="424"/>
      <c r="AJ148" s="424"/>
      <c r="AK148" s="424"/>
      <c r="AL148" s="424"/>
      <c r="AM148" s="424"/>
      <c r="AN148" s="424"/>
      <c r="AO148" s="425"/>
      <c r="AP148" s="425"/>
      <c r="AQ148" s="425"/>
      <c r="AR148" s="425"/>
      <c r="AS148" s="425"/>
      <c r="AT148" s="425"/>
      <c r="AU148" s="425"/>
      <c r="AV148" s="425"/>
      <c r="AW148" s="425"/>
      <c r="AX148" s="425"/>
      <c r="AY148" s="425"/>
      <c r="AZ148" s="425"/>
      <c r="BA148" s="425"/>
      <c r="BB148" s="425"/>
      <c r="BC148" s="425"/>
      <c r="BD148" s="425"/>
      <c r="BE148" s="425"/>
      <c r="BF148" s="425"/>
      <c r="BG148" s="425"/>
      <c r="BH148" s="425"/>
      <c r="BI148" s="425"/>
      <c r="BJ148" s="425"/>
      <c r="BK148" s="425"/>
      <c r="BL148" s="425"/>
      <c r="BM148" s="425"/>
      <c r="BN148" s="425"/>
    </row>
    <row r="149" spans="1:66" ht="15.75" customHeight="1" x14ac:dyDescent="0.2">
      <c r="A149" s="424"/>
      <c r="B149" s="424"/>
      <c r="C149" s="424"/>
      <c r="D149" s="424"/>
      <c r="E149" s="424"/>
      <c r="F149" s="425"/>
      <c r="G149" s="425"/>
      <c r="H149" s="424"/>
      <c r="I149" s="424"/>
      <c r="J149" s="425"/>
      <c r="K149" s="425"/>
      <c r="L149" s="425"/>
      <c r="M149" s="425"/>
      <c r="N149" s="425"/>
      <c r="O149" s="425"/>
      <c r="P149" s="425"/>
      <c r="Q149" s="424"/>
      <c r="R149" s="426"/>
      <c r="S149" s="426"/>
      <c r="T149" s="426"/>
      <c r="U149" s="426"/>
      <c r="V149" s="326"/>
      <c r="W149" s="326"/>
      <c r="X149" s="426"/>
      <c r="Y149" s="426"/>
      <c r="Z149" s="426"/>
      <c r="AA149" s="426"/>
      <c r="AB149" s="426"/>
      <c r="AC149" s="426"/>
      <c r="AD149" s="426"/>
      <c r="AE149" s="426"/>
      <c r="AF149" s="426"/>
      <c r="AG149" s="326"/>
      <c r="AH149" s="326"/>
      <c r="AI149" s="424"/>
      <c r="AJ149" s="424"/>
      <c r="AK149" s="424"/>
      <c r="AL149" s="424"/>
      <c r="AM149" s="424"/>
      <c r="AN149" s="424"/>
      <c r="AO149" s="425"/>
      <c r="AP149" s="425"/>
      <c r="AQ149" s="425"/>
      <c r="AR149" s="425"/>
      <c r="AS149" s="425"/>
      <c r="AT149" s="425"/>
      <c r="AU149" s="425"/>
      <c r="AV149" s="425"/>
      <c r="AW149" s="425"/>
      <c r="AX149" s="425"/>
      <c r="AY149" s="425"/>
      <c r="AZ149" s="425"/>
      <c r="BA149" s="425"/>
      <c r="BB149" s="425"/>
      <c r="BC149" s="425"/>
      <c r="BD149" s="425"/>
      <c r="BE149" s="425"/>
      <c r="BF149" s="425"/>
      <c r="BG149" s="425"/>
      <c r="BH149" s="425"/>
      <c r="BI149" s="425"/>
      <c r="BJ149" s="425"/>
      <c r="BK149" s="425"/>
      <c r="BL149" s="425"/>
      <c r="BM149" s="425"/>
      <c r="BN149" s="425"/>
    </row>
    <row r="150" spans="1:66" ht="15.75" customHeight="1" x14ac:dyDescent="0.2">
      <c r="A150" s="424"/>
      <c r="B150" s="424"/>
      <c r="C150" s="424"/>
      <c r="D150" s="424"/>
      <c r="E150" s="424"/>
      <c r="F150" s="425"/>
      <c r="G150" s="425"/>
      <c r="H150" s="424"/>
      <c r="I150" s="424"/>
      <c r="J150" s="425"/>
      <c r="K150" s="425"/>
      <c r="L150" s="425"/>
      <c r="M150" s="425"/>
      <c r="N150" s="425"/>
      <c r="O150" s="425"/>
      <c r="P150" s="425"/>
      <c r="Q150" s="424"/>
      <c r="R150" s="426"/>
      <c r="S150" s="426"/>
      <c r="T150" s="426"/>
      <c r="U150" s="426"/>
      <c r="V150" s="326"/>
      <c r="W150" s="326"/>
      <c r="X150" s="426"/>
      <c r="Y150" s="426"/>
      <c r="Z150" s="426"/>
      <c r="AA150" s="426"/>
      <c r="AB150" s="426"/>
      <c r="AC150" s="426"/>
      <c r="AD150" s="426"/>
      <c r="AE150" s="426"/>
      <c r="AF150" s="426"/>
      <c r="AG150" s="326"/>
      <c r="AH150" s="326"/>
      <c r="AI150" s="424"/>
      <c r="AJ150" s="424"/>
      <c r="AK150" s="424"/>
      <c r="AL150" s="424"/>
      <c r="AM150" s="424"/>
      <c r="AN150" s="424"/>
      <c r="AO150" s="425"/>
      <c r="AP150" s="425"/>
      <c r="AQ150" s="425"/>
      <c r="AR150" s="425"/>
      <c r="AS150" s="425"/>
      <c r="AT150" s="425"/>
      <c r="AU150" s="425"/>
      <c r="AV150" s="425"/>
      <c r="AW150" s="425"/>
      <c r="AX150" s="425"/>
      <c r="AY150" s="425"/>
      <c r="AZ150" s="425"/>
      <c r="BA150" s="425"/>
      <c r="BB150" s="425"/>
      <c r="BC150" s="425"/>
      <c r="BD150" s="425"/>
      <c r="BE150" s="425"/>
      <c r="BF150" s="425"/>
      <c r="BG150" s="425"/>
      <c r="BH150" s="425"/>
      <c r="BI150" s="425"/>
      <c r="BJ150" s="425"/>
      <c r="BK150" s="425"/>
      <c r="BL150" s="425"/>
      <c r="BM150" s="425"/>
      <c r="BN150" s="425"/>
    </row>
    <row r="151" spans="1:66" ht="15.75" customHeight="1" x14ac:dyDescent="0.2">
      <c r="A151" s="424"/>
      <c r="B151" s="424"/>
      <c r="C151" s="424"/>
      <c r="D151" s="424"/>
      <c r="E151" s="424"/>
      <c r="F151" s="425"/>
      <c r="G151" s="425"/>
      <c r="H151" s="424"/>
      <c r="I151" s="424"/>
      <c r="J151" s="425"/>
      <c r="K151" s="425"/>
      <c r="L151" s="425"/>
      <c r="M151" s="425"/>
      <c r="N151" s="425"/>
      <c r="O151" s="425"/>
      <c r="P151" s="425"/>
      <c r="Q151" s="424"/>
      <c r="R151" s="426"/>
      <c r="S151" s="426"/>
      <c r="T151" s="426"/>
      <c r="U151" s="426"/>
      <c r="V151" s="326"/>
      <c r="W151" s="326"/>
      <c r="X151" s="426"/>
      <c r="Y151" s="426"/>
      <c r="Z151" s="426"/>
      <c r="AA151" s="426"/>
      <c r="AB151" s="426"/>
      <c r="AC151" s="426"/>
      <c r="AD151" s="426"/>
      <c r="AE151" s="426"/>
      <c r="AF151" s="426"/>
      <c r="AG151" s="326"/>
      <c r="AH151" s="326"/>
      <c r="AI151" s="424"/>
      <c r="AJ151" s="424"/>
      <c r="AK151" s="424"/>
      <c r="AL151" s="424"/>
      <c r="AM151" s="424"/>
      <c r="AN151" s="424"/>
      <c r="AO151" s="425"/>
      <c r="AP151" s="425"/>
      <c r="AQ151" s="425"/>
      <c r="AR151" s="425"/>
      <c r="AS151" s="425"/>
      <c r="AT151" s="425"/>
      <c r="AU151" s="425"/>
      <c r="AV151" s="425"/>
      <c r="AW151" s="425"/>
      <c r="AX151" s="425"/>
      <c r="AY151" s="425"/>
      <c r="AZ151" s="425"/>
      <c r="BA151" s="425"/>
      <c r="BB151" s="425"/>
      <c r="BC151" s="425"/>
      <c r="BD151" s="425"/>
      <c r="BE151" s="425"/>
      <c r="BF151" s="425"/>
      <c r="BG151" s="425"/>
      <c r="BH151" s="425"/>
      <c r="BI151" s="425"/>
      <c r="BJ151" s="425"/>
      <c r="BK151" s="425"/>
      <c r="BL151" s="425"/>
      <c r="BM151" s="425"/>
      <c r="BN151" s="425"/>
    </row>
    <row r="152" spans="1:66" ht="15.75" customHeight="1" x14ac:dyDescent="0.2">
      <c r="A152" s="424"/>
      <c r="B152" s="424"/>
      <c r="C152" s="424"/>
      <c r="D152" s="424"/>
      <c r="E152" s="424"/>
      <c r="F152" s="425"/>
      <c r="G152" s="425"/>
      <c r="H152" s="424"/>
      <c r="I152" s="424"/>
      <c r="J152" s="425"/>
      <c r="K152" s="425"/>
      <c r="L152" s="425"/>
      <c r="M152" s="425"/>
      <c r="N152" s="425"/>
      <c r="O152" s="425"/>
      <c r="P152" s="425"/>
      <c r="Q152" s="424"/>
      <c r="R152" s="426"/>
      <c r="S152" s="426"/>
      <c r="T152" s="426"/>
      <c r="U152" s="426"/>
      <c r="V152" s="326"/>
      <c r="W152" s="326"/>
      <c r="X152" s="426"/>
      <c r="Y152" s="426"/>
      <c r="Z152" s="426"/>
      <c r="AA152" s="426"/>
      <c r="AB152" s="426"/>
      <c r="AC152" s="426"/>
      <c r="AD152" s="426"/>
      <c r="AE152" s="426"/>
      <c r="AF152" s="426"/>
      <c r="AG152" s="326"/>
      <c r="AH152" s="326"/>
      <c r="AI152" s="424"/>
      <c r="AJ152" s="424"/>
      <c r="AK152" s="424"/>
      <c r="AL152" s="424"/>
      <c r="AM152" s="424"/>
      <c r="AN152" s="424"/>
      <c r="AO152" s="425"/>
      <c r="AP152" s="425"/>
      <c r="AQ152" s="425"/>
      <c r="AR152" s="425"/>
      <c r="AS152" s="425"/>
      <c r="AT152" s="425"/>
      <c r="AU152" s="425"/>
      <c r="AV152" s="425"/>
      <c r="AW152" s="425"/>
      <c r="AX152" s="425"/>
      <c r="AY152" s="425"/>
      <c r="AZ152" s="425"/>
      <c r="BA152" s="425"/>
      <c r="BB152" s="425"/>
      <c r="BC152" s="425"/>
      <c r="BD152" s="425"/>
      <c r="BE152" s="425"/>
      <c r="BF152" s="425"/>
      <c r="BG152" s="425"/>
      <c r="BH152" s="425"/>
      <c r="BI152" s="425"/>
      <c r="BJ152" s="425"/>
      <c r="BK152" s="425"/>
      <c r="BL152" s="425"/>
      <c r="BM152" s="425"/>
      <c r="BN152" s="425"/>
    </row>
    <row r="153" spans="1:66" ht="15.75" customHeight="1" x14ac:dyDescent="0.2">
      <c r="A153" s="424"/>
      <c r="B153" s="424"/>
      <c r="C153" s="424"/>
      <c r="D153" s="424"/>
      <c r="E153" s="424"/>
      <c r="F153" s="425"/>
      <c r="G153" s="425"/>
      <c r="H153" s="424"/>
      <c r="I153" s="424"/>
      <c r="J153" s="425"/>
      <c r="K153" s="425"/>
      <c r="L153" s="425"/>
      <c r="M153" s="425"/>
      <c r="N153" s="425"/>
      <c r="O153" s="425"/>
      <c r="P153" s="425"/>
      <c r="Q153" s="424"/>
      <c r="R153" s="426"/>
      <c r="S153" s="426"/>
      <c r="T153" s="426"/>
      <c r="U153" s="426"/>
      <c r="V153" s="326"/>
      <c r="W153" s="326"/>
      <c r="X153" s="426"/>
      <c r="Y153" s="426"/>
      <c r="Z153" s="426"/>
      <c r="AA153" s="426"/>
      <c r="AB153" s="426"/>
      <c r="AC153" s="426"/>
      <c r="AD153" s="426"/>
      <c r="AE153" s="426"/>
      <c r="AF153" s="426"/>
      <c r="AG153" s="326"/>
      <c r="AH153" s="326"/>
      <c r="AI153" s="424"/>
      <c r="AJ153" s="424"/>
      <c r="AK153" s="424"/>
      <c r="AL153" s="424"/>
      <c r="AM153" s="424"/>
      <c r="AN153" s="424"/>
      <c r="AO153" s="425"/>
      <c r="AP153" s="425"/>
      <c r="AQ153" s="425"/>
      <c r="AR153" s="425"/>
      <c r="AS153" s="425"/>
      <c r="AT153" s="425"/>
      <c r="AU153" s="425"/>
      <c r="AV153" s="425"/>
      <c r="AW153" s="425"/>
      <c r="AX153" s="425"/>
      <c r="AY153" s="425"/>
      <c r="AZ153" s="425"/>
      <c r="BA153" s="425"/>
      <c r="BB153" s="425"/>
      <c r="BC153" s="425"/>
      <c r="BD153" s="425"/>
      <c r="BE153" s="425"/>
      <c r="BF153" s="425"/>
      <c r="BG153" s="425"/>
      <c r="BH153" s="425"/>
      <c r="BI153" s="425"/>
      <c r="BJ153" s="425"/>
      <c r="BK153" s="425"/>
      <c r="BL153" s="425"/>
      <c r="BM153" s="425"/>
      <c r="BN153" s="425"/>
    </row>
    <row r="154" spans="1:66" ht="15.75" customHeight="1" x14ac:dyDescent="0.2">
      <c r="A154" s="424"/>
      <c r="B154" s="424"/>
      <c r="C154" s="424"/>
      <c r="D154" s="424"/>
      <c r="E154" s="424"/>
      <c r="F154" s="425"/>
      <c r="G154" s="425"/>
      <c r="H154" s="424"/>
      <c r="I154" s="424"/>
      <c r="J154" s="425"/>
      <c r="K154" s="425"/>
      <c r="L154" s="425"/>
      <c r="M154" s="425"/>
      <c r="N154" s="425"/>
      <c r="O154" s="425"/>
      <c r="P154" s="425"/>
      <c r="Q154" s="424"/>
      <c r="R154" s="426"/>
      <c r="S154" s="426"/>
      <c r="T154" s="426"/>
      <c r="U154" s="426"/>
      <c r="V154" s="326"/>
      <c r="W154" s="326"/>
      <c r="X154" s="426"/>
      <c r="Y154" s="426"/>
      <c r="Z154" s="426"/>
      <c r="AA154" s="426"/>
      <c r="AB154" s="426"/>
      <c r="AC154" s="426"/>
      <c r="AD154" s="426"/>
      <c r="AE154" s="426"/>
      <c r="AF154" s="426"/>
      <c r="AG154" s="326"/>
      <c r="AH154" s="326"/>
      <c r="AI154" s="424"/>
      <c r="AJ154" s="424"/>
      <c r="AK154" s="424"/>
      <c r="AL154" s="424"/>
      <c r="AM154" s="424"/>
      <c r="AN154" s="424"/>
      <c r="AO154" s="425"/>
      <c r="AP154" s="425"/>
      <c r="AQ154" s="425"/>
      <c r="AR154" s="425"/>
      <c r="AS154" s="425"/>
      <c r="AT154" s="425"/>
      <c r="AU154" s="425"/>
      <c r="AV154" s="425"/>
      <c r="AW154" s="425"/>
      <c r="AX154" s="425"/>
      <c r="AY154" s="425"/>
      <c r="AZ154" s="425"/>
      <c r="BA154" s="425"/>
      <c r="BB154" s="425"/>
      <c r="BC154" s="425"/>
      <c r="BD154" s="425"/>
      <c r="BE154" s="425"/>
      <c r="BF154" s="425"/>
      <c r="BG154" s="425"/>
      <c r="BH154" s="425"/>
      <c r="BI154" s="425"/>
      <c r="BJ154" s="425"/>
      <c r="BK154" s="425"/>
      <c r="BL154" s="425"/>
      <c r="BM154" s="425"/>
      <c r="BN154" s="425"/>
    </row>
    <row r="155" spans="1:66" ht="15.75" customHeight="1" x14ac:dyDescent="0.2">
      <c r="A155" s="424"/>
      <c r="B155" s="424"/>
      <c r="C155" s="424"/>
      <c r="D155" s="424"/>
      <c r="E155" s="424"/>
      <c r="F155" s="425"/>
      <c r="G155" s="425"/>
      <c r="H155" s="424"/>
      <c r="I155" s="424"/>
      <c r="J155" s="425"/>
      <c r="K155" s="425"/>
      <c r="L155" s="425"/>
      <c r="M155" s="425"/>
      <c r="N155" s="425"/>
      <c r="O155" s="425"/>
      <c r="P155" s="425"/>
      <c r="Q155" s="424"/>
      <c r="R155" s="426"/>
      <c r="S155" s="426"/>
      <c r="T155" s="426"/>
      <c r="U155" s="426"/>
      <c r="V155" s="326"/>
      <c r="W155" s="326"/>
      <c r="X155" s="426"/>
      <c r="Y155" s="426"/>
      <c r="Z155" s="426"/>
      <c r="AA155" s="426"/>
      <c r="AB155" s="426"/>
      <c r="AC155" s="426"/>
      <c r="AD155" s="426"/>
      <c r="AE155" s="426"/>
      <c r="AF155" s="426"/>
      <c r="AG155" s="326"/>
      <c r="AH155" s="326"/>
      <c r="AI155" s="424"/>
      <c r="AJ155" s="424"/>
      <c r="AK155" s="424"/>
      <c r="AL155" s="424"/>
      <c r="AM155" s="424"/>
      <c r="AN155" s="424"/>
      <c r="AO155" s="425"/>
      <c r="AP155" s="425"/>
      <c r="AQ155" s="425"/>
      <c r="AR155" s="425"/>
      <c r="AS155" s="425"/>
      <c r="AT155" s="425"/>
      <c r="AU155" s="425"/>
      <c r="AV155" s="425"/>
      <c r="AW155" s="425"/>
      <c r="AX155" s="425"/>
      <c r="AY155" s="425"/>
      <c r="AZ155" s="425"/>
      <c r="BA155" s="425"/>
      <c r="BB155" s="425"/>
      <c r="BC155" s="425"/>
      <c r="BD155" s="425"/>
      <c r="BE155" s="425"/>
      <c r="BF155" s="425"/>
      <c r="BG155" s="425"/>
      <c r="BH155" s="425"/>
      <c r="BI155" s="425"/>
      <c r="BJ155" s="425"/>
      <c r="BK155" s="425"/>
      <c r="BL155" s="425"/>
      <c r="BM155" s="425"/>
      <c r="BN155" s="425"/>
    </row>
    <row r="156" spans="1:66" ht="15.75" customHeight="1" x14ac:dyDescent="0.2">
      <c r="A156" s="424"/>
      <c r="B156" s="424"/>
      <c r="C156" s="424"/>
      <c r="D156" s="424"/>
      <c r="E156" s="424"/>
      <c r="F156" s="425"/>
      <c r="G156" s="425"/>
      <c r="H156" s="424"/>
      <c r="I156" s="424"/>
      <c r="J156" s="425"/>
      <c r="K156" s="425"/>
      <c r="L156" s="425"/>
      <c r="M156" s="425"/>
      <c r="N156" s="425"/>
      <c r="O156" s="425"/>
      <c r="P156" s="425"/>
      <c r="Q156" s="424"/>
      <c r="R156" s="426"/>
      <c r="S156" s="426"/>
      <c r="T156" s="426"/>
      <c r="U156" s="426"/>
      <c r="V156" s="326"/>
      <c r="W156" s="326"/>
      <c r="X156" s="426"/>
      <c r="Y156" s="426"/>
      <c r="Z156" s="426"/>
      <c r="AA156" s="426"/>
      <c r="AB156" s="426"/>
      <c r="AC156" s="426"/>
      <c r="AD156" s="426"/>
      <c r="AE156" s="426"/>
      <c r="AF156" s="426"/>
      <c r="AG156" s="326"/>
      <c r="AH156" s="326"/>
      <c r="AI156" s="424"/>
      <c r="AJ156" s="424"/>
      <c r="AK156" s="424"/>
      <c r="AL156" s="424"/>
      <c r="AM156" s="424"/>
      <c r="AN156" s="424"/>
      <c r="AO156" s="425"/>
      <c r="AP156" s="425"/>
      <c r="AQ156" s="425"/>
      <c r="AR156" s="425"/>
      <c r="AS156" s="425"/>
      <c r="AT156" s="425"/>
      <c r="AU156" s="425"/>
      <c r="AV156" s="425"/>
      <c r="AW156" s="425"/>
      <c r="AX156" s="425"/>
      <c r="AY156" s="425"/>
      <c r="AZ156" s="425"/>
      <c r="BA156" s="425"/>
      <c r="BB156" s="425"/>
      <c r="BC156" s="425"/>
      <c r="BD156" s="425"/>
      <c r="BE156" s="425"/>
      <c r="BF156" s="425"/>
      <c r="BG156" s="425"/>
      <c r="BH156" s="425"/>
      <c r="BI156" s="425"/>
      <c r="BJ156" s="425"/>
      <c r="BK156" s="425"/>
      <c r="BL156" s="425"/>
      <c r="BM156" s="425"/>
      <c r="BN156" s="425"/>
    </row>
    <row r="157" spans="1:66" ht="15.75" customHeight="1" x14ac:dyDescent="0.2">
      <c r="A157" s="424"/>
      <c r="B157" s="424"/>
      <c r="C157" s="424"/>
      <c r="D157" s="424"/>
      <c r="E157" s="424"/>
      <c r="F157" s="425"/>
      <c r="G157" s="425"/>
      <c r="H157" s="424"/>
      <c r="I157" s="424"/>
      <c r="J157" s="425"/>
      <c r="K157" s="425"/>
      <c r="L157" s="425"/>
      <c r="M157" s="425"/>
      <c r="N157" s="425"/>
      <c r="O157" s="425"/>
      <c r="P157" s="425"/>
      <c r="Q157" s="424"/>
      <c r="R157" s="426"/>
      <c r="S157" s="426"/>
      <c r="T157" s="426"/>
      <c r="U157" s="426"/>
      <c r="V157" s="326"/>
      <c r="W157" s="326"/>
      <c r="X157" s="426"/>
      <c r="Y157" s="426"/>
      <c r="Z157" s="426"/>
      <c r="AA157" s="426"/>
      <c r="AB157" s="426"/>
      <c r="AC157" s="426"/>
      <c r="AD157" s="426"/>
      <c r="AE157" s="426"/>
      <c r="AF157" s="426"/>
      <c r="AG157" s="326"/>
      <c r="AH157" s="326"/>
      <c r="AI157" s="424"/>
      <c r="AJ157" s="424"/>
      <c r="AK157" s="424"/>
      <c r="AL157" s="424"/>
      <c r="AM157" s="424"/>
      <c r="AN157" s="424"/>
      <c r="AO157" s="425"/>
      <c r="AP157" s="425"/>
      <c r="AQ157" s="425"/>
      <c r="AR157" s="425"/>
      <c r="AS157" s="425"/>
      <c r="AT157" s="425"/>
      <c r="AU157" s="425"/>
      <c r="AV157" s="425"/>
      <c r="AW157" s="425"/>
      <c r="AX157" s="425"/>
      <c r="AY157" s="425"/>
      <c r="AZ157" s="425"/>
      <c r="BA157" s="425"/>
      <c r="BB157" s="425"/>
      <c r="BC157" s="425"/>
      <c r="BD157" s="425"/>
      <c r="BE157" s="425"/>
      <c r="BF157" s="425"/>
      <c r="BG157" s="425"/>
      <c r="BH157" s="425"/>
      <c r="BI157" s="425"/>
      <c r="BJ157" s="425"/>
      <c r="BK157" s="425"/>
      <c r="BL157" s="425"/>
      <c r="BM157" s="425"/>
      <c r="BN157" s="425"/>
    </row>
    <row r="158" spans="1:66" ht="15.75" customHeight="1" x14ac:dyDescent="0.2">
      <c r="A158" s="424"/>
      <c r="B158" s="424"/>
      <c r="C158" s="424"/>
      <c r="D158" s="424"/>
      <c r="E158" s="424"/>
      <c r="F158" s="425"/>
      <c r="G158" s="425"/>
      <c r="H158" s="424"/>
      <c r="I158" s="424"/>
      <c r="J158" s="425"/>
      <c r="K158" s="425"/>
      <c r="L158" s="425"/>
      <c r="M158" s="425"/>
      <c r="N158" s="425"/>
      <c r="O158" s="425"/>
      <c r="P158" s="425"/>
      <c r="Q158" s="424"/>
      <c r="R158" s="426"/>
      <c r="S158" s="426"/>
      <c r="T158" s="426"/>
      <c r="U158" s="426"/>
      <c r="V158" s="326"/>
      <c r="W158" s="326"/>
      <c r="X158" s="426"/>
      <c r="Y158" s="426"/>
      <c r="Z158" s="426"/>
      <c r="AA158" s="426"/>
      <c r="AB158" s="426"/>
      <c r="AC158" s="426"/>
      <c r="AD158" s="426"/>
      <c r="AE158" s="426"/>
      <c r="AF158" s="426"/>
      <c r="AG158" s="326"/>
      <c r="AH158" s="326"/>
      <c r="AI158" s="424"/>
      <c r="AJ158" s="424"/>
      <c r="AK158" s="424"/>
      <c r="AL158" s="424"/>
      <c r="AM158" s="424"/>
      <c r="AN158" s="424"/>
      <c r="AO158" s="425"/>
      <c r="AP158" s="425"/>
      <c r="AQ158" s="425"/>
      <c r="AR158" s="425"/>
      <c r="AS158" s="425"/>
      <c r="AT158" s="425"/>
      <c r="AU158" s="425"/>
      <c r="AV158" s="425"/>
      <c r="AW158" s="425"/>
      <c r="AX158" s="425"/>
      <c r="AY158" s="425"/>
      <c r="AZ158" s="425"/>
      <c r="BA158" s="425"/>
      <c r="BB158" s="425"/>
      <c r="BC158" s="425"/>
      <c r="BD158" s="425"/>
      <c r="BE158" s="425"/>
      <c r="BF158" s="425"/>
      <c r="BG158" s="425"/>
      <c r="BH158" s="425"/>
      <c r="BI158" s="425"/>
      <c r="BJ158" s="425"/>
      <c r="BK158" s="425"/>
      <c r="BL158" s="425"/>
      <c r="BM158" s="425"/>
      <c r="BN158" s="425"/>
    </row>
    <row r="159" spans="1:66" ht="15.75" customHeight="1" x14ac:dyDescent="0.2">
      <c r="A159" s="424"/>
      <c r="B159" s="424"/>
      <c r="C159" s="424"/>
      <c r="D159" s="424"/>
      <c r="E159" s="424"/>
      <c r="F159" s="425"/>
      <c r="G159" s="425"/>
      <c r="H159" s="424"/>
      <c r="I159" s="424"/>
      <c r="J159" s="425"/>
      <c r="K159" s="425"/>
      <c r="L159" s="425"/>
      <c r="M159" s="425"/>
      <c r="N159" s="425"/>
      <c r="O159" s="425"/>
      <c r="P159" s="425"/>
      <c r="Q159" s="424"/>
      <c r="R159" s="426"/>
      <c r="S159" s="426"/>
      <c r="T159" s="426"/>
      <c r="U159" s="426"/>
      <c r="V159" s="326"/>
      <c r="W159" s="326"/>
      <c r="X159" s="426"/>
      <c r="Y159" s="426"/>
      <c r="Z159" s="426"/>
      <c r="AA159" s="426"/>
      <c r="AB159" s="426"/>
      <c r="AC159" s="426"/>
      <c r="AD159" s="426"/>
      <c r="AE159" s="426"/>
      <c r="AF159" s="426"/>
      <c r="AG159" s="326"/>
      <c r="AH159" s="326"/>
      <c r="AI159" s="424"/>
      <c r="AJ159" s="424"/>
      <c r="AK159" s="424"/>
      <c r="AL159" s="424"/>
      <c r="AM159" s="424"/>
      <c r="AN159" s="424"/>
      <c r="AO159" s="425"/>
      <c r="AP159" s="425"/>
      <c r="AQ159" s="425"/>
      <c r="AR159" s="425"/>
      <c r="AS159" s="425"/>
      <c r="AT159" s="425"/>
      <c r="AU159" s="425"/>
      <c r="AV159" s="425"/>
      <c r="AW159" s="425"/>
      <c r="AX159" s="425"/>
      <c r="AY159" s="425"/>
      <c r="AZ159" s="425"/>
      <c r="BA159" s="425"/>
      <c r="BB159" s="425"/>
      <c r="BC159" s="425"/>
      <c r="BD159" s="425"/>
      <c r="BE159" s="425"/>
      <c r="BF159" s="425"/>
      <c r="BG159" s="425"/>
      <c r="BH159" s="425"/>
      <c r="BI159" s="425"/>
      <c r="BJ159" s="425"/>
      <c r="BK159" s="425"/>
      <c r="BL159" s="425"/>
      <c r="BM159" s="425"/>
      <c r="BN159" s="425"/>
    </row>
    <row r="160" spans="1:66" ht="15.75" customHeight="1" x14ac:dyDescent="0.2">
      <c r="A160" s="424"/>
      <c r="B160" s="424"/>
      <c r="C160" s="424"/>
      <c r="D160" s="424"/>
      <c r="E160" s="424"/>
      <c r="F160" s="425"/>
      <c r="G160" s="425"/>
      <c r="H160" s="424"/>
      <c r="I160" s="424"/>
      <c r="J160" s="425"/>
      <c r="K160" s="425"/>
      <c r="L160" s="425"/>
      <c r="M160" s="425"/>
      <c r="N160" s="425"/>
      <c r="O160" s="425"/>
      <c r="P160" s="425"/>
      <c r="Q160" s="424"/>
      <c r="R160" s="426"/>
      <c r="S160" s="426"/>
      <c r="T160" s="426"/>
      <c r="U160" s="426"/>
      <c r="V160" s="326"/>
      <c r="W160" s="326"/>
      <c r="X160" s="426"/>
      <c r="Y160" s="426"/>
      <c r="Z160" s="426"/>
      <c r="AA160" s="426"/>
      <c r="AB160" s="426"/>
      <c r="AC160" s="426"/>
      <c r="AD160" s="426"/>
      <c r="AE160" s="426"/>
      <c r="AF160" s="426"/>
      <c r="AG160" s="326"/>
      <c r="AH160" s="326"/>
      <c r="AI160" s="424"/>
      <c r="AJ160" s="424"/>
      <c r="AK160" s="424"/>
      <c r="AL160" s="424"/>
      <c r="AM160" s="424"/>
      <c r="AN160" s="424"/>
      <c r="AO160" s="425"/>
      <c r="AP160" s="425"/>
      <c r="AQ160" s="425"/>
      <c r="AR160" s="425"/>
      <c r="AS160" s="425"/>
      <c r="AT160" s="425"/>
      <c r="AU160" s="425"/>
      <c r="AV160" s="425"/>
      <c r="AW160" s="425"/>
      <c r="AX160" s="425"/>
      <c r="AY160" s="425"/>
      <c r="AZ160" s="425"/>
      <c r="BA160" s="425"/>
      <c r="BB160" s="425"/>
      <c r="BC160" s="425"/>
      <c r="BD160" s="425"/>
      <c r="BE160" s="425"/>
      <c r="BF160" s="425"/>
      <c r="BG160" s="425"/>
      <c r="BH160" s="425"/>
      <c r="BI160" s="425"/>
      <c r="BJ160" s="425"/>
      <c r="BK160" s="425"/>
      <c r="BL160" s="425"/>
      <c r="BM160" s="425"/>
      <c r="BN160" s="425"/>
    </row>
    <row r="161" spans="1:66" ht="15.75" customHeight="1" x14ac:dyDescent="0.2">
      <c r="A161" s="424"/>
      <c r="B161" s="424"/>
      <c r="C161" s="424"/>
      <c r="D161" s="424"/>
      <c r="E161" s="424"/>
      <c r="F161" s="425"/>
      <c r="G161" s="425"/>
      <c r="H161" s="424"/>
      <c r="I161" s="424"/>
      <c r="J161" s="425"/>
      <c r="K161" s="425"/>
      <c r="L161" s="425"/>
      <c r="M161" s="425"/>
      <c r="N161" s="425"/>
      <c r="O161" s="425"/>
      <c r="P161" s="425"/>
      <c r="Q161" s="424"/>
      <c r="R161" s="426"/>
      <c r="S161" s="426"/>
      <c r="T161" s="426"/>
      <c r="U161" s="426"/>
      <c r="V161" s="326"/>
      <c r="W161" s="326"/>
      <c r="X161" s="426"/>
      <c r="Y161" s="426"/>
      <c r="Z161" s="426"/>
      <c r="AA161" s="426"/>
      <c r="AB161" s="426"/>
      <c r="AC161" s="426"/>
      <c r="AD161" s="426"/>
      <c r="AE161" s="426"/>
      <c r="AF161" s="426"/>
      <c r="AG161" s="326"/>
      <c r="AH161" s="326"/>
      <c r="AI161" s="424"/>
      <c r="AJ161" s="424"/>
      <c r="AK161" s="424"/>
      <c r="AL161" s="424"/>
      <c r="AM161" s="424"/>
      <c r="AN161" s="424"/>
      <c r="AO161" s="425"/>
      <c r="AP161" s="425"/>
      <c r="AQ161" s="425"/>
      <c r="AR161" s="425"/>
      <c r="AS161" s="425"/>
      <c r="AT161" s="425"/>
      <c r="AU161" s="425"/>
      <c r="AV161" s="425"/>
      <c r="AW161" s="425"/>
      <c r="AX161" s="425"/>
      <c r="AY161" s="425"/>
      <c r="AZ161" s="425"/>
      <c r="BA161" s="425"/>
      <c r="BB161" s="425"/>
      <c r="BC161" s="425"/>
      <c r="BD161" s="425"/>
      <c r="BE161" s="425"/>
      <c r="BF161" s="425"/>
      <c r="BG161" s="425"/>
      <c r="BH161" s="425"/>
      <c r="BI161" s="425"/>
      <c r="BJ161" s="425"/>
      <c r="BK161" s="425"/>
      <c r="BL161" s="425"/>
      <c r="BM161" s="425"/>
      <c r="BN161" s="425"/>
    </row>
    <row r="162" spans="1:66" ht="15.75" customHeight="1" x14ac:dyDescent="0.2">
      <c r="A162" s="424"/>
      <c r="B162" s="424"/>
      <c r="C162" s="424"/>
      <c r="D162" s="424"/>
      <c r="E162" s="424"/>
      <c r="F162" s="425"/>
      <c r="G162" s="425"/>
      <c r="H162" s="424"/>
      <c r="I162" s="424"/>
      <c r="J162" s="425"/>
      <c r="K162" s="425"/>
      <c r="L162" s="425"/>
      <c r="M162" s="425"/>
      <c r="N162" s="425"/>
      <c r="O162" s="425"/>
      <c r="P162" s="425"/>
      <c r="Q162" s="424"/>
      <c r="R162" s="426"/>
      <c r="S162" s="426"/>
      <c r="T162" s="426"/>
      <c r="U162" s="426"/>
      <c r="V162" s="326"/>
      <c r="W162" s="326"/>
      <c r="X162" s="426"/>
      <c r="Y162" s="426"/>
      <c r="Z162" s="426"/>
      <c r="AA162" s="426"/>
      <c r="AB162" s="426"/>
      <c r="AC162" s="426"/>
      <c r="AD162" s="426"/>
      <c r="AE162" s="426"/>
      <c r="AF162" s="426"/>
      <c r="AG162" s="326"/>
      <c r="AH162" s="326"/>
      <c r="AI162" s="424"/>
      <c r="AJ162" s="424"/>
      <c r="AK162" s="424"/>
      <c r="AL162" s="424"/>
      <c r="AM162" s="424"/>
      <c r="AN162" s="424"/>
      <c r="AO162" s="425"/>
      <c r="AP162" s="425"/>
      <c r="AQ162" s="425"/>
      <c r="AR162" s="425"/>
      <c r="AS162" s="425"/>
      <c r="AT162" s="425"/>
      <c r="AU162" s="425"/>
      <c r="AV162" s="425"/>
      <c r="AW162" s="425"/>
      <c r="AX162" s="425"/>
      <c r="AY162" s="425"/>
      <c r="AZ162" s="425"/>
      <c r="BA162" s="425"/>
      <c r="BB162" s="425"/>
      <c r="BC162" s="425"/>
      <c r="BD162" s="425"/>
      <c r="BE162" s="425"/>
      <c r="BF162" s="425"/>
      <c r="BG162" s="425"/>
      <c r="BH162" s="425"/>
      <c r="BI162" s="425"/>
      <c r="BJ162" s="425"/>
      <c r="BK162" s="425"/>
      <c r="BL162" s="425"/>
      <c r="BM162" s="425"/>
      <c r="BN162" s="425"/>
    </row>
    <row r="163" spans="1:66" ht="15.75" customHeight="1" x14ac:dyDescent="0.2">
      <c r="A163" s="424"/>
      <c r="B163" s="424"/>
      <c r="C163" s="424"/>
      <c r="D163" s="424"/>
      <c r="E163" s="424"/>
      <c r="F163" s="425"/>
      <c r="G163" s="425"/>
      <c r="H163" s="424"/>
      <c r="I163" s="424"/>
      <c r="J163" s="425"/>
      <c r="K163" s="425"/>
      <c r="L163" s="425"/>
      <c r="M163" s="425"/>
      <c r="N163" s="425"/>
      <c r="O163" s="425"/>
      <c r="P163" s="425"/>
      <c r="Q163" s="424"/>
      <c r="R163" s="426"/>
      <c r="S163" s="426"/>
      <c r="T163" s="426"/>
      <c r="U163" s="426"/>
      <c r="V163" s="326"/>
      <c r="W163" s="326"/>
      <c r="X163" s="426"/>
      <c r="Y163" s="426"/>
      <c r="Z163" s="426"/>
      <c r="AA163" s="426"/>
      <c r="AB163" s="426"/>
      <c r="AC163" s="426"/>
      <c r="AD163" s="426"/>
      <c r="AE163" s="426"/>
      <c r="AF163" s="426"/>
      <c r="AG163" s="326"/>
      <c r="AH163" s="326"/>
      <c r="AI163" s="424"/>
      <c r="AJ163" s="424"/>
      <c r="AK163" s="424"/>
      <c r="AL163" s="424"/>
      <c r="AM163" s="424"/>
      <c r="AN163" s="424"/>
      <c r="AO163" s="425"/>
      <c r="AP163" s="425"/>
      <c r="AQ163" s="425"/>
      <c r="AR163" s="425"/>
      <c r="AS163" s="425"/>
      <c r="AT163" s="425"/>
      <c r="AU163" s="425"/>
      <c r="AV163" s="425"/>
      <c r="AW163" s="425"/>
      <c r="AX163" s="425"/>
      <c r="AY163" s="425"/>
      <c r="AZ163" s="425"/>
      <c r="BA163" s="425"/>
      <c r="BB163" s="425"/>
      <c r="BC163" s="425"/>
      <c r="BD163" s="425"/>
      <c r="BE163" s="425"/>
      <c r="BF163" s="425"/>
      <c r="BG163" s="425"/>
      <c r="BH163" s="425"/>
      <c r="BI163" s="425"/>
      <c r="BJ163" s="425"/>
      <c r="BK163" s="425"/>
      <c r="BL163" s="425"/>
      <c r="BM163" s="425"/>
      <c r="BN163" s="425"/>
    </row>
    <row r="164" spans="1:66" ht="15.75" customHeight="1" x14ac:dyDescent="0.2">
      <c r="A164" s="424"/>
      <c r="B164" s="424"/>
      <c r="C164" s="424"/>
      <c r="D164" s="424"/>
      <c r="E164" s="424"/>
      <c r="F164" s="425"/>
      <c r="G164" s="425"/>
      <c r="H164" s="424"/>
      <c r="I164" s="424"/>
      <c r="J164" s="425"/>
      <c r="K164" s="425"/>
      <c r="L164" s="425"/>
      <c r="M164" s="425"/>
      <c r="N164" s="425"/>
      <c r="O164" s="425"/>
      <c r="P164" s="425"/>
      <c r="Q164" s="424"/>
      <c r="R164" s="426"/>
      <c r="S164" s="426"/>
      <c r="T164" s="426"/>
      <c r="U164" s="426"/>
      <c r="V164" s="326"/>
      <c r="W164" s="326"/>
      <c r="X164" s="426"/>
      <c r="Y164" s="426"/>
      <c r="Z164" s="426"/>
      <c r="AA164" s="426"/>
      <c r="AB164" s="426"/>
      <c r="AC164" s="426"/>
      <c r="AD164" s="426"/>
      <c r="AE164" s="426"/>
      <c r="AF164" s="426"/>
      <c r="AG164" s="326"/>
      <c r="AH164" s="326"/>
      <c r="AI164" s="424"/>
      <c r="AJ164" s="424"/>
      <c r="AK164" s="424"/>
      <c r="AL164" s="424"/>
      <c r="AM164" s="424"/>
      <c r="AN164" s="424"/>
      <c r="AO164" s="425"/>
      <c r="AP164" s="425"/>
      <c r="AQ164" s="425"/>
      <c r="AR164" s="425"/>
      <c r="AS164" s="425"/>
      <c r="AT164" s="425"/>
      <c r="AU164" s="425"/>
      <c r="AV164" s="425"/>
      <c r="AW164" s="425"/>
      <c r="AX164" s="425"/>
      <c r="AY164" s="425"/>
      <c r="AZ164" s="425"/>
      <c r="BA164" s="425"/>
      <c r="BB164" s="425"/>
      <c r="BC164" s="425"/>
      <c r="BD164" s="425"/>
      <c r="BE164" s="425"/>
      <c r="BF164" s="425"/>
      <c r="BG164" s="425"/>
      <c r="BH164" s="425"/>
      <c r="BI164" s="425"/>
      <c r="BJ164" s="425"/>
      <c r="BK164" s="425"/>
      <c r="BL164" s="425"/>
      <c r="BM164" s="425"/>
      <c r="BN164" s="425"/>
    </row>
    <row r="165" spans="1:66" ht="15.75" customHeight="1" x14ac:dyDescent="0.2">
      <c r="A165" s="424"/>
      <c r="B165" s="424"/>
      <c r="C165" s="424"/>
      <c r="D165" s="424"/>
      <c r="E165" s="424"/>
      <c r="F165" s="425"/>
      <c r="G165" s="425"/>
      <c r="H165" s="424"/>
      <c r="I165" s="424"/>
      <c r="J165" s="425"/>
      <c r="K165" s="425"/>
      <c r="L165" s="425"/>
      <c r="M165" s="425"/>
      <c r="N165" s="425"/>
      <c r="O165" s="425"/>
      <c r="P165" s="425"/>
      <c r="Q165" s="424"/>
      <c r="R165" s="426"/>
      <c r="S165" s="426"/>
      <c r="T165" s="426"/>
      <c r="U165" s="426"/>
      <c r="V165" s="326"/>
      <c r="W165" s="326"/>
      <c r="X165" s="426"/>
      <c r="Y165" s="426"/>
      <c r="Z165" s="426"/>
      <c r="AA165" s="426"/>
      <c r="AB165" s="426"/>
      <c r="AC165" s="426"/>
      <c r="AD165" s="426"/>
      <c r="AE165" s="426"/>
      <c r="AF165" s="426"/>
      <c r="AG165" s="326"/>
      <c r="AH165" s="326"/>
      <c r="AI165" s="424"/>
      <c r="AJ165" s="424"/>
      <c r="AK165" s="424"/>
      <c r="AL165" s="424"/>
      <c r="AM165" s="424"/>
      <c r="AN165" s="424"/>
      <c r="AO165" s="425"/>
      <c r="AP165" s="425"/>
      <c r="AQ165" s="425"/>
      <c r="AR165" s="425"/>
      <c r="AS165" s="425"/>
      <c r="AT165" s="425"/>
      <c r="AU165" s="425"/>
      <c r="AV165" s="425"/>
      <c r="AW165" s="425"/>
      <c r="AX165" s="425"/>
      <c r="AY165" s="425"/>
      <c r="AZ165" s="425"/>
      <c r="BA165" s="425"/>
      <c r="BB165" s="425"/>
      <c r="BC165" s="425"/>
      <c r="BD165" s="425"/>
      <c r="BE165" s="425"/>
      <c r="BF165" s="425"/>
      <c r="BG165" s="425"/>
      <c r="BH165" s="425"/>
      <c r="BI165" s="425"/>
      <c r="BJ165" s="425"/>
      <c r="BK165" s="425"/>
      <c r="BL165" s="425"/>
      <c r="BM165" s="425"/>
      <c r="BN165" s="425"/>
    </row>
    <row r="166" spans="1:66" ht="15.75" customHeight="1" x14ac:dyDescent="0.2">
      <c r="A166" s="424"/>
      <c r="B166" s="424"/>
      <c r="C166" s="424"/>
      <c r="D166" s="424"/>
      <c r="E166" s="424"/>
      <c r="F166" s="425"/>
      <c r="G166" s="425"/>
      <c r="H166" s="424"/>
      <c r="I166" s="424"/>
      <c r="J166" s="425"/>
      <c r="K166" s="425"/>
      <c r="L166" s="425"/>
      <c r="M166" s="425"/>
      <c r="N166" s="425"/>
      <c r="O166" s="425"/>
      <c r="P166" s="425"/>
      <c r="Q166" s="424"/>
      <c r="R166" s="426"/>
      <c r="S166" s="426"/>
      <c r="T166" s="426"/>
      <c r="U166" s="426"/>
      <c r="V166" s="326"/>
      <c r="W166" s="326"/>
      <c r="X166" s="426"/>
      <c r="Y166" s="426"/>
      <c r="Z166" s="426"/>
      <c r="AA166" s="426"/>
      <c r="AB166" s="426"/>
      <c r="AC166" s="426"/>
      <c r="AD166" s="426"/>
      <c r="AE166" s="426"/>
      <c r="AF166" s="426"/>
      <c r="AG166" s="326"/>
      <c r="AH166" s="326"/>
      <c r="AI166" s="424"/>
      <c r="AJ166" s="424"/>
      <c r="AK166" s="424"/>
      <c r="AL166" s="424"/>
      <c r="AM166" s="424"/>
      <c r="AN166" s="424"/>
      <c r="AO166" s="425"/>
      <c r="AP166" s="425"/>
      <c r="AQ166" s="425"/>
      <c r="AR166" s="425"/>
      <c r="AS166" s="425"/>
      <c r="AT166" s="425"/>
      <c r="AU166" s="425"/>
      <c r="AV166" s="425"/>
      <c r="AW166" s="425"/>
      <c r="AX166" s="425"/>
      <c r="AY166" s="425"/>
      <c r="AZ166" s="425"/>
      <c r="BA166" s="425"/>
      <c r="BB166" s="425"/>
      <c r="BC166" s="425"/>
      <c r="BD166" s="425"/>
      <c r="BE166" s="425"/>
      <c r="BF166" s="425"/>
      <c r="BG166" s="425"/>
      <c r="BH166" s="425"/>
      <c r="BI166" s="425"/>
      <c r="BJ166" s="425"/>
      <c r="BK166" s="425"/>
      <c r="BL166" s="425"/>
      <c r="BM166" s="425"/>
      <c r="BN166" s="425"/>
    </row>
    <row r="167" spans="1:66" ht="15.75" customHeight="1" x14ac:dyDescent="0.2">
      <c r="A167" s="424"/>
      <c r="B167" s="424"/>
      <c r="C167" s="424"/>
      <c r="D167" s="424"/>
      <c r="E167" s="424"/>
      <c r="F167" s="425"/>
      <c r="G167" s="425"/>
      <c r="H167" s="424"/>
      <c r="I167" s="424"/>
      <c r="J167" s="425"/>
      <c r="K167" s="425"/>
      <c r="L167" s="425"/>
      <c r="M167" s="425"/>
      <c r="N167" s="425"/>
      <c r="O167" s="425"/>
      <c r="P167" s="425"/>
      <c r="Q167" s="424"/>
      <c r="R167" s="426"/>
      <c r="S167" s="426"/>
      <c r="T167" s="426"/>
      <c r="U167" s="426"/>
      <c r="V167" s="326"/>
      <c r="W167" s="326"/>
      <c r="X167" s="426"/>
      <c r="Y167" s="426"/>
      <c r="Z167" s="426"/>
      <c r="AA167" s="426"/>
      <c r="AB167" s="426"/>
      <c r="AC167" s="426"/>
      <c r="AD167" s="426"/>
      <c r="AE167" s="426"/>
      <c r="AF167" s="426"/>
      <c r="AG167" s="326"/>
      <c r="AH167" s="326"/>
      <c r="AI167" s="424"/>
      <c r="AJ167" s="424"/>
      <c r="AK167" s="424"/>
      <c r="AL167" s="424"/>
      <c r="AM167" s="424"/>
      <c r="AN167" s="424"/>
      <c r="AO167" s="425"/>
      <c r="AP167" s="425"/>
      <c r="AQ167" s="425"/>
      <c r="AR167" s="425"/>
      <c r="AS167" s="425"/>
      <c r="AT167" s="425"/>
      <c r="AU167" s="425"/>
      <c r="AV167" s="425"/>
      <c r="AW167" s="425"/>
      <c r="AX167" s="425"/>
      <c r="AY167" s="425"/>
      <c r="AZ167" s="425"/>
      <c r="BA167" s="425"/>
      <c r="BB167" s="425"/>
      <c r="BC167" s="425"/>
      <c r="BD167" s="425"/>
      <c r="BE167" s="425"/>
      <c r="BF167" s="425"/>
      <c r="BG167" s="425"/>
      <c r="BH167" s="425"/>
      <c r="BI167" s="425"/>
      <c r="BJ167" s="425"/>
      <c r="BK167" s="425"/>
      <c r="BL167" s="425"/>
      <c r="BM167" s="425"/>
      <c r="BN167" s="425"/>
    </row>
    <row r="168" spans="1:66" ht="15.75" customHeight="1" x14ac:dyDescent="0.2">
      <c r="A168" s="424"/>
      <c r="B168" s="424"/>
      <c r="C168" s="424"/>
      <c r="D168" s="424"/>
      <c r="E168" s="424"/>
      <c r="F168" s="425"/>
      <c r="G168" s="425"/>
      <c r="H168" s="424"/>
      <c r="I168" s="424"/>
      <c r="J168" s="425"/>
      <c r="K168" s="425"/>
      <c r="L168" s="425"/>
      <c r="M168" s="425"/>
      <c r="N168" s="425"/>
      <c r="O168" s="425"/>
      <c r="P168" s="425"/>
      <c r="Q168" s="424"/>
      <c r="R168" s="426"/>
      <c r="S168" s="426"/>
      <c r="T168" s="426"/>
      <c r="U168" s="426"/>
      <c r="V168" s="326"/>
      <c r="W168" s="326"/>
      <c r="X168" s="426"/>
      <c r="Y168" s="426"/>
      <c r="Z168" s="426"/>
      <c r="AA168" s="426"/>
      <c r="AB168" s="426"/>
      <c r="AC168" s="426"/>
      <c r="AD168" s="426"/>
      <c r="AE168" s="426"/>
      <c r="AF168" s="426"/>
      <c r="AG168" s="326"/>
      <c r="AH168" s="326"/>
      <c r="AI168" s="424"/>
      <c r="AJ168" s="424"/>
      <c r="AK168" s="424"/>
      <c r="AL168" s="424"/>
      <c r="AM168" s="424"/>
      <c r="AN168" s="424"/>
      <c r="AO168" s="425"/>
      <c r="AP168" s="425"/>
      <c r="AQ168" s="425"/>
      <c r="AR168" s="425"/>
      <c r="AS168" s="425"/>
      <c r="AT168" s="425"/>
      <c r="AU168" s="425"/>
      <c r="AV168" s="425"/>
      <c r="AW168" s="425"/>
      <c r="AX168" s="425"/>
      <c r="AY168" s="425"/>
      <c r="AZ168" s="425"/>
      <c r="BA168" s="425"/>
      <c r="BB168" s="425"/>
      <c r="BC168" s="425"/>
      <c r="BD168" s="425"/>
      <c r="BE168" s="425"/>
      <c r="BF168" s="425"/>
      <c r="BG168" s="425"/>
      <c r="BH168" s="425"/>
      <c r="BI168" s="425"/>
      <c r="BJ168" s="425"/>
      <c r="BK168" s="425"/>
      <c r="BL168" s="425"/>
      <c r="BM168" s="425"/>
      <c r="BN168" s="425"/>
    </row>
    <row r="169" spans="1:66" ht="15.75" customHeight="1" x14ac:dyDescent="0.2">
      <c r="A169" s="424"/>
      <c r="B169" s="424"/>
      <c r="C169" s="424"/>
      <c r="D169" s="424"/>
      <c r="E169" s="424"/>
      <c r="F169" s="425"/>
      <c r="G169" s="425"/>
      <c r="H169" s="424"/>
      <c r="I169" s="424"/>
      <c r="J169" s="425"/>
      <c r="K169" s="425"/>
      <c r="L169" s="425"/>
      <c r="M169" s="425"/>
      <c r="N169" s="425"/>
      <c r="O169" s="425"/>
      <c r="P169" s="425"/>
      <c r="Q169" s="424"/>
      <c r="R169" s="426"/>
      <c r="S169" s="426"/>
      <c r="T169" s="426"/>
      <c r="U169" s="426"/>
      <c r="V169" s="326"/>
      <c r="W169" s="326"/>
      <c r="X169" s="426"/>
      <c r="Y169" s="426"/>
      <c r="Z169" s="426"/>
      <c r="AA169" s="426"/>
      <c r="AB169" s="426"/>
      <c r="AC169" s="426"/>
      <c r="AD169" s="426"/>
      <c r="AE169" s="426"/>
      <c r="AF169" s="426"/>
      <c r="AG169" s="326"/>
      <c r="AH169" s="326"/>
      <c r="AI169" s="424"/>
      <c r="AJ169" s="424"/>
      <c r="AK169" s="424"/>
      <c r="AL169" s="424"/>
      <c r="AM169" s="424"/>
      <c r="AN169" s="424"/>
      <c r="AO169" s="425"/>
      <c r="AP169" s="425"/>
      <c r="AQ169" s="425"/>
      <c r="AR169" s="425"/>
      <c r="AS169" s="425"/>
      <c r="AT169" s="425"/>
      <c r="AU169" s="425"/>
      <c r="AV169" s="425"/>
      <c r="AW169" s="425"/>
      <c r="AX169" s="425"/>
      <c r="AY169" s="425"/>
      <c r="AZ169" s="425"/>
      <c r="BA169" s="425"/>
      <c r="BB169" s="425"/>
      <c r="BC169" s="425"/>
      <c r="BD169" s="425"/>
      <c r="BE169" s="425"/>
      <c r="BF169" s="425"/>
      <c r="BG169" s="425"/>
      <c r="BH169" s="425"/>
      <c r="BI169" s="425"/>
      <c r="BJ169" s="425"/>
      <c r="BK169" s="425"/>
      <c r="BL169" s="425"/>
      <c r="BM169" s="425"/>
      <c r="BN169" s="425"/>
    </row>
    <row r="170" spans="1:66" ht="15.75" customHeight="1" x14ac:dyDescent="0.2">
      <c r="A170" s="424"/>
      <c r="B170" s="424"/>
      <c r="C170" s="424"/>
      <c r="D170" s="424"/>
      <c r="E170" s="424"/>
      <c r="F170" s="425"/>
      <c r="G170" s="425"/>
      <c r="H170" s="424"/>
      <c r="I170" s="424"/>
      <c r="J170" s="425"/>
      <c r="K170" s="425"/>
      <c r="L170" s="425"/>
      <c r="M170" s="425"/>
      <c r="N170" s="425"/>
      <c r="O170" s="425"/>
      <c r="P170" s="425"/>
      <c r="Q170" s="424"/>
      <c r="R170" s="426"/>
      <c r="S170" s="426"/>
      <c r="T170" s="426"/>
      <c r="U170" s="426"/>
      <c r="V170" s="326"/>
      <c r="W170" s="326"/>
      <c r="X170" s="426"/>
      <c r="Y170" s="426"/>
      <c r="Z170" s="426"/>
      <c r="AA170" s="426"/>
      <c r="AB170" s="426"/>
      <c r="AC170" s="426"/>
      <c r="AD170" s="426"/>
      <c r="AE170" s="426"/>
      <c r="AF170" s="426"/>
      <c r="AG170" s="326"/>
      <c r="AH170" s="326"/>
      <c r="AI170" s="424"/>
      <c r="AJ170" s="424"/>
      <c r="AK170" s="424"/>
      <c r="AL170" s="424"/>
      <c r="AM170" s="424"/>
      <c r="AN170" s="424"/>
      <c r="AO170" s="425"/>
      <c r="AP170" s="425"/>
      <c r="AQ170" s="425"/>
      <c r="AR170" s="425"/>
      <c r="AS170" s="425"/>
      <c r="AT170" s="425"/>
      <c r="AU170" s="425"/>
      <c r="AV170" s="425"/>
      <c r="AW170" s="425"/>
      <c r="AX170" s="425"/>
      <c r="AY170" s="425"/>
      <c r="AZ170" s="425"/>
      <c r="BA170" s="425"/>
      <c r="BB170" s="425"/>
      <c r="BC170" s="425"/>
      <c r="BD170" s="425"/>
      <c r="BE170" s="425"/>
      <c r="BF170" s="425"/>
      <c r="BG170" s="425"/>
      <c r="BH170" s="425"/>
      <c r="BI170" s="425"/>
      <c r="BJ170" s="425"/>
      <c r="BK170" s="425"/>
      <c r="BL170" s="425"/>
      <c r="BM170" s="425"/>
      <c r="BN170" s="425"/>
    </row>
    <row r="171" spans="1:66" ht="15.75" customHeight="1" x14ac:dyDescent="0.2">
      <c r="A171" s="424"/>
      <c r="B171" s="424"/>
      <c r="C171" s="424"/>
      <c r="D171" s="424"/>
      <c r="E171" s="424"/>
      <c r="F171" s="425"/>
      <c r="G171" s="425"/>
      <c r="H171" s="424"/>
      <c r="I171" s="424"/>
      <c r="J171" s="425"/>
      <c r="K171" s="425"/>
      <c r="L171" s="425"/>
      <c r="M171" s="425"/>
      <c r="N171" s="425"/>
      <c r="O171" s="425"/>
      <c r="P171" s="425"/>
      <c r="Q171" s="424"/>
      <c r="R171" s="426"/>
      <c r="S171" s="426"/>
      <c r="T171" s="426"/>
      <c r="U171" s="426"/>
      <c r="V171" s="326"/>
      <c r="W171" s="326"/>
      <c r="X171" s="426"/>
      <c r="Y171" s="426"/>
      <c r="Z171" s="426"/>
      <c r="AA171" s="426"/>
      <c r="AB171" s="426"/>
      <c r="AC171" s="426"/>
      <c r="AD171" s="426"/>
      <c r="AE171" s="426"/>
      <c r="AF171" s="426"/>
      <c r="AG171" s="326"/>
      <c r="AH171" s="326"/>
      <c r="AI171" s="424"/>
      <c r="AJ171" s="424"/>
      <c r="AK171" s="424"/>
      <c r="AL171" s="424"/>
      <c r="AM171" s="424"/>
      <c r="AN171" s="424"/>
      <c r="AO171" s="425"/>
      <c r="AP171" s="425"/>
      <c r="AQ171" s="425"/>
      <c r="AR171" s="425"/>
      <c r="AS171" s="425"/>
      <c r="AT171" s="425"/>
      <c r="AU171" s="425"/>
      <c r="AV171" s="425"/>
      <c r="AW171" s="425"/>
      <c r="AX171" s="425"/>
      <c r="AY171" s="425"/>
      <c r="AZ171" s="425"/>
      <c r="BA171" s="425"/>
      <c r="BB171" s="425"/>
      <c r="BC171" s="425"/>
      <c r="BD171" s="425"/>
      <c r="BE171" s="425"/>
      <c r="BF171" s="425"/>
      <c r="BG171" s="425"/>
      <c r="BH171" s="425"/>
      <c r="BI171" s="425"/>
      <c r="BJ171" s="425"/>
      <c r="BK171" s="425"/>
      <c r="BL171" s="425"/>
      <c r="BM171" s="425"/>
      <c r="BN171" s="425"/>
    </row>
    <row r="172" spans="1:66" ht="15.75" customHeight="1" x14ac:dyDescent="0.2">
      <c r="A172" s="424"/>
      <c r="B172" s="424"/>
      <c r="C172" s="424"/>
      <c r="D172" s="424"/>
      <c r="E172" s="424"/>
      <c r="F172" s="425"/>
      <c r="G172" s="425"/>
      <c r="H172" s="424"/>
      <c r="I172" s="424"/>
      <c r="J172" s="425"/>
      <c r="K172" s="425"/>
      <c r="L172" s="425"/>
      <c r="M172" s="425"/>
      <c r="N172" s="425"/>
      <c r="O172" s="425"/>
      <c r="P172" s="425"/>
      <c r="Q172" s="424"/>
      <c r="R172" s="426"/>
      <c r="S172" s="426"/>
      <c r="T172" s="426"/>
      <c r="U172" s="426"/>
      <c r="V172" s="326"/>
      <c r="W172" s="326"/>
      <c r="X172" s="426"/>
      <c r="Y172" s="426"/>
      <c r="Z172" s="426"/>
      <c r="AA172" s="426"/>
      <c r="AB172" s="426"/>
      <c r="AC172" s="426"/>
      <c r="AD172" s="426"/>
      <c r="AE172" s="426"/>
      <c r="AF172" s="426"/>
      <c r="AG172" s="326"/>
      <c r="AH172" s="326"/>
      <c r="AI172" s="424"/>
      <c r="AJ172" s="424"/>
      <c r="AK172" s="424"/>
      <c r="AL172" s="424"/>
      <c r="AM172" s="424"/>
      <c r="AN172" s="424"/>
      <c r="AO172" s="425"/>
      <c r="AP172" s="425"/>
      <c r="AQ172" s="425"/>
      <c r="AR172" s="425"/>
      <c r="AS172" s="425"/>
      <c r="AT172" s="425"/>
      <c r="AU172" s="425"/>
      <c r="AV172" s="425"/>
      <c r="AW172" s="425"/>
      <c r="AX172" s="425"/>
      <c r="AY172" s="425"/>
      <c r="AZ172" s="425"/>
      <c r="BA172" s="425"/>
      <c r="BB172" s="425"/>
      <c r="BC172" s="425"/>
      <c r="BD172" s="425"/>
      <c r="BE172" s="425"/>
      <c r="BF172" s="425"/>
      <c r="BG172" s="425"/>
      <c r="BH172" s="425"/>
      <c r="BI172" s="425"/>
      <c r="BJ172" s="425"/>
      <c r="BK172" s="425"/>
      <c r="BL172" s="425"/>
      <c r="BM172" s="425"/>
      <c r="BN172" s="425"/>
    </row>
    <row r="173" spans="1:66" ht="15.75" customHeight="1" x14ac:dyDescent="0.2">
      <c r="A173" s="424"/>
      <c r="B173" s="424"/>
      <c r="C173" s="424"/>
      <c r="D173" s="424"/>
      <c r="E173" s="424"/>
      <c r="F173" s="425"/>
      <c r="G173" s="425"/>
      <c r="H173" s="424"/>
      <c r="I173" s="424"/>
      <c r="J173" s="425"/>
      <c r="K173" s="425"/>
      <c r="L173" s="425"/>
      <c r="M173" s="425"/>
      <c r="N173" s="425"/>
      <c r="O173" s="425"/>
      <c r="P173" s="425"/>
      <c r="Q173" s="424"/>
      <c r="R173" s="426"/>
      <c r="S173" s="426"/>
      <c r="T173" s="426"/>
      <c r="U173" s="426"/>
      <c r="V173" s="326"/>
      <c r="W173" s="326"/>
      <c r="X173" s="426"/>
      <c r="Y173" s="426"/>
      <c r="Z173" s="426"/>
      <c r="AA173" s="426"/>
      <c r="AB173" s="426"/>
      <c r="AC173" s="426"/>
      <c r="AD173" s="426"/>
      <c r="AE173" s="426"/>
      <c r="AF173" s="426"/>
      <c r="AG173" s="326"/>
      <c r="AH173" s="326"/>
      <c r="AI173" s="424"/>
      <c r="AJ173" s="424"/>
      <c r="AK173" s="424"/>
      <c r="AL173" s="424"/>
      <c r="AM173" s="424"/>
      <c r="AN173" s="424"/>
      <c r="AO173" s="425"/>
      <c r="AP173" s="425"/>
      <c r="AQ173" s="425"/>
      <c r="AR173" s="425"/>
      <c r="AS173" s="425"/>
      <c r="AT173" s="425"/>
      <c r="AU173" s="425"/>
      <c r="AV173" s="425"/>
      <c r="AW173" s="425"/>
      <c r="AX173" s="425"/>
      <c r="AY173" s="425"/>
      <c r="AZ173" s="425"/>
      <c r="BA173" s="425"/>
      <c r="BB173" s="425"/>
      <c r="BC173" s="425"/>
      <c r="BD173" s="425"/>
      <c r="BE173" s="425"/>
      <c r="BF173" s="425"/>
      <c r="BG173" s="425"/>
      <c r="BH173" s="425"/>
      <c r="BI173" s="425"/>
      <c r="BJ173" s="425"/>
      <c r="BK173" s="425"/>
      <c r="BL173" s="425"/>
      <c r="BM173" s="425"/>
      <c r="BN173" s="425"/>
    </row>
    <row r="174" spans="1:66" ht="15.75" customHeight="1" x14ac:dyDescent="0.2">
      <c r="A174" s="424"/>
      <c r="B174" s="424"/>
      <c r="C174" s="424"/>
      <c r="D174" s="424"/>
      <c r="E174" s="424"/>
      <c r="F174" s="425"/>
      <c r="G174" s="425"/>
      <c r="H174" s="424"/>
      <c r="I174" s="424"/>
      <c r="J174" s="425"/>
      <c r="K174" s="425"/>
      <c r="L174" s="425"/>
      <c r="M174" s="425"/>
      <c r="N174" s="425"/>
      <c r="O174" s="425"/>
      <c r="P174" s="425"/>
      <c r="Q174" s="424"/>
      <c r="R174" s="426"/>
      <c r="S174" s="426"/>
      <c r="T174" s="426"/>
      <c r="U174" s="426"/>
      <c r="V174" s="326"/>
      <c r="W174" s="326"/>
      <c r="X174" s="426"/>
      <c r="Y174" s="426"/>
      <c r="Z174" s="426"/>
      <c r="AA174" s="426"/>
      <c r="AB174" s="426"/>
      <c r="AC174" s="426"/>
      <c r="AD174" s="426"/>
      <c r="AE174" s="426"/>
      <c r="AF174" s="426"/>
      <c r="AG174" s="326"/>
      <c r="AH174" s="326"/>
      <c r="AI174" s="424"/>
      <c r="AJ174" s="424"/>
      <c r="AK174" s="424"/>
      <c r="AL174" s="424"/>
      <c r="AM174" s="424"/>
      <c r="AN174" s="424"/>
      <c r="AO174" s="425"/>
      <c r="AP174" s="425"/>
      <c r="AQ174" s="425"/>
      <c r="AR174" s="425"/>
      <c r="AS174" s="425"/>
      <c r="AT174" s="425"/>
      <c r="AU174" s="425"/>
      <c r="AV174" s="425"/>
      <c r="AW174" s="425"/>
      <c r="AX174" s="425"/>
      <c r="AY174" s="425"/>
      <c r="AZ174" s="425"/>
      <c r="BA174" s="425"/>
      <c r="BB174" s="425"/>
      <c r="BC174" s="425"/>
      <c r="BD174" s="425"/>
      <c r="BE174" s="425"/>
      <c r="BF174" s="425"/>
      <c r="BG174" s="425"/>
      <c r="BH174" s="425"/>
      <c r="BI174" s="425"/>
      <c r="BJ174" s="425"/>
      <c r="BK174" s="425"/>
      <c r="BL174" s="425"/>
      <c r="BM174" s="425"/>
      <c r="BN174" s="425"/>
    </row>
    <row r="175" spans="1:66" ht="15.75" customHeight="1" x14ac:dyDescent="0.2">
      <c r="A175" s="424"/>
      <c r="B175" s="424"/>
      <c r="C175" s="424"/>
      <c r="D175" s="424"/>
      <c r="E175" s="424"/>
      <c r="F175" s="425"/>
      <c r="G175" s="425"/>
      <c r="H175" s="424"/>
      <c r="I175" s="424"/>
      <c r="J175" s="425"/>
      <c r="K175" s="425"/>
      <c r="L175" s="425"/>
      <c r="M175" s="425"/>
      <c r="N175" s="425"/>
      <c r="O175" s="425"/>
      <c r="P175" s="425"/>
      <c r="Q175" s="424"/>
      <c r="R175" s="426"/>
      <c r="S175" s="426"/>
      <c r="T175" s="426"/>
      <c r="U175" s="426"/>
      <c r="V175" s="326"/>
      <c r="W175" s="326"/>
      <c r="X175" s="426"/>
      <c r="Y175" s="426"/>
      <c r="Z175" s="426"/>
      <c r="AA175" s="426"/>
      <c r="AB175" s="426"/>
      <c r="AC175" s="426"/>
      <c r="AD175" s="426"/>
      <c r="AE175" s="426"/>
      <c r="AF175" s="426"/>
      <c r="AG175" s="326"/>
      <c r="AH175" s="326"/>
      <c r="AI175" s="424"/>
      <c r="AJ175" s="424"/>
      <c r="AK175" s="424"/>
      <c r="AL175" s="424"/>
      <c r="AM175" s="424"/>
      <c r="AN175" s="424"/>
      <c r="AO175" s="425"/>
      <c r="AP175" s="425"/>
      <c r="AQ175" s="425"/>
      <c r="AR175" s="425"/>
      <c r="AS175" s="425"/>
      <c r="AT175" s="425"/>
      <c r="AU175" s="425"/>
      <c r="AV175" s="425"/>
      <c r="AW175" s="425"/>
      <c r="AX175" s="425"/>
      <c r="AY175" s="425"/>
      <c r="AZ175" s="425"/>
      <c r="BA175" s="425"/>
      <c r="BB175" s="425"/>
      <c r="BC175" s="425"/>
      <c r="BD175" s="425"/>
      <c r="BE175" s="425"/>
      <c r="BF175" s="425"/>
      <c r="BG175" s="425"/>
      <c r="BH175" s="425"/>
      <c r="BI175" s="425"/>
      <c r="BJ175" s="425"/>
      <c r="BK175" s="425"/>
      <c r="BL175" s="425"/>
      <c r="BM175" s="425"/>
      <c r="BN175" s="425"/>
    </row>
    <row r="176" spans="1:66" ht="15.75" customHeight="1" x14ac:dyDescent="0.2">
      <c r="A176" s="424"/>
      <c r="B176" s="424"/>
      <c r="C176" s="424"/>
      <c r="D176" s="424"/>
      <c r="E176" s="424"/>
      <c r="F176" s="425"/>
      <c r="G176" s="425"/>
      <c r="H176" s="424"/>
      <c r="I176" s="424"/>
      <c r="J176" s="425"/>
      <c r="K176" s="425"/>
      <c r="L176" s="425"/>
      <c r="M176" s="425"/>
      <c r="N176" s="425"/>
      <c r="O176" s="425"/>
      <c r="P176" s="425"/>
      <c r="Q176" s="424"/>
      <c r="R176" s="426"/>
      <c r="S176" s="426"/>
      <c r="T176" s="426"/>
      <c r="U176" s="426"/>
      <c r="V176" s="326"/>
      <c r="W176" s="326"/>
      <c r="X176" s="426"/>
      <c r="Y176" s="426"/>
      <c r="Z176" s="426"/>
      <c r="AA176" s="426"/>
      <c r="AB176" s="426"/>
      <c r="AC176" s="426"/>
      <c r="AD176" s="426"/>
      <c r="AE176" s="426"/>
      <c r="AF176" s="426"/>
      <c r="AG176" s="326"/>
      <c r="AH176" s="326"/>
      <c r="AI176" s="424"/>
      <c r="AJ176" s="424"/>
      <c r="AK176" s="424"/>
      <c r="AL176" s="424"/>
      <c r="AM176" s="424"/>
      <c r="AN176" s="424"/>
      <c r="AO176" s="425"/>
      <c r="AP176" s="425"/>
      <c r="AQ176" s="425"/>
      <c r="AR176" s="425"/>
      <c r="AS176" s="425"/>
      <c r="AT176" s="425"/>
      <c r="AU176" s="425"/>
      <c r="AV176" s="425"/>
      <c r="AW176" s="425"/>
      <c r="AX176" s="425"/>
      <c r="AY176" s="425"/>
      <c r="AZ176" s="425"/>
      <c r="BA176" s="425"/>
      <c r="BB176" s="425"/>
      <c r="BC176" s="425"/>
      <c r="BD176" s="425"/>
      <c r="BE176" s="425"/>
      <c r="BF176" s="425"/>
      <c r="BG176" s="425"/>
      <c r="BH176" s="425"/>
      <c r="BI176" s="425"/>
      <c r="BJ176" s="425"/>
      <c r="BK176" s="425"/>
      <c r="BL176" s="425"/>
      <c r="BM176" s="425"/>
      <c r="BN176" s="425"/>
    </row>
    <row r="177" spans="1:66" ht="15.75" customHeight="1" x14ac:dyDescent="0.2">
      <c r="A177" s="424"/>
      <c r="B177" s="424"/>
      <c r="C177" s="424"/>
      <c r="D177" s="424"/>
      <c r="E177" s="424"/>
      <c r="F177" s="425"/>
      <c r="G177" s="425"/>
      <c r="H177" s="424"/>
      <c r="I177" s="424"/>
      <c r="J177" s="425"/>
      <c r="K177" s="425"/>
      <c r="L177" s="425"/>
      <c r="M177" s="425"/>
      <c r="N177" s="425"/>
      <c r="O177" s="425"/>
      <c r="P177" s="425"/>
      <c r="Q177" s="424"/>
      <c r="R177" s="426"/>
      <c r="S177" s="426"/>
      <c r="T177" s="426"/>
      <c r="U177" s="426"/>
      <c r="V177" s="326"/>
      <c r="W177" s="326"/>
      <c r="X177" s="426"/>
      <c r="Y177" s="426"/>
      <c r="Z177" s="426"/>
      <c r="AA177" s="426"/>
      <c r="AB177" s="426"/>
      <c r="AC177" s="426"/>
      <c r="AD177" s="426"/>
      <c r="AE177" s="426"/>
      <c r="AF177" s="426"/>
      <c r="AG177" s="326"/>
      <c r="AH177" s="326"/>
      <c r="AI177" s="424"/>
      <c r="AJ177" s="424"/>
      <c r="AK177" s="424"/>
      <c r="AL177" s="424"/>
      <c r="AM177" s="424"/>
      <c r="AN177" s="424"/>
      <c r="AO177" s="425"/>
      <c r="AP177" s="425"/>
      <c r="AQ177" s="425"/>
      <c r="AR177" s="425"/>
      <c r="AS177" s="425"/>
      <c r="AT177" s="425"/>
      <c r="AU177" s="425"/>
      <c r="AV177" s="425"/>
      <c r="AW177" s="425"/>
      <c r="AX177" s="425"/>
      <c r="AY177" s="425"/>
      <c r="AZ177" s="425"/>
      <c r="BA177" s="425"/>
      <c r="BB177" s="425"/>
      <c r="BC177" s="425"/>
      <c r="BD177" s="425"/>
      <c r="BE177" s="425"/>
      <c r="BF177" s="425"/>
      <c r="BG177" s="425"/>
      <c r="BH177" s="425"/>
      <c r="BI177" s="425"/>
      <c r="BJ177" s="425"/>
      <c r="BK177" s="425"/>
      <c r="BL177" s="425"/>
      <c r="BM177" s="425"/>
      <c r="BN177" s="425"/>
    </row>
    <row r="178" spans="1:66" ht="15.75" customHeight="1" x14ac:dyDescent="0.2">
      <c r="A178" s="424"/>
      <c r="B178" s="424"/>
      <c r="C178" s="424"/>
      <c r="D178" s="424"/>
      <c r="E178" s="424"/>
      <c r="F178" s="425"/>
      <c r="G178" s="425"/>
      <c r="H178" s="424"/>
      <c r="I178" s="424"/>
      <c r="J178" s="425"/>
      <c r="K178" s="425"/>
      <c r="L178" s="425"/>
      <c r="M178" s="425"/>
      <c r="N178" s="425"/>
      <c r="O178" s="425"/>
      <c r="P178" s="425"/>
      <c r="Q178" s="424"/>
      <c r="R178" s="426"/>
      <c r="S178" s="426"/>
      <c r="T178" s="426"/>
      <c r="U178" s="426"/>
      <c r="V178" s="326"/>
      <c r="W178" s="326"/>
      <c r="X178" s="426"/>
      <c r="Y178" s="426"/>
      <c r="Z178" s="426"/>
      <c r="AA178" s="426"/>
      <c r="AB178" s="426"/>
      <c r="AC178" s="426"/>
      <c r="AD178" s="426"/>
      <c r="AE178" s="426"/>
      <c r="AF178" s="426"/>
      <c r="AG178" s="326"/>
      <c r="AH178" s="326"/>
      <c r="AI178" s="424"/>
      <c r="AJ178" s="424"/>
      <c r="AK178" s="424"/>
      <c r="AL178" s="424"/>
      <c r="AM178" s="424"/>
      <c r="AN178" s="424"/>
      <c r="AO178" s="425"/>
      <c r="AP178" s="425"/>
      <c r="AQ178" s="425"/>
      <c r="AR178" s="425"/>
      <c r="AS178" s="425"/>
      <c r="AT178" s="425"/>
      <c r="AU178" s="425"/>
      <c r="AV178" s="425"/>
      <c r="AW178" s="425"/>
      <c r="AX178" s="425"/>
      <c r="AY178" s="425"/>
      <c r="AZ178" s="425"/>
      <c r="BA178" s="425"/>
      <c r="BB178" s="425"/>
      <c r="BC178" s="425"/>
      <c r="BD178" s="425"/>
      <c r="BE178" s="425"/>
      <c r="BF178" s="425"/>
      <c r="BG178" s="425"/>
      <c r="BH178" s="425"/>
      <c r="BI178" s="425"/>
      <c r="BJ178" s="425"/>
      <c r="BK178" s="425"/>
      <c r="BL178" s="425"/>
      <c r="BM178" s="425"/>
      <c r="BN178" s="425"/>
    </row>
    <row r="179" spans="1:66" ht="15.75" customHeight="1" x14ac:dyDescent="0.2">
      <c r="A179" s="424"/>
      <c r="B179" s="424"/>
      <c r="C179" s="424"/>
      <c r="D179" s="424"/>
      <c r="E179" s="424"/>
      <c r="F179" s="425"/>
      <c r="G179" s="425"/>
      <c r="H179" s="424"/>
      <c r="I179" s="424"/>
      <c r="J179" s="425"/>
      <c r="K179" s="425"/>
      <c r="L179" s="425"/>
      <c r="M179" s="425"/>
      <c r="N179" s="425"/>
      <c r="O179" s="425"/>
      <c r="P179" s="425"/>
      <c r="Q179" s="424"/>
      <c r="R179" s="426"/>
      <c r="S179" s="426"/>
      <c r="T179" s="426"/>
      <c r="U179" s="426"/>
      <c r="V179" s="326"/>
      <c r="W179" s="326"/>
      <c r="X179" s="426"/>
      <c r="Y179" s="426"/>
      <c r="Z179" s="426"/>
      <c r="AA179" s="426"/>
      <c r="AB179" s="426"/>
      <c r="AC179" s="426"/>
      <c r="AD179" s="426"/>
      <c r="AE179" s="426"/>
      <c r="AF179" s="426"/>
      <c r="AG179" s="326"/>
      <c r="AH179" s="326"/>
      <c r="AI179" s="424"/>
      <c r="AJ179" s="424"/>
      <c r="AK179" s="424"/>
      <c r="AL179" s="424"/>
      <c r="AM179" s="424"/>
      <c r="AN179" s="424"/>
      <c r="AO179" s="425"/>
      <c r="AP179" s="425"/>
      <c r="AQ179" s="425"/>
      <c r="AR179" s="425"/>
      <c r="AS179" s="425"/>
      <c r="AT179" s="425"/>
      <c r="AU179" s="425"/>
      <c r="AV179" s="425"/>
      <c r="AW179" s="425"/>
      <c r="AX179" s="425"/>
      <c r="AY179" s="425"/>
      <c r="AZ179" s="425"/>
      <c r="BA179" s="425"/>
      <c r="BB179" s="425"/>
      <c r="BC179" s="425"/>
      <c r="BD179" s="425"/>
      <c r="BE179" s="425"/>
      <c r="BF179" s="425"/>
      <c r="BG179" s="425"/>
      <c r="BH179" s="425"/>
      <c r="BI179" s="425"/>
      <c r="BJ179" s="425"/>
      <c r="BK179" s="425"/>
      <c r="BL179" s="425"/>
      <c r="BM179" s="425"/>
      <c r="BN179" s="425"/>
    </row>
    <row r="180" spans="1:66" ht="15.75" customHeight="1" x14ac:dyDescent="0.2">
      <c r="A180" s="424"/>
      <c r="B180" s="424"/>
      <c r="C180" s="424"/>
      <c r="D180" s="424"/>
      <c r="E180" s="424"/>
      <c r="F180" s="425"/>
      <c r="G180" s="425"/>
      <c r="H180" s="424"/>
      <c r="I180" s="424"/>
      <c r="J180" s="425"/>
      <c r="K180" s="425"/>
      <c r="L180" s="425"/>
      <c r="M180" s="425"/>
      <c r="N180" s="425"/>
      <c r="O180" s="425"/>
      <c r="P180" s="425"/>
      <c r="Q180" s="424"/>
      <c r="R180" s="426"/>
      <c r="S180" s="426"/>
      <c r="T180" s="426"/>
      <c r="U180" s="426"/>
      <c r="V180" s="326"/>
      <c r="W180" s="326"/>
      <c r="X180" s="426"/>
      <c r="Y180" s="426"/>
      <c r="Z180" s="426"/>
      <c r="AA180" s="426"/>
      <c r="AB180" s="426"/>
      <c r="AC180" s="426"/>
      <c r="AD180" s="426"/>
      <c r="AE180" s="426"/>
      <c r="AF180" s="426"/>
      <c r="AG180" s="326"/>
      <c r="AH180" s="326"/>
      <c r="AI180" s="424"/>
      <c r="AJ180" s="424"/>
      <c r="AK180" s="424"/>
      <c r="AL180" s="424"/>
      <c r="AM180" s="424"/>
      <c r="AN180" s="424"/>
      <c r="AO180" s="425"/>
      <c r="AP180" s="425"/>
      <c r="AQ180" s="425"/>
      <c r="AR180" s="425"/>
      <c r="AS180" s="425"/>
      <c r="AT180" s="425"/>
      <c r="AU180" s="425"/>
      <c r="AV180" s="425"/>
      <c r="AW180" s="425"/>
      <c r="AX180" s="425"/>
      <c r="AY180" s="425"/>
      <c r="AZ180" s="425"/>
      <c r="BA180" s="425"/>
      <c r="BB180" s="425"/>
      <c r="BC180" s="425"/>
      <c r="BD180" s="425"/>
      <c r="BE180" s="425"/>
      <c r="BF180" s="425"/>
      <c r="BG180" s="425"/>
      <c r="BH180" s="425"/>
      <c r="BI180" s="425"/>
      <c r="BJ180" s="425"/>
      <c r="BK180" s="425"/>
      <c r="BL180" s="425"/>
      <c r="BM180" s="425"/>
      <c r="BN180" s="425"/>
    </row>
    <row r="181" spans="1:66" ht="15.75" customHeight="1" x14ac:dyDescent="0.2">
      <c r="A181" s="424"/>
      <c r="B181" s="424"/>
      <c r="C181" s="424"/>
      <c r="D181" s="424"/>
      <c r="E181" s="424"/>
      <c r="F181" s="425"/>
      <c r="G181" s="425"/>
      <c r="H181" s="424"/>
      <c r="I181" s="424"/>
      <c r="J181" s="425"/>
      <c r="K181" s="425"/>
      <c r="L181" s="425"/>
      <c r="M181" s="425"/>
      <c r="N181" s="425"/>
      <c r="O181" s="425"/>
      <c r="P181" s="425"/>
      <c r="Q181" s="424"/>
      <c r="R181" s="426"/>
      <c r="S181" s="426"/>
      <c r="T181" s="426"/>
      <c r="U181" s="426"/>
      <c r="V181" s="326"/>
      <c r="W181" s="326"/>
      <c r="X181" s="426"/>
      <c r="Y181" s="426"/>
      <c r="Z181" s="426"/>
      <c r="AA181" s="426"/>
      <c r="AB181" s="426"/>
      <c r="AC181" s="426"/>
      <c r="AD181" s="426"/>
      <c r="AE181" s="426"/>
      <c r="AF181" s="426"/>
      <c r="AG181" s="326"/>
      <c r="AH181" s="326"/>
      <c r="AI181" s="424"/>
      <c r="AJ181" s="424"/>
      <c r="AK181" s="424"/>
      <c r="AL181" s="424"/>
      <c r="AM181" s="424"/>
      <c r="AN181" s="424"/>
      <c r="AO181" s="425"/>
      <c r="AP181" s="425"/>
      <c r="AQ181" s="425"/>
      <c r="AR181" s="425"/>
      <c r="AS181" s="425"/>
      <c r="AT181" s="425"/>
      <c r="AU181" s="425"/>
      <c r="AV181" s="425"/>
      <c r="AW181" s="425"/>
      <c r="AX181" s="425"/>
      <c r="AY181" s="425"/>
      <c r="AZ181" s="425"/>
      <c r="BA181" s="425"/>
      <c r="BB181" s="425"/>
      <c r="BC181" s="425"/>
      <c r="BD181" s="425"/>
      <c r="BE181" s="425"/>
      <c r="BF181" s="425"/>
      <c r="BG181" s="425"/>
      <c r="BH181" s="425"/>
      <c r="BI181" s="425"/>
      <c r="BJ181" s="425"/>
      <c r="BK181" s="425"/>
      <c r="BL181" s="425"/>
      <c r="BM181" s="425"/>
      <c r="BN181" s="425"/>
    </row>
    <row r="182" spans="1:66" ht="15.75" customHeight="1" x14ac:dyDescent="0.2">
      <c r="A182" s="424"/>
      <c r="B182" s="424"/>
      <c r="C182" s="424"/>
      <c r="D182" s="424"/>
      <c r="E182" s="424"/>
      <c r="F182" s="425"/>
      <c r="G182" s="425"/>
      <c r="H182" s="424"/>
      <c r="I182" s="424"/>
      <c r="J182" s="425"/>
      <c r="K182" s="425"/>
      <c r="L182" s="425"/>
      <c r="M182" s="425"/>
      <c r="N182" s="425"/>
      <c r="O182" s="425"/>
      <c r="P182" s="425"/>
      <c r="Q182" s="424"/>
      <c r="R182" s="426"/>
      <c r="S182" s="426"/>
      <c r="T182" s="426"/>
      <c r="U182" s="426"/>
      <c r="V182" s="326"/>
      <c r="W182" s="326"/>
      <c r="X182" s="426"/>
      <c r="Y182" s="426"/>
      <c r="Z182" s="426"/>
      <c r="AA182" s="426"/>
      <c r="AB182" s="426"/>
      <c r="AC182" s="426"/>
      <c r="AD182" s="426"/>
      <c r="AE182" s="426"/>
      <c r="AF182" s="426"/>
      <c r="AG182" s="326"/>
      <c r="AH182" s="326"/>
      <c r="AI182" s="424"/>
      <c r="AJ182" s="424"/>
      <c r="AK182" s="424"/>
      <c r="AL182" s="424"/>
      <c r="AM182" s="424"/>
      <c r="AN182" s="424"/>
      <c r="AO182" s="425"/>
      <c r="AP182" s="425"/>
      <c r="AQ182" s="425"/>
      <c r="AR182" s="425"/>
      <c r="AS182" s="425"/>
      <c r="AT182" s="425"/>
      <c r="AU182" s="425"/>
      <c r="AV182" s="425"/>
      <c r="AW182" s="425"/>
      <c r="AX182" s="425"/>
      <c r="AY182" s="425"/>
      <c r="AZ182" s="425"/>
      <c r="BA182" s="425"/>
      <c r="BB182" s="425"/>
      <c r="BC182" s="425"/>
      <c r="BD182" s="425"/>
      <c r="BE182" s="425"/>
      <c r="BF182" s="425"/>
      <c r="BG182" s="425"/>
      <c r="BH182" s="425"/>
      <c r="BI182" s="425"/>
      <c r="BJ182" s="425"/>
      <c r="BK182" s="425"/>
      <c r="BL182" s="425"/>
      <c r="BM182" s="425"/>
      <c r="BN182" s="425"/>
    </row>
    <row r="183" spans="1:66" ht="15.75" customHeight="1" x14ac:dyDescent="0.2">
      <c r="A183" s="424"/>
      <c r="B183" s="424"/>
      <c r="C183" s="424"/>
      <c r="D183" s="424"/>
      <c r="E183" s="424"/>
      <c r="F183" s="425"/>
      <c r="G183" s="425"/>
      <c r="H183" s="424"/>
      <c r="I183" s="424"/>
      <c r="J183" s="425"/>
      <c r="K183" s="425"/>
      <c r="L183" s="425"/>
      <c r="M183" s="425"/>
      <c r="N183" s="425"/>
      <c r="O183" s="425"/>
      <c r="P183" s="425"/>
      <c r="Q183" s="424"/>
      <c r="R183" s="426"/>
      <c r="S183" s="426"/>
      <c r="T183" s="426"/>
      <c r="U183" s="426"/>
      <c r="V183" s="326"/>
      <c r="W183" s="326"/>
      <c r="X183" s="426"/>
      <c r="Y183" s="426"/>
      <c r="Z183" s="426"/>
      <c r="AA183" s="426"/>
      <c r="AB183" s="426"/>
      <c r="AC183" s="426"/>
      <c r="AD183" s="426"/>
      <c r="AE183" s="426"/>
      <c r="AF183" s="426"/>
      <c r="AG183" s="326"/>
      <c r="AH183" s="326"/>
      <c r="AI183" s="424"/>
      <c r="AJ183" s="424"/>
      <c r="AK183" s="424"/>
      <c r="AL183" s="424"/>
      <c r="AM183" s="424"/>
      <c r="AN183" s="424"/>
      <c r="AO183" s="425"/>
      <c r="AP183" s="425"/>
      <c r="AQ183" s="425"/>
      <c r="AR183" s="425"/>
      <c r="AS183" s="425"/>
      <c r="AT183" s="425"/>
      <c r="AU183" s="425"/>
      <c r="AV183" s="425"/>
      <c r="AW183" s="425"/>
      <c r="AX183" s="425"/>
      <c r="AY183" s="425"/>
      <c r="AZ183" s="425"/>
      <c r="BA183" s="425"/>
      <c r="BB183" s="425"/>
      <c r="BC183" s="425"/>
      <c r="BD183" s="425"/>
      <c r="BE183" s="425"/>
      <c r="BF183" s="425"/>
      <c r="BG183" s="425"/>
      <c r="BH183" s="425"/>
      <c r="BI183" s="425"/>
      <c r="BJ183" s="425"/>
      <c r="BK183" s="425"/>
      <c r="BL183" s="425"/>
      <c r="BM183" s="425"/>
      <c r="BN183" s="425"/>
    </row>
    <row r="184" spans="1:66" ht="15.75" customHeight="1" x14ac:dyDescent="0.2">
      <c r="A184" s="424"/>
      <c r="B184" s="424"/>
      <c r="C184" s="424"/>
      <c r="D184" s="424"/>
      <c r="E184" s="424"/>
      <c r="F184" s="425"/>
      <c r="G184" s="425"/>
      <c r="H184" s="424"/>
      <c r="I184" s="424"/>
      <c r="J184" s="425"/>
      <c r="K184" s="425"/>
      <c r="L184" s="425"/>
      <c r="M184" s="425"/>
      <c r="N184" s="425"/>
      <c r="O184" s="425"/>
      <c r="P184" s="425"/>
      <c r="Q184" s="424"/>
      <c r="R184" s="426"/>
      <c r="S184" s="426"/>
      <c r="T184" s="426"/>
      <c r="U184" s="426"/>
      <c r="V184" s="326"/>
      <c r="W184" s="326"/>
      <c r="X184" s="426"/>
      <c r="Y184" s="426"/>
      <c r="Z184" s="426"/>
      <c r="AA184" s="426"/>
      <c r="AB184" s="426"/>
      <c r="AC184" s="426"/>
      <c r="AD184" s="426"/>
      <c r="AE184" s="426"/>
      <c r="AF184" s="426"/>
      <c r="AG184" s="326"/>
      <c r="AH184" s="326"/>
      <c r="AI184" s="424"/>
      <c r="AJ184" s="424"/>
      <c r="AK184" s="424"/>
      <c r="AL184" s="424"/>
      <c r="AM184" s="424"/>
      <c r="AN184" s="424"/>
      <c r="AO184" s="425"/>
      <c r="AP184" s="425"/>
      <c r="AQ184" s="425"/>
      <c r="AR184" s="425"/>
      <c r="AS184" s="425"/>
      <c r="AT184" s="425"/>
      <c r="AU184" s="425"/>
      <c r="AV184" s="425"/>
      <c r="AW184" s="425"/>
      <c r="AX184" s="425"/>
      <c r="AY184" s="425"/>
      <c r="AZ184" s="425"/>
      <c r="BA184" s="425"/>
      <c r="BB184" s="425"/>
      <c r="BC184" s="425"/>
      <c r="BD184" s="425"/>
      <c r="BE184" s="425"/>
      <c r="BF184" s="425"/>
      <c r="BG184" s="425"/>
      <c r="BH184" s="425"/>
      <c r="BI184" s="425"/>
      <c r="BJ184" s="425"/>
      <c r="BK184" s="425"/>
      <c r="BL184" s="425"/>
      <c r="BM184" s="425"/>
      <c r="BN184" s="425"/>
    </row>
    <row r="185" spans="1:66" ht="15.75" customHeight="1" x14ac:dyDescent="0.2">
      <c r="A185" s="424"/>
      <c r="B185" s="424"/>
      <c r="C185" s="424"/>
      <c r="D185" s="424"/>
      <c r="E185" s="424"/>
      <c r="F185" s="425"/>
      <c r="G185" s="425"/>
      <c r="H185" s="424"/>
      <c r="I185" s="424"/>
      <c r="J185" s="425"/>
      <c r="K185" s="425"/>
      <c r="L185" s="425"/>
      <c r="M185" s="425"/>
      <c r="N185" s="425"/>
      <c r="O185" s="425"/>
      <c r="P185" s="425"/>
      <c r="Q185" s="424"/>
      <c r="R185" s="426"/>
      <c r="S185" s="426"/>
      <c r="T185" s="426"/>
      <c r="U185" s="426"/>
      <c r="V185" s="326"/>
      <c r="W185" s="326"/>
      <c r="X185" s="426"/>
      <c r="Y185" s="426"/>
      <c r="Z185" s="426"/>
      <c r="AA185" s="426"/>
      <c r="AB185" s="426"/>
      <c r="AC185" s="426"/>
      <c r="AD185" s="426"/>
      <c r="AE185" s="426"/>
      <c r="AF185" s="426"/>
      <c r="AG185" s="326"/>
      <c r="AH185" s="326"/>
      <c r="AI185" s="424"/>
      <c r="AJ185" s="424"/>
      <c r="AK185" s="424"/>
      <c r="AL185" s="424"/>
      <c r="AM185" s="424"/>
      <c r="AN185" s="424"/>
      <c r="AO185" s="425"/>
      <c r="AP185" s="425"/>
      <c r="AQ185" s="425"/>
      <c r="AR185" s="425"/>
      <c r="AS185" s="425"/>
      <c r="AT185" s="425"/>
      <c r="AU185" s="425"/>
      <c r="AV185" s="425"/>
      <c r="AW185" s="425"/>
      <c r="AX185" s="425"/>
      <c r="AY185" s="425"/>
      <c r="AZ185" s="425"/>
      <c r="BA185" s="425"/>
      <c r="BB185" s="425"/>
      <c r="BC185" s="425"/>
      <c r="BD185" s="425"/>
      <c r="BE185" s="425"/>
      <c r="BF185" s="425"/>
      <c r="BG185" s="425"/>
      <c r="BH185" s="425"/>
      <c r="BI185" s="425"/>
      <c r="BJ185" s="425"/>
      <c r="BK185" s="425"/>
      <c r="BL185" s="425"/>
      <c r="BM185" s="425"/>
      <c r="BN185" s="425"/>
    </row>
    <row r="186" spans="1:66" ht="15.75" customHeight="1" x14ac:dyDescent="0.2">
      <c r="A186" s="424"/>
      <c r="B186" s="424"/>
      <c r="C186" s="424"/>
      <c r="D186" s="424"/>
      <c r="E186" s="424"/>
      <c r="F186" s="425"/>
      <c r="G186" s="425"/>
      <c r="H186" s="424"/>
      <c r="I186" s="424"/>
      <c r="J186" s="425"/>
      <c r="K186" s="425"/>
      <c r="L186" s="425"/>
      <c r="M186" s="425"/>
      <c r="N186" s="425"/>
      <c r="O186" s="425"/>
      <c r="P186" s="425"/>
      <c r="Q186" s="424"/>
      <c r="R186" s="426"/>
      <c r="S186" s="426"/>
      <c r="T186" s="426"/>
      <c r="U186" s="426"/>
      <c r="V186" s="326"/>
      <c r="W186" s="326"/>
      <c r="X186" s="426"/>
      <c r="Y186" s="426"/>
      <c r="Z186" s="426"/>
      <c r="AA186" s="426"/>
      <c r="AB186" s="426"/>
      <c r="AC186" s="426"/>
      <c r="AD186" s="426"/>
      <c r="AE186" s="426"/>
      <c r="AF186" s="426"/>
      <c r="AG186" s="326"/>
      <c r="AH186" s="326"/>
      <c r="AI186" s="424"/>
      <c r="AJ186" s="424"/>
      <c r="AK186" s="424"/>
      <c r="AL186" s="424"/>
      <c r="AM186" s="424"/>
      <c r="AN186" s="424"/>
      <c r="AO186" s="425"/>
      <c r="AP186" s="425"/>
      <c r="AQ186" s="425"/>
      <c r="AR186" s="425"/>
      <c r="AS186" s="425"/>
      <c r="AT186" s="425"/>
      <c r="AU186" s="425"/>
      <c r="AV186" s="425"/>
      <c r="AW186" s="425"/>
      <c r="AX186" s="425"/>
      <c r="AY186" s="425"/>
      <c r="AZ186" s="425"/>
      <c r="BA186" s="425"/>
      <c r="BB186" s="425"/>
      <c r="BC186" s="425"/>
      <c r="BD186" s="425"/>
      <c r="BE186" s="425"/>
      <c r="BF186" s="425"/>
      <c r="BG186" s="425"/>
      <c r="BH186" s="425"/>
      <c r="BI186" s="425"/>
      <c r="BJ186" s="425"/>
      <c r="BK186" s="425"/>
      <c r="BL186" s="425"/>
      <c r="BM186" s="425"/>
      <c r="BN186" s="425"/>
    </row>
    <row r="187" spans="1:66" ht="15.75" customHeight="1" x14ac:dyDescent="0.2">
      <c r="A187" s="424"/>
      <c r="B187" s="424"/>
      <c r="C187" s="424"/>
      <c r="D187" s="424"/>
      <c r="E187" s="424"/>
      <c r="F187" s="425"/>
      <c r="G187" s="425"/>
      <c r="H187" s="424"/>
      <c r="I187" s="424"/>
      <c r="J187" s="425"/>
      <c r="K187" s="425"/>
      <c r="L187" s="425"/>
      <c r="M187" s="425"/>
      <c r="N187" s="425"/>
      <c r="O187" s="425"/>
      <c r="P187" s="425"/>
      <c r="Q187" s="424"/>
      <c r="R187" s="426"/>
      <c r="S187" s="426"/>
      <c r="T187" s="426"/>
      <c r="U187" s="426"/>
      <c r="V187" s="326"/>
      <c r="W187" s="326"/>
      <c r="X187" s="426"/>
      <c r="Y187" s="426"/>
      <c r="Z187" s="426"/>
      <c r="AA187" s="426"/>
      <c r="AB187" s="426"/>
      <c r="AC187" s="426"/>
      <c r="AD187" s="426"/>
      <c r="AE187" s="426"/>
      <c r="AF187" s="426"/>
      <c r="AG187" s="326"/>
      <c r="AH187" s="326"/>
      <c r="AI187" s="424"/>
      <c r="AJ187" s="424"/>
      <c r="AK187" s="424"/>
      <c r="AL187" s="424"/>
      <c r="AM187" s="424"/>
      <c r="AN187" s="424"/>
      <c r="AO187" s="425"/>
      <c r="AP187" s="425"/>
      <c r="AQ187" s="425"/>
      <c r="AR187" s="425"/>
      <c r="AS187" s="425"/>
      <c r="AT187" s="425"/>
      <c r="AU187" s="425"/>
      <c r="AV187" s="425"/>
      <c r="AW187" s="425"/>
      <c r="AX187" s="425"/>
      <c r="AY187" s="425"/>
      <c r="AZ187" s="425"/>
      <c r="BA187" s="425"/>
      <c r="BB187" s="425"/>
      <c r="BC187" s="425"/>
      <c r="BD187" s="425"/>
      <c r="BE187" s="425"/>
      <c r="BF187" s="425"/>
      <c r="BG187" s="425"/>
      <c r="BH187" s="425"/>
      <c r="BI187" s="425"/>
      <c r="BJ187" s="425"/>
      <c r="BK187" s="425"/>
      <c r="BL187" s="425"/>
      <c r="BM187" s="425"/>
      <c r="BN187" s="425"/>
    </row>
    <row r="188" spans="1:66" ht="15.75" customHeight="1" x14ac:dyDescent="0.2">
      <c r="A188" s="424"/>
      <c r="B188" s="424"/>
      <c r="C188" s="424"/>
      <c r="D188" s="424"/>
      <c r="E188" s="424"/>
      <c r="F188" s="425"/>
      <c r="G188" s="425"/>
      <c r="H188" s="424"/>
      <c r="I188" s="424"/>
      <c r="J188" s="425"/>
      <c r="K188" s="425"/>
      <c r="L188" s="425"/>
      <c r="M188" s="425"/>
      <c r="N188" s="425"/>
      <c r="O188" s="425"/>
      <c r="P188" s="425"/>
      <c r="Q188" s="424"/>
      <c r="R188" s="426"/>
      <c r="S188" s="426"/>
      <c r="T188" s="426"/>
      <c r="U188" s="426"/>
      <c r="V188" s="326"/>
      <c r="W188" s="326"/>
      <c r="X188" s="426"/>
      <c r="Y188" s="426"/>
      <c r="Z188" s="426"/>
      <c r="AA188" s="426"/>
      <c r="AB188" s="426"/>
      <c r="AC188" s="426"/>
      <c r="AD188" s="426"/>
      <c r="AE188" s="426"/>
      <c r="AF188" s="426"/>
      <c r="AG188" s="326"/>
      <c r="AH188" s="326"/>
      <c r="AI188" s="424"/>
      <c r="AJ188" s="424"/>
      <c r="AK188" s="424"/>
      <c r="AL188" s="424"/>
      <c r="AM188" s="424"/>
      <c r="AN188" s="424"/>
      <c r="AO188" s="425"/>
      <c r="AP188" s="425"/>
      <c r="AQ188" s="425"/>
      <c r="AR188" s="425"/>
      <c r="AS188" s="425"/>
      <c r="AT188" s="425"/>
      <c r="AU188" s="425"/>
      <c r="AV188" s="425"/>
      <c r="AW188" s="425"/>
      <c r="AX188" s="425"/>
      <c r="AY188" s="425"/>
      <c r="AZ188" s="425"/>
      <c r="BA188" s="425"/>
      <c r="BB188" s="425"/>
      <c r="BC188" s="425"/>
      <c r="BD188" s="425"/>
      <c r="BE188" s="425"/>
      <c r="BF188" s="425"/>
      <c r="BG188" s="425"/>
      <c r="BH188" s="425"/>
      <c r="BI188" s="425"/>
      <c r="BJ188" s="425"/>
      <c r="BK188" s="425"/>
      <c r="BL188" s="425"/>
      <c r="BM188" s="425"/>
      <c r="BN188" s="425"/>
    </row>
    <row r="189" spans="1:66" ht="15.75" customHeight="1" x14ac:dyDescent="0.2">
      <c r="A189" s="424"/>
      <c r="B189" s="424"/>
      <c r="C189" s="424"/>
      <c r="D189" s="424"/>
      <c r="E189" s="424"/>
      <c r="F189" s="425"/>
      <c r="G189" s="425"/>
      <c r="H189" s="424"/>
      <c r="I189" s="424"/>
      <c r="J189" s="425"/>
      <c r="K189" s="425"/>
      <c r="L189" s="425"/>
      <c r="M189" s="425"/>
      <c r="N189" s="425"/>
      <c r="O189" s="425"/>
      <c r="P189" s="425"/>
      <c r="Q189" s="424"/>
      <c r="R189" s="426"/>
      <c r="S189" s="426"/>
      <c r="T189" s="426"/>
      <c r="U189" s="426"/>
      <c r="V189" s="326"/>
      <c r="W189" s="326"/>
      <c r="X189" s="426"/>
      <c r="Y189" s="426"/>
      <c r="Z189" s="426"/>
      <c r="AA189" s="426"/>
      <c r="AB189" s="426"/>
      <c r="AC189" s="426"/>
      <c r="AD189" s="426"/>
      <c r="AE189" s="426"/>
      <c r="AF189" s="426"/>
      <c r="AG189" s="326"/>
      <c r="AH189" s="326"/>
      <c r="AI189" s="424"/>
      <c r="AJ189" s="424"/>
      <c r="AK189" s="424"/>
      <c r="AL189" s="424"/>
      <c r="AM189" s="424"/>
      <c r="AN189" s="424"/>
      <c r="AO189" s="425"/>
      <c r="AP189" s="425"/>
      <c r="AQ189" s="425"/>
      <c r="AR189" s="425"/>
      <c r="AS189" s="425"/>
      <c r="AT189" s="425"/>
      <c r="AU189" s="425"/>
      <c r="AV189" s="425"/>
      <c r="AW189" s="425"/>
      <c r="AX189" s="425"/>
      <c r="AY189" s="425"/>
      <c r="AZ189" s="425"/>
      <c r="BA189" s="425"/>
      <c r="BB189" s="425"/>
      <c r="BC189" s="425"/>
      <c r="BD189" s="425"/>
      <c r="BE189" s="425"/>
      <c r="BF189" s="425"/>
      <c r="BG189" s="425"/>
      <c r="BH189" s="425"/>
      <c r="BI189" s="425"/>
      <c r="BJ189" s="425"/>
      <c r="BK189" s="425"/>
      <c r="BL189" s="425"/>
      <c r="BM189" s="425"/>
      <c r="BN189" s="425"/>
    </row>
    <row r="190" spans="1:66" ht="15.75" customHeight="1" x14ac:dyDescent="0.2">
      <c r="A190" s="424"/>
      <c r="B190" s="424"/>
      <c r="C190" s="424"/>
      <c r="D190" s="424"/>
      <c r="E190" s="424"/>
      <c r="F190" s="425"/>
      <c r="G190" s="425"/>
      <c r="H190" s="424"/>
      <c r="I190" s="424"/>
      <c r="J190" s="425"/>
      <c r="K190" s="425"/>
      <c r="L190" s="425"/>
      <c r="M190" s="425"/>
      <c r="N190" s="425"/>
      <c r="O190" s="425"/>
      <c r="P190" s="425"/>
      <c r="Q190" s="424"/>
      <c r="R190" s="426"/>
      <c r="S190" s="426"/>
      <c r="T190" s="426"/>
      <c r="U190" s="426"/>
      <c r="V190" s="326"/>
      <c r="W190" s="326"/>
      <c r="X190" s="426"/>
      <c r="Y190" s="426"/>
      <c r="Z190" s="426"/>
      <c r="AA190" s="426"/>
      <c r="AB190" s="426"/>
      <c r="AC190" s="426"/>
      <c r="AD190" s="426"/>
      <c r="AE190" s="426"/>
      <c r="AF190" s="426"/>
      <c r="AG190" s="326"/>
      <c r="AH190" s="326"/>
      <c r="AI190" s="424"/>
      <c r="AJ190" s="424"/>
      <c r="AK190" s="424"/>
      <c r="AL190" s="424"/>
      <c r="AM190" s="424"/>
      <c r="AN190" s="424"/>
      <c r="AO190" s="425"/>
      <c r="AP190" s="425"/>
      <c r="AQ190" s="425"/>
      <c r="AR190" s="425"/>
      <c r="AS190" s="425"/>
      <c r="AT190" s="425"/>
      <c r="AU190" s="425"/>
      <c r="AV190" s="425"/>
      <c r="AW190" s="425"/>
      <c r="AX190" s="425"/>
      <c r="AY190" s="425"/>
      <c r="AZ190" s="425"/>
      <c r="BA190" s="425"/>
      <c r="BB190" s="425"/>
      <c r="BC190" s="425"/>
      <c r="BD190" s="425"/>
      <c r="BE190" s="425"/>
      <c r="BF190" s="425"/>
      <c r="BG190" s="425"/>
      <c r="BH190" s="425"/>
      <c r="BI190" s="425"/>
      <c r="BJ190" s="425"/>
      <c r="BK190" s="425"/>
      <c r="BL190" s="425"/>
      <c r="BM190" s="425"/>
      <c r="BN190" s="425"/>
    </row>
    <row r="191" spans="1:66" ht="15.75" customHeight="1" x14ac:dyDescent="0.2">
      <c r="A191" s="424"/>
      <c r="B191" s="424"/>
      <c r="C191" s="424"/>
      <c r="D191" s="424"/>
      <c r="E191" s="424"/>
      <c r="F191" s="425"/>
      <c r="G191" s="425"/>
      <c r="H191" s="424"/>
      <c r="I191" s="424"/>
      <c r="J191" s="425"/>
      <c r="K191" s="425"/>
      <c r="L191" s="425"/>
      <c r="M191" s="425"/>
      <c r="N191" s="425"/>
      <c r="O191" s="425"/>
      <c r="P191" s="425"/>
      <c r="Q191" s="424"/>
      <c r="R191" s="426"/>
      <c r="S191" s="426"/>
      <c r="T191" s="426"/>
      <c r="U191" s="426"/>
      <c r="V191" s="326"/>
      <c r="W191" s="326"/>
      <c r="X191" s="426"/>
      <c r="Y191" s="426"/>
      <c r="Z191" s="426"/>
      <c r="AA191" s="426"/>
      <c r="AB191" s="426"/>
      <c r="AC191" s="426"/>
      <c r="AD191" s="426"/>
      <c r="AE191" s="426"/>
      <c r="AF191" s="426"/>
      <c r="AG191" s="326"/>
      <c r="AH191" s="326"/>
      <c r="AI191" s="424"/>
      <c r="AJ191" s="424"/>
      <c r="AK191" s="424"/>
      <c r="AL191" s="424"/>
      <c r="AM191" s="424"/>
      <c r="AN191" s="424"/>
      <c r="AO191" s="425"/>
      <c r="AP191" s="425"/>
      <c r="AQ191" s="425"/>
      <c r="AR191" s="425"/>
      <c r="AS191" s="425"/>
      <c r="AT191" s="425"/>
      <c r="AU191" s="425"/>
      <c r="AV191" s="425"/>
      <c r="AW191" s="425"/>
      <c r="AX191" s="425"/>
      <c r="AY191" s="425"/>
      <c r="AZ191" s="425"/>
      <c r="BA191" s="425"/>
      <c r="BB191" s="425"/>
      <c r="BC191" s="425"/>
      <c r="BD191" s="425"/>
      <c r="BE191" s="425"/>
      <c r="BF191" s="425"/>
      <c r="BG191" s="425"/>
      <c r="BH191" s="425"/>
      <c r="BI191" s="425"/>
      <c r="BJ191" s="425"/>
      <c r="BK191" s="425"/>
      <c r="BL191" s="425"/>
      <c r="BM191" s="425"/>
      <c r="BN191" s="425"/>
    </row>
    <row r="192" spans="1:66" ht="15.75" customHeight="1" x14ac:dyDescent="0.2">
      <c r="A192" s="424"/>
      <c r="B192" s="424"/>
      <c r="C192" s="424"/>
      <c r="D192" s="424"/>
      <c r="E192" s="424"/>
      <c r="F192" s="425"/>
      <c r="G192" s="425"/>
      <c r="H192" s="424"/>
      <c r="I192" s="424"/>
      <c r="J192" s="425"/>
      <c r="K192" s="425"/>
      <c r="L192" s="425"/>
      <c r="M192" s="425"/>
      <c r="N192" s="425"/>
      <c r="O192" s="425"/>
      <c r="P192" s="425"/>
      <c r="Q192" s="424"/>
      <c r="R192" s="426"/>
      <c r="S192" s="426"/>
      <c r="T192" s="426"/>
      <c r="U192" s="426"/>
      <c r="V192" s="326"/>
      <c r="W192" s="326"/>
      <c r="X192" s="426"/>
      <c r="Y192" s="426"/>
      <c r="Z192" s="426"/>
      <c r="AA192" s="426"/>
      <c r="AB192" s="426"/>
      <c r="AC192" s="426"/>
      <c r="AD192" s="426"/>
      <c r="AE192" s="426"/>
      <c r="AF192" s="426"/>
      <c r="AG192" s="326"/>
      <c r="AH192" s="326"/>
      <c r="AI192" s="424"/>
      <c r="AJ192" s="424"/>
      <c r="AK192" s="424"/>
      <c r="AL192" s="424"/>
      <c r="AM192" s="424"/>
      <c r="AN192" s="424"/>
      <c r="AO192" s="425"/>
      <c r="AP192" s="425"/>
      <c r="AQ192" s="425"/>
      <c r="AR192" s="425"/>
      <c r="AS192" s="425"/>
      <c r="AT192" s="425"/>
      <c r="AU192" s="425"/>
      <c r="AV192" s="425"/>
      <c r="AW192" s="425"/>
      <c r="AX192" s="425"/>
      <c r="AY192" s="425"/>
      <c r="AZ192" s="425"/>
      <c r="BA192" s="425"/>
      <c r="BB192" s="425"/>
      <c r="BC192" s="425"/>
      <c r="BD192" s="425"/>
      <c r="BE192" s="425"/>
      <c r="BF192" s="425"/>
      <c r="BG192" s="425"/>
      <c r="BH192" s="425"/>
      <c r="BI192" s="425"/>
      <c r="BJ192" s="425"/>
      <c r="BK192" s="425"/>
      <c r="BL192" s="425"/>
      <c r="BM192" s="425"/>
      <c r="BN192" s="425"/>
    </row>
    <row r="193" spans="1:66" ht="15.75" customHeight="1" x14ac:dyDescent="0.2">
      <c r="A193" s="424"/>
      <c r="B193" s="424"/>
      <c r="C193" s="424"/>
      <c r="D193" s="424"/>
      <c r="E193" s="424"/>
      <c r="F193" s="425"/>
      <c r="G193" s="425"/>
      <c r="H193" s="424"/>
      <c r="I193" s="424"/>
      <c r="J193" s="425"/>
      <c r="K193" s="425"/>
      <c r="L193" s="425"/>
      <c r="M193" s="425"/>
      <c r="N193" s="425"/>
      <c r="O193" s="425"/>
      <c r="P193" s="425"/>
      <c r="Q193" s="424"/>
      <c r="R193" s="426"/>
      <c r="S193" s="426"/>
      <c r="T193" s="426"/>
      <c r="U193" s="426"/>
      <c r="V193" s="326"/>
      <c r="W193" s="326"/>
      <c r="X193" s="426"/>
      <c r="Y193" s="426"/>
      <c r="Z193" s="426"/>
      <c r="AA193" s="426"/>
      <c r="AB193" s="426"/>
      <c r="AC193" s="426"/>
      <c r="AD193" s="426"/>
      <c r="AE193" s="426"/>
      <c r="AF193" s="426"/>
      <c r="AG193" s="326"/>
      <c r="AH193" s="326"/>
      <c r="AI193" s="424"/>
      <c r="AJ193" s="424"/>
      <c r="AK193" s="424"/>
      <c r="AL193" s="424"/>
      <c r="AM193" s="424"/>
      <c r="AN193" s="424"/>
      <c r="AO193" s="425"/>
      <c r="AP193" s="425"/>
      <c r="AQ193" s="425"/>
      <c r="AR193" s="425"/>
      <c r="AS193" s="425"/>
      <c r="AT193" s="425"/>
      <c r="AU193" s="425"/>
      <c r="AV193" s="425"/>
      <c r="AW193" s="425"/>
      <c r="AX193" s="425"/>
      <c r="AY193" s="425"/>
      <c r="AZ193" s="425"/>
      <c r="BA193" s="425"/>
      <c r="BB193" s="425"/>
      <c r="BC193" s="425"/>
      <c r="BD193" s="425"/>
      <c r="BE193" s="425"/>
      <c r="BF193" s="425"/>
      <c r="BG193" s="425"/>
      <c r="BH193" s="425"/>
      <c r="BI193" s="425"/>
      <c r="BJ193" s="425"/>
      <c r="BK193" s="425"/>
      <c r="BL193" s="425"/>
      <c r="BM193" s="425"/>
      <c r="BN193" s="425"/>
    </row>
    <row r="194" spans="1:66" ht="15.75" customHeight="1" x14ac:dyDescent="0.2">
      <c r="A194" s="424"/>
      <c r="B194" s="424"/>
      <c r="C194" s="424"/>
      <c r="D194" s="424"/>
      <c r="E194" s="424"/>
      <c r="F194" s="425"/>
      <c r="G194" s="425"/>
      <c r="H194" s="424"/>
      <c r="I194" s="424"/>
      <c r="J194" s="425"/>
      <c r="K194" s="425"/>
      <c r="L194" s="425"/>
      <c r="M194" s="425"/>
      <c r="N194" s="425"/>
      <c r="O194" s="425"/>
      <c r="P194" s="425"/>
      <c r="Q194" s="424"/>
      <c r="R194" s="426"/>
      <c r="S194" s="426"/>
      <c r="T194" s="426"/>
      <c r="U194" s="426"/>
      <c r="V194" s="326"/>
      <c r="W194" s="326"/>
      <c r="X194" s="426"/>
      <c r="Y194" s="426"/>
      <c r="Z194" s="426"/>
      <c r="AA194" s="426"/>
      <c r="AB194" s="426"/>
      <c r="AC194" s="426"/>
      <c r="AD194" s="426"/>
      <c r="AE194" s="426"/>
      <c r="AF194" s="426"/>
      <c r="AG194" s="326"/>
      <c r="AH194" s="326"/>
      <c r="AI194" s="424"/>
      <c r="AJ194" s="424"/>
      <c r="AK194" s="424"/>
      <c r="AL194" s="424"/>
      <c r="AM194" s="424"/>
      <c r="AN194" s="424"/>
      <c r="AO194" s="425"/>
      <c r="AP194" s="425"/>
      <c r="AQ194" s="425"/>
      <c r="AR194" s="425"/>
      <c r="AS194" s="425"/>
      <c r="AT194" s="425"/>
      <c r="AU194" s="425"/>
      <c r="AV194" s="425"/>
      <c r="AW194" s="425"/>
      <c r="AX194" s="425"/>
      <c r="AY194" s="425"/>
      <c r="AZ194" s="425"/>
      <c r="BA194" s="425"/>
      <c r="BB194" s="425"/>
      <c r="BC194" s="425"/>
      <c r="BD194" s="425"/>
      <c r="BE194" s="425"/>
      <c r="BF194" s="425"/>
      <c r="BG194" s="425"/>
      <c r="BH194" s="425"/>
      <c r="BI194" s="425"/>
      <c r="BJ194" s="425"/>
      <c r="BK194" s="425"/>
      <c r="BL194" s="425"/>
      <c r="BM194" s="425"/>
      <c r="BN194" s="425"/>
    </row>
    <row r="195" spans="1:66" ht="15.75" customHeight="1" x14ac:dyDescent="0.2">
      <c r="A195" s="424"/>
      <c r="B195" s="424"/>
      <c r="C195" s="424"/>
      <c r="D195" s="424"/>
      <c r="E195" s="424"/>
      <c r="F195" s="425"/>
      <c r="G195" s="425"/>
      <c r="H195" s="424"/>
      <c r="I195" s="424"/>
      <c r="J195" s="425"/>
      <c r="K195" s="425"/>
      <c r="L195" s="425"/>
      <c r="M195" s="425"/>
      <c r="N195" s="425"/>
      <c r="O195" s="425"/>
      <c r="P195" s="425"/>
      <c r="Q195" s="424"/>
      <c r="R195" s="426"/>
      <c r="S195" s="426"/>
      <c r="T195" s="426"/>
      <c r="U195" s="426"/>
      <c r="V195" s="326"/>
      <c r="W195" s="326"/>
      <c r="X195" s="426"/>
      <c r="Y195" s="426"/>
      <c r="Z195" s="426"/>
      <c r="AA195" s="426"/>
      <c r="AB195" s="426"/>
      <c r="AC195" s="426"/>
      <c r="AD195" s="426"/>
      <c r="AE195" s="426"/>
      <c r="AF195" s="426"/>
      <c r="AG195" s="326"/>
      <c r="AH195" s="326"/>
      <c r="AI195" s="424"/>
      <c r="AJ195" s="424"/>
      <c r="AK195" s="424"/>
      <c r="AL195" s="424"/>
      <c r="AM195" s="424"/>
      <c r="AN195" s="424"/>
      <c r="AO195" s="425"/>
      <c r="AP195" s="425"/>
      <c r="AQ195" s="425"/>
      <c r="AR195" s="425"/>
      <c r="AS195" s="425"/>
      <c r="AT195" s="425"/>
      <c r="AU195" s="425"/>
      <c r="AV195" s="425"/>
      <c r="AW195" s="425"/>
      <c r="AX195" s="425"/>
      <c r="AY195" s="425"/>
      <c r="AZ195" s="425"/>
      <c r="BA195" s="425"/>
      <c r="BB195" s="425"/>
      <c r="BC195" s="425"/>
      <c r="BD195" s="425"/>
      <c r="BE195" s="425"/>
      <c r="BF195" s="425"/>
      <c r="BG195" s="425"/>
      <c r="BH195" s="425"/>
      <c r="BI195" s="425"/>
      <c r="BJ195" s="425"/>
      <c r="BK195" s="425"/>
      <c r="BL195" s="425"/>
      <c r="BM195" s="425"/>
      <c r="BN195" s="425"/>
    </row>
    <row r="196" spans="1:66" ht="15.75" customHeight="1" x14ac:dyDescent="0.2">
      <c r="A196" s="424"/>
      <c r="B196" s="424"/>
      <c r="C196" s="424"/>
      <c r="D196" s="424"/>
      <c r="E196" s="424"/>
      <c r="F196" s="425"/>
      <c r="G196" s="425"/>
      <c r="H196" s="424"/>
      <c r="I196" s="424"/>
      <c r="J196" s="425"/>
      <c r="K196" s="425"/>
      <c r="L196" s="425"/>
      <c r="M196" s="425"/>
      <c r="N196" s="425"/>
      <c r="O196" s="425"/>
      <c r="P196" s="425"/>
      <c r="Q196" s="424"/>
      <c r="R196" s="426"/>
      <c r="S196" s="426"/>
      <c r="T196" s="426"/>
      <c r="U196" s="426"/>
      <c r="V196" s="326"/>
      <c r="W196" s="326"/>
      <c r="X196" s="426"/>
      <c r="Y196" s="426"/>
      <c r="Z196" s="426"/>
      <c r="AA196" s="426"/>
      <c r="AB196" s="426"/>
      <c r="AC196" s="426"/>
      <c r="AD196" s="426"/>
      <c r="AE196" s="426"/>
      <c r="AF196" s="426"/>
      <c r="AG196" s="326"/>
      <c r="AH196" s="326"/>
      <c r="AI196" s="424"/>
      <c r="AJ196" s="424"/>
      <c r="AK196" s="424"/>
      <c r="AL196" s="424"/>
      <c r="AM196" s="424"/>
      <c r="AN196" s="424"/>
      <c r="AO196" s="425"/>
      <c r="AP196" s="425"/>
      <c r="AQ196" s="425"/>
      <c r="AR196" s="425"/>
      <c r="AS196" s="425"/>
      <c r="AT196" s="425"/>
      <c r="AU196" s="425"/>
      <c r="AV196" s="425"/>
      <c r="AW196" s="425"/>
      <c r="AX196" s="425"/>
      <c r="AY196" s="425"/>
      <c r="AZ196" s="425"/>
      <c r="BA196" s="425"/>
      <c r="BB196" s="425"/>
      <c r="BC196" s="425"/>
      <c r="BD196" s="425"/>
      <c r="BE196" s="425"/>
      <c r="BF196" s="425"/>
      <c r="BG196" s="425"/>
      <c r="BH196" s="425"/>
      <c r="BI196" s="425"/>
      <c r="BJ196" s="425"/>
      <c r="BK196" s="425"/>
      <c r="BL196" s="425"/>
      <c r="BM196" s="425"/>
      <c r="BN196" s="425"/>
    </row>
    <row r="197" spans="1:66" ht="15.75" customHeight="1" x14ac:dyDescent="0.2">
      <c r="A197" s="424"/>
      <c r="B197" s="424"/>
      <c r="C197" s="424"/>
      <c r="D197" s="424"/>
      <c r="E197" s="424"/>
      <c r="F197" s="425"/>
      <c r="G197" s="425"/>
      <c r="H197" s="424"/>
      <c r="I197" s="424"/>
      <c r="J197" s="425"/>
      <c r="K197" s="425"/>
      <c r="L197" s="425"/>
      <c r="M197" s="425"/>
      <c r="N197" s="425"/>
      <c r="O197" s="425"/>
      <c r="P197" s="425"/>
      <c r="Q197" s="424"/>
      <c r="R197" s="426"/>
      <c r="S197" s="426"/>
      <c r="T197" s="426"/>
      <c r="U197" s="426"/>
      <c r="V197" s="326"/>
      <c r="W197" s="326"/>
      <c r="X197" s="426"/>
      <c r="Y197" s="426"/>
      <c r="Z197" s="426"/>
      <c r="AA197" s="426"/>
      <c r="AB197" s="426"/>
      <c r="AC197" s="426"/>
      <c r="AD197" s="426"/>
      <c r="AE197" s="426"/>
      <c r="AF197" s="426"/>
      <c r="AG197" s="326"/>
      <c r="AH197" s="326"/>
      <c r="AI197" s="424"/>
      <c r="AJ197" s="424"/>
      <c r="AK197" s="424"/>
      <c r="AL197" s="424"/>
      <c r="AM197" s="424"/>
      <c r="AN197" s="424"/>
      <c r="AO197" s="425"/>
      <c r="AP197" s="425"/>
      <c r="AQ197" s="425"/>
      <c r="AR197" s="425"/>
      <c r="AS197" s="425"/>
      <c r="AT197" s="425"/>
      <c r="AU197" s="425"/>
      <c r="AV197" s="425"/>
      <c r="AW197" s="425"/>
      <c r="AX197" s="425"/>
      <c r="AY197" s="425"/>
      <c r="AZ197" s="425"/>
      <c r="BA197" s="425"/>
      <c r="BB197" s="425"/>
      <c r="BC197" s="425"/>
      <c r="BD197" s="425"/>
      <c r="BE197" s="425"/>
      <c r="BF197" s="425"/>
      <c r="BG197" s="425"/>
      <c r="BH197" s="425"/>
      <c r="BI197" s="425"/>
      <c r="BJ197" s="425"/>
      <c r="BK197" s="425"/>
      <c r="BL197" s="425"/>
      <c r="BM197" s="425"/>
      <c r="BN197" s="425"/>
    </row>
    <row r="198" spans="1:66" ht="15.75" customHeight="1" x14ac:dyDescent="0.2">
      <c r="A198" s="424"/>
      <c r="B198" s="424"/>
      <c r="C198" s="424"/>
      <c r="D198" s="424"/>
      <c r="E198" s="424"/>
      <c r="F198" s="425"/>
      <c r="G198" s="425"/>
      <c r="H198" s="424"/>
      <c r="I198" s="424"/>
      <c r="J198" s="425"/>
      <c r="K198" s="425"/>
      <c r="L198" s="425"/>
      <c r="M198" s="425"/>
      <c r="N198" s="425"/>
      <c r="O198" s="425"/>
      <c r="P198" s="425"/>
      <c r="Q198" s="424"/>
      <c r="R198" s="426"/>
      <c r="S198" s="426"/>
      <c r="T198" s="426"/>
      <c r="U198" s="426"/>
      <c r="V198" s="326"/>
      <c r="W198" s="326"/>
      <c r="X198" s="426"/>
      <c r="Y198" s="426"/>
      <c r="Z198" s="426"/>
      <c r="AA198" s="426"/>
      <c r="AB198" s="426"/>
      <c r="AC198" s="426"/>
      <c r="AD198" s="426"/>
      <c r="AE198" s="426"/>
      <c r="AF198" s="426"/>
      <c r="AG198" s="326"/>
      <c r="AH198" s="326"/>
      <c r="AI198" s="424"/>
      <c r="AJ198" s="424"/>
      <c r="AK198" s="424"/>
      <c r="AL198" s="424"/>
      <c r="AM198" s="424"/>
      <c r="AN198" s="424"/>
      <c r="AO198" s="425"/>
      <c r="AP198" s="425"/>
      <c r="AQ198" s="425"/>
      <c r="AR198" s="425"/>
      <c r="AS198" s="425"/>
      <c r="AT198" s="425"/>
      <c r="AU198" s="425"/>
      <c r="AV198" s="425"/>
      <c r="AW198" s="425"/>
      <c r="AX198" s="425"/>
      <c r="AY198" s="425"/>
      <c r="AZ198" s="425"/>
      <c r="BA198" s="425"/>
      <c r="BB198" s="425"/>
      <c r="BC198" s="425"/>
      <c r="BD198" s="425"/>
      <c r="BE198" s="425"/>
      <c r="BF198" s="425"/>
      <c r="BG198" s="425"/>
      <c r="BH198" s="425"/>
      <c r="BI198" s="425"/>
      <c r="BJ198" s="425"/>
      <c r="BK198" s="425"/>
      <c r="BL198" s="425"/>
      <c r="BM198" s="425"/>
      <c r="BN198" s="425"/>
    </row>
    <row r="199" spans="1:66" ht="15.75" customHeight="1" x14ac:dyDescent="0.2">
      <c r="A199" s="424"/>
      <c r="B199" s="424"/>
      <c r="C199" s="424"/>
      <c r="D199" s="424"/>
      <c r="E199" s="424"/>
      <c r="F199" s="425"/>
      <c r="G199" s="425"/>
      <c r="H199" s="424"/>
      <c r="I199" s="424"/>
      <c r="J199" s="425"/>
      <c r="K199" s="425"/>
      <c r="L199" s="425"/>
      <c r="M199" s="425"/>
      <c r="N199" s="425"/>
      <c r="O199" s="425"/>
      <c r="P199" s="425"/>
      <c r="Q199" s="424"/>
      <c r="R199" s="426"/>
      <c r="S199" s="426"/>
      <c r="T199" s="426"/>
      <c r="U199" s="426"/>
      <c r="V199" s="326"/>
      <c r="W199" s="326"/>
      <c r="X199" s="426"/>
      <c r="Y199" s="426"/>
      <c r="Z199" s="426"/>
      <c r="AA199" s="426"/>
      <c r="AB199" s="426"/>
      <c r="AC199" s="426"/>
      <c r="AD199" s="426"/>
      <c r="AE199" s="426"/>
      <c r="AF199" s="426"/>
      <c r="AG199" s="326"/>
      <c r="AH199" s="326"/>
      <c r="AI199" s="424"/>
      <c r="AJ199" s="424"/>
      <c r="AK199" s="424"/>
      <c r="AL199" s="424"/>
      <c r="AM199" s="424"/>
      <c r="AN199" s="424"/>
      <c r="AO199" s="425"/>
      <c r="AP199" s="425"/>
      <c r="AQ199" s="425"/>
      <c r="AR199" s="425"/>
      <c r="AS199" s="425"/>
      <c r="AT199" s="425"/>
      <c r="AU199" s="425"/>
      <c r="AV199" s="425"/>
      <c r="AW199" s="425"/>
      <c r="AX199" s="425"/>
      <c r="AY199" s="425"/>
      <c r="AZ199" s="425"/>
      <c r="BA199" s="425"/>
      <c r="BB199" s="425"/>
      <c r="BC199" s="425"/>
      <c r="BD199" s="425"/>
      <c r="BE199" s="425"/>
      <c r="BF199" s="425"/>
      <c r="BG199" s="425"/>
      <c r="BH199" s="425"/>
      <c r="BI199" s="425"/>
      <c r="BJ199" s="425"/>
      <c r="BK199" s="425"/>
      <c r="BL199" s="425"/>
      <c r="BM199" s="425"/>
      <c r="BN199" s="425"/>
    </row>
    <row r="200" spans="1:66" ht="15.75" customHeight="1" x14ac:dyDescent="0.2">
      <c r="A200" s="424"/>
      <c r="B200" s="424"/>
      <c r="C200" s="424"/>
      <c r="D200" s="424"/>
      <c r="E200" s="424"/>
      <c r="F200" s="425"/>
      <c r="G200" s="425"/>
      <c r="H200" s="424"/>
      <c r="I200" s="424"/>
      <c r="J200" s="425"/>
      <c r="K200" s="425"/>
      <c r="L200" s="425"/>
      <c r="M200" s="425"/>
      <c r="N200" s="425"/>
      <c r="O200" s="425"/>
      <c r="P200" s="425"/>
      <c r="Q200" s="424"/>
      <c r="R200" s="426"/>
      <c r="S200" s="426"/>
      <c r="T200" s="426"/>
      <c r="U200" s="426"/>
      <c r="V200" s="326"/>
      <c r="W200" s="326"/>
      <c r="X200" s="426"/>
      <c r="Y200" s="426"/>
      <c r="Z200" s="426"/>
      <c r="AA200" s="426"/>
      <c r="AB200" s="426"/>
      <c r="AC200" s="426"/>
      <c r="AD200" s="426"/>
      <c r="AE200" s="426"/>
      <c r="AF200" s="426"/>
      <c r="AG200" s="326"/>
      <c r="AH200" s="326"/>
      <c r="AI200" s="424"/>
      <c r="AJ200" s="424"/>
      <c r="AK200" s="424"/>
      <c r="AL200" s="424"/>
      <c r="AM200" s="424"/>
      <c r="AN200" s="424"/>
      <c r="AO200" s="425"/>
      <c r="AP200" s="425"/>
      <c r="AQ200" s="425"/>
      <c r="AR200" s="425"/>
      <c r="AS200" s="425"/>
      <c r="AT200" s="425"/>
      <c r="AU200" s="425"/>
      <c r="AV200" s="425"/>
      <c r="AW200" s="425"/>
      <c r="AX200" s="425"/>
      <c r="AY200" s="425"/>
      <c r="AZ200" s="425"/>
      <c r="BA200" s="425"/>
      <c r="BB200" s="425"/>
      <c r="BC200" s="425"/>
      <c r="BD200" s="425"/>
      <c r="BE200" s="425"/>
      <c r="BF200" s="425"/>
      <c r="BG200" s="425"/>
      <c r="BH200" s="425"/>
      <c r="BI200" s="425"/>
      <c r="BJ200" s="425"/>
      <c r="BK200" s="425"/>
      <c r="BL200" s="425"/>
      <c r="BM200" s="425"/>
      <c r="BN200" s="425"/>
    </row>
    <row r="201" spans="1:66" ht="15.75" customHeight="1" x14ac:dyDescent="0.2">
      <c r="A201" s="424"/>
      <c r="B201" s="424"/>
      <c r="C201" s="424"/>
      <c r="D201" s="424"/>
      <c r="E201" s="424"/>
      <c r="F201" s="425"/>
      <c r="G201" s="425"/>
      <c r="H201" s="424"/>
      <c r="I201" s="424"/>
      <c r="J201" s="425"/>
      <c r="K201" s="425"/>
      <c r="L201" s="425"/>
      <c r="M201" s="425"/>
      <c r="N201" s="425"/>
      <c r="O201" s="425"/>
      <c r="P201" s="425"/>
      <c r="Q201" s="424"/>
      <c r="R201" s="426"/>
      <c r="S201" s="426"/>
      <c r="T201" s="426"/>
      <c r="U201" s="426"/>
      <c r="V201" s="326"/>
      <c r="W201" s="326"/>
      <c r="X201" s="426"/>
      <c r="Y201" s="426"/>
      <c r="Z201" s="426"/>
      <c r="AA201" s="426"/>
      <c r="AB201" s="426"/>
      <c r="AC201" s="426"/>
      <c r="AD201" s="426"/>
      <c r="AE201" s="426"/>
      <c r="AF201" s="426"/>
      <c r="AG201" s="326"/>
      <c r="AH201" s="326"/>
      <c r="AI201" s="424"/>
      <c r="AJ201" s="424"/>
      <c r="AK201" s="424"/>
      <c r="AL201" s="424"/>
      <c r="AM201" s="424"/>
      <c r="AN201" s="424"/>
      <c r="AO201" s="425"/>
      <c r="AP201" s="425"/>
      <c r="AQ201" s="425"/>
      <c r="AR201" s="425"/>
      <c r="AS201" s="425"/>
      <c r="AT201" s="425"/>
      <c r="AU201" s="425"/>
      <c r="AV201" s="425"/>
      <c r="AW201" s="425"/>
      <c r="AX201" s="425"/>
      <c r="AY201" s="425"/>
      <c r="AZ201" s="425"/>
      <c r="BA201" s="425"/>
      <c r="BB201" s="425"/>
      <c r="BC201" s="425"/>
      <c r="BD201" s="425"/>
      <c r="BE201" s="425"/>
      <c r="BF201" s="425"/>
      <c r="BG201" s="425"/>
      <c r="BH201" s="425"/>
      <c r="BI201" s="425"/>
      <c r="BJ201" s="425"/>
      <c r="BK201" s="425"/>
      <c r="BL201" s="425"/>
      <c r="BM201" s="425"/>
      <c r="BN201" s="425"/>
    </row>
    <row r="202" spans="1:66" ht="15.75" customHeight="1" x14ac:dyDescent="0.2">
      <c r="A202" s="424"/>
      <c r="B202" s="424"/>
      <c r="C202" s="424"/>
      <c r="D202" s="424"/>
      <c r="E202" s="424"/>
      <c r="F202" s="425"/>
      <c r="G202" s="425"/>
      <c r="H202" s="424"/>
      <c r="I202" s="424"/>
      <c r="J202" s="425"/>
      <c r="K202" s="425"/>
      <c r="L202" s="425"/>
      <c r="M202" s="425"/>
      <c r="N202" s="425"/>
      <c r="O202" s="425"/>
      <c r="P202" s="425"/>
      <c r="Q202" s="424"/>
      <c r="R202" s="426"/>
      <c r="S202" s="426"/>
      <c r="T202" s="426"/>
      <c r="U202" s="426"/>
      <c r="V202" s="326"/>
      <c r="W202" s="326"/>
      <c r="X202" s="426"/>
      <c r="Y202" s="426"/>
      <c r="Z202" s="426"/>
      <c r="AA202" s="426"/>
      <c r="AB202" s="426"/>
      <c r="AC202" s="426"/>
      <c r="AD202" s="426"/>
      <c r="AE202" s="426"/>
      <c r="AF202" s="426"/>
      <c r="AG202" s="326"/>
      <c r="AH202" s="326"/>
      <c r="AI202" s="424"/>
      <c r="AJ202" s="424"/>
      <c r="AK202" s="424"/>
      <c r="AL202" s="424"/>
      <c r="AM202" s="424"/>
      <c r="AN202" s="424"/>
      <c r="AO202" s="425"/>
      <c r="AP202" s="425"/>
      <c r="AQ202" s="425"/>
      <c r="AR202" s="425"/>
      <c r="AS202" s="425"/>
      <c r="AT202" s="425"/>
      <c r="AU202" s="425"/>
      <c r="AV202" s="425"/>
      <c r="AW202" s="425"/>
      <c r="AX202" s="425"/>
      <c r="AY202" s="425"/>
      <c r="AZ202" s="425"/>
      <c r="BA202" s="425"/>
      <c r="BB202" s="425"/>
      <c r="BC202" s="425"/>
      <c r="BD202" s="425"/>
      <c r="BE202" s="425"/>
      <c r="BF202" s="425"/>
      <c r="BG202" s="425"/>
      <c r="BH202" s="425"/>
      <c r="BI202" s="425"/>
      <c r="BJ202" s="425"/>
      <c r="BK202" s="425"/>
      <c r="BL202" s="425"/>
      <c r="BM202" s="425"/>
      <c r="BN202" s="425"/>
    </row>
    <row r="203" spans="1:66" ht="15.75" customHeight="1" x14ac:dyDescent="0.2">
      <c r="A203" s="424"/>
      <c r="B203" s="424"/>
      <c r="C203" s="424"/>
      <c r="D203" s="424"/>
      <c r="E203" s="424"/>
      <c r="F203" s="425"/>
      <c r="G203" s="425"/>
      <c r="H203" s="424"/>
      <c r="I203" s="424"/>
      <c r="J203" s="425"/>
      <c r="K203" s="425"/>
      <c r="L203" s="425"/>
      <c r="M203" s="425"/>
      <c r="N203" s="425"/>
      <c r="O203" s="425"/>
      <c r="P203" s="425"/>
      <c r="Q203" s="424"/>
      <c r="R203" s="426"/>
      <c r="S203" s="426"/>
      <c r="T203" s="426"/>
      <c r="U203" s="426"/>
      <c r="V203" s="326"/>
      <c r="W203" s="326"/>
      <c r="X203" s="426"/>
      <c r="Y203" s="426"/>
      <c r="Z203" s="426"/>
      <c r="AA203" s="426"/>
      <c r="AB203" s="426"/>
      <c r="AC203" s="426"/>
      <c r="AD203" s="426"/>
      <c r="AE203" s="426"/>
      <c r="AF203" s="426"/>
      <c r="AG203" s="326"/>
      <c r="AH203" s="326"/>
      <c r="AI203" s="424"/>
      <c r="AJ203" s="424"/>
      <c r="AK203" s="424"/>
      <c r="AL203" s="424"/>
      <c r="AM203" s="424"/>
      <c r="AN203" s="424"/>
      <c r="AO203" s="425"/>
      <c r="AP203" s="425"/>
      <c r="AQ203" s="425"/>
      <c r="AR203" s="425"/>
      <c r="AS203" s="425"/>
      <c r="AT203" s="425"/>
      <c r="AU203" s="425"/>
      <c r="AV203" s="425"/>
      <c r="AW203" s="425"/>
      <c r="AX203" s="425"/>
      <c r="AY203" s="425"/>
      <c r="AZ203" s="425"/>
      <c r="BA203" s="425"/>
      <c r="BB203" s="425"/>
      <c r="BC203" s="425"/>
      <c r="BD203" s="425"/>
      <c r="BE203" s="425"/>
      <c r="BF203" s="425"/>
      <c r="BG203" s="425"/>
      <c r="BH203" s="425"/>
      <c r="BI203" s="425"/>
      <c r="BJ203" s="425"/>
      <c r="BK203" s="425"/>
      <c r="BL203" s="425"/>
      <c r="BM203" s="425"/>
      <c r="BN203" s="425"/>
    </row>
    <row r="204" spans="1:66" ht="15.75" customHeight="1" x14ac:dyDescent="0.2">
      <c r="A204" s="424"/>
      <c r="B204" s="424"/>
      <c r="C204" s="424"/>
      <c r="D204" s="424"/>
      <c r="E204" s="424"/>
      <c r="F204" s="425"/>
      <c r="G204" s="425"/>
      <c r="H204" s="424"/>
      <c r="I204" s="424"/>
      <c r="J204" s="425"/>
      <c r="K204" s="425"/>
      <c r="L204" s="425"/>
      <c r="M204" s="425"/>
      <c r="N204" s="425"/>
      <c r="O204" s="425"/>
      <c r="P204" s="425"/>
      <c r="Q204" s="424"/>
      <c r="R204" s="426"/>
      <c r="S204" s="426"/>
      <c r="T204" s="426"/>
      <c r="U204" s="426"/>
      <c r="V204" s="326"/>
      <c r="W204" s="326"/>
      <c r="X204" s="426"/>
      <c r="Y204" s="426"/>
      <c r="Z204" s="426"/>
      <c r="AA204" s="426"/>
      <c r="AB204" s="426"/>
      <c r="AC204" s="426"/>
      <c r="AD204" s="426"/>
      <c r="AE204" s="426"/>
      <c r="AF204" s="426"/>
      <c r="AG204" s="326"/>
      <c r="AH204" s="326"/>
      <c r="AI204" s="424"/>
      <c r="AJ204" s="424"/>
      <c r="AK204" s="424"/>
      <c r="AL204" s="424"/>
      <c r="AM204" s="424"/>
      <c r="AN204" s="424"/>
      <c r="AO204" s="425"/>
      <c r="AP204" s="425"/>
      <c r="AQ204" s="425"/>
      <c r="AR204" s="425"/>
      <c r="AS204" s="425"/>
      <c r="AT204" s="425"/>
      <c r="AU204" s="425"/>
      <c r="AV204" s="425"/>
      <c r="AW204" s="425"/>
      <c r="AX204" s="425"/>
      <c r="AY204" s="425"/>
      <c r="AZ204" s="425"/>
      <c r="BA204" s="425"/>
      <c r="BB204" s="425"/>
      <c r="BC204" s="425"/>
      <c r="BD204" s="425"/>
      <c r="BE204" s="425"/>
      <c r="BF204" s="425"/>
      <c r="BG204" s="425"/>
      <c r="BH204" s="425"/>
      <c r="BI204" s="425"/>
      <c r="BJ204" s="425"/>
      <c r="BK204" s="425"/>
      <c r="BL204" s="425"/>
      <c r="BM204" s="425"/>
      <c r="BN204" s="425"/>
    </row>
    <row r="205" spans="1:66" ht="15.75" customHeight="1" x14ac:dyDescent="0.2">
      <c r="A205" s="424"/>
      <c r="B205" s="424"/>
      <c r="C205" s="424"/>
      <c r="D205" s="424"/>
      <c r="E205" s="424"/>
      <c r="F205" s="425"/>
      <c r="G205" s="425"/>
      <c r="H205" s="424"/>
      <c r="I205" s="424"/>
      <c r="J205" s="425"/>
      <c r="K205" s="425"/>
      <c r="L205" s="425"/>
      <c r="M205" s="425"/>
      <c r="N205" s="425"/>
      <c r="O205" s="425"/>
      <c r="P205" s="425"/>
      <c r="Q205" s="424"/>
      <c r="R205" s="426"/>
      <c r="S205" s="426"/>
      <c r="T205" s="426"/>
      <c r="U205" s="426"/>
      <c r="V205" s="326"/>
      <c r="W205" s="326"/>
      <c r="X205" s="426"/>
      <c r="Y205" s="426"/>
      <c r="Z205" s="426"/>
      <c r="AA205" s="426"/>
      <c r="AB205" s="426"/>
      <c r="AC205" s="426"/>
      <c r="AD205" s="426"/>
      <c r="AE205" s="426"/>
      <c r="AF205" s="426"/>
      <c r="AG205" s="326"/>
      <c r="AH205" s="326"/>
      <c r="AI205" s="424"/>
      <c r="AJ205" s="424"/>
      <c r="AK205" s="424"/>
      <c r="AL205" s="424"/>
      <c r="AM205" s="424"/>
      <c r="AN205" s="424"/>
      <c r="AO205" s="425"/>
      <c r="AP205" s="425"/>
      <c r="AQ205" s="425"/>
      <c r="AR205" s="425"/>
      <c r="AS205" s="425"/>
      <c r="AT205" s="425"/>
      <c r="AU205" s="425"/>
      <c r="AV205" s="425"/>
      <c r="AW205" s="425"/>
      <c r="AX205" s="425"/>
      <c r="AY205" s="425"/>
      <c r="AZ205" s="425"/>
      <c r="BA205" s="425"/>
      <c r="BB205" s="425"/>
      <c r="BC205" s="425"/>
      <c r="BD205" s="425"/>
      <c r="BE205" s="425"/>
      <c r="BF205" s="425"/>
      <c r="BG205" s="425"/>
      <c r="BH205" s="425"/>
      <c r="BI205" s="425"/>
      <c r="BJ205" s="425"/>
      <c r="BK205" s="425"/>
      <c r="BL205" s="425"/>
      <c r="BM205" s="425"/>
      <c r="BN205" s="425"/>
    </row>
    <row r="206" spans="1:66" ht="15.75" customHeight="1" x14ac:dyDescent="0.2">
      <c r="A206" s="424"/>
      <c r="B206" s="424"/>
      <c r="C206" s="424"/>
      <c r="D206" s="424"/>
      <c r="E206" s="424"/>
      <c r="F206" s="425"/>
      <c r="G206" s="425"/>
      <c r="H206" s="424"/>
      <c r="I206" s="424"/>
      <c r="J206" s="425"/>
      <c r="K206" s="425"/>
      <c r="L206" s="425"/>
      <c r="M206" s="425"/>
      <c r="N206" s="425"/>
      <c r="O206" s="425"/>
      <c r="P206" s="425"/>
      <c r="Q206" s="424"/>
      <c r="R206" s="426"/>
      <c r="S206" s="426"/>
      <c r="T206" s="426"/>
      <c r="U206" s="426"/>
      <c r="V206" s="326"/>
      <c r="W206" s="326"/>
      <c r="X206" s="426"/>
      <c r="Y206" s="426"/>
      <c r="Z206" s="426"/>
      <c r="AA206" s="426"/>
      <c r="AB206" s="426"/>
      <c r="AC206" s="426"/>
      <c r="AD206" s="426"/>
      <c r="AE206" s="426"/>
      <c r="AF206" s="426"/>
      <c r="AG206" s="326"/>
      <c r="AH206" s="326"/>
      <c r="AI206" s="424"/>
      <c r="AJ206" s="424"/>
      <c r="AK206" s="424"/>
      <c r="AL206" s="424"/>
      <c r="AM206" s="424"/>
      <c r="AN206" s="424"/>
      <c r="AO206" s="425"/>
      <c r="AP206" s="425"/>
      <c r="AQ206" s="425"/>
      <c r="AR206" s="425"/>
      <c r="AS206" s="425"/>
      <c r="AT206" s="425"/>
      <c r="AU206" s="425"/>
      <c r="AV206" s="425"/>
      <c r="AW206" s="425"/>
      <c r="AX206" s="425"/>
      <c r="AY206" s="425"/>
      <c r="AZ206" s="425"/>
      <c r="BA206" s="425"/>
      <c r="BB206" s="425"/>
      <c r="BC206" s="425"/>
      <c r="BD206" s="425"/>
      <c r="BE206" s="425"/>
      <c r="BF206" s="425"/>
      <c r="BG206" s="425"/>
      <c r="BH206" s="425"/>
      <c r="BI206" s="425"/>
      <c r="BJ206" s="425"/>
      <c r="BK206" s="425"/>
      <c r="BL206" s="425"/>
      <c r="BM206" s="425"/>
      <c r="BN206" s="425"/>
    </row>
    <row r="207" spans="1:66" ht="15.75" customHeight="1" x14ac:dyDescent="0.2">
      <c r="A207" s="424"/>
      <c r="B207" s="424"/>
      <c r="C207" s="424"/>
      <c r="D207" s="424"/>
      <c r="E207" s="424"/>
      <c r="F207" s="425"/>
      <c r="G207" s="425"/>
      <c r="H207" s="424"/>
      <c r="I207" s="424"/>
      <c r="J207" s="425"/>
      <c r="K207" s="425"/>
      <c r="L207" s="425"/>
      <c r="M207" s="425"/>
      <c r="N207" s="425"/>
      <c r="O207" s="425"/>
      <c r="P207" s="425"/>
      <c r="Q207" s="424"/>
      <c r="R207" s="426"/>
      <c r="S207" s="426"/>
      <c r="T207" s="426"/>
      <c r="U207" s="426"/>
      <c r="V207" s="326"/>
      <c r="W207" s="326"/>
      <c r="X207" s="426"/>
      <c r="Y207" s="426"/>
      <c r="Z207" s="426"/>
      <c r="AA207" s="426"/>
      <c r="AB207" s="426"/>
      <c r="AC207" s="426"/>
      <c r="AD207" s="426"/>
      <c r="AE207" s="426"/>
      <c r="AF207" s="426"/>
      <c r="AG207" s="326"/>
      <c r="AH207" s="326"/>
      <c r="AI207" s="424"/>
      <c r="AJ207" s="424"/>
      <c r="AK207" s="424"/>
      <c r="AL207" s="424"/>
      <c r="AM207" s="424"/>
      <c r="AN207" s="424"/>
      <c r="AO207" s="425"/>
      <c r="AP207" s="425"/>
      <c r="AQ207" s="425"/>
      <c r="AR207" s="425"/>
      <c r="AS207" s="425"/>
      <c r="AT207" s="425"/>
      <c r="AU207" s="425"/>
      <c r="AV207" s="425"/>
      <c r="AW207" s="425"/>
      <c r="AX207" s="425"/>
      <c r="AY207" s="425"/>
      <c r="AZ207" s="425"/>
      <c r="BA207" s="425"/>
      <c r="BB207" s="425"/>
      <c r="BC207" s="425"/>
      <c r="BD207" s="425"/>
      <c r="BE207" s="425"/>
      <c r="BF207" s="425"/>
      <c r="BG207" s="425"/>
      <c r="BH207" s="425"/>
      <c r="BI207" s="425"/>
      <c r="BJ207" s="425"/>
      <c r="BK207" s="425"/>
      <c r="BL207" s="425"/>
      <c r="BM207" s="425"/>
      <c r="BN207" s="425"/>
    </row>
    <row r="208" spans="1:66" ht="15.75" customHeight="1" x14ac:dyDescent="0.2">
      <c r="A208" s="424"/>
      <c r="B208" s="424"/>
      <c r="C208" s="424"/>
      <c r="D208" s="424"/>
      <c r="E208" s="424"/>
      <c r="F208" s="425"/>
      <c r="G208" s="425"/>
      <c r="H208" s="424"/>
      <c r="I208" s="424"/>
      <c r="J208" s="425"/>
      <c r="K208" s="425"/>
      <c r="L208" s="425"/>
      <c r="M208" s="425"/>
      <c r="N208" s="425"/>
      <c r="O208" s="425"/>
      <c r="P208" s="425"/>
      <c r="Q208" s="424"/>
      <c r="R208" s="426"/>
      <c r="S208" s="426"/>
      <c r="T208" s="426"/>
      <c r="U208" s="426"/>
      <c r="V208" s="326"/>
      <c r="W208" s="326"/>
      <c r="X208" s="426"/>
      <c r="Y208" s="426"/>
      <c r="Z208" s="426"/>
      <c r="AA208" s="426"/>
      <c r="AB208" s="426"/>
      <c r="AC208" s="426"/>
      <c r="AD208" s="426"/>
      <c r="AE208" s="426"/>
      <c r="AF208" s="426"/>
      <c r="AG208" s="326"/>
      <c r="AH208" s="326"/>
      <c r="AI208" s="424"/>
      <c r="AJ208" s="424"/>
      <c r="AK208" s="424"/>
      <c r="AL208" s="424"/>
      <c r="AM208" s="424"/>
      <c r="AN208" s="424"/>
      <c r="AO208" s="425"/>
      <c r="AP208" s="425"/>
      <c r="AQ208" s="425"/>
      <c r="AR208" s="425"/>
      <c r="AS208" s="425"/>
      <c r="AT208" s="425"/>
      <c r="AU208" s="425"/>
      <c r="AV208" s="425"/>
      <c r="AW208" s="425"/>
      <c r="AX208" s="425"/>
      <c r="AY208" s="425"/>
      <c r="AZ208" s="425"/>
      <c r="BA208" s="425"/>
      <c r="BB208" s="425"/>
      <c r="BC208" s="425"/>
      <c r="BD208" s="425"/>
      <c r="BE208" s="425"/>
      <c r="BF208" s="425"/>
      <c r="BG208" s="425"/>
      <c r="BH208" s="425"/>
      <c r="BI208" s="425"/>
      <c r="BJ208" s="425"/>
      <c r="BK208" s="425"/>
      <c r="BL208" s="425"/>
      <c r="BM208" s="425"/>
      <c r="BN208" s="425"/>
    </row>
    <row r="209" spans="1:66" ht="15.75" customHeight="1" x14ac:dyDescent="0.2">
      <c r="A209" s="424"/>
      <c r="B209" s="424"/>
      <c r="C209" s="424"/>
      <c r="D209" s="424"/>
      <c r="E209" s="424"/>
      <c r="F209" s="425"/>
      <c r="G209" s="425"/>
      <c r="H209" s="424"/>
      <c r="I209" s="424"/>
      <c r="J209" s="425"/>
      <c r="K209" s="425"/>
      <c r="L209" s="425"/>
      <c r="M209" s="425"/>
      <c r="N209" s="425"/>
      <c r="O209" s="425"/>
      <c r="P209" s="425"/>
      <c r="Q209" s="424"/>
      <c r="R209" s="426"/>
      <c r="S209" s="426"/>
      <c r="T209" s="426"/>
      <c r="U209" s="426"/>
      <c r="V209" s="326"/>
      <c r="W209" s="326"/>
      <c r="X209" s="426"/>
      <c r="Y209" s="426"/>
      <c r="Z209" s="426"/>
      <c r="AA209" s="426"/>
      <c r="AB209" s="426"/>
      <c r="AC209" s="426"/>
      <c r="AD209" s="426"/>
      <c r="AE209" s="426"/>
      <c r="AF209" s="426"/>
      <c r="AG209" s="326"/>
      <c r="AH209" s="326"/>
      <c r="AI209" s="424"/>
      <c r="AJ209" s="424"/>
      <c r="AK209" s="424"/>
      <c r="AL209" s="424"/>
      <c r="AM209" s="424"/>
      <c r="AN209" s="424"/>
      <c r="AO209" s="425"/>
      <c r="AP209" s="425"/>
      <c r="AQ209" s="425"/>
      <c r="AR209" s="425"/>
      <c r="AS209" s="425"/>
      <c r="AT209" s="425"/>
      <c r="AU209" s="425"/>
      <c r="AV209" s="425"/>
      <c r="AW209" s="425"/>
      <c r="AX209" s="425"/>
      <c r="AY209" s="425"/>
      <c r="AZ209" s="425"/>
      <c r="BA209" s="425"/>
      <c r="BB209" s="425"/>
      <c r="BC209" s="425"/>
      <c r="BD209" s="425"/>
      <c r="BE209" s="425"/>
      <c r="BF209" s="425"/>
      <c r="BG209" s="425"/>
      <c r="BH209" s="425"/>
      <c r="BI209" s="425"/>
      <c r="BJ209" s="425"/>
      <c r="BK209" s="425"/>
      <c r="BL209" s="425"/>
      <c r="BM209" s="425"/>
      <c r="BN209" s="425"/>
    </row>
    <row r="210" spans="1:66" ht="15.75" customHeight="1" x14ac:dyDescent="0.2">
      <c r="A210" s="424"/>
      <c r="B210" s="424"/>
      <c r="C210" s="424"/>
      <c r="D210" s="424"/>
      <c r="E210" s="424"/>
      <c r="F210" s="425"/>
      <c r="G210" s="425"/>
      <c r="H210" s="424"/>
      <c r="I210" s="424"/>
      <c r="J210" s="425"/>
      <c r="K210" s="425"/>
      <c r="L210" s="425"/>
      <c r="M210" s="425"/>
      <c r="N210" s="425"/>
      <c r="O210" s="425"/>
      <c r="P210" s="425"/>
      <c r="Q210" s="424"/>
      <c r="R210" s="426"/>
      <c r="S210" s="426"/>
      <c r="T210" s="426"/>
      <c r="U210" s="426"/>
      <c r="V210" s="326"/>
      <c r="W210" s="326"/>
      <c r="X210" s="426"/>
      <c r="Y210" s="426"/>
      <c r="Z210" s="426"/>
      <c r="AA210" s="426"/>
      <c r="AB210" s="426"/>
      <c r="AC210" s="426"/>
      <c r="AD210" s="426"/>
      <c r="AE210" s="426"/>
      <c r="AF210" s="426"/>
      <c r="AG210" s="326"/>
      <c r="AH210" s="326"/>
      <c r="AI210" s="424"/>
      <c r="AJ210" s="424"/>
      <c r="AK210" s="424"/>
      <c r="AL210" s="424"/>
      <c r="AM210" s="424"/>
      <c r="AN210" s="424"/>
      <c r="AO210" s="425"/>
      <c r="AP210" s="425"/>
      <c r="AQ210" s="425"/>
      <c r="AR210" s="425"/>
      <c r="AS210" s="425"/>
      <c r="AT210" s="425"/>
      <c r="AU210" s="425"/>
      <c r="AV210" s="425"/>
      <c r="AW210" s="425"/>
      <c r="AX210" s="425"/>
      <c r="AY210" s="425"/>
      <c r="AZ210" s="425"/>
      <c r="BA210" s="425"/>
      <c r="BB210" s="425"/>
      <c r="BC210" s="425"/>
      <c r="BD210" s="425"/>
      <c r="BE210" s="425"/>
      <c r="BF210" s="425"/>
      <c r="BG210" s="425"/>
      <c r="BH210" s="425"/>
      <c r="BI210" s="425"/>
      <c r="BJ210" s="425"/>
      <c r="BK210" s="425"/>
      <c r="BL210" s="425"/>
      <c r="BM210" s="425"/>
      <c r="BN210" s="425"/>
    </row>
    <row r="211" spans="1:66" ht="15.75" customHeight="1" x14ac:dyDescent="0.2">
      <c r="A211" s="424"/>
      <c r="B211" s="424"/>
      <c r="C211" s="424"/>
      <c r="D211" s="424"/>
      <c r="E211" s="424"/>
      <c r="F211" s="425"/>
      <c r="G211" s="425"/>
      <c r="H211" s="424"/>
      <c r="I211" s="424"/>
      <c r="J211" s="425"/>
      <c r="K211" s="425"/>
      <c r="L211" s="425"/>
      <c r="M211" s="425"/>
      <c r="N211" s="425"/>
      <c r="O211" s="425"/>
      <c r="P211" s="425"/>
      <c r="Q211" s="424"/>
      <c r="R211" s="426"/>
      <c r="S211" s="426"/>
      <c r="T211" s="426"/>
      <c r="U211" s="426"/>
      <c r="V211" s="326"/>
      <c r="W211" s="326"/>
      <c r="X211" s="426"/>
      <c r="Y211" s="426"/>
      <c r="Z211" s="426"/>
      <c r="AA211" s="426"/>
      <c r="AB211" s="426"/>
      <c r="AC211" s="426"/>
      <c r="AD211" s="426"/>
      <c r="AE211" s="426"/>
      <c r="AF211" s="426"/>
      <c r="AG211" s="326"/>
      <c r="AH211" s="326"/>
      <c r="AI211" s="424"/>
      <c r="AJ211" s="424"/>
      <c r="AK211" s="424"/>
      <c r="AL211" s="424"/>
      <c r="AM211" s="424"/>
      <c r="AN211" s="424"/>
      <c r="AO211" s="425"/>
      <c r="AP211" s="425"/>
      <c r="AQ211" s="425"/>
      <c r="AR211" s="425"/>
      <c r="AS211" s="425"/>
      <c r="AT211" s="425"/>
      <c r="AU211" s="425"/>
      <c r="AV211" s="425"/>
      <c r="AW211" s="425"/>
      <c r="AX211" s="425"/>
      <c r="AY211" s="425"/>
      <c r="AZ211" s="425"/>
      <c r="BA211" s="425"/>
      <c r="BB211" s="425"/>
      <c r="BC211" s="425"/>
      <c r="BD211" s="425"/>
      <c r="BE211" s="425"/>
      <c r="BF211" s="425"/>
      <c r="BG211" s="425"/>
      <c r="BH211" s="425"/>
      <c r="BI211" s="425"/>
      <c r="BJ211" s="425"/>
      <c r="BK211" s="425"/>
      <c r="BL211" s="425"/>
      <c r="BM211" s="425"/>
      <c r="BN211" s="425"/>
    </row>
    <row r="212" spans="1:66" ht="15.75" customHeight="1" x14ac:dyDescent="0.2">
      <c r="A212" s="424"/>
      <c r="B212" s="424"/>
      <c r="C212" s="424"/>
      <c r="D212" s="424"/>
      <c r="E212" s="424"/>
      <c r="F212" s="425"/>
      <c r="G212" s="425"/>
      <c r="H212" s="424"/>
      <c r="I212" s="424"/>
      <c r="J212" s="425"/>
      <c r="K212" s="425"/>
      <c r="L212" s="425"/>
      <c r="M212" s="425"/>
      <c r="N212" s="425"/>
      <c r="O212" s="425"/>
      <c r="P212" s="425"/>
      <c r="Q212" s="424"/>
      <c r="R212" s="426"/>
      <c r="S212" s="426"/>
      <c r="T212" s="426"/>
      <c r="U212" s="426"/>
      <c r="V212" s="326"/>
      <c r="W212" s="326"/>
      <c r="X212" s="426"/>
      <c r="Y212" s="426"/>
      <c r="Z212" s="426"/>
      <c r="AA212" s="426"/>
      <c r="AB212" s="426"/>
      <c r="AC212" s="426"/>
      <c r="AD212" s="426"/>
      <c r="AE212" s="426"/>
      <c r="AF212" s="426"/>
      <c r="AG212" s="326"/>
      <c r="AH212" s="326"/>
      <c r="AI212" s="424"/>
      <c r="AJ212" s="424"/>
      <c r="AK212" s="424"/>
      <c r="AL212" s="424"/>
      <c r="AM212" s="424"/>
      <c r="AN212" s="424"/>
      <c r="AO212" s="425"/>
      <c r="AP212" s="425"/>
      <c r="AQ212" s="425"/>
      <c r="AR212" s="425"/>
      <c r="AS212" s="425"/>
      <c r="AT212" s="425"/>
      <c r="AU212" s="425"/>
      <c r="AV212" s="425"/>
      <c r="AW212" s="425"/>
      <c r="AX212" s="425"/>
      <c r="AY212" s="425"/>
      <c r="AZ212" s="425"/>
      <c r="BA212" s="425"/>
      <c r="BB212" s="425"/>
      <c r="BC212" s="425"/>
      <c r="BD212" s="425"/>
      <c r="BE212" s="425"/>
      <c r="BF212" s="425"/>
      <c r="BG212" s="425"/>
      <c r="BH212" s="425"/>
      <c r="BI212" s="425"/>
      <c r="BJ212" s="425"/>
      <c r="BK212" s="425"/>
      <c r="BL212" s="425"/>
      <c r="BM212" s="425"/>
      <c r="BN212" s="425"/>
    </row>
    <row r="213" spans="1:66" ht="15.75" customHeight="1" x14ac:dyDescent="0.2">
      <c r="A213" s="424"/>
      <c r="B213" s="424"/>
      <c r="C213" s="424"/>
      <c r="D213" s="424"/>
      <c r="E213" s="424"/>
      <c r="F213" s="425"/>
      <c r="G213" s="425"/>
      <c r="H213" s="424"/>
      <c r="I213" s="424"/>
      <c r="J213" s="425"/>
      <c r="K213" s="425"/>
      <c r="L213" s="425"/>
      <c r="M213" s="425"/>
      <c r="N213" s="425"/>
      <c r="O213" s="425"/>
      <c r="P213" s="425"/>
      <c r="Q213" s="424"/>
      <c r="R213" s="426"/>
      <c r="S213" s="426"/>
      <c r="T213" s="426"/>
      <c r="U213" s="426"/>
      <c r="V213" s="326"/>
      <c r="W213" s="326"/>
      <c r="X213" s="426"/>
      <c r="Y213" s="426"/>
      <c r="Z213" s="426"/>
      <c r="AA213" s="426"/>
      <c r="AB213" s="426"/>
      <c r="AC213" s="426"/>
      <c r="AD213" s="426"/>
      <c r="AE213" s="426"/>
      <c r="AF213" s="426"/>
      <c r="AG213" s="326"/>
      <c r="AH213" s="326"/>
      <c r="AI213" s="424"/>
      <c r="AJ213" s="424"/>
      <c r="AK213" s="424"/>
      <c r="AL213" s="424"/>
      <c r="AM213" s="424"/>
      <c r="AN213" s="424"/>
      <c r="AO213" s="425"/>
      <c r="AP213" s="425"/>
      <c r="AQ213" s="425"/>
      <c r="AR213" s="425"/>
      <c r="AS213" s="425"/>
      <c r="AT213" s="425"/>
      <c r="AU213" s="425"/>
      <c r="AV213" s="425"/>
      <c r="AW213" s="425"/>
      <c r="AX213" s="425"/>
      <c r="AY213" s="425"/>
      <c r="AZ213" s="425"/>
      <c r="BA213" s="425"/>
      <c r="BB213" s="425"/>
      <c r="BC213" s="425"/>
      <c r="BD213" s="425"/>
      <c r="BE213" s="425"/>
      <c r="BF213" s="425"/>
      <c r="BG213" s="425"/>
      <c r="BH213" s="425"/>
      <c r="BI213" s="425"/>
      <c r="BJ213" s="425"/>
      <c r="BK213" s="425"/>
      <c r="BL213" s="425"/>
      <c r="BM213" s="425"/>
      <c r="BN213" s="425"/>
    </row>
    <row r="214" spans="1:66" ht="15.75" customHeight="1" x14ac:dyDescent="0.2">
      <c r="A214" s="424"/>
      <c r="B214" s="424"/>
      <c r="C214" s="424"/>
      <c r="D214" s="424"/>
      <c r="E214" s="424"/>
      <c r="F214" s="425"/>
      <c r="G214" s="425"/>
      <c r="H214" s="424"/>
      <c r="I214" s="424"/>
      <c r="J214" s="425"/>
      <c r="K214" s="425"/>
      <c r="L214" s="425"/>
      <c r="M214" s="425"/>
      <c r="N214" s="425"/>
      <c r="O214" s="425"/>
      <c r="P214" s="425"/>
      <c r="Q214" s="424"/>
      <c r="R214" s="426"/>
      <c r="S214" s="426"/>
      <c r="T214" s="426"/>
      <c r="U214" s="426"/>
      <c r="V214" s="326"/>
      <c r="W214" s="326"/>
      <c r="X214" s="426"/>
      <c r="Y214" s="426"/>
      <c r="Z214" s="426"/>
      <c r="AA214" s="426"/>
      <c r="AB214" s="426"/>
      <c r="AC214" s="426"/>
      <c r="AD214" s="426"/>
      <c r="AE214" s="426"/>
      <c r="AF214" s="426"/>
      <c r="AG214" s="326"/>
      <c r="AH214" s="326"/>
      <c r="AI214" s="424"/>
      <c r="AJ214" s="424"/>
      <c r="AK214" s="424"/>
      <c r="AL214" s="424"/>
      <c r="AM214" s="424"/>
      <c r="AN214" s="424"/>
      <c r="AO214" s="425"/>
      <c r="AP214" s="425"/>
      <c r="AQ214" s="425"/>
      <c r="AR214" s="425"/>
      <c r="AS214" s="425"/>
      <c r="AT214" s="425"/>
      <c r="AU214" s="425"/>
      <c r="AV214" s="425"/>
      <c r="AW214" s="425"/>
      <c r="AX214" s="425"/>
      <c r="AY214" s="425"/>
      <c r="AZ214" s="425"/>
      <c r="BA214" s="425"/>
      <c r="BB214" s="425"/>
      <c r="BC214" s="425"/>
      <c r="BD214" s="425"/>
      <c r="BE214" s="425"/>
      <c r="BF214" s="425"/>
      <c r="BG214" s="425"/>
      <c r="BH214" s="425"/>
      <c r="BI214" s="425"/>
      <c r="BJ214" s="425"/>
      <c r="BK214" s="425"/>
      <c r="BL214" s="425"/>
      <c r="BM214" s="425"/>
      <c r="BN214" s="425"/>
    </row>
    <row r="215" spans="1:66" ht="15.75" customHeight="1" x14ac:dyDescent="0.2">
      <c r="A215" s="424"/>
      <c r="B215" s="424"/>
      <c r="C215" s="424"/>
      <c r="D215" s="424"/>
      <c r="E215" s="424"/>
      <c r="F215" s="425"/>
      <c r="G215" s="425"/>
      <c r="H215" s="424"/>
      <c r="I215" s="424"/>
      <c r="J215" s="425"/>
      <c r="K215" s="425"/>
      <c r="L215" s="425"/>
      <c r="M215" s="425"/>
      <c r="N215" s="425"/>
      <c r="O215" s="425"/>
      <c r="P215" s="425"/>
      <c r="Q215" s="424"/>
      <c r="R215" s="426"/>
      <c r="S215" s="426"/>
      <c r="T215" s="426"/>
      <c r="U215" s="426"/>
      <c r="V215" s="326"/>
      <c r="W215" s="326"/>
      <c r="X215" s="426"/>
      <c r="Y215" s="426"/>
      <c r="Z215" s="426"/>
      <c r="AA215" s="426"/>
      <c r="AB215" s="426"/>
      <c r="AC215" s="426"/>
      <c r="AD215" s="426"/>
      <c r="AE215" s="426"/>
      <c r="AF215" s="426"/>
      <c r="AG215" s="326"/>
      <c r="AH215" s="326"/>
      <c r="AI215" s="424"/>
      <c r="AJ215" s="424"/>
      <c r="AK215" s="424"/>
      <c r="AL215" s="424"/>
      <c r="AM215" s="424"/>
      <c r="AN215" s="424"/>
      <c r="AO215" s="425"/>
      <c r="AP215" s="425"/>
      <c r="AQ215" s="425"/>
      <c r="AR215" s="425"/>
      <c r="AS215" s="425"/>
      <c r="AT215" s="425"/>
      <c r="AU215" s="425"/>
      <c r="AV215" s="425"/>
      <c r="AW215" s="425"/>
      <c r="AX215" s="425"/>
      <c r="AY215" s="425"/>
      <c r="AZ215" s="425"/>
      <c r="BA215" s="425"/>
      <c r="BB215" s="425"/>
      <c r="BC215" s="425"/>
      <c r="BD215" s="425"/>
      <c r="BE215" s="425"/>
      <c r="BF215" s="425"/>
      <c r="BG215" s="425"/>
      <c r="BH215" s="425"/>
      <c r="BI215" s="425"/>
      <c r="BJ215" s="425"/>
      <c r="BK215" s="425"/>
      <c r="BL215" s="425"/>
      <c r="BM215" s="425"/>
      <c r="BN215" s="425"/>
    </row>
    <row r="216" spans="1:66" ht="15.75" customHeight="1" x14ac:dyDescent="0.2">
      <c r="A216" s="424"/>
      <c r="B216" s="424"/>
      <c r="C216" s="424"/>
      <c r="D216" s="424"/>
      <c r="E216" s="424"/>
      <c r="F216" s="425"/>
      <c r="G216" s="425"/>
      <c r="H216" s="424"/>
      <c r="I216" s="424"/>
      <c r="J216" s="425"/>
      <c r="K216" s="425"/>
      <c r="L216" s="425"/>
      <c r="M216" s="425"/>
      <c r="N216" s="425"/>
      <c r="O216" s="425"/>
      <c r="P216" s="425"/>
      <c r="Q216" s="424"/>
      <c r="R216" s="426"/>
      <c r="S216" s="426"/>
      <c r="T216" s="426"/>
      <c r="U216" s="426"/>
      <c r="V216" s="326"/>
      <c r="W216" s="326"/>
      <c r="X216" s="426"/>
      <c r="Y216" s="426"/>
      <c r="Z216" s="426"/>
      <c r="AA216" s="426"/>
      <c r="AB216" s="426"/>
      <c r="AC216" s="426"/>
      <c r="AD216" s="426"/>
      <c r="AE216" s="426"/>
      <c r="AF216" s="426"/>
      <c r="AG216" s="326"/>
      <c r="AH216" s="326"/>
      <c r="AI216" s="424"/>
      <c r="AJ216" s="424"/>
      <c r="AK216" s="424"/>
      <c r="AL216" s="424"/>
      <c r="AM216" s="424"/>
      <c r="AN216" s="424"/>
      <c r="AO216" s="425"/>
      <c r="AP216" s="425"/>
      <c r="AQ216" s="425"/>
      <c r="AR216" s="425"/>
      <c r="AS216" s="425"/>
      <c r="AT216" s="425"/>
      <c r="AU216" s="425"/>
      <c r="AV216" s="425"/>
      <c r="AW216" s="425"/>
      <c r="AX216" s="425"/>
      <c r="AY216" s="425"/>
      <c r="AZ216" s="425"/>
      <c r="BA216" s="425"/>
      <c r="BB216" s="425"/>
      <c r="BC216" s="425"/>
      <c r="BD216" s="425"/>
      <c r="BE216" s="425"/>
      <c r="BF216" s="425"/>
      <c r="BG216" s="425"/>
      <c r="BH216" s="425"/>
      <c r="BI216" s="425"/>
      <c r="BJ216" s="425"/>
      <c r="BK216" s="425"/>
      <c r="BL216" s="425"/>
      <c r="BM216" s="425"/>
      <c r="BN216" s="425"/>
    </row>
    <row r="217" spans="1:66" ht="15.75" customHeight="1" x14ac:dyDescent="0.2">
      <c r="A217" s="424"/>
      <c r="B217" s="424"/>
      <c r="C217" s="424"/>
      <c r="D217" s="424"/>
      <c r="E217" s="424"/>
      <c r="F217" s="425"/>
      <c r="G217" s="425"/>
      <c r="H217" s="424"/>
      <c r="I217" s="424"/>
      <c r="J217" s="425"/>
      <c r="K217" s="425"/>
      <c r="L217" s="425"/>
      <c r="M217" s="425"/>
      <c r="N217" s="425"/>
      <c r="O217" s="425"/>
      <c r="P217" s="425"/>
      <c r="Q217" s="424"/>
      <c r="R217" s="426"/>
      <c r="S217" s="426"/>
      <c r="T217" s="426"/>
      <c r="U217" s="426"/>
      <c r="V217" s="326"/>
      <c r="W217" s="326"/>
      <c r="X217" s="426"/>
      <c r="Y217" s="426"/>
      <c r="Z217" s="426"/>
      <c r="AA217" s="426"/>
      <c r="AB217" s="426"/>
      <c r="AC217" s="426"/>
      <c r="AD217" s="426"/>
      <c r="AE217" s="426"/>
      <c r="AF217" s="426"/>
      <c r="AG217" s="326"/>
      <c r="AH217" s="326"/>
      <c r="AI217" s="424"/>
      <c r="AJ217" s="424"/>
      <c r="AK217" s="424"/>
      <c r="AL217" s="424"/>
      <c r="AM217" s="424"/>
      <c r="AN217" s="424"/>
      <c r="AO217" s="425"/>
      <c r="AP217" s="425"/>
      <c r="AQ217" s="425"/>
      <c r="AR217" s="425"/>
      <c r="AS217" s="425"/>
      <c r="AT217" s="425"/>
      <c r="AU217" s="425"/>
      <c r="AV217" s="425"/>
      <c r="AW217" s="425"/>
      <c r="AX217" s="425"/>
      <c r="AY217" s="425"/>
      <c r="AZ217" s="425"/>
      <c r="BA217" s="425"/>
      <c r="BB217" s="425"/>
      <c r="BC217" s="425"/>
      <c r="BD217" s="425"/>
      <c r="BE217" s="425"/>
      <c r="BF217" s="425"/>
      <c r="BG217" s="425"/>
      <c r="BH217" s="425"/>
      <c r="BI217" s="425"/>
      <c r="BJ217" s="425"/>
      <c r="BK217" s="425"/>
      <c r="BL217" s="425"/>
      <c r="BM217" s="425"/>
      <c r="BN217" s="425"/>
    </row>
    <row r="218" spans="1:66" ht="15.75" customHeight="1" x14ac:dyDescent="0.2">
      <c r="A218" s="424"/>
      <c r="B218" s="424"/>
      <c r="C218" s="424"/>
      <c r="D218" s="424"/>
      <c r="E218" s="424"/>
      <c r="F218" s="425"/>
      <c r="G218" s="425"/>
      <c r="H218" s="424"/>
      <c r="I218" s="424"/>
      <c r="J218" s="425"/>
      <c r="K218" s="425"/>
      <c r="L218" s="425"/>
      <c r="M218" s="425"/>
      <c r="N218" s="425"/>
      <c r="O218" s="425"/>
      <c r="P218" s="425"/>
      <c r="Q218" s="424"/>
      <c r="R218" s="426"/>
      <c r="S218" s="426"/>
      <c r="T218" s="426"/>
      <c r="U218" s="426"/>
      <c r="V218" s="326"/>
      <c r="W218" s="326"/>
      <c r="X218" s="426"/>
      <c r="Y218" s="426"/>
      <c r="Z218" s="426"/>
      <c r="AA218" s="426"/>
      <c r="AB218" s="426"/>
      <c r="AC218" s="426"/>
      <c r="AD218" s="426"/>
      <c r="AE218" s="426"/>
      <c r="AF218" s="426"/>
      <c r="AG218" s="326"/>
      <c r="AH218" s="326"/>
      <c r="AI218" s="424"/>
      <c r="AJ218" s="424"/>
      <c r="AK218" s="424"/>
      <c r="AL218" s="424"/>
      <c r="AM218" s="424"/>
      <c r="AN218" s="424"/>
      <c r="AO218" s="425"/>
      <c r="AP218" s="425"/>
      <c r="AQ218" s="425"/>
      <c r="AR218" s="425"/>
      <c r="AS218" s="425"/>
      <c r="AT218" s="425"/>
      <c r="AU218" s="425"/>
      <c r="AV218" s="425"/>
      <c r="AW218" s="425"/>
      <c r="AX218" s="425"/>
      <c r="AY218" s="425"/>
      <c r="AZ218" s="425"/>
      <c r="BA218" s="425"/>
      <c r="BB218" s="425"/>
      <c r="BC218" s="425"/>
      <c r="BD218" s="425"/>
      <c r="BE218" s="425"/>
      <c r="BF218" s="425"/>
      <c r="BG218" s="425"/>
      <c r="BH218" s="425"/>
      <c r="BI218" s="425"/>
      <c r="BJ218" s="425"/>
      <c r="BK218" s="425"/>
      <c r="BL218" s="425"/>
      <c r="BM218" s="425"/>
      <c r="BN218" s="425"/>
    </row>
    <row r="219" spans="1:66" ht="15.75" customHeight="1" x14ac:dyDescent="0.2">
      <c r="A219" s="424"/>
      <c r="B219" s="424"/>
      <c r="C219" s="424"/>
      <c r="D219" s="424"/>
      <c r="E219" s="424"/>
      <c r="F219" s="425"/>
      <c r="G219" s="425"/>
      <c r="H219" s="424"/>
      <c r="I219" s="424"/>
      <c r="J219" s="425"/>
      <c r="K219" s="425"/>
      <c r="L219" s="425"/>
      <c r="M219" s="425"/>
      <c r="N219" s="425"/>
      <c r="O219" s="425"/>
      <c r="P219" s="425"/>
      <c r="Q219" s="424"/>
      <c r="R219" s="426"/>
      <c r="S219" s="426"/>
      <c r="T219" s="426"/>
      <c r="U219" s="426"/>
      <c r="V219" s="326"/>
      <c r="W219" s="326"/>
      <c r="X219" s="426"/>
      <c r="Y219" s="426"/>
      <c r="Z219" s="426"/>
      <c r="AA219" s="426"/>
      <c r="AB219" s="426"/>
      <c r="AC219" s="426"/>
      <c r="AD219" s="426"/>
      <c r="AE219" s="426"/>
      <c r="AF219" s="426"/>
      <c r="AG219" s="326"/>
      <c r="AH219" s="326"/>
      <c r="AI219" s="424"/>
      <c r="AJ219" s="424"/>
      <c r="AK219" s="424"/>
      <c r="AL219" s="424"/>
      <c r="AM219" s="424"/>
      <c r="AN219" s="424"/>
      <c r="AO219" s="425"/>
      <c r="AP219" s="425"/>
      <c r="AQ219" s="425"/>
      <c r="AR219" s="425"/>
      <c r="AS219" s="425"/>
      <c r="AT219" s="425"/>
      <c r="AU219" s="425"/>
      <c r="AV219" s="425"/>
      <c r="AW219" s="425"/>
      <c r="AX219" s="425"/>
      <c r="AY219" s="425"/>
      <c r="AZ219" s="425"/>
      <c r="BA219" s="425"/>
      <c r="BB219" s="425"/>
      <c r="BC219" s="425"/>
      <c r="BD219" s="425"/>
      <c r="BE219" s="425"/>
      <c r="BF219" s="425"/>
      <c r="BG219" s="425"/>
      <c r="BH219" s="425"/>
      <c r="BI219" s="425"/>
      <c r="BJ219" s="425"/>
      <c r="BK219" s="425"/>
      <c r="BL219" s="425"/>
      <c r="BM219" s="425"/>
      <c r="BN219" s="425"/>
    </row>
    <row r="220" spans="1:66" ht="15.75" customHeight="1" x14ac:dyDescent="0.2">
      <c r="A220" s="424"/>
      <c r="B220" s="424"/>
      <c r="C220" s="424"/>
      <c r="D220" s="424"/>
      <c r="E220" s="424"/>
      <c r="F220" s="425"/>
      <c r="G220" s="425"/>
      <c r="H220" s="424"/>
      <c r="I220" s="424"/>
      <c r="J220" s="425"/>
      <c r="K220" s="425"/>
      <c r="L220" s="425"/>
      <c r="M220" s="425"/>
      <c r="N220" s="425"/>
      <c r="O220" s="425"/>
      <c r="P220" s="425"/>
      <c r="Q220" s="424"/>
      <c r="R220" s="426"/>
      <c r="S220" s="426"/>
      <c r="T220" s="426"/>
      <c r="U220" s="426"/>
      <c r="V220" s="326"/>
      <c r="W220" s="326"/>
      <c r="X220" s="426"/>
      <c r="Y220" s="426"/>
      <c r="Z220" s="426"/>
      <c r="AA220" s="426"/>
      <c r="AB220" s="426"/>
      <c r="AC220" s="426"/>
      <c r="AD220" s="426"/>
      <c r="AE220" s="426"/>
      <c r="AF220" s="426"/>
      <c r="AG220" s="326"/>
      <c r="AH220" s="326"/>
      <c r="AI220" s="424"/>
      <c r="AJ220" s="424"/>
      <c r="AK220" s="424"/>
      <c r="AL220" s="424"/>
      <c r="AM220" s="424"/>
      <c r="AN220" s="424"/>
      <c r="AO220" s="425"/>
      <c r="AP220" s="425"/>
      <c r="AQ220" s="425"/>
      <c r="AR220" s="425"/>
      <c r="AS220" s="425"/>
      <c r="AT220" s="425"/>
      <c r="AU220" s="425"/>
      <c r="AV220" s="425"/>
      <c r="AW220" s="425"/>
      <c r="AX220" s="425"/>
      <c r="AY220" s="425"/>
      <c r="AZ220" s="425"/>
      <c r="BA220" s="425"/>
      <c r="BB220" s="425"/>
      <c r="BC220" s="425"/>
      <c r="BD220" s="425"/>
      <c r="BE220" s="425"/>
      <c r="BF220" s="425"/>
      <c r="BG220" s="425"/>
      <c r="BH220" s="425"/>
      <c r="BI220" s="425"/>
      <c r="BJ220" s="425"/>
      <c r="BK220" s="425"/>
      <c r="BL220" s="425"/>
      <c r="BM220" s="425"/>
      <c r="BN220" s="425"/>
    </row>
    <row r="221" spans="1:66" ht="15.75" customHeight="1" x14ac:dyDescent="0.2">
      <c r="A221" s="424"/>
      <c r="B221" s="424"/>
      <c r="C221" s="424"/>
      <c r="D221" s="424"/>
      <c r="E221" s="424"/>
      <c r="F221" s="425"/>
      <c r="G221" s="425"/>
      <c r="H221" s="424"/>
      <c r="I221" s="424"/>
      <c r="J221" s="425"/>
      <c r="K221" s="425"/>
      <c r="L221" s="425"/>
      <c r="M221" s="425"/>
      <c r="N221" s="425"/>
      <c r="O221" s="425"/>
      <c r="P221" s="425"/>
      <c r="Q221" s="424"/>
      <c r="R221" s="426"/>
      <c r="S221" s="426"/>
      <c r="T221" s="426"/>
      <c r="U221" s="426"/>
      <c r="V221" s="326"/>
      <c r="W221" s="326"/>
      <c r="X221" s="426"/>
      <c r="Y221" s="426"/>
      <c r="Z221" s="426"/>
      <c r="AA221" s="426"/>
      <c r="AB221" s="426"/>
      <c r="AC221" s="426"/>
      <c r="AD221" s="426"/>
      <c r="AE221" s="426"/>
      <c r="AF221" s="426"/>
      <c r="AG221" s="326"/>
      <c r="AH221" s="326"/>
      <c r="AI221" s="424"/>
      <c r="AJ221" s="424"/>
      <c r="AK221" s="424"/>
      <c r="AL221" s="424"/>
      <c r="AM221" s="424"/>
      <c r="AN221" s="424"/>
      <c r="AO221" s="425"/>
      <c r="AP221" s="425"/>
      <c r="AQ221" s="425"/>
      <c r="AR221" s="425"/>
      <c r="AS221" s="425"/>
      <c r="AT221" s="425"/>
      <c r="AU221" s="425"/>
      <c r="AV221" s="425"/>
      <c r="AW221" s="425"/>
      <c r="AX221" s="425"/>
      <c r="AY221" s="425"/>
      <c r="AZ221" s="425"/>
      <c r="BA221" s="425"/>
      <c r="BB221" s="425"/>
      <c r="BC221" s="425"/>
      <c r="BD221" s="425"/>
      <c r="BE221" s="425"/>
      <c r="BF221" s="425"/>
      <c r="BG221" s="425"/>
      <c r="BH221" s="425"/>
      <c r="BI221" s="425"/>
      <c r="BJ221" s="425"/>
      <c r="BK221" s="425"/>
      <c r="BL221" s="425"/>
      <c r="BM221" s="425"/>
      <c r="BN221" s="425"/>
    </row>
    <row r="222" spans="1:66" ht="15.75" customHeight="1" x14ac:dyDescent="0.2">
      <c r="A222" s="424"/>
      <c r="B222" s="424"/>
      <c r="C222" s="424"/>
      <c r="D222" s="424"/>
      <c r="E222" s="424"/>
      <c r="F222" s="425"/>
      <c r="G222" s="425"/>
      <c r="H222" s="424"/>
      <c r="I222" s="424"/>
      <c r="J222" s="425"/>
      <c r="K222" s="425"/>
      <c r="L222" s="425"/>
      <c r="M222" s="425"/>
      <c r="N222" s="425"/>
      <c r="O222" s="425"/>
      <c r="P222" s="425"/>
      <c r="Q222" s="424"/>
      <c r="R222" s="426"/>
      <c r="S222" s="426"/>
      <c r="T222" s="426"/>
      <c r="U222" s="426"/>
      <c r="V222" s="326"/>
      <c r="W222" s="326"/>
      <c r="X222" s="426"/>
      <c r="Y222" s="426"/>
      <c r="Z222" s="426"/>
      <c r="AA222" s="426"/>
      <c r="AB222" s="426"/>
      <c r="AC222" s="426"/>
      <c r="AD222" s="426"/>
      <c r="AE222" s="426"/>
      <c r="AF222" s="426"/>
      <c r="AG222" s="326"/>
      <c r="AH222" s="326"/>
      <c r="AI222" s="424"/>
      <c r="AJ222" s="424"/>
      <c r="AK222" s="424"/>
      <c r="AL222" s="424"/>
      <c r="AM222" s="424"/>
      <c r="AN222" s="424"/>
      <c r="AO222" s="425"/>
      <c r="AP222" s="425"/>
      <c r="AQ222" s="425"/>
      <c r="AR222" s="425"/>
      <c r="AS222" s="425"/>
      <c r="AT222" s="425"/>
      <c r="AU222" s="425"/>
      <c r="AV222" s="425"/>
      <c r="AW222" s="425"/>
      <c r="AX222" s="425"/>
      <c r="AY222" s="425"/>
      <c r="AZ222" s="425"/>
      <c r="BA222" s="425"/>
      <c r="BB222" s="425"/>
      <c r="BC222" s="425"/>
      <c r="BD222" s="425"/>
      <c r="BE222" s="425"/>
      <c r="BF222" s="425"/>
      <c r="BG222" s="425"/>
      <c r="BH222" s="425"/>
      <c r="BI222" s="425"/>
      <c r="BJ222" s="425"/>
      <c r="BK222" s="425"/>
      <c r="BL222" s="425"/>
      <c r="BM222" s="425"/>
      <c r="BN222" s="425"/>
    </row>
    <row r="223" spans="1:66" ht="15.75" customHeight="1" x14ac:dyDescent="0.2">
      <c r="A223" s="424"/>
      <c r="B223" s="424"/>
      <c r="C223" s="424"/>
      <c r="D223" s="424"/>
      <c r="E223" s="424"/>
      <c r="F223" s="425"/>
      <c r="G223" s="425"/>
      <c r="H223" s="424"/>
      <c r="I223" s="424"/>
      <c r="J223" s="425"/>
      <c r="K223" s="425"/>
      <c r="L223" s="425"/>
      <c r="M223" s="425"/>
      <c r="N223" s="425"/>
      <c r="O223" s="425"/>
      <c r="P223" s="425"/>
      <c r="Q223" s="424"/>
      <c r="R223" s="426"/>
      <c r="S223" s="426"/>
      <c r="T223" s="426"/>
      <c r="U223" s="426"/>
      <c r="V223" s="326"/>
      <c r="W223" s="326"/>
      <c r="X223" s="426"/>
      <c r="Y223" s="426"/>
      <c r="Z223" s="426"/>
      <c r="AA223" s="426"/>
      <c r="AB223" s="426"/>
      <c r="AC223" s="426"/>
      <c r="AD223" s="426"/>
      <c r="AE223" s="426"/>
      <c r="AF223" s="426"/>
      <c r="AG223" s="326"/>
      <c r="AH223" s="326"/>
      <c r="AI223" s="424"/>
      <c r="AJ223" s="424"/>
      <c r="AK223" s="424"/>
      <c r="AL223" s="424"/>
      <c r="AM223" s="424"/>
      <c r="AN223" s="424"/>
      <c r="AO223" s="425"/>
      <c r="AP223" s="425"/>
      <c r="AQ223" s="425"/>
      <c r="AR223" s="425"/>
      <c r="AS223" s="425"/>
      <c r="AT223" s="425"/>
      <c r="AU223" s="425"/>
      <c r="AV223" s="425"/>
      <c r="AW223" s="425"/>
      <c r="AX223" s="425"/>
      <c r="AY223" s="425"/>
      <c r="AZ223" s="425"/>
      <c r="BA223" s="425"/>
      <c r="BB223" s="425"/>
      <c r="BC223" s="425"/>
      <c r="BD223" s="425"/>
      <c r="BE223" s="425"/>
      <c r="BF223" s="425"/>
      <c r="BG223" s="425"/>
      <c r="BH223" s="425"/>
      <c r="BI223" s="425"/>
      <c r="BJ223" s="425"/>
      <c r="BK223" s="425"/>
      <c r="BL223" s="425"/>
      <c r="BM223" s="425"/>
      <c r="BN223" s="425"/>
    </row>
    <row r="224" spans="1:66" ht="15.75" customHeight="1" x14ac:dyDescent="0.2">
      <c r="A224" s="424"/>
      <c r="B224" s="424"/>
      <c r="C224" s="424"/>
      <c r="D224" s="424"/>
      <c r="E224" s="424"/>
      <c r="F224" s="425"/>
      <c r="G224" s="425"/>
      <c r="H224" s="424"/>
      <c r="I224" s="424"/>
      <c r="J224" s="425"/>
      <c r="K224" s="425"/>
      <c r="L224" s="425"/>
      <c r="M224" s="425"/>
      <c r="N224" s="425"/>
      <c r="O224" s="425"/>
      <c r="P224" s="425"/>
      <c r="Q224" s="424"/>
      <c r="R224" s="426"/>
      <c r="S224" s="426"/>
      <c r="T224" s="426"/>
      <c r="U224" s="426"/>
      <c r="V224" s="326"/>
      <c r="W224" s="326"/>
      <c r="X224" s="426"/>
      <c r="Y224" s="426"/>
      <c r="Z224" s="426"/>
      <c r="AA224" s="426"/>
      <c r="AB224" s="426"/>
      <c r="AC224" s="426"/>
      <c r="AD224" s="426"/>
      <c r="AE224" s="426"/>
      <c r="AF224" s="426"/>
      <c r="AG224" s="326"/>
      <c r="AH224" s="326"/>
      <c r="AI224" s="424"/>
      <c r="AJ224" s="424"/>
      <c r="AK224" s="424"/>
      <c r="AL224" s="424"/>
      <c r="AM224" s="424"/>
      <c r="AN224" s="424"/>
      <c r="AO224" s="425"/>
      <c r="AP224" s="425"/>
      <c r="AQ224" s="425"/>
      <c r="AR224" s="425"/>
      <c r="AS224" s="425"/>
      <c r="AT224" s="425"/>
      <c r="AU224" s="425"/>
      <c r="AV224" s="425"/>
      <c r="AW224" s="425"/>
      <c r="AX224" s="425"/>
      <c r="AY224" s="425"/>
      <c r="AZ224" s="425"/>
      <c r="BA224" s="425"/>
      <c r="BB224" s="425"/>
      <c r="BC224" s="425"/>
      <c r="BD224" s="425"/>
      <c r="BE224" s="425"/>
      <c r="BF224" s="425"/>
      <c r="BG224" s="425"/>
      <c r="BH224" s="425"/>
      <c r="BI224" s="425"/>
      <c r="BJ224" s="425"/>
      <c r="BK224" s="425"/>
      <c r="BL224" s="425"/>
      <c r="BM224" s="425"/>
      <c r="BN224" s="425"/>
    </row>
    <row r="225" spans="1:66" ht="15.75" customHeight="1" x14ac:dyDescent="0.2">
      <c r="A225" s="424"/>
      <c r="B225" s="424"/>
      <c r="C225" s="424"/>
      <c r="D225" s="424"/>
      <c r="E225" s="424"/>
      <c r="F225" s="425"/>
      <c r="G225" s="425"/>
      <c r="H225" s="424"/>
      <c r="I225" s="424"/>
      <c r="J225" s="425"/>
      <c r="K225" s="425"/>
      <c r="L225" s="425"/>
      <c r="M225" s="425"/>
      <c r="N225" s="425"/>
      <c r="O225" s="425"/>
      <c r="P225" s="425"/>
      <c r="Q225" s="424"/>
      <c r="R225" s="426"/>
      <c r="S225" s="426"/>
      <c r="T225" s="426"/>
      <c r="U225" s="426"/>
      <c r="V225" s="326"/>
      <c r="W225" s="326"/>
      <c r="X225" s="426"/>
      <c r="Y225" s="426"/>
      <c r="Z225" s="426"/>
      <c r="AA225" s="426"/>
      <c r="AB225" s="426"/>
      <c r="AC225" s="426"/>
      <c r="AD225" s="426"/>
      <c r="AE225" s="426"/>
      <c r="AF225" s="426"/>
      <c r="AG225" s="326"/>
      <c r="AH225" s="326"/>
      <c r="AI225" s="424"/>
      <c r="AJ225" s="424"/>
      <c r="AK225" s="424"/>
      <c r="AL225" s="424"/>
      <c r="AM225" s="424"/>
      <c r="AN225" s="424"/>
      <c r="AO225" s="425"/>
      <c r="AP225" s="425"/>
      <c r="AQ225" s="425"/>
      <c r="AR225" s="425"/>
      <c r="AS225" s="425"/>
      <c r="AT225" s="425"/>
      <c r="AU225" s="425"/>
      <c r="AV225" s="425"/>
      <c r="AW225" s="425"/>
      <c r="AX225" s="425"/>
      <c r="AY225" s="425"/>
      <c r="AZ225" s="425"/>
      <c r="BA225" s="425"/>
      <c r="BB225" s="425"/>
      <c r="BC225" s="425"/>
      <c r="BD225" s="425"/>
      <c r="BE225" s="425"/>
      <c r="BF225" s="425"/>
      <c r="BG225" s="425"/>
      <c r="BH225" s="425"/>
      <c r="BI225" s="425"/>
      <c r="BJ225" s="425"/>
      <c r="BK225" s="425"/>
      <c r="BL225" s="425"/>
      <c r="BM225" s="425"/>
      <c r="BN225" s="425"/>
    </row>
    <row r="226" spans="1:66" ht="15.75" customHeight="1" x14ac:dyDescent="0.2">
      <c r="A226" s="424"/>
      <c r="B226" s="424"/>
      <c r="C226" s="424"/>
      <c r="D226" s="424"/>
      <c r="E226" s="424"/>
      <c r="F226" s="425"/>
      <c r="G226" s="425"/>
      <c r="H226" s="424"/>
      <c r="I226" s="424"/>
      <c r="J226" s="425"/>
      <c r="K226" s="425"/>
      <c r="L226" s="425"/>
      <c r="M226" s="425"/>
      <c r="N226" s="425"/>
      <c r="O226" s="425"/>
      <c r="P226" s="425"/>
      <c r="Q226" s="424"/>
      <c r="R226" s="426"/>
      <c r="S226" s="426"/>
      <c r="T226" s="426"/>
      <c r="U226" s="426"/>
      <c r="V226" s="326"/>
      <c r="W226" s="326"/>
      <c r="X226" s="426"/>
      <c r="Y226" s="426"/>
      <c r="Z226" s="426"/>
      <c r="AA226" s="426"/>
      <c r="AB226" s="426"/>
      <c r="AC226" s="426"/>
      <c r="AD226" s="426"/>
      <c r="AE226" s="426"/>
      <c r="AF226" s="426"/>
      <c r="AG226" s="326"/>
      <c r="AH226" s="326"/>
      <c r="AI226" s="424"/>
      <c r="AJ226" s="424"/>
      <c r="AK226" s="424"/>
      <c r="AL226" s="424"/>
      <c r="AM226" s="424"/>
      <c r="AN226" s="424"/>
      <c r="AO226" s="425"/>
      <c r="AP226" s="425"/>
      <c r="AQ226" s="425"/>
      <c r="AR226" s="425"/>
      <c r="AS226" s="425"/>
      <c r="AT226" s="425"/>
      <c r="AU226" s="425"/>
      <c r="AV226" s="425"/>
      <c r="AW226" s="425"/>
      <c r="AX226" s="425"/>
      <c r="AY226" s="425"/>
      <c r="AZ226" s="425"/>
      <c r="BA226" s="425"/>
      <c r="BB226" s="425"/>
      <c r="BC226" s="425"/>
      <c r="BD226" s="425"/>
      <c r="BE226" s="425"/>
      <c r="BF226" s="425"/>
      <c r="BG226" s="425"/>
      <c r="BH226" s="425"/>
      <c r="BI226" s="425"/>
      <c r="BJ226" s="425"/>
      <c r="BK226" s="425"/>
      <c r="BL226" s="425"/>
      <c r="BM226" s="425"/>
      <c r="BN226" s="425"/>
    </row>
    <row r="227" spans="1:66" ht="15.75" customHeight="1" x14ac:dyDescent="0.2">
      <c r="A227" s="424"/>
      <c r="B227" s="424"/>
      <c r="C227" s="424"/>
      <c r="D227" s="424"/>
      <c r="E227" s="424"/>
      <c r="F227" s="425"/>
      <c r="G227" s="425"/>
      <c r="H227" s="424"/>
      <c r="I227" s="424"/>
      <c r="J227" s="425"/>
      <c r="K227" s="425"/>
      <c r="L227" s="425"/>
      <c r="M227" s="425"/>
      <c r="N227" s="425"/>
      <c r="O227" s="425"/>
      <c r="P227" s="425"/>
      <c r="Q227" s="424"/>
      <c r="R227" s="426"/>
      <c r="S227" s="426"/>
      <c r="T227" s="426"/>
      <c r="U227" s="426"/>
      <c r="V227" s="326"/>
      <c r="W227" s="326"/>
      <c r="X227" s="426"/>
      <c r="Y227" s="426"/>
      <c r="Z227" s="426"/>
      <c r="AA227" s="426"/>
      <c r="AB227" s="426"/>
      <c r="AC227" s="426"/>
      <c r="AD227" s="426"/>
      <c r="AE227" s="426"/>
      <c r="AF227" s="426"/>
      <c r="AG227" s="326"/>
      <c r="AH227" s="326"/>
      <c r="AI227" s="424"/>
      <c r="AJ227" s="424"/>
      <c r="AK227" s="424"/>
      <c r="AL227" s="424"/>
      <c r="AM227" s="424"/>
      <c r="AN227" s="424"/>
      <c r="AO227" s="425"/>
      <c r="AP227" s="425"/>
      <c r="AQ227" s="425"/>
      <c r="AR227" s="425"/>
      <c r="AS227" s="425"/>
      <c r="AT227" s="425"/>
      <c r="AU227" s="425"/>
      <c r="AV227" s="425"/>
      <c r="AW227" s="425"/>
      <c r="AX227" s="425"/>
      <c r="AY227" s="425"/>
      <c r="AZ227" s="425"/>
      <c r="BA227" s="425"/>
      <c r="BB227" s="425"/>
      <c r="BC227" s="425"/>
      <c r="BD227" s="425"/>
      <c r="BE227" s="425"/>
      <c r="BF227" s="425"/>
      <c r="BG227" s="425"/>
      <c r="BH227" s="425"/>
      <c r="BI227" s="425"/>
      <c r="BJ227" s="425"/>
      <c r="BK227" s="425"/>
      <c r="BL227" s="425"/>
      <c r="BM227" s="425"/>
      <c r="BN227" s="425"/>
    </row>
    <row r="228" spans="1:66" ht="15.75" customHeight="1" x14ac:dyDescent="0.2">
      <c r="A228" s="424"/>
      <c r="B228" s="424"/>
      <c r="C228" s="424"/>
      <c r="D228" s="424"/>
      <c r="E228" s="424"/>
      <c r="F228" s="425"/>
      <c r="G228" s="425"/>
      <c r="H228" s="424"/>
      <c r="I228" s="424"/>
      <c r="J228" s="425"/>
      <c r="K228" s="425"/>
      <c r="L228" s="425"/>
      <c r="M228" s="425"/>
      <c r="N228" s="425"/>
      <c r="O228" s="425"/>
      <c r="P228" s="425"/>
      <c r="Q228" s="424"/>
      <c r="R228" s="426"/>
      <c r="S228" s="426"/>
      <c r="T228" s="426"/>
      <c r="U228" s="426"/>
      <c r="V228" s="326"/>
      <c r="W228" s="326"/>
      <c r="X228" s="426"/>
      <c r="Y228" s="426"/>
      <c r="Z228" s="426"/>
      <c r="AA228" s="426"/>
      <c r="AB228" s="426"/>
      <c r="AC228" s="426"/>
      <c r="AD228" s="426"/>
      <c r="AE228" s="426"/>
      <c r="AF228" s="426"/>
      <c r="AG228" s="326"/>
      <c r="AH228" s="326"/>
      <c r="AI228" s="424"/>
      <c r="AJ228" s="424"/>
      <c r="AK228" s="424"/>
      <c r="AL228" s="424"/>
      <c r="AM228" s="424"/>
      <c r="AN228" s="424"/>
      <c r="AO228" s="425"/>
      <c r="AP228" s="425"/>
      <c r="AQ228" s="425"/>
      <c r="AR228" s="425"/>
      <c r="AS228" s="425"/>
      <c r="AT228" s="425"/>
      <c r="AU228" s="425"/>
      <c r="AV228" s="425"/>
      <c r="AW228" s="425"/>
      <c r="AX228" s="425"/>
      <c r="AY228" s="425"/>
      <c r="AZ228" s="425"/>
      <c r="BA228" s="425"/>
      <c r="BB228" s="425"/>
      <c r="BC228" s="425"/>
      <c r="BD228" s="425"/>
      <c r="BE228" s="425"/>
      <c r="BF228" s="425"/>
      <c r="BG228" s="425"/>
      <c r="BH228" s="425"/>
      <c r="BI228" s="425"/>
      <c r="BJ228" s="425"/>
      <c r="BK228" s="425"/>
      <c r="BL228" s="425"/>
      <c r="BM228" s="425"/>
      <c r="BN228" s="425"/>
    </row>
    <row r="229" spans="1:66" ht="15.75" customHeight="1" x14ac:dyDescent="0.2">
      <c r="A229" s="424"/>
      <c r="B229" s="424"/>
      <c r="C229" s="424"/>
      <c r="D229" s="424"/>
      <c r="E229" s="424"/>
      <c r="F229" s="425"/>
      <c r="G229" s="425"/>
      <c r="H229" s="424"/>
      <c r="I229" s="424"/>
      <c r="J229" s="425"/>
      <c r="K229" s="425"/>
      <c r="L229" s="425"/>
      <c r="M229" s="425"/>
      <c r="N229" s="425"/>
      <c r="O229" s="425"/>
      <c r="P229" s="425"/>
      <c r="Q229" s="424"/>
      <c r="R229" s="426"/>
      <c r="S229" s="426"/>
      <c r="T229" s="426"/>
      <c r="U229" s="426"/>
      <c r="V229" s="326"/>
      <c r="W229" s="326"/>
      <c r="X229" s="426"/>
      <c r="Y229" s="426"/>
      <c r="Z229" s="426"/>
      <c r="AA229" s="426"/>
      <c r="AB229" s="426"/>
      <c r="AC229" s="426"/>
      <c r="AD229" s="426"/>
      <c r="AE229" s="426"/>
      <c r="AF229" s="426"/>
      <c r="AG229" s="326"/>
      <c r="AH229" s="326"/>
      <c r="AI229" s="424"/>
      <c r="AJ229" s="424"/>
      <c r="AK229" s="424"/>
      <c r="AL229" s="424"/>
      <c r="AM229" s="424"/>
      <c r="AN229" s="424"/>
      <c r="AO229" s="425"/>
      <c r="AP229" s="425"/>
      <c r="AQ229" s="425"/>
      <c r="AR229" s="425"/>
      <c r="AS229" s="425"/>
      <c r="AT229" s="425"/>
      <c r="AU229" s="425"/>
      <c r="AV229" s="425"/>
      <c r="AW229" s="425"/>
      <c r="AX229" s="425"/>
      <c r="AY229" s="425"/>
      <c r="AZ229" s="425"/>
      <c r="BA229" s="425"/>
      <c r="BB229" s="425"/>
      <c r="BC229" s="425"/>
      <c r="BD229" s="425"/>
      <c r="BE229" s="425"/>
      <c r="BF229" s="425"/>
      <c r="BG229" s="425"/>
      <c r="BH229" s="425"/>
      <c r="BI229" s="425"/>
      <c r="BJ229" s="425"/>
      <c r="BK229" s="425"/>
      <c r="BL229" s="425"/>
      <c r="BM229" s="425"/>
      <c r="BN229" s="425"/>
    </row>
    <row r="230" spans="1:66" ht="15.75" customHeight="1" x14ac:dyDescent="0.2">
      <c r="A230" s="424"/>
      <c r="B230" s="424"/>
      <c r="C230" s="424"/>
      <c r="D230" s="424"/>
      <c r="E230" s="424"/>
      <c r="F230" s="425"/>
      <c r="G230" s="425"/>
      <c r="H230" s="424"/>
      <c r="I230" s="424"/>
      <c r="J230" s="425"/>
      <c r="K230" s="425"/>
      <c r="L230" s="425"/>
      <c r="M230" s="425"/>
      <c r="N230" s="425"/>
      <c r="O230" s="425"/>
      <c r="P230" s="425"/>
      <c r="Q230" s="424"/>
      <c r="R230" s="426"/>
      <c r="S230" s="426"/>
      <c r="T230" s="426"/>
      <c r="U230" s="426"/>
      <c r="V230" s="326"/>
      <c r="W230" s="326"/>
      <c r="X230" s="426"/>
      <c r="Y230" s="426"/>
      <c r="Z230" s="426"/>
      <c r="AA230" s="426"/>
      <c r="AB230" s="426"/>
      <c r="AC230" s="426"/>
      <c r="AD230" s="426"/>
      <c r="AE230" s="426"/>
      <c r="AF230" s="426"/>
      <c r="AG230" s="326"/>
      <c r="AH230" s="326"/>
      <c r="AI230" s="424"/>
      <c r="AJ230" s="424"/>
      <c r="AK230" s="424"/>
      <c r="AL230" s="424"/>
      <c r="AM230" s="424"/>
      <c r="AN230" s="424"/>
      <c r="AO230" s="425"/>
      <c r="AP230" s="425"/>
      <c r="AQ230" s="425"/>
      <c r="AR230" s="425"/>
      <c r="AS230" s="425"/>
      <c r="AT230" s="425"/>
      <c r="AU230" s="425"/>
      <c r="AV230" s="425"/>
      <c r="AW230" s="425"/>
      <c r="AX230" s="425"/>
      <c r="AY230" s="425"/>
      <c r="AZ230" s="425"/>
      <c r="BA230" s="425"/>
      <c r="BB230" s="425"/>
      <c r="BC230" s="425"/>
      <c r="BD230" s="425"/>
      <c r="BE230" s="425"/>
      <c r="BF230" s="425"/>
      <c r="BG230" s="425"/>
      <c r="BH230" s="425"/>
      <c r="BI230" s="425"/>
      <c r="BJ230" s="425"/>
      <c r="BK230" s="425"/>
      <c r="BL230" s="425"/>
      <c r="BM230" s="425"/>
      <c r="BN230" s="425"/>
    </row>
    <row r="231" spans="1:66" ht="15.75" customHeight="1" x14ac:dyDescent="0.2">
      <c r="A231" s="424"/>
      <c r="B231" s="424"/>
      <c r="C231" s="424"/>
      <c r="D231" s="424"/>
      <c r="E231" s="424"/>
      <c r="F231" s="425"/>
      <c r="G231" s="425"/>
      <c r="H231" s="424"/>
      <c r="I231" s="424"/>
      <c r="J231" s="425"/>
      <c r="K231" s="425"/>
      <c r="L231" s="425"/>
      <c r="M231" s="425"/>
      <c r="N231" s="425"/>
      <c r="O231" s="425"/>
      <c r="P231" s="425"/>
      <c r="Q231" s="424"/>
      <c r="R231" s="426"/>
      <c r="S231" s="426"/>
      <c r="T231" s="426"/>
      <c r="U231" s="426"/>
      <c r="V231" s="326"/>
      <c r="W231" s="326"/>
      <c r="X231" s="426"/>
      <c r="Y231" s="426"/>
      <c r="Z231" s="426"/>
      <c r="AA231" s="426"/>
      <c r="AB231" s="426"/>
      <c r="AC231" s="426"/>
      <c r="AD231" s="426"/>
      <c r="AE231" s="426"/>
      <c r="AF231" s="426"/>
      <c r="AG231" s="326"/>
      <c r="AH231" s="326"/>
      <c r="AI231" s="424"/>
      <c r="AJ231" s="424"/>
      <c r="AK231" s="424"/>
      <c r="AL231" s="424"/>
      <c r="AM231" s="424"/>
      <c r="AN231" s="424"/>
      <c r="AO231" s="425"/>
      <c r="AP231" s="425"/>
      <c r="AQ231" s="425"/>
      <c r="AR231" s="425"/>
      <c r="AS231" s="425"/>
      <c r="AT231" s="425"/>
      <c r="AU231" s="425"/>
      <c r="AV231" s="425"/>
      <c r="AW231" s="425"/>
      <c r="AX231" s="425"/>
      <c r="AY231" s="425"/>
      <c r="AZ231" s="425"/>
      <c r="BA231" s="425"/>
      <c r="BB231" s="425"/>
      <c r="BC231" s="425"/>
      <c r="BD231" s="425"/>
      <c r="BE231" s="425"/>
      <c r="BF231" s="425"/>
      <c r="BG231" s="425"/>
      <c r="BH231" s="425"/>
      <c r="BI231" s="425"/>
      <c r="BJ231" s="425"/>
      <c r="BK231" s="425"/>
      <c r="BL231" s="425"/>
      <c r="BM231" s="425"/>
      <c r="BN231" s="425"/>
    </row>
    <row r="232" spans="1:66" ht="15.75" customHeight="1" x14ac:dyDescent="0.2">
      <c r="A232" s="424"/>
      <c r="B232" s="424"/>
      <c r="C232" s="424"/>
      <c r="D232" s="424"/>
      <c r="E232" s="424"/>
      <c r="F232" s="425"/>
      <c r="G232" s="425"/>
      <c r="H232" s="424"/>
      <c r="I232" s="424"/>
      <c r="J232" s="425"/>
      <c r="K232" s="425"/>
      <c r="L232" s="425"/>
      <c r="M232" s="425"/>
      <c r="N232" s="425"/>
      <c r="O232" s="425"/>
      <c r="P232" s="425"/>
      <c r="Q232" s="424"/>
      <c r="R232" s="426"/>
      <c r="S232" s="426"/>
      <c r="T232" s="426"/>
      <c r="U232" s="426"/>
      <c r="V232" s="326"/>
      <c r="W232" s="326"/>
      <c r="X232" s="426"/>
      <c r="Y232" s="426"/>
      <c r="Z232" s="426"/>
      <c r="AA232" s="426"/>
      <c r="AB232" s="426"/>
      <c r="AC232" s="426"/>
      <c r="AD232" s="426"/>
      <c r="AE232" s="426"/>
      <c r="AF232" s="426"/>
      <c r="AG232" s="326"/>
      <c r="AH232" s="326"/>
      <c r="AI232" s="424"/>
      <c r="AJ232" s="424"/>
      <c r="AK232" s="424"/>
      <c r="AL232" s="424"/>
      <c r="AM232" s="424"/>
      <c r="AN232" s="424"/>
      <c r="AO232" s="425"/>
      <c r="AP232" s="425"/>
      <c r="AQ232" s="425"/>
      <c r="AR232" s="425"/>
      <c r="AS232" s="425"/>
      <c r="AT232" s="425"/>
      <c r="AU232" s="425"/>
      <c r="AV232" s="425"/>
      <c r="AW232" s="425"/>
      <c r="AX232" s="425"/>
      <c r="AY232" s="425"/>
      <c r="AZ232" s="425"/>
      <c r="BA232" s="425"/>
      <c r="BB232" s="425"/>
      <c r="BC232" s="425"/>
      <c r="BD232" s="425"/>
      <c r="BE232" s="425"/>
      <c r="BF232" s="425"/>
      <c r="BG232" s="425"/>
      <c r="BH232" s="425"/>
      <c r="BI232" s="425"/>
      <c r="BJ232" s="425"/>
      <c r="BK232" s="425"/>
      <c r="BL232" s="425"/>
      <c r="BM232" s="425"/>
      <c r="BN232" s="425"/>
    </row>
    <row r="233" spans="1:66" ht="15.75" customHeight="1" x14ac:dyDescent="0.2">
      <c r="A233" s="424"/>
      <c r="B233" s="424"/>
      <c r="C233" s="424"/>
      <c r="D233" s="424"/>
      <c r="E233" s="424"/>
      <c r="F233" s="425"/>
      <c r="G233" s="425"/>
      <c r="H233" s="424"/>
      <c r="I233" s="424"/>
      <c r="J233" s="425"/>
      <c r="K233" s="425"/>
      <c r="L233" s="425"/>
      <c r="M233" s="425"/>
      <c r="N233" s="425"/>
      <c r="O233" s="425"/>
      <c r="P233" s="425"/>
      <c r="Q233" s="424"/>
      <c r="R233" s="426"/>
      <c r="S233" s="426"/>
      <c r="T233" s="426"/>
      <c r="U233" s="426"/>
      <c r="V233" s="326"/>
      <c r="W233" s="326"/>
      <c r="X233" s="426"/>
      <c r="Y233" s="426"/>
      <c r="Z233" s="426"/>
      <c r="AA233" s="426"/>
      <c r="AB233" s="426"/>
      <c r="AC233" s="426"/>
      <c r="AD233" s="426"/>
      <c r="AE233" s="426"/>
      <c r="AF233" s="426"/>
      <c r="AG233" s="326"/>
      <c r="AH233" s="326"/>
      <c r="AI233" s="424"/>
      <c r="AJ233" s="424"/>
      <c r="AK233" s="424"/>
      <c r="AL233" s="424"/>
      <c r="AM233" s="424"/>
      <c r="AN233" s="424"/>
      <c r="AO233" s="425"/>
      <c r="AP233" s="425"/>
      <c r="AQ233" s="425"/>
      <c r="AR233" s="425"/>
      <c r="AS233" s="425"/>
      <c r="AT233" s="425"/>
      <c r="AU233" s="425"/>
      <c r="AV233" s="425"/>
      <c r="AW233" s="425"/>
      <c r="AX233" s="425"/>
      <c r="AY233" s="425"/>
      <c r="AZ233" s="425"/>
      <c r="BA233" s="425"/>
      <c r="BB233" s="425"/>
      <c r="BC233" s="425"/>
      <c r="BD233" s="425"/>
      <c r="BE233" s="425"/>
      <c r="BF233" s="425"/>
      <c r="BG233" s="425"/>
      <c r="BH233" s="425"/>
      <c r="BI233" s="425"/>
      <c r="BJ233" s="425"/>
      <c r="BK233" s="425"/>
      <c r="BL233" s="425"/>
      <c r="BM233" s="425"/>
      <c r="BN233" s="425"/>
    </row>
    <row r="234" spans="1:66" ht="15.75" customHeight="1" x14ac:dyDescent="0.2">
      <c r="A234" s="424"/>
      <c r="B234" s="424"/>
      <c r="C234" s="424"/>
      <c r="D234" s="424"/>
      <c r="E234" s="424"/>
      <c r="F234" s="425"/>
      <c r="G234" s="425"/>
      <c r="H234" s="424"/>
      <c r="I234" s="424"/>
      <c r="J234" s="425"/>
      <c r="K234" s="425"/>
      <c r="L234" s="425"/>
      <c r="M234" s="425"/>
      <c r="N234" s="425"/>
      <c r="O234" s="425"/>
      <c r="P234" s="425"/>
      <c r="Q234" s="424"/>
      <c r="R234" s="426"/>
      <c r="S234" s="426"/>
      <c r="T234" s="426"/>
      <c r="U234" s="426"/>
      <c r="V234" s="326"/>
      <c r="W234" s="326"/>
      <c r="X234" s="426"/>
      <c r="Y234" s="426"/>
      <c r="Z234" s="426"/>
      <c r="AA234" s="426"/>
      <c r="AB234" s="426"/>
      <c r="AC234" s="426"/>
      <c r="AD234" s="426"/>
      <c r="AE234" s="426"/>
      <c r="AF234" s="426"/>
      <c r="AG234" s="326"/>
      <c r="AH234" s="326"/>
      <c r="AI234" s="424"/>
      <c r="AJ234" s="424"/>
      <c r="AK234" s="424"/>
      <c r="AL234" s="424"/>
      <c r="AM234" s="424"/>
      <c r="AN234" s="424"/>
      <c r="AO234" s="425"/>
      <c r="AP234" s="425"/>
      <c r="AQ234" s="425"/>
      <c r="AR234" s="425"/>
      <c r="AS234" s="425"/>
      <c r="AT234" s="425"/>
      <c r="AU234" s="425"/>
      <c r="AV234" s="425"/>
      <c r="AW234" s="425"/>
      <c r="AX234" s="425"/>
      <c r="AY234" s="425"/>
      <c r="AZ234" s="425"/>
      <c r="BA234" s="425"/>
      <c r="BB234" s="425"/>
      <c r="BC234" s="425"/>
      <c r="BD234" s="425"/>
      <c r="BE234" s="425"/>
      <c r="BF234" s="425"/>
      <c r="BG234" s="425"/>
      <c r="BH234" s="425"/>
      <c r="BI234" s="425"/>
      <c r="BJ234" s="425"/>
      <c r="BK234" s="425"/>
      <c r="BL234" s="425"/>
      <c r="BM234" s="425"/>
      <c r="BN234" s="425"/>
    </row>
    <row r="235" spans="1:66" ht="15.75" customHeight="1" x14ac:dyDescent="0.2">
      <c r="A235" s="424"/>
      <c r="B235" s="424"/>
      <c r="C235" s="424"/>
      <c r="D235" s="424"/>
      <c r="E235" s="424"/>
      <c r="F235" s="425"/>
      <c r="G235" s="425"/>
      <c r="H235" s="424"/>
      <c r="I235" s="424"/>
      <c r="J235" s="425"/>
      <c r="K235" s="425"/>
      <c r="L235" s="425"/>
      <c r="M235" s="425"/>
      <c r="N235" s="425"/>
      <c r="O235" s="425"/>
      <c r="P235" s="425"/>
      <c r="Q235" s="424"/>
      <c r="R235" s="426"/>
      <c r="S235" s="426"/>
      <c r="T235" s="426"/>
      <c r="U235" s="426"/>
      <c r="V235" s="326"/>
      <c r="W235" s="326"/>
      <c r="X235" s="426"/>
      <c r="Y235" s="426"/>
      <c r="Z235" s="426"/>
      <c r="AA235" s="426"/>
      <c r="AB235" s="426"/>
      <c r="AC235" s="426"/>
      <c r="AD235" s="426"/>
      <c r="AE235" s="426"/>
      <c r="AF235" s="426"/>
      <c r="AG235" s="326"/>
      <c r="AH235" s="326"/>
      <c r="AI235" s="424"/>
      <c r="AJ235" s="424"/>
      <c r="AK235" s="424"/>
      <c r="AL235" s="424"/>
      <c r="AM235" s="424"/>
      <c r="AN235" s="424"/>
      <c r="AO235" s="425"/>
      <c r="AP235" s="425"/>
      <c r="AQ235" s="425"/>
      <c r="AR235" s="425"/>
      <c r="AS235" s="425"/>
      <c r="AT235" s="425"/>
      <c r="AU235" s="425"/>
      <c r="AV235" s="425"/>
      <c r="AW235" s="425"/>
      <c r="AX235" s="425"/>
      <c r="AY235" s="425"/>
      <c r="AZ235" s="425"/>
      <c r="BA235" s="425"/>
      <c r="BB235" s="425"/>
      <c r="BC235" s="425"/>
      <c r="BD235" s="425"/>
      <c r="BE235" s="425"/>
      <c r="BF235" s="425"/>
      <c r="BG235" s="425"/>
      <c r="BH235" s="425"/>
      <c r="BI235" s="425"/>
      <c r="BJ235" s="425"/>
      <c r="BK235" s="425"/>
      <c r="BL235" s="425"/>
      <c r="BM235" s="425"/>
      <c r="BN235" s="425"/>
    </row>
    <row r="236" spans="1:66" ht="15.75" customHeight="1" x14ac:dyDescent="0.2">
      <c r="A236" s="424"/>
      <c r="B236" s="424"/>
      <c r="C236" s="424"/>
      <c r="D236" s="424"/>
      <c r="E236" s="424"/>
      <c r="F236" s="425"/>
      <c r="G236" s="425"/>
      <c r="H236" s="424"/>
      <c r="I236" s="424"/>
      <c r="J236" s="425"/>
      <c r="K236" s="425"/>
      <c r="L236" s="425"/>
      <c r="M236" s="425"/>
      <c r="N236" s="425"/>
      <c r="O236" s="425"/>
      <c r="P236" s="425"/>
      <c r="Q236" s="424"/>
      <c r="R236" s="426"/>
      <c r="S236" s="426"/>
      <c r="T236" s="426"/>
      <c r="U236" s="426"/>
      <c r="V236" s="326"/>
      <c r="W236" s="326"/>
      <c r="X236" s="426"/>
      <c r="Y236" s="426"/>
      <c r="Z236" s="426"/>
      <c r="AA236" s="426"/>
      <c r="AB236" s="426"/>
      <c r="AC236" s="426"/>
      <c r="AD236" s="426"/>
      <c r="AE236" s="426"/>
      <c r="AF236" s="426"/>
      <c r="AG236" s="326"/>
      <c r="AH236" s="326"/>
      <c r="AI236" s="424"/>
      <c r="AJ236" s="424"/>
      <c r="AK236" s="424"/>
      <c r="AL236" s="424"/>
      <c r="AM236" s="424"/>
      <c r="AN236" s="424"/>
      <c r="AO236" s="425"/>
      <c r="AP236" s="425"/>
      <c r="AQ236" s="425"/>
      <c r="AR236" s="425"/>
      <c r="AS236" s="425"/>
      <c r="AT236" s="425"/>
      <c r="AU236" s="425"/>
      <c r="AV236" s="425"/>
      <c r="AW236" s="425"/>
      <c r="AX236" s="425"/>
      <c r="AY236" s="425"/>
      <c r="AZ236" s="425"/>
      <c r="BA236" s="425"/>
      <c r="BB236" s="425"/>
      <c r="BC236" s="425"/>
      <c r="BD236" s="425"/>
      <c r="BE236" s="425"/>
      <c r="BF236" s="425"/>
      <c r="BG236" s="425"/>
      <c r="BH236" s="425"/>
      <c r="BI236" s="425"/>
      <c r="BJ236" s="425"/>
      <c r="BK236" s="425"/>
      <c r="BL236" s="425"/>
      <c r="BM236" s="425"/>
      <c r="BN236" s="425"/>
    </row>
    <row r="237" spans="1:66" ht="15.75" customHeight="1" x14ac:dyDescent="0.2">
      <c r="A237" s="424"/>
      <c r="B237" s="424"/>
      <c r="C237" s="424"/>
      <c r="D237" s="424"/>
      <c r="E237" s="424"/>
      <c r="F237" s="425"/>
      <c r="G237" s="425"/>
      <c r="H237" s="424"/>
      <c r="I237" s="424"/>
      <c r="J237" s="425"/>
      <c r="K237" s="425"/>
      <c r="L237" s="425"/>
      <c r="M237" s="425"/>
      <c r="N237" s="425"/>
      <c r="O237" s="425"/>
      <c r="P237" s="425"/>
      <c r="Q237" s="424"/>
      <c r="R237" s="426"/>
      <c r="S237" s="426"/>
      <c r="T237" s="426"/>
      <c r="U237" s="426"/>
      <c r="V237" s="326"/>
      <c r="W237" s="326"/>
      <c r="X237" s="426"/>
      <c r="Y237" s="426"/>
      <c r="Z237" s="426"/>
      <c r="AA237" s="426"/>
      <c r="AB237" s="426"/>
      <c r="AC237" s="426"/>
      <c r="AD237" s="426"/>
      <c r="AE237" s="426"/>
      <c r="AF237" s="426"/>
      <c r="AG237" s="326"/>
      <c r="AH237" s="326"/>
      <c r="AI237" s="424"/>
      <c r="AJ237" s="424"/>
      <c r="AK237" s="424"/>
      <c r="AL237" s="424"/>
      <c r="AM237" s="424"/>
      <c r="AN237" s="424"/>
      <c r="AO237" s="425"/>
      <c r="AP237" s="425"/>
      <c r="AQ237" s="425"/>
      <c r="AR237" s="425"/>
      <c r="AS237" s="425"/>
      <c r="AT237" s="425"/>
      <c r="AU237" s="425"/>
      <c r="AV237" s="425"/>
      <c r="AW237" s="425"/>
      <c r="AX237" s="425"/>
      <c r="AY237" s="425"/>
      <c r="AZ237" s="425"/>
      <c r="BA237" s="425"/>
      <c r="BB237" s="425"/>
      <c r="BC237" s="425"/>
      <c r="BD237" s="425"/>
      <c r="BE237" s="425"/>
      <c r="BF237" s="425"/>
      <c r="BG237" s="425"/>
      <c r="BH237" s="425"/>
      <c r="BI237" s="425"/>
      <c r="BJ237" s="425"/>
      <c r="BK237" s="425"/>
      <c r="BL237" s="425"/>
      <c r="BM237" s="425"/>
      <c r="BN237" s="425"/>
    </row>
    <row r="238" spans="1:66" ht="15.75" customHeight="1" x14ac:dyDescent="0.2">
      <c r="A238" s="424"/>
      <c r="B238" s="424"/>
      <c r="C238" s="424"/>
      <c r="D238" s="424"/>
      <c r="E238" s="424"/>
      <c r="F238" s="425"/>
      <c r="G238" s="425"/>
      <c r="H238" s="424"/>
      <c r="I238" s="424"/>
      <c r="J238" s="425"/>
      <c r="K238" s="425"/>
      <c r="L238" s="425"/>
      <c r="M238" s="425"/>
      <c r="N238" s="425"/>
      <c r="O238" s="425"/>
      <c r="P238" s="425"/>
      <c r="Q238" s="424"/>
      <c r="R238" s="426"/>
      <c r="S238" s="426"/>
      <c r="T238" s="426"/>
      <c r="U238" s="426"/>
      <c r="V238" s="326"/>
      <c r="W238" s="326"/>
      <c r="X238" s="426"/>
      <c r="Y238" s="426"/>
      <c r="Z238" s="426"/>
      <c r="AA238" s="426"/>
      <c r="AB238" s="426"/>
      <c r="AC238" s="426"/>
      <c r="AD238" s="426"/>
      <c r="AE238" s="426"/>
      <c r="AF238" s="426"/>
      <c r="AG238" s="326"/>
      <c r="AH238" s="326"/>
      <c r="AI238" s="424"/>
      <c r="AJ238" s="424"/>
      <c r="AK238" s="424"/>
      <c r="AL238" s="424"/>
      <c r="AM238" s="424"/>
      <c r="AN238" s="424"/>
      <c r="AO238" s="425"/>
      <c r="AP238" s="425"/>
      <c r="AQ238" s="425"/>
      <c r="AR238" s="425"/>
      <c r="AS238" s="425"/>
      <c r="AT238" s="425"/>
      <c r="AU238" s="425"/>
      <c r="AV238" s="425"/>
      <c r="AW238" s="425"/>
      <c r="AX238" s="425"/>
      <c r="AY238" s="425"/>
      <c r="AZ238" s="425"/>
      <c r="BA238" s="425"/>
      <c r="BB238" s="425"/>
      <c r="BC238" s="425"/>
      <c r="BD238" s="425"/>
      <c r="BE238" s="425"/>
      <c r="BF238" s="425"/>
      <c r="BG238" s="425"/>
      <c r="BH238" s="425"/>
      <c r="BI238" s="425"/>
      <c r="BJ238" s="425"/>
      <c r="BK238" s="425"/>
      <c r="BL238" s="425"/>
      <c r="BM238" s="425"/>
      <c r="BN238" s="425"/>
    </row>
    <row r="239" spans="1:66" ht="15.75" customHeight="1" x14ac:dyDescent="0.2">
      <c r="A239" s="424"/>
      <c r="B239" s="424"/>
      <c r="C239" s="424"/>
      <c r="D239" s="424"/>
      <c r="E239" s="424"/>
      <c r="F239" s="425"/>
      <c r="G239" s="425"/>
      <c r="H239" s="424"/>
      <c r="I239" s="424"/>
      <c r="J239" s="425"/>
      <c r="K239" s="425"/>
      <c r="L239" s="425"/>
      <c r="M239" s="425"/>
      <c r="N239" s="425"/>
      <c r="O239" s="425"/>
      <c r="P239" s="425"/>
      <c r="Q239" s="424"/>
      <c r="R239" s="426"/>
      <c r="S239" s="426"/>
      <c r="T239" s="426"/>
      <c r="U239" s="426"/>
      <c r="V239" s="326"/>
      <c r="W239" s="326"/>
      <c r="X239" s="426"/>
      <c r="Y239" s="426"/>
      <c r="Z239" s="426"/>
      <c r="AA239" s="426"/>
      <c r="AB239" s="426"/>
      <c r="AC239" s="426"/>
      <c r="AD239" s="426"/>
      <c r="AE239" s="426"/>
      <c r="AF239" s="426"/>
      <c r="AG239" s="326"/>
      <c r="AH239" s="326"/>
      <c r="AI239" s="424"/>
      <c r="AJ239" s="424"/>
      <c r="AK239" s="424"/>
      <c r="AL239" s="424"/>
      <c r="AM239" s="424"/>
      <c r="AN239" s="424"/>
      <c r="AO239" s="425"/>
      <c r="AP239" s="425"/>
      <c r="AQ239" s="425"/>
      <c r="AR239" s="425"/>
      <c r="AS239" s="425"/>
      <c r="AT239" s="425"/>
      <c r="AU239" s="425"/>
      <c r="AV239" s="425"/>
      <c r="AW239" s="425"/>
      <c r="AX239" s="425"/>
      <c r="AY239" s="425"/>
      <c r="AZ239" s="425"/>
      <c r="BA239" s="425"/>
      <c r="BB239" s="425"/>
      <c r="BC239" s="425"/>
      <c r="BD239" s="425"/>
      <c r="BE239" s="425"/>
      <c r="BF239" s="425"/>
      <c r="BG239" s="425"/>
      <c r="BH239" s="425"/>
      <c r="BI239" s="425"/>
      <c r="BJ239" s="425"/>
      <c r="BK239" s="425"/>
      <c r="BL239" s="425"/>
      <c r="BM239" s="425"/>
      <c r="BN239" s="425"/>
    </row>
    <row r="240" spans="1:66" ht="15.75" customHeight="1" x14ac:dyDescent="0.2">
      <c r="A240" s="424"/>
      <c r="B240" s="424"/>
      <c r="C240" s="424"/>
      <c r="D240" s="424"/>
      <c r="E240" s="424"/>
      <c r="F240" s="425"/>
      <c r="G240" s="425"/>
      <c r="H240" s="424"/>
      <c r="I240" s="424"/>
      <c r="J240" s="425"/>
      <c r="K240" s="425"/>
      <c r="L240" s="425"/>
      <c r="M240" s="425"/>
      <c r="N240" s="425"/>
      <c r="O240" s="425"/>
      <c r="P240" s="425"/>
      <c r="Q240" s="424"/>
      <c r="R240" s="426"/>
      <c r="S240" s="426"/>
      <c r="T240" s="426"/>
      <c r="U240" s="426"/>
      <c r="V240" s="326"/>
      <c r="W240" s="326"/>
      <c r="X240" s="426"/>
      <c r="Y240" s="426"/>
      <c r="Z240" s="426"/>
      <c r="AA240" s="426"/>
      <c r="AB240" s="426"/>
      <c r="AC240" s="426"/>
      <c r="AD240" s="426"/>
      <c r="AE240" s="426"/>
      <c r="AF240" s="426"/>
      <c r="AG240" s="326"/>
      <c r="AH240" s="326"/>
      <c r="AI240" s="424"/>
      <c r="AJ240" s="424"/>
      <c r="AK240" s="424"/>
      <c r="AL240" s="424"/>
      <c r="AM240" s="424"/>
      <c r="AN240" s="424"/>
      <c r="AO240" s="425"/>
      <c r="AP240" s="425"/>
      <c r="AQ240" s="425"/>
      <c r="AR240" s="425"/>
      <c r="AS240" s="425"/>
      <c r="AT240" s="425"/>
      <c r="AU240" s="425"/>
      <c r="AV240" s="425"/>
      <c r="AW240" s="425"/>
      <c r="AX240" s="425"/>
      <c r="AY240" s="425"/>
      <c r="AZ240" s="425"/>
      <c r="BA240" s="425"/>
      <c r="BB240" s="425"/>
      <c r="BC240" s="425"/>
      <c r="BD240" s="425"/>
      <c r="BE240" s="425"/>
      <c r="BF240" s="425"/>
      <c r="BG240" s="425"/>
      <c r="BH240" s="425"/>
      <c r="BI240" s="425"/>
      <c r="BJ240" s="425"/>
      <c r="BK240" s="425"/>
      <c r="BL240" s="425"/>
      <c r="BM240" s="425"/>
      <c r="BN240" s="425"/>
    </row>
    <row r="241" spans="1:66" ht="15.75" customHeight="1" x14ac:dyDescent="0.2">
      <c r="A241" s="424"/>
      <c r="B241" s="424"/>
      <c r="C241" s="424"/>
      <c r="D241" s="424"/>
      <c r="E241" s="424"/>
      <c r="F241" s="425"/>
      <c r="G241" s="425"/>
      <c r="H241" s="424"/>
      <c r="I241" s="424"/>
      <c r="J241" s="425"/>
      <c r="K241" s="425"/>
      <c r="L241" s="425"/>
      <c r="M241" s="425"/>
      <c r="N241" s="425"/>
      <c r="O241" s="425"/>
      <c r="P241" s="425"/>
      <c r="Q241" s="424"/>
      <c r="R241" s="426"/>
      <c r="S241" s="426"/>
      <c r="T241" s="426"/>
      <c r="U241" s="426"/>
      <c r="V241" s="326"/>
      <c r="W241" s="326"/>
      <c r="X241" s="426"/>
      <c r="Y241" s="426"/>
      <c r="Z241" s="426"/>
      <c r="AA241" s="426"/>
      <c r="AB241" s="426"/>
      <c r="AC241" s="426"/>
      <c r="AD241" s="426"/>
      <c r="AE241" s="426"/>
      <c r="AF241" s="426"/>
      <c r="AG241" s="326"/>
      <c r="AH241" s="326"/>
      <c r="AI241" s="424"/>
      <c r="AJ241" s="424"/>
      <c r="AK241" s="424"/>
      <c r="AL241" s="424"/>
      <c r="AM241" s="424"/>
      <c r="AN241" s="424"/>
      <c r="AO241" s="425"/>
      <c r="AP241" s="425"/>
      <c r="AQ241" s="425"/>
      <c r="AR241" s="425"/>
      <c r="AS241" s="425"/>
      <c r="AT241" s="425"/>
      <c r="AU241" s="425"/>
      <c r="AV241" s="425"/>
      <c r="AW241" s="425"/>
      <c r="AX241" s="425"/>
      <c r="AY241" s="425"/>
      <c r="AZ241" s="425"/>
      <c r="BA241" s="425"/>
      <c r="BB241" s="425"/>
      <c r="BC241" s="425"/>
      <c r="BD241" s="425"/>
      <c r="BE241" s="425"/>
      <c r="BF241" s="425"/>
      <c r="BG241" s="425"/>
      <c r="BH241" s="425"/>
      <c r="BI241" s="425"/>
      <c r="BJ241" s="425"/>
      <c r="BK241" s="425"/>
      <c r="BL241" s="425"/>
      <c r="BM241" s="425"/>
      <c r="BN241" s="425"/>
    </row>
    <row r="242" spans="1:66" ht="15.75" customHeight="1" x14ac:dyDescent="0.2">
      <c r="A242" s="424"/>
      <c r="B242" s="424"/>
      <c r="C242" s="424"/>
      <c r="D242" s="424"/>
      <c r="E242" s="424"/>
      <c r="F242" s="425"/>
      <c r="G242" s="425"/>
      <c r="H242" s="424"/>
      <c r="I242" s="424"/>
      <c r="J242" s="425"/>
      <c r="K242" s="425"/>
      <c r="L242" s="425"/>
      <c r="M242" s="425"/>
      <c r="N242" s="425"/>
      <c r="O242" s="425"/>
      <c r="P242" s="425"/>
      <c r="Q242" s="424"/>
      <c r="R242" s="426"/>
      <c r="S242" s="426"/>
      <c r="T242" s="426"/>
      <c r="U242" s="426"/>
      <c r="V242" s="326"/>
      <c r="W242" s="326"/>
      <c r="X242" s="426"/>
      <c r="Y242" s="426"/>
      <c r="Z242" s="426"/>
      <c r="AA242" s="426"/>
      <c r="AB242" s="426"/>
      <c r="AC242" s="426"/>
      <c r="AD242" s="426"/>
      <c r="AE242" s="426"/>
      <c r="AF242" s="426"/>
      <c r="AG242" s="326"/>
      <c r="AH242" s="326"/>
      <c r="AI242" s="424"/>
      <c r="AJ242" s="424"/>
      <c r="AK242" s="424"/>
      <c r="AL242" s="424"/>
      <c r="AM242" s="424"/>
      <c r="AN242" s="424"/>
      <c r="AO242" s="425"/>
      <c r="AP242" s="425"/>
      <c r="AQ242" s="425"/>
      <c r="AR242" s="425"/>
      <c r="AS242" s="425"/>
      <c r="AT242" s="425"/>
      <c r="AU242" s="425"/>
      <c r="AV242" s="425"/>
      <c r="AW242" s="425"/>
      <c r="AX242" s="425"/>
      <c r="AY242" s="425"/>
      <c r="AZ242" s="425"/>
      <c r="BA242" s="425"/>
      <c r="BB242" s="425"/>
      <c r="BC242" s="425"/>
      <c r="BD242" s="425"/>
      <c r="BE242" s="425"/>
      <c r="BF242" s="425"/>
      <c r="BG242" s="425"/>
      <c r="BH242" s="425"/>
      <c r="BI242" s="425"/>
      <c r="BJ242" s="425"/>
      <c r="BK242" s="425"/>
      <c r="BL242" s="425"/>
      <c r="BM242" s="425"/>
      <c r="BN242" s="425"/>
    </row>
    <row r="243" spans="1:66" ht="15.75" customHeight="1" x14ac:dyDescent="0.2">
      <c r="A243" s="424"/>
      <c r="B243" s="424"/>
      <c r="C243" s="424"/>
      <c r="D243" s="424"/>
      <c r="E243" s="424"/>
      <c r="F243" s="425"/>
      <c r="G243" s="425"/>
      <c r="H243" s="424"/>
      <c r="I243" s="424"/>
      <c r="J243" s="425"/>
      <c r="K243" s="425"/>
      <c r="L243" s="425"/>
      <c r="M243" s="425"/>
      <c r="N243" s="425"/>
      <c r="O243" s="425"/>
      <c r="P243" s="425"/>
      <c r="Q243" s="424"/>
      <c r="R243" s="426"/>
      <c r="S243" s="426"/>
      <c r="T243" s="426"/>
      <c r="U243" s="426"/>
      <c r="V243" s="326"/>
      <c r="W243" s="326"/>
      <c r="X243" s="426"/>
      <c r="Y243" s="426"/>
      <c r="Z243" s="426"/>
      <c r="AA243" s="426"/>
      <c r="AB243" s="426"/>
      <c r="AC243" s="426"/>
      <c r="AD243" s="426"/>
      <c r="AE243" s="426"/>
      <c r="AF243" s="426"/>
      <c r="AG243" s="326"/>
      <c r="AH243" s="326"/>
      <c r="AI243" s="424"/>
      <c r="AJ243" s="424"/>
      <c r="AK243" s="424"/>
      <c r="AL243" s="424"/>
      <c r="AM243" s="424"/>
      <c r="AN243" s="424"/>
      <c r="AO243" s="425"/>
      <c r="AP243" s="425"/>
      <c r="AQ243" s="425"/>
      <c r="AR243" s="425"/>
      <c r="AS243" s="425"/>
      <c r="AT243" s="425"/>
      <c r="AU243" s="425"/>
      <c r="AV243" s="425"/>
      <c r="AW243" s="425"/>
      <c r="AX243" s="425"/>
      <c r="AY243" s="425"/>
      <c r="AZ243" s="425"/>
      <c r="BA243" s="425"/>
      <c r="BB243" s="425"/>
      <c r="BC243" s="425"/>
      <c r="BD243" s="425"/>
      <c r="BE243" s="425"/>
      <c r="BF243" s="425"/>
      <c r="BG243" s="425"/>
      <c r="BH243" s="425"/>
      <c r="BI243" s="425"/>
      <c r="BJ243" s="425"/>
      <c r="BK243" s="425"/>
      <c r="BL243" s="425"/>
      <c r="BM243" s="425"/>
      <c r="BN243" s="425"/>
    </row>
    <row r="244" spans="1:66" ht="15.75" customHeight="1" x14ac:dyDescent="0.2">
      <c r="A244" s="424"/>
      <c r="B244" s="424"/>
      <c r="C244" s="424"/>
      <c r="D244" s="424"/>
      <c r="E244" s="424"/>
      <c r="F244" s="425"/>
      <c r="G244" s="425"/>
      <c r="H244" s="424"/>
      <c r="I244" s="424"/>
      <c r="J244" s="425"/>
      <c r="K244" s="425"/>
      <c r="L244" s="425"/>
      <c r="M244" s="425"/>
      <c r="N244" s="425"/>
      <c r="O244" s="425"/>
      <c r="P244" s="425"/>
      <c r="Q244" s="424"/>
      <c r="R244" s="426"/>
      <c r="S244" s="426"/>
      <c r="T244" s="426"/>
      <c r="U244" s="426"/>
      <c r="V244" s="326"/>
      <c r="W244" s="326"/>
      <c r="X244" s="426"/>
      <c r="Y244" s="426"/>
      <c r="Z244" s="426"/>
      <c r="AA244" s="426"/>
      <c r="AB244" s="426"/>
      <c r="AC244" s="426"/>
      <c r="AD244" s="426"/>
      <c r="AE244" s="426"/>
      <c r="AF244" s="426"/>
      <c r="AG244" s="326"/>
      <c r="AH244" s="326"/>
      <c r="AI244" s="424"/>
      <c r="AJ244" s="424"/>
      <c r="AK244" s="424"/>
      <c r="AL244" s="424"/>
      <c r="AM244" s="424"/>
      <c r="AN244" s="424"/>
      <c r="AO244" s="425"/>
      <c r="AP244" s="425"/>
      <c r="AQ244" s="425"/>
      <c r="AR244" s="425"/>
      <c r="AS244" s="425"/>
      <c r="AT244" s="425"/>
      <c r="AU244" s="425"/>
      <c r="AV244" s="425"/>
      <c r="AW244" s="425"/>
      <c r="AX244" s="425"/>
      <c r="AY244" s="425"/>
      <c r="AZ244" s="425"/>
      <c r="BA244" s="425"/>
      <c r="BB244" s="425"/>
      <c r="BC244" s="425"/>
      <c r="BD244" s="425"/>
      <c r="BE244" s="425"/>
      <c r="BF244" s="425"/>
      <c r="BG244" s="425"/>
      <c r="BH244" s="425"/>
      <c r="BI244" s="425"/>
      <c r="BJ244" s="425"/>
      <c r="BK244" s="425"/>
      <c r="BL244" s="425"/>
      <c r="BM244" s="425"/>
      <c r="BN244" s="425"/>
    </row>
    <row r="245" spans="1:66" ht="15.75" customHeight="1" x14ac:dyDescent="0.2">
      <c r="A245" s="424"/>
      <c r="B245" s="424"/>
      <c r="C245" s="424"/>
      <c r="D245" s="424"/>
      <c r="E245" s="424"/>
      <c r="F245" s="425"/>
      <c r="G245" s="425"/>
      <c r="H245" s="424"/>
      <c r="I245" s="424"/>
      <c r="J245" s="425"/>
      <c r="K245" s="425"/>
      <c r="L245" s="425"/>
      <c r="M245" s="425"/>
      <c r="N245" s="425"/>
      <c r="O245" s="425"/>
      <c r="P245" s="425"/>
      <c r="Q245" s="424"/>
      <c r="R245" s="426"/>
      <c r="S245" s="426"/>
      <c r="T245" s="426"/>
      <c r="U245" s="426"/>
      <c r="V245" s="326"/>
      <c r="W245" s="326"/>
      <c r="X245" s="426"/>
      <c r="Y245" s="426"/>
      <c r="Z245" s="426"/>
      <c r="AA245" s="426"/>
      <c r="AB245" s="426"/>
      <c r="AC245" s="426"/>
      <c r="AD245" s="426"/>
      <c r="AE245" s="426"/>
      <c r="AF245" s="426"/>
      <c r="AG245" s="326"/>
      <c r="AH245" s="326"/>
      <c r="AI245" s="424"/>
      <c r="AJ245" s="424"/>
      <c r="AK245" s="424"/>
      <c r="AL245" s="424"/>
      <c r="AM245" s="424"/>
      <c r="AN245" s="424"/>
      <c r="AO245" s="425"/>
      <c r="AP245" s="425"/>
      <c r="AQ245" s="425"/>
      <c r="AR245" s="425"/>
      <c r="AS245" s="425"/>
      <c r="AT245" s="425"/>
      <c r="AU245" s="425"/>
      <c r="AV245" s="425"/>
      <c r="AW245" s="425"/>
      <c r="AX245" s="425"/>
      <c r="AY245" s="425"/>
      <c r="AZ245" s="425"/>
      <c r="BA245" s="425"/>
      <c r="BB245" s="425"/>
      <c r="BC245" s="425"/>
      <c r="BD245" s="425"/>
      <c r="BE245" s="425"/>
      <c r="BF245" s="425"/>
      <c r="BG245" s="425"/>
      <c r="BH245" s="425"/>
      <c r="BI245" s="425"/>
      <c r="BJ245" s="425"/>
      <c r="BK245" s="425"/>
      <c r="BL245" s="425"/>
      <c r="BM245" s="425"/>
      <c r="BN245" s="425"/>
    </row>
    <row r="246" spans="1:66" ht="15.75" customHeight="1" x14ac:dyDescent="0.2">
      <c r="A246" s="424"/>
      <c r="B246" s="424"/>
      <c r="C246" s="424"/>
      <c r="D246" s="424"/>
      <c r="E246" s="424"/>
      <c r="F246" s="425"/>
      <c r="G246" s="425"/>
      <c r="H246" s="424"/>
      <c r="I246" s="424"/>
      <c r="J246" s="425"/>
      <c r="K246" s="425"/>
      <c r="L246" s="425"/>
      <c r="M246" s="425"/>
      <c r="N246" s="425"/>
      <c r="O246" s="425"/>
      <c r="P246" s="425"/>
      <c r="Q246" s="424"/>
      <c r="R246" s="426"/>
      <c r="S246" s="426"/>
      <c r="T246" s="426"/>
      <c r="U246" s="426"/>
      <c r="V246" s="326"/>
      <c r="W246" s="326"/>
      <c r="X246" s="426"/>
      <c r="Y246" s="426"/>
      <c r="Z246" s="426"/>
      <c r="AA246" s="426"/>
      <c r="AB246" s="426"/>
      <c r="AC246" s="426"/>
      <c r="AD246" s="426"/>
      <c r="AE246" s="426"/>
      <c r="AF246" s="426"/>
      <c r="AG246" s="326"/>
      <c r="AH246" s="326"/>
      <c r="AI246" s="424"/>
      <c r="AJ246" s="424"/>
      <c r="AK246" s="424"/>
      <c r="AL246" s="424"/>
      <c r="AM246" s="424"/>
      <c r="AN246" s="424"/>
      <c r="AO246" s="425"/>
      <c r="AP246" s="425"/>
      <c r="AQ246" s="425"/>
      <c r="AR246" s="425"/>
      <c r="AS246" s="425"/>
      <c r="AT246" s="425"/>
      <c r="AU246" s="425"/>
      <c r="AV246" s="425"/>
      <c r="AW246" s="425"/>
      <c r="AX246" s="425"/>
      <c r="AY246" s="425"/>
      <c r="AZ246" s="425"/>
      <c r="BA246" s="425"/>
      <c r="BB246" s="425"/>
      <c r="BC246" s="425"/>
      <c r="BD246" s="425"/>
      <c r="BE246" s="425"/>
      <c r="BF246" s="425"/>
      <c r="BG246" s="425"/>
      <c r="BH246" s="425"/>
      <c r="BI246" s="425"/>
      <c r="BJ246" s="425"/>
      <c r="BK246" s="425"/>
      <c r="BL246" s="425"/>
      <c r="BM246" s="425"/>
      <c r="BN246" s="425"/>
    </row>
    <row r="247" spans="1:66" ht="15.75" customHeight="1" x14ac:dyDescent="0.2">
      <c r="A247" s="424"/>
      <c r="B247" s="424"/>
      <c r="C247" s="424"/>
      <c r="D247" s="424"/>
      <c r="E247" s="424"/>
      <c r="F247" s="425"/>
      <c r="G247" s="425"/>
      <c r="H247" s="424"/>
      <c r="I247" s="424"/>
      <c r="J247" s="425"/>
      <c r="K247" s="425"/>
      <c r="L247" s="425"/>
      <c r="M247" s="425"/>
      <c r="N247" s="425"/>
      <c r="O247" s="425"/>
      <c r="P247" s="425"/>
      <c r="Q247" s="424"/>
      <c r="R247" s="426"/>
      <c r="S247" s="426"/>
      <c r="T247" s="426"/>
      <c r="U247" s="426"/>
      <c r="V247" s="326"/>
      <c r="W247" s="326"/>
      <c r="X247" s="426"/>
      <c r="Y247" s="426"/>
      <c r="Z247" s="426"/>
      <c r="AA247" s="426"/>
      <c r="AB247" s="426"/>
      <c r="AC247" s="426"/>
      <c r="AD247" s="426"/>
      <c r="AE247" s="426"/>
      <c r="AF247" s="426"/>
      <c r="AG247" s="326"/>
      <c r="AH247" s="326"/>
      <c r="AI247" s="424"/>
      <c r="AJ247" s="424"/>
      <c r="AK247" s="424"/>
      <c r="AL247" s="424"/>
      <c r="AM247" s="424"/>
      <c r="AN247" s="424"/>
      <c r="AO247" s="425"/>
      <c r="AP247" s="425"/>
      <c r="AQ247" s="425"/>
      <c r="AR247" s="425"/>
      <c r="AS247" s="425"/>
      <c r="AT247" s="425"/>
      <c r="AU247" s="425"/>
      <c r="AV247" s="425"/>
      <c r="AW247" s="425"/>
      <c r="AX247" s="425"/>
      <c r="AY247" s="425"/>
      <c r="AZ247" s="425"/>
      <c r="BA247" s="425"/>
      <c r="BB247" s="425"/>
      <c r="BC247" s="425"/>
      <c r="BD247" s="425"/>
      <c r="BE247" s="425"/>
      <c r="BF247" s="425"/>
      <c r="BG247" s="425"/>
      <c r="BH247" s="425"/>
      <c r="BI247" s="425"/>
      <c r="BJ247" s="425"/>
      <c r="BK247" s="425"/>
      <c r="BL247" s="425"/>
      <c r="BM247" s="425"/>
      <c r="BN247" s="425"/>
    </row>
    <row r="248" spans="1:66" ht="15.75" customHeight="1" x14ac:dyDescent="0.2">
      <c r="A248" s="424"/>
      <c r="B248" s="424"/>
      <c r="C248" s="424"/>
      <c r="D248" s="424"/>
      <c r="E248" s="424"/>
      <c r="F248" s="425"/>
      <c r="G248" s="425"/>
      <c r="H248" s="424"/>
      <c r="I248" s="424"/>
      <c r="J248" s="425"/>
      <c r="K248" s="425"/>
      <c r="L248" s="425"/>
      <c r="M248" s="425"/>
      <c r="N248" s="425"/>
      <c r="O248" s="425"/>
      <c r="P248" s="425"/>
      <c r="Q248" s="424"/>
      <c r="R248" s="426"/>
      <c r="S248" s="426"/>
      <c r="T248" s="426"/>
      <c r="U248" s="426"/>
      <c r="V248" s="326"/>
      <c r="W248" s="326"/>
      <c r="X248" s="426"/>
      <c r="Y248" s="426"/>
      <c r="Z248" s="426"/>
      <c r="AA248" s="426"/>
      <c r="AB248" s="426"/>
      <c r="AC248" s="426"/>
      <c r="AD248" s="426"/>
      <c r="AE248" s="426"/>
      <c r="AF248" s="426"/>
      <c r="AG248" s="326"/>
      <c r="AH248" s="326"/>
      <c r="AI248" s="424"/>
      <c r="AJ248" s="424"/>
      <c r="AK248" s="424"/>
      <c r="AL248" s="424"/>
      <c r="AM248" s="424"/>
      <c r="AN248" s="424"/>
      <c r="AO248" s="425"/>
      <c r="AP248" s="425"/>
      <c r="AQ248" s="425"/>
      <c r="AR248" s="425"/>
      <c r="AS248" s="425"/>
      <c r="AT248" s="425"/>
      <c r="AU248" s="425"/>
      <c r="AV248" s="425"/>
      <c r="AW248" s="425"/>
      <c r="AX248" s="425"/>
      <c r="AY248" s="425"/>
      <c r="AZ248" s="425"/>
      <c r="BA248" s="425"/>
      <c r="BB248" s="425"/>
      <c r="BC248" s="425"/>
      <c r="BD248" s="425"/>
      <c r="BE248" s="425"/>
      <c r="BF248" s="425"/>
      <c r="BG248" s="425"/>
      <c r="BH248" s="425"/>
      <c r="BI248" s="425"/>
      <c r="BJ248" s="425"/>
      <c r="BK248" s="425"/>
      <c r="BL248" s="425"/>
      <c r="BM248" s="425"/>
      <c r="BN248" s="425"/>
    </row>
    <row r="249" spans="1:66" ht="15.75" customHeight="1" x14ac:dyDescent="0.2">
      <c r="A249" s="424"/>
      <c r="B249" s="424"/>
      <c r="C249" s="424"/>
      <c r="D249" s="424"/>
      <c r="E249" s="424"/>
      <c r="F249" s="425"/>
      <c r="G249" s="425"/>
      <c r="H249" s="424"/>
      <c r="I249" s="424"/>
      <c r="J249" s="425"/>
      <c r="K249" s="425"/>
      <c r="L249" s="425"/>
      <c r="M249" s="425"/>
      <c r="N249" s="425"/>
      <c r="O249" s="425"/>
      <c r="P249" s="425"/>
      <c r="Q249" s="424"/>
      <c r="R249" s="426"/>
      <c r="S249" s="426"/>
      <c r="T249" s="426"/>
      <c r="U249" s="426"/>
      <c r="V249" s="326"/>
      <c r="W249" s="326"/>
      <c r="X249" s="426"/>
      <c r="Y249" s="426"/>
      <c r="Z249" s="426"/>
      <c r="AA249" s="426"/>
      <c r="AB249" s="426"/>
      <c r="AC249" s="426"/>
      <c r="AD249" s="426"/>
      <c r="AE249" s="426"/>
      <c r="AF249" s="426"/>
      <c r="AG249" s="326"/>
      <c r="AH249" s="326"/>
      <c r="AI249" s="424"/>
      <c r="AJ249" s="424"/>
      <c r="AK249" s="424"/>
      <c r="AL249" s="424"/>
      <c r="AM249" s="424"/>
      <c r="AN249" s="424"/>
      <c r="AO249" s="425"/>
      <c r="AP249" s="425"/>
      <c r="AQ249" s="425"/>
      <c r="AR249" s="425"/>
      <c r="AS249" s="425"/>
      <c r="AT249" s="425"/>
      <c r="AU249" s="425"/>
      <c r="AV249" s="425"/>
      <c r="AW249" s="425"/>
      <c r="AX249" s="425"/>
      <c r="AY249" s="425"/>
      <c r="AZ249" s="425"/>
      <c r="BA249" s="425"/>
      <c r="BB249" s="425"/>
      <c r="BC249" s="425"/>
      <c r="BD249" s="425"/>
      <c r="BE249" s="425"/>
      <c r="BF249" s="425"/>
      <c r="BG249" s="425"/>
      <c r="BH249" s="425"/>
      <c r="BI249" s="425"/>
      <c r="BJ249" s="425"/>
      <c r="BK249" s="425"/>
      <c r="BL249" s="425"/>
      <c r="BM249" s="425"/>
      <c r="BN249" s="425"/>
    </row>
    <row r="250" spans="1:66" ht="15.75" customHeight="1" x14ac:dyDescent="0.2">
      <c r="A250" s="424"/>
      <c r="B250" s="424"/>
      <c r="C250" s="424"/>
      <c r="D250" s="424"/>
      <c r="E250" s="424"/>
      <c r="F250" s="425"/>
      <c r="G250" s="425"/>
      <c r="H250" s="424"/>
      <c r="I250" s="424"/>
      <c r="J250" s="425"/>
      <c r="K250" s="425"/>
      <c r="L250" s="425"/>
      <c r="M250" s="425"/>
      <c r="N250" s="425"/>
      <c r="O250" s="425"/>
      <c r="P250" s="425"/>
      <c r="Q250" s="424"/>
      <c r="R250" s="426"/>
      <c r="S250" s="426"/>
      <c r="T250" s="426"/>
      <c r="U250" s="426"/>
      <c r="V250" s="326"/>
      <c r="W250" s="326"/>
      <c r="X250" s="426"/>
      <c r="Y250" s="426"/>
      <c r="Z250" s="426"/>
      <c r="AA250" s="426"/>
      <c r="AB250" s="426"/>
      <c r="AC250" s="426"/>
      <c r="AD250" s="426"/>
      <c r="AE250" s="426"/>
      <c r="AF250" s="426"/>
      <c r="AG250" s="326"/>
      <c r="AH250" s="326"/>
      <c r="AI250" s="424"/>
      <c r="AJ250" s="424"/>
      <c r="AK250" s="424"/>
      <c r="AL250" s="424"/>
      <c r="AM250" s="424"/>
      <c r="AN250" s="424"/>
      <c r="AO250" s="425"/>
      <c r="AP250" s="425"/>
      <c r="AQ250" s="425"/>
      <c r="AR250" s="425"/>
      <c r="AS250" s="425"/>
      <c r="AT250" s="425"/>
      <c r="AU250" s="425"/>
      <c r="AV250" s="425"/>
      <c r="AW250" s="425"/>
      <c r="AX250" s="425"/>
      <c r="AY250" s="425"/>
      <c r="AZ250" s="425"/>
      <c r="BA250" s="425"/>
      <c r="BB250" s="425"/>
      <c r="BC250" s="425"/>
      <c r="BD250" s="425"/>
      <c r="BE250" s="425"/>
      <c r="BF250" s="425"/>
      <c r="BG250" s="425"/>
      <c r="BH250" s="425"/>
      <c r="BI250" s="425"/>
      <c r="BJ250" s="425"/>
      <c r="BK250" s="425"/>
      <c r="BL250" s="425"/>
      <c r="BM250" s="425"/>
      <c r="BN250" s="425"/>
    </row>
    <row r="251" spans="1:66" ht="15.75" customHeight="1" x14ac:dyDescent="0.2">
      <c r="A251" s="424"/>
      <c r="B251" s="424"/>
      <c r="C251" s="424"/>
      <c r="D251" s="424"/>
      <c r="E251" s="424"/>
      <c r="F251" s="425"/>
      <c r="G251" s="425"/>
      <c r="H251" s="424"/>
      <c r="I251" s="424"/>
      <c r="J251" s="425"/>
      <c r="K251" s="425"/>
      <c r="L251" s="425"/>
      <c r="M251" s="425"/>
      <c r="N251" s="425"/>
      <c r="O251" s="425"/>
      <c r="P251" s="425"/>
      <c r="Q251" s="424"/>
      <c r="R251" s="426"/>
      <c r="S251" s="426"/>
      <c r="T251" s="426"/>
      <c r="U251" s="426"/>
      <c r="V251" s="326"/>
      <c r="W251" s="326"/>
      <c r="X251" s="426"/>
      <c r="Y251" s="426"/>
      <c r="Z251" s="426"/>
      <c r="AA251" s="426"/>
      <c r="AB251" s="426"/>
      <c r="AC251" s="426"/>
      <c r="AD251" s="426"/>
      <c r="AE251" s="426"/>
      <c r="AF251" s="426"/>
      <c r="AG251" s="326"/>
      <c r="AH251" s="326"/>
      <c r="AI251" s="424"/>
      <c r="AJ251" s="424"/>
      <c r="AK251" s="424"/>
      <c r="AL251" s="424"/>
      <c r="AM251" s="424"/>
      <c r="AN251" s="424"/>
      <c r="AO251" s="425"/>
      <c r="AP251" s="425"/>
      <c r="AQ251" s="425"/>
      <c r="AR251" s="425"/>
      <c r="AS251" s="425"/>
      <c r="AT251" s="425"/>
      <c r="AU251" s="425"/>
      <c r="AV251" s="425"/>
      <c r="AW251" s="425"/>
      <c r="AX251" s="425"/>
      <c r="AY251" s="425"/>
      <c r="AZ251" s="425"/>
      <c r="BA251" s="425"/>
      <c r="BB251" s="425"/>
      <c r="BC251" s="425"/>
      <c r="BD251" s="425"/>
      <c r="BE251" s="425"/>
      <c r="BF251" s="425"/>
      <c r="BG251" s="425"/>
      <c r="BH251" s="425"/>
      <c r="BI251" s="425"/>
      <c r="BJ251" s="425"/>
      <c r="BK251" s="425"/>
      <c r="BL251" s="425"/>
      <c r="BM251" s="425"/>
      <c r="BN251" s="425"/>
    </row>
    <row r="252" spans="1:66" ht="15.75" customHeight="1" x14ac:dyDescent="0.2">
      <c r="A252" s="424"/>
      <c r="B252" s="424"/>
      <c r="C252" s="424"/>
      <c r="D252" s="424"/>
      <c r="E252" s="424"/>
      <c r="F252" s="425"/>
      <c r="G252" s="425"/>
      <c r="H252" s="424"/>
      <c r="I252" s="424"/>
      <c r="J252" s="425"/>
      <c r="K252" s="425"/>
      <c r="L252" s="425"/>
      <c r="M252" s="425"/>
      <c r="N252" s="425"/>
      <c r="O252" s="425"/>
      <c r="P252" s="425"/>
      <c r="Q252" s="424"/>
      <c r="R252" s="426"/>
      <c r="S252" s="426"/>
      <c r="T252" s="426"/>
      <c r="U252" s="426"/>
      <c r="V252" s="326"/>
      <c r="W252" s="326"/>
      <c r="X252" s="426"/>
      <c r="Y252" s="426"/>
      <c r="Z252" s="426"/>
      <c r="AA252" s="426"/>
      <c r="AB252" s="426"/>
      <c r="AC252" s="426"/>
      <c r="AD252" s="426"/>
      <c r="AE252" s="426"/>
      <c r="AF252" s="426"/>
      <c r="AG252" s="326"/>
      <c r="AH252" s="326"/>
      <c r="AI252" s="424"/>
      <c r="AJ252" s="424"/>
      <c r="AK252" s="424"/>
      <c r="AL252" s="424"/>
      <c r="AM252" s="424"/>
      <c r="AN252" s="424"/>
      <c r="AO252" s="425"/>
      <c r="AP252" s="425"/>
      <c r="AQ252" s="425"/>
      <c r="AR252" s="425"/>
      <c r="AS252" s="425"/>
      <c r="AT252" s="425"/>
      <c r="AU252" s="425"/>
      <c r="AV252" s="425"/>
      <c r="AW252" s="425"/>
      <c r="AX252" s="425"/>
      <c r="AY252" s="425"/>
      <c r="AZ252" s="425"/>
      <c r="BA252" s="425"/>
      <c r="BB252" s="425"/>
      <c r="BC252" s="425"/>
      <c r="BD252" s="425"/>
      <c r="BE252" s="425"/>
      <c r="BF252" s="425"/>
      <c r="BG252" s="425"/>
      <c r="BH252" s="425"/>
      <c r="BI252" s="425"/>
      <c r="BJ252" s="425"/>
      <c r="BK252" s="425"/>
      <c r="BL252" s="425"/>
      <c r="BM252" s="425"/>
      <c r="BN252" s="425"/>
    </row>
    <row r="253" spans="1:66" ht="15.75" customHeight="1" x14ac:dyDescent="0.2">
      <c r="A253" s="424"/>
      <c r="B253" s="424"/>
      <c r="C253" s="424"/>
      <c r="D253" s="424"/>
      <c r="E253" s="424"/>
      <c r="F253" s="425"/>
      <c r="G253" s="425"/>
      <c r="H253" s="424"/>
      <c r="I253" s="424"/>
      <c r="J253" s="425"/>
      <c r="K253" s="425"/>
      <c r="L253" s="425"/>
      <c r="M253" s="425"/>
      <c r="N253" s="425"/>
      <c r="O253" s="425"/>
      <c r="P253" s="425"/>
      <c r="Q253" s="424"/>
      <c r="R253" s="426"/>
      <c r="S253" s="426"/>
      <c r="T253" s="426"/>
      <c r="U253" s="426"/>
      <c r="V253" s="326"/>
      <c r="W253" s="326"/>
      <c r="X253" s="426"/>
      <c r="Y253" s="426"/>
      <c r="Z253" s="426"/>
      <c r="AA253" s="426"/>
      <c r="AB253" s="426"/>
      <c r="AC253" s="426"/>
      <c r="AD253" s="426"/>
      <c r="AE253" s="426"/>
      <c r="AF253" s="426"/>
      <c r="AG253" s="326"/>
      <c r="AH253" s="326"/>
      <c r="AI253" s="424"/>
      <c r="AJ253" s="424"/>
      <c r="AK253" s="424"/>
      <c r="AL253" s="424"/>
      <c r="AM253" s="424"/>
      <c r="AN253" s="424"/>
      <c r="AO253" s="425"/>
      <c r="AP253" s="425"/>
      <c r="AQ253" s="425"/>
      <c r="AR253" s="425"/>
      <c r="AS253" s="425"/>
      <c r="AT253" s="425"/>
      <c r="AU253" s="425"/>
      <c r="AV253" s="425"/>
      <c r="AW253" s="425"/>
      <c r="AX253" s="425"/>
      <c r="AY253" s="425"/>
      <c r="AZ253" s="425"/>
      <c r="BA253" s="425"/>
      <c r="BB253" s="425"/>
      <c r="BC253" s="425"/>
      <c r="BD253" s="425"/>
      <c r="BE253" s="425"/>
      <c r="BF253" s="425"/>
      <c r="BG253" s="425"/>
      <c r="BH253" s="425"/>
      <c r="BI253" s="425"/>
      <c r="BJ253" s="425"/>
      <c r="BK253" s="425"/>
      <c r="BL253" s="425"/>
      <c r="BM253" s="425"/>
      <c r="BN253" s="425"/>
    </row>
    <row r="254" spans="1:66" ht="15.75" customHeight="1" x14ac:dyDescent="0.2">
      <c r="A254" s="424"/>
      <c r="B254" s="424"/>
      <c r="C254" s="424"/>
      <c r="D254" s="424"/>
      <c r="E254" s="424"/>
      <c r="F254" s="425"/>
      <c r="G254" s="425"/>
      <c r="H254" s="424"/>
      <c r="I254" s="424"/>
      <c r="J254" s="425"/>
      <c r="K254" s="425"/>
      <c r="L254" s="425"/>
      <c r="M254" s="425"/>
      <c r="N254" s="425"/>
      <c r="O254" s="425"/>
      <c r="P254" s="425"/>
      <c r="Q254" s="424"/>
      <c r="R254" s="426"/>
      <c r="S254" s="426"/>
      <c r="T254" s="426"/>
      <c r="U254" s="426"/>
      <c r="V254" s="326"/>
      <c r="W254" s="326"/>
      <c r="X254" s="426"/>
      <c r="Y254" s="426"/>
      <c r="Z254" s="426"/>
      <c r="AA254" s="426"/>
      <c r="AB254" s="426"/>
      <c r="AC254" s="426"/>
      <c r="AD254" s="426"/>
      <c r="AE254" s="426"/>
      <c r="AF254" s="426"/>
      <c r="AG254" s="326"/>
      <c r="AH254" s="326"/>
      <c r="AI254" s="424"/>
      <c r="AJ254" s="424"/>
      <c r="AK254" s="424"/>
      <c r="AL254" s="424"/>
      <c r="AM254" s="424"/>
      <c r="AN254" s="424"/>
      <c r="AO254" s="425"/>
      <c r="AP254" s="425"/>
      <c r="AQ254" s="425"/>
      <c r="AR254" s="425"/>
      <c r="AS254" s="425"/>
      <c r="AT254" s="425"/>
      <c r="AU254" s="425"/>
      <c r="AV254" s="425"/>
      <c r="AW254" s="425"/>
      <c r="AX254" s="425"/>
      <c r="AY254" s="425"/>
      <c r="AZ254" s="425"/>
      <c r="BA254" s="425"/>
      <c r="BB254" s="425"/>
      <c r="BC254" s="425"/>
      <c r="BD254" s="425"/>
      <c r="BE254" s="425"/>
      <c r="BF254" s="425"/>
      <c r="BG254" s="425"/>
      <c r="BH254" s="425"/>
      <c r="BI254" s="425"/>
      <c r="BJ254" s="425"/>
      <c r="BK254" s="425"/>
      <c r="BL254" s="425"/>
      <c r="BM254" s="425"/>
      <c r="BN254" s="425"/>
    </row>
    <row r="255" spans="1:66" ht="15.75" customHeight="1" x14ac:dyDescent="0.2">
      <c r="A255" s="424"/>
      <c r="B255" s="424"/>
      <c r="C255" s="424"/>
      <c r="D255" s="424"/>
      <c r="E255" s="424"/>
      <c r="F255" s="425"/>
      <c r="G255" s="425"/>
      <c r="H255" s="424"/>
      <c r="I255" s="424"/>
      <c r="J255" s="425"/>
      <c r="K255" s="425"/>
      <c r="L255" s="425"/>
      <c r="M255" s="425"/>
      <c r="N255" s="425"/>
      <c r="O255" s="425"/>
      <c r="P255" s="425"/>
      <c r="Q255" s="424"/>
      <c r="R255" s="426"/>
      <c r="S255" s="426"/>
      <c r="T255" s="426"/>
      <c r="U255" s="426"/>
      <c r="V255" s="326"/>
      <c r="W255" s="326"/>
      <c r="X255" s="426"/>
      <c r="Y255" s="426"/>
      <c r="Z255" s="426"/>
      <c r="AA255" s="426"/>
      <c r="AB255" s="426"/>
      <c r="AC255" s="426"/>
      <c r="AD255" s="426"/>
      <c r="AE255" s="426"/>
      <c r="AF255" s="426"/>
      <c r="AG255" s="326"/>
      <c r="AH255" s="326"/>
      <c r="AI255" s="424"/>
      <c r="AJ255" s="424"/>
      <c r="AK255" s="424"/>
      <c r="AL255" s="424"/>
      <c r="AM255" s="424"/>
      <c r="AN255" s="424"/>
      <c r="AO255" s="425"/>
      <c r="AP255" s="425"/>
      <c r="AQ255" s="425"/>
      <c r="AR255" s="425"/>
      <c r="AS255" s="425"/>
      <c r="AT255" s="425"/>
      <c r="AU255" s="425"/>
      <c r="AV255" s="425"/>
      <c r="AW255" s="425"/>
      <c r="AX255" s="425"/>
      <c r="AY255" s="425"/>
      <c r="AZ255" s="425"/>
      <c r="BA255" s="425"/>
      <c r="BB255" s="425"/>
      <c r="BC255" s="425"/>
      <c r="BD255" s="425"/>
      <c r="BE255" s="425"/>
      <c r="BF255" s="425"/>
      <c r="BG255" s="425"/>
      <c r="BH255" s="425"/>
      <c r="BI255" s="425"/>
      <c r="BJ255" s="425"/>
      <c r="BK255" s="425"/>
      <c r="BL255" s="425"/>
      <c r="BM255" s="425"/>
      <c r="BN255" s="425"/>
    </row>
    <row r="256" spans="1:66" ht="15.75" customHeight="1" x14ac:dyDescent="0.2">
      <c r="A256" s="424"/>
      <c r="B256" s="424"/>
      <c r="C256" s="424"/>
      <c r="D256" s="424"/>
      <c r="E256" s="424"/>
      <c r="F256" s="425"/>
      <c r="G256" s="425"/>
      <c r="H256" s="424"/>
      <c r="I256" s="424"/>
      <c r="J256" s="425"/>
      <c r="K256" s="425"/>
      <c r="L256" s="425"/>
      <c r="M256" s="425"/>
      <c r="N256" s="425"/>
      <c r="O256" s="425"/>
      <c r="P256" s="425"/>
      <c r="Q256" s="424"/>
      <c r="R256" s="426"/>
      <c r="S256" s="426"/>
      <c r="T256" s="426"/>
      <c r="U256" s="426"/>
      <c r="V256" s="326"/>
      <c r="W256" s="326"/>
      <c r="X256" s="426"/>
      <c r="Y256" s="426"/>
      <c r="Z256" s="426"/>
      <c r="AA256" s="426"/>
      <c r="AB256" s="426"/>
      <c r="AC256" s="426"/>
      <c r="AD256" s="426"/>
      <c r="AE256" s="426"/>
      <c r="AF256" s="426"/>
      <c r="AG256" s="326"/>
      <c r="AH256" s="326"/>
      <c r="AI256" s="424"/>
      <c r="AJ256" s="424"/>
      <c r="AK256" s="424"/>
      <c r="AL256" s="424"/>
      <c r="AM256" s="424"/>
      <c r="AN256" s="424"/>
      <c r="AO256" s="425"/>
      <c r="AP256" s="425"/>
      <c r="AQ256" s="425"/>
      <c r="AR256" s="425"/>
      <c r="AS256" s="425"/>
      <c r="AT256" s="425"/>
      <c r="AU256" s="425"/>
      <c r="AV256" s="425"/>
      <c r="AW256" s="425"/>
      <c r="AX256" s="425"/>
      <c r="AY256" s="425"/>
      <c r="AZ256" s="425"/>
      <c r="BA256" s="425"/>
      <c r="BB256" s="425"/>
      <c r="BC256" s="425"/>
      <c r="BD256" s="425"/>
      <c r="BE256" s="425"/>
      <c r="BF256" s="425"/>
      <c r="BG256" s="425"/>
      <c r="BH256" s="425"/>
      <c r="BI256" s="425"/>
      <c r="BJ256" s="425"/>
      <c r="BK256" s="425"/>
      <c r="BL256" s="425"/>
      <c r="BM256" s="425"/>
      <c r="BN256" s="425"/>
    </row>
    <row r="257" spans="1:66" ht="15.75" customHeight="1" x14ac:dyDescent="0.2">
      <c r="A257" s="424"/>
      <c r="B257" s="424"/>
      <c r="C257" s="424"/>
      <c r="D257" s="424"/>
      <c r="E257" s="424"/>
      <c r="F257" s="425"/>
      <c r="G257" s="425"/>
      <c r="H257" s="424"/>
      <c r="I257" s="424"/>
      <c r="J257" s="425"/>
      <c r="K257" s="425"/>
      <c r="L257" s="425"/>
      <c r="M257" s="425"/>
      <c r="N257" s="425"/>
      <c r="O257" s="425"/>
      <c r="P257" s="425"/>
      <c r="Q257" s="424"/>
      <c r="R257" s="426"/>
      <c r="S257" s="426"/>
      <c r="T257" s="426"/>
      <c r="U257" s="426"/>
      <c r="V257" s="326"/>
      <c r="W257" s="326"/>
      <c r="X257" s="426"/>
      <c r="Y257" s="426"/>
      <c r="Z257" s="426"/>
      <c r="AA257" s="426"/>
      <c r="AB257" s="426"/>
      <c r="AC257" s="426"/>
      <c r="AD257" s="426"/>
      <c r="AE257" s="426"/>
      <c r="AF257" s="426"/>
      <c r="AG257" s="326"/>
      <c r="AH257" s="326"/>
      <c r="AI257" s="424"/>
      <c r="AJ257" s="424"/>
      <c r="AK257" s="424"/>
      <c r="AL257" s="424"/>
      <c r="AM257" s="424"/>
      <c r="AN257" s="424"/>
      <c r="AO257" s="425"/>
      <c r="AP257" s="425"/>
      <c r="AQ257" s="425"/>
      <c r="AR257" s="425"/>
      <c r="AS257" s="425"/>
      <c r="AT257" s="425"/>
      <c r="AU257" s="425"/>
      <c r="AV257" s="425"/>
      <c r="AW257" s="425"/>
      <c r="AX257" s="425"/>
      <c r="AY257" s="425"/>
      <c r="AZ257" s="425"/>
      <c r="BA257" s="425"/>
      <c r="BB257" s="425"/>
      <c r="BC257" s="425"/>
      <c r="BD257" s="425"/>
      <c r="BE257" s="425"/>
      <c r="BF257" s="425"/>
      <c r="BG257" s="425"/>
      <c r="BH257" s="425"/>
      <c r="BI257" s="425"/>
      <c r="BJ257" s="425"/>
      <c r="BK257" s="425"/>
      <c r="BL257" s="425"/>
      <c r="BM257" s="425"/>
      <c r="BN257" s="425"/>
    </row>
    <row r="258" spans="1:66" ht="15.75" customHeight="1" x14ac:dyDescent="0.2">
      <c r="A258" s="424"/>
      <c r="B258" s="424"/>
      <c r="C258" s="424"/>
      <c r="D258" s="424"/>
      <c r="E258" s="424"/>
      <c r="F258" s="425"/>
      <c r="G258" s="425"/>
      <c r="H258" s="424"/>
      <c r="I258" s="424"/>
      <c r="J258" s="425"/>
      <c r="K258" s="425"/>
      <c r="L258" s="425"/>
      <c r="M258" s="425"/>
      <c r="N258" s="425"/>
      <c r="O258" s="425"/>
      <c r="P258" s="425"/>
      <c r="Q258" s="424"/>
      <c r="R258" s="426"/>
      <c r="S258" s="426"/>
      <c r="T258" s="426"/>
      <c r="U258" s="426"/>
      <c r="V258" s="326"/>
      <c r="W258" s="326"/>
      <c r="X258" s="426"/>
      <c r="Y258" s="426"/>
      <c r="Z258" s="426"/>
      <c r="AA258" s="426"/>
      <c r="AB258" s="426"/>
      <c r="AC258" s="426"/>
      <c r="AD258" s="426"/>
      <c r="AE258" s="426"/>
      <c r="AF258" s="426"/>
      <c r="AG258" s="326"/>
      <c r="AH258" s="326"/>
      <c r="AI258" s="424"/>
      <c r="AJ258" s="424"/>
      <c r="AK258" s="424"/>
      <c r="AL258" s="424"/>
      <c r="AM258" s="424"/>
      <c r="AN258" s="424"/>
      <c r="AO258" s="425"/>
      <c r="AP258" s="425"/>
      <c r="AQ258" s="425"/>
      <c r="AR258" s="425"/>
      <c r="AS258" s="425"/>
      <c r="AT258" s="425"/>
      <c r="AU258" s="425"/>
      <c r="AV258" s="425"/>
      <c r="AW258" s="425"/>
      <c r="AX258" s="425"/>
      <c r="AY258" s="425"/>
      <c r="AZ258" s="425"/>
      <c r="BA258" s="425"/>
      <c r="BB258" s="425"/>
      <c r="BC258" s="425"/>
      <c r="BD258" s="425"/>
      <c r="BE258" s="425"/>
      <c r="BF258" s="425"/>
      <c r="BG258" s="425"/>
      <c r="BH258" s="425"/>
      <c r="BI258" s="425"/>
      <c r="BJ258" s="425"/>
      <c r="BK258" s="425"/>
      <c r="BL258" s="425"/>
      <c r="BM258" s="425"/>
      <c r="BN258" s="425"/>
    </row>
    <row r="259" spans="1:66" ht="15.75" customHeight="1" x14ac:dyDescent="0.2">
      <c r="A259" s="424"/>
      <c r="B259" s="424"/>
      <c r="C259" s="424"/>
      <c r="D259" s="424"/>
      <c r="E259" s="424"/>
      <c r="F259" s="425"/>
      <c r="G259" s="425"/>
      <c r="H259" s="424"/>
      <c r="I259" s="424"/>
      <c r="J259" s="425"/>
      <c r="K259" s="425"/>
      <c r="L259" s="425"/>
      <c r="M259" s="425"/>
      <c r="N259" s="425"/>
      <c r="O259" s="425"/>
      <c r="P259" s="425"/>
      <c r="Q259" s="424"/>
      <c r="R259" s="426"/>
      <c r="S259" s="426"/>
      <c r="T259" s="426"/>
      <c r="U259" s="426"/>
      <c r="V259" s="326"/>
      <c r="W259" s="326"/>
      <c r="X259" s="426"/>
      <c r="Y259" s="426"/>
      <c r="Z259" s="426"/>
      <c r="AA259" s="426"/>
      <c r="AB259" s="426"/>
      <c r="AC259" s="426"/>
      <c r="AD259" s="426"/>
      <c r="AE259" s="426"/>
      <c r="AF259" s="426"/>
      <c r="AG259" s="326"/>
      <c r="AH259" s="326"/>
      <c r="AI259" s="424"/>
      <c r="AJ259" s="424"/>
      <c r="AK259" s="424"/>
      <c r="AL259" s="424"/>
      <c r="AM259" s="424"/>
      <c r="AN259" s="424"/>
      <c r="AO259" s="425"/>
      <c r="AP259" s="425"/>
      <c r="AQ259" s="425"/>
      <c r="AR259" s="425"/>
      <c r="AS259" s="425"/>
      <c r="AT259" s="425"/>
      <c r="AU259" s="425"/>
      <c r="AV259" s="425"/>
      <c r="AW259" s="425"/>
      <c r="AX259" s="425"/>
      <c r="AY259" s="425"/>
      <c r="AZ259" s="425"/>
      <c r="BA259" s="425"/>
      <c r="BB259" s="425"/>
      <c r="BC259" s="425"/>
      <c r="BD259" s="425"/>
      <c r="BE259" s="425"/>
      <c r="BF259" s="425"/>
      <c r="BG259" s="425"/>
      <c r="BH259" s="425"/>
      <c r="BI259" s="425"/>
      <c r="BJ259" s="425"/>
      <c r="BK259" s="425"/>
      <c r="BL259" s="425"/>
      <c r="BM259" s="425"/>
      <c r="BN259" s="425"/>
    </row>
    <row r="260" spans="1:66" ht="15.75" customHeight="1" x14ac:dyDescent="0.2">
      <c r="A260" s="424"/>
      <c r="B260" s="424"/>
      <c r="C260" s="424"/>
      <c r="D260" s="424"/>
      <c r="E260" s="424"/>
      <c r="F260" s="425"/>
      <c r="G260" s="425"/>
      <c r="H260" s="424"/>
      <c r="I260" s="424"/>
      <c r="J260" s="425"/>
      <c r="K260" s="425"/>
      <c r="L260" s="425"/>
      <c r="M260" s="425"/>
      <c r="N260" s="425"/>
      <c r="O260" s="425"/>
      <c r="P260" s="425"/>
      <c r="Q260" s="424"/>
      <c r="R260" s="426"/>
      <c r="S260" s="426"/>
      <c r="T260" s="426"/>
      <c r="U260" s="426"/>
      <c r="V260" s="326"/>
      <c r="W260" s="326"/>
      <c r="X260" s="426"/>
      <c r="Y260" s="426"/>
      <c r="Z260" s="426"/>
      <c r="AA260" s="426"/>
      <c r="AB260" s="426"/>
      <c r="AC260" s="426"/>
      <c r="AD260" s="426"/>
      <c r="AE260" s="426"/>
      <c r="AF260" s="426"/>
      <c r="AG260" s="326"/>
      <c r="AH260" s="326"/>
      <c r="AI260" s="424"/>
      <c r="AJ260" s="424"/>
      <c r="AK260" s="424"/>
      <c r="AL260" s="424"/>
      <c r="AM260" s="424"/>
      <c r="AN260" s="424"/>
      <c r="AO260" s="425"/>
      <c r="AP260" s="425"/>
      <c r="AQ260" s="425"/>
      <c r="AR260" s="425"/>
      <c r="AS260" s="425"/>
      <c r="AT260" s="425"/>
      <c r="AU260" s="425"/>
      <c r="AV260" s="425"/>
      <c r="AW260" s="425"/>
      <c r="AX260" s="425"/>
      <c r="AY260" s="425"/>
      <c r="AZ260" s="425"/>
      <c r="BA260" s="425"/>
      <c r="BB260" s="425"/>
      <c r="BC260" s="425"/>
      <c r="BD260" s="425"/>
      <c r="BE260" s="425"/>
      <c r="BF260" s="425"/>
      <c r="BG260" s="425"/>
      <c r="BH260" s="425"/>
      <c r="BI260" s="425"/>
      <c r="BJ260" s="425"/>
      <c r="BK260" s="425"/>
      <c r="BL260" s="425"/>
      <c r="BM260" s="425"/>
      <c r="BN260" s="425"/>
    </row>
    <row r="261" spans="1:66" ht="15.75" customHeight="1" x14ac:dyDescent="0.2">
      <c r="A261" s="424"/>
      <c r="B261" s="424"/>
      <c r="C261" s="424"/>
      <c r="D261" s="424"/>
      <c r="E261" s="424"/>
      <c r="F261" s="425"/>
      <c r="G261" s="425"/>
      <c r="H261" s="424"/>
      <c r="I261" s="424"/>
      <c r="J261" s="425"/>
      <c r="K261" s="425"/>
      <c r="L261" s="425"/>
      <c r="M261" s="425"/>
      <c r="N261" s="425"/>
      <c r="O261" s="425"/>
      <c r="P261" s="425"/>
      <c r="Q261" s="424"/>
      <c r="R261" s="426"/>
      <c r="S261" s="426"/>
      <c r="T261" s="426"/>
      <c r="U261" s="426"/>
      <c r="V261" s="326"/>
      <c r="W261" s="326"/>
      <c r="X261" s="426"/>
      <c r="Y261" s="426"/>
      <c r="Z261" s="426"/>
      <c r="AA261" s="426"/>
      <c r="AB261" s="426"/>
      <c r="AC261" s="426"/>
      <c r="AD261" s="426"/>
      <c r="AE261" s="426"/>
      <c r="AF261" s="426"/>
      <c r="AG261" s="326"/>
      <c r="AH261" s="326"/>
      <c r="AI261" s="424"/>
      <c r="AJ261" s="424"/>
      <c r="AK261" s="424"/>
      <c r="AL261" s="424"/>
      <c r="AM261" s="424"/>
      <c r="AN261" s="424"/>
      <c r="AO261" s="425"/>
      <c r="AP261" s="425"/>
      <c r="AQ261" s="425"/>
      <c r="AR261" s="425"/>
      <c r="AS261" s="425"/>
      <c r="AT261" s="425"/>
      <c r="AU261" s="425"/>
      <c r="AV261" s="425"/>
      <c r="AW261" s="425"/>
      <c r="AX261" s="425"/>
      <c r="AY261" s="425"/>
      <c r="AZ261" s="425"/>
      <c r="BA261" s="425"/>
      <c r="BB261" s="425"/>
      <c r="BC261" s="425"/>
      <c r="BD261" s="425"/>
      <c r="BE261" s="425"/>
      <c r="BF261" s="425"/>
      <c r="BG261" s="425"/>
      <c r="BH261" s="425"/>
      <c r="BI261" s="425"/>
      <c r="BJ261" s="425"/>
      <c r="BK261" s="425"/>
      <c r="BL261" s="425"/>
      <c r="BM261" s="425"/>
      <c r="BN261" s="425"/>
    </row>
    <row r="262" spans="1:66" ht="15.75" customHeight="1" x14ac:dyDescent="0.2">
      <c r="A262" s="424"/>
      <c r="B262" s="424"/>
      <c r="C262" s="424"/>
      <c r="D262" s="424"/>
      <c r="E262" s="424"/>
      <c r="F262" s="425"/>
      <c r="G262" s="425"/>
      <c r="H262" s="424"/>
      <c r="I262" s="424"/>
      <c r="J262" s="425"/>
      <c r="K262" s="425"/>
      <c r="L262" s="425"/>
      <c r="M262" s="425"/>
      <c r="N262" s="425"/>
      <c r="O262" s="425"/>
      <c r="P262" s="425"/>
      <c r="Q262" s="424"/>
      <c r="R262" s="426"/>
      <c r="S262" s="426"/>
      <c r="T262" s="426"/>
      <c r="U262" s="426"/>
      <c r="V262" s="326"/>
      <c r="W262" s="326"/>
      <c r="X262" s="426"/>
      <c r="Y262" s="426"/>
      <c r="Z262" s="426"/>
      <c r="AA262" s="426"/>
      <c r="AB262" s="426"/>
      <c r="AC262" s="426"/>
      <c r="AD262" s="426"/>
      <c r="AE262" s="426"/>
      <c r="AF262" s="426"/>
      <c r="AG262" s="326"/>
      <c r="AH262" s="326"/>
      <c r="AI262" s="424"/>
      <c r="AJ262" s="424"/>
      <c r="AK262" s="424"/>
      <c r="AL262" s="424"/>
      <c r="AM262" s="424"/>
      <c r="AN262" s="424"/>
      <c r="AO262" s="425"/>
      <c r="AP262" s="425"/>
      <c r="AQ262" s="425"/>
      <c r="AR262" s="425"/>
      <c r="AS262" s="425"/>
      <c r="AT262" s="425"/>
      <c r="AU262" s="425"/>
      <c r="AV262" s="425"/>
      <c r="AW262" s="425"/>
      <c r="AX262" s="425"/>
      <c r="AY262" s="425"/>
      <c r="AZ262" s="425"/>
      <c r="BA262" s="425"/>
      <c r="BB262" s="425"/>
      <c r="BC262" s="425"/>
      <c r="BD262" s="425"/>
      <c r="BE262" s="425"/>
      <c r="BF262" s="425"/>
      <c r="BG262" s="425"/>
      <c r="BH262" s="425"/>
      <c r="BI262" s="425"/>
      <c r="BJ262" s="425"/>
      <c r="BK262" s="425"/>
      <c r="BL262" s="425"/>
      <c r="BM262" s="425"/>
      <c r="BN262" s="425"/>
    </row>
    <row r="263" spans="1:66" ht="15.75" customHeight="1" x14ac:dyDescent="0.2">
      <c r="A263" s="424"/>
      <c r="B263" s="424"/>
      <c r="C263" s="424"/>
      <c r="D263" s="424"/>
      <c r="E263" s="424"/>
      <c r="F263" s="425"/>
      <c r="G263" s="425"/>
      <c r="H263" s="424"/>
      <c r="I263" s="424"/>
      <c r="J263" s="425"/>
      <c r="K263" s="425"/>
      <c r="L263" s="425"/>
      <c r="M263" s="425"/>
      <c r="N263" s="425"/>
      <c r="O263" s="425"/>
      <c r="P263" s="425"/>
      <c r="Q263" s="424"/>
      <c r="R263" s="426"/>
      <c r="S263" s="426"/>
      <c r="T263" s="426"/>
      <c r="U263" s="426"/>
      <c r="V263" s="326"/>
      <c r="W263" s="326"/>
      <c r="X263" s="426"/>
      <c r="Y263" s="426"/>
      <c r="Z263" s="426"/>
      <c r="AA263" s="426"/>
      <c r="AB263" s="426"/>
      <c r="AC263" s="426"/>
      <c r="AD263" s="426"/>
      <c r="AE263" s="426"/>
      <c r="AF263" s="426"/>
      <c r="AG263" s="326"/>
      <c r="AH263" s="326"/>
      <c r="AI263" s="424"/>
      <c r="AJ263" s="424"/>
      <c r="AK263" s="424"/>
      <c r="AL263" s="424"/>
      <c r="AM263" s="424"/>
      <c r="AN263" s="424"/>
      <c r="AO263" s="425"/>
      <c r="AP263" s="425"/>
      <c r="AQ263" s="425"/>
      <c r="AR263" s="425"/>
      <c r="AS263" s="425"/>
      <c r="AT263" s="425"/>
      <c r="AU263" s="425"/>
      <c r="AV263" s="425"/>
      <c r="AW263" s="425"/>
      <c r="AX263" s="425"/>
      <c r="AY263" s="425"/>
      <c r="AZ263" s="425"/>
      <c r="BA263" s="425"/>
      <c r="BB263" s="425"/>
      <c r="BC263" s="425"/>
      <c r="BD263" s="425"/>
      <c r="BE263" s="425"/>
      <c r="BF263" s="425"/>
      <c r="BG263" s="425"/>
      <c r="BH263" s="425"/>
      <c r="BI263" s="425"/>
      <c r="BJ263" s="425"/>
      <c r="BK263" s="425"/>
      <c r="BL263" s="425"/>
      <c r="BM263" s="425"/>
      <c r="BN263" s="425"/>
    </row>
    <row r="264" spans="1:66" ht="15.75" customHeight="1" x14ac:dyDescent="0.2">
      <c r="A264" s="424"/>
      <c r="B264" s="424"/>
      <c r="C264" s="424"/>
      <c r="D264" s="424"/>
      <c r="E264" s="424"/>
      <c r="F264" s="425"/>
      <c r="G264" s="425"/>
      <c r="H264" s="424"/>
      <c r="I264" s="424"/>
      <c r="J264" s="425"/>
      <c r="K264" s="425"/>
      <c r="L264" s="425"/>
      <c r="M264" s="425"/>
      <c r="N264" s="425"/>
      <c r="O264" s="425"/>
      <c r="P264" s="425"/>
      <c r="Q264" s="424"/>
      <c r="R264" s="426"/>
      <c r="S264" s="426"/>
      <c r="T264" s="426"/>
      <c r="U264" s="426"/>
      <c r="V264" s="326"/>
      <c r="W264" s="326"/>
      <c r="X264" s="426"/>
      <c r="Y264" s="426"/>
      <c r="Z264" s="426"/>
      <c r="AA264" s="426"/>
      <c r="AB264" s="426"/>
      <c r="AC264" s="426"/>
      <c r="AD264" s="426"/>
      <c r="AE264" s="426"/>
      <c r="AF264" s="426"/>
      <c r="AG264" s="326"/>
      <c r="AH264" s="326"/>
      <c r="AI264" s="424"/>
      <c r="AJ264" s="424"/>
      <c r="AK264" s="424"/>
      <c r="AL264" s="424"/>
      <c r="AM264" s="424"/>
      <c r="AN264" s="424"/>
      <c r="AO264" s="425"/>
      <c r="AP264" s="425"/>
      <c r="AQ264" s="425"/>
      <c r="AR264" s="425"/>
      <c r="AS264" s="425"/>
      <c r="AT264" s="425"/>
      <c r="AU264" s="425"/>
      <c r="AV264" s="425"/>
      <c r="AW264" s="425"/>
      <c r="AX264" s="425"/>
      <c r="AY264" s="425"/>
      <c r="AZ264" s="425"/>
      <c r="BA264" s="425"/>
      <c r="BB264" s="425"/>
      <c r="BC264" s="425"/>
      <c r="BD264" s="425"/>
      <c r="BE264" s="425"/>
      <c r="BF264" s="425"/>
      <c r="BG264" s="425"/>
      <c r="BH264" s="425"/>
      <c r="BI264" s="425"/>
      <c r="BJ264" s="425"/>
      <c r="BK264" s="425"/>
      <c r="BL264" s="425"/>
      <c r="BM264" s="425"/>
      <c r="BN264" s="425"/>
    </row>
    <row r="265" spans="1:66" ht="15.75" customHeight="1" x14ac:dyDescent="0.2">
      <c r="A265" s="424"/>
      <c r="B265" s="424"/>
      <c r="C265" s="424"/>
      <c r="D265" s="424"/>
      <c r="E265" s="424"/>
      <c r="F265" s="425"/>
      <c r="G265" s="425"/>
      <c r="H265" s="424"/>
      <c r="I265" s="424"/>
      <c r="J265" s="425"/>
      <c r="K265" s="425"/>
      <c r="L265" s="425"/>
      <c r="M265" s="425"/>
      <c r="N265" s="425"/>
      <c r="O265" s="425"/>
      <c r="P265" s="425"/>
      <c r="Q265" s="424"/>
      <c r="R265" s="426"/>
      <c r="S265" s="426"/>
      <c r="T265" s="426"/>
      <c r="U265" s="426"/>
      <c r="V265" s="326"/>
      <c r="W265" s="326"/>
      <c r="X265" s="426"/>
      <c r="Y265" s="426"/>
      <c r="Z265" s="426"/>
      <c r="AA265" s="426"/>
      <c r="AB265" s="426"/>
      <c r="AC265" s="426"/>
      <c r="AD265" s="426"/>
      <c r="AE265" s="426"/>
      <c r="AF265" s="426"/>
      <c r="AG265" s="326"/>
      <c r="AH265" s="326"/>
      <c r="AI265" s="424"/>
      <c r="AJ265" s="424"/>
      <c r="AK265" s="424"/>
      <c r="AL265" s="424"/>
      <c r="AM265" s="424"/>
      <c r="AN265" s="424"/>
      <c r="AO265" s="425"/>
      <c r="AP265" s="425"/>
      <c r="AQ265" s="425"/>
      <c r="AR265" s="425"/>
      <c r="AS265" s="425"/>
      <c r="AT265" s="425"/>
      <c r="AU265" s="425"/>
      <c r="AV265" s="425"/>
      <c r="AW265" s="425"/>
      <c r="AX265" s="425"/>
      <c r="AY265" s="425"/>
      <c r="AZ265" s="425"/>
      <c r="BA265" s="425"/>
      <c r="BB265" s="425"/>
      <c r="BC265" s="425"/>
      <c r="BD265" s="425"/>
      <c r="BE265" s="425"/>
      <c r="BF265" s="425"/>
      <c r="BG265" s="425"/>
      <c r="BH265" s="425"/>
      <c r="BI265" s="425"/>
      <c r="BJ265" s="425"/>
      <c r="BK265" s="425"/>
      <c r="BL265" s="425"/>
      <c r="BM265" s="425"/>
      <c r="BN265" s="425"/>
    </row>
    <row r="266" spans="1:66" ht="15.75" customHeight="1" x14ac:dyDescent="0.2">
      <c r="A266" s="424"/>
      <c r="B266" s="424"/>
      <c r="C266" s="424"/>
      <c r="D266" s="424"/>
      <c r="E266" s="424"/>
      <c r="F266" s="425"/>
      <c r="G266" s="425"/>
      <c r="H266" s="424"/>
      <c r="I266" s="424"/>
      <c r="J266" s="425"/>
      <c r="K266" s="425"/>
      <c r="L266" s="425"/>
      <c r="M266" s="425"/>
      <c r="N266" s="425"/>
      <c r="O266" s="425"/>
      <c r="P266" s="425"/>
      <c r="Q266" s="424"/>
      <c r="R266" s="426"/>
      <c r="S266" s="426"/>
      <c r="T266" s="426"/>
      <c r="U266" s="426"/>
      <c r="V266" s="326"/>
      <c r="W266" s="326"/>
      <c r="X266" s="426"/>
      <c r="Y266" s="426"/>
      <c r="Z266" s="426"/>
      <c r="AA266" s="426"/>
      <c r="AB266" s="426"/>
      <c r="AC266" s="426"/>
      <c r="AD266" s="426"/>
      <c r="AE266" s="426"/>
      <c r="AF266" s="426"/>
      <c r="AG266" s="326"/>
      <c r="AH266" s="326"/>
      <c r="AI266" s="424"/>
      <c r="AJ266" s="424"/>
      <c r="AK266" s="424"/>
      <c r="AL266" s="424"/>
      <c r="AM266" s="424"/>
      <c r="AN266" s="424"/>
      <c r="AO266" s="425"/>
      <c r="AP266" s="425"/>
      <c r="AQ266" s="425"/>
      <c r="AR266" s="425"/>
      <c r="AS266" s="425"/>
      <c r="AT266" s="425"/>
      <c r="AU266" s="425"/>
      <c r="AV266" s="425"/>
      <c r="AW266" s="425"/>
      <c r="AX266" s="425"/>
      <c r="AY266" s="425"/>
      <c r="AZ266" s="425"/>
      <c r="BA266" s="425"/>
      <c r="BB266" s="425"/>
      <c r="BC266" s="425"/>
      <c r="BD266" s="425"/>
      <c r="BE266" s="425"/>
      <c r="BF266" s="425"/>
      <c r="BG266" s="425"/>
      <c r="BH266" s="425"/>
      <c r="BI266" s="425"/>
      <c r="BJ266" s="425"/>
      <c r="BK266" s="425"/>
      <c r="BL266" s="425"/>
      <c r="BM266" s="425"/>
      <c r="BN266" s="425"/>
    </row>
    <row r="267" spans="1:66" ht="15.75" customHeight="1" x14ac:dyDescent="0.2">
      <c r="A267" s="424"/>
      <c r="B267" s="424"/>
      <c r="C267" s="424"/>
      <c r="D267" s="424"/>
      <c r="E267" s="424"/>
      <c r="F267" s="425"/>
      <c r="G267" s="425"/>
      <c r="H267" s="424"/>
      <c r="I267" s="424"/>
      <c r="J267" s="425"/>
      <c r="K267" s="425"/>
      <c r="L267" s="425"/>
      <c r="M267" s="425"/>
      <c r="N267" s="425"/>
      <c r="O267" s="425"/>
      <c r="P267" s="425"/>
      <c r="Q267" s="424"/>
      <c r="R267" s="426"/>
      <c r="S267" s="426"/>
      <c r="T267" s="426"/>
      <c r="U267" s="426"/>
      <c r="V267" s="326"/>
      <c r="W267" s="326"/>
      <c r="X267" s="426"/>
      <c r="Y267" s="426"/>
      <c r="Z267" s="426"/>
      <c r="AA267" s="426"/>
      <c r="AB267" s="426"/>
      <c r="AC267" s="426"/>
      <c r="AD267" s="426"/>
      <c r="AE267" s="426"/>
      <c r="AF267" s="426"/>
      <c r="AG267" s="326"/>
      <c r="AH267" s="326"/>
      <c r="AI267" s="424"/>
      <c r="AJ267" s="424"/>
      <c r="AK267" s="424"/>
      <c r="AL267" s="424"/>
      <c r="AM267" s="424"/>
      <c r="AN267" s="424"/>
      <c r="AO267" s="425"/>
      <c r="AP267" s="425"/>
      <c r="AQ267" s="425"/>
      <c r="AR267" s="425"/>
      <c r="AS267" s="425"/>
      <c r="AT267" s="425"/>
      <c r="AU267" s="425"/>
      <c r="AV267" s="425"/>
      <c r="AW267" s="425"/>
      <c r="AX267" s="425"/>
      <c r="AY267" s="425"/>
      <c r="AZ267" s="425"/>
      <c r="BA267" s="425"/>
      <c r="BB267" s="425"/>
      <c r="BC267" s="425"/>
      <c r="BD267" s="425"/>
      <c r="BE267" s="425"/>
      <c r="BF267" s="425"/>
      <c r="BG267" s="425"/>
      <c r="BH267" s="425"/>
      <c r="BI267" s="425"/>
      <c r="BJ267" s="425"/>
      <c r="BK267" s="425"/>
      <c r="BL267" s="425"/>
      <c r="BM267" s="425"/>
      <c r="BN267" s="425"/>
    </row>
    <row r="268" spans="1:66" ht="15.75" customHeight="1" x14ac:dyDescent="0.2">
      <c r="A268" s="424"/>
      <c r="B268" s="424"/>
      <c r="C268" s="424"/>
      <c r="D268" s="424"/>
      <c r="E268" s="424"/>
      <c r="F268" s="425"/>
      <c r="G268" s="425"/>
      <c r="H268" s="424"/>
      <c r="I268" s="424"/>
      <c r="J268" s="425"/>
      <c r="K268" s="425"/>
      <c r="L268" s="425"/>
      <c r="M268" s="425"/>
      <c r="N268" s="425"/>
      <c r="O268" s="425"/>
      <c r="P268" s="425"/>
      <c r="Q268" s="424"/>
      <c r="R268" s="426"/>
      <c r="S268" s="426"/>
      <c r="T268" s="426"/>
      <c r="U268" s="426"/>
      <c r="V268" s="326"/>
      <c r="W268" s="326"/>
      <c r="X268" s="426"/>
      <c r="Y268" s="426"/>
      <c r="Z268" s="426"/>
      <c r="AA268" s="426"/>
      <c r="AB268" s="426"/>
      <c r="AC268" s="426"/>
      <c r="AD268" s="426"/>
      <c r="AE268" s="426"/>
      <c r="AF268" s="426"/>
      <c r="AG268" s="326"/>
      <c r="AH268" s="326"/>
      <c r="AI268" s="424"/>
      <c r="AJ268" s="424"/>
      <c r="AK268" s="424"/>
      <c r="AL268" s="424"/>
      <c r="AM268" s="424"/>
      <c r="AN268" s="424"/>
      <c r="AO268" s="425"/>
      <c r="AP268" s="425"/>
      <c r="AQ268" s="425"/>
      <c r="AR268" s="425"/>
      <c r="AS268" s="425"/>
      <c r="AT268" s="425"/>
      <c r="AU268" s="425"/>
      <c r="AV268" s="425"/>
      <c r="AW268" s="425"/>
      <c r="AX268" s="425"/>
      <c r="AY268" s="425"/>
      <c r="AZ268" s="425"/>
      <c r="BA268" s="425"/>
      <c r="BB268" s="425"/>
      <c r="BC268" s="425"/>
      <c r="BD268" s="425"/>
      <c r="BE268" s="425"/>
      <c r="BF268" s="425"/>
      <c r="BG268" s="425"/>
      <c r="BH268" s="425"/>
      <c r="BI268" s="425"/>
      <c r="BJ268" s="425"/>
      <c r="BK268" s="425"/>
      <c r="BL268" s="425"/>
      <c r="BM268" s="425"/>
      <c r="BN268" s="425"/>
    </row>
    <row r="269" spans="1:66" ht="15.75" customHeight="1" x14ac:dyDescent="0.2">
      <c r="A269" s="424"/>
      <c r="B269" s="424"/>
      <c r="C269" s="424"/>
      <c r="D269" s="424"/>
      <c r="E269" s="424"/>
      <c r="F269" s="425"/>
      <c r="G269" s="425"/>
      <c r="H269" s="424"/>
      <c r="I269" s="424"/>
      <c r="J269" s="425"/>
      <c r="K269" s="425"/>
      <c r="L269" s="425"/>
      <c r="M269" s="425"/>
      <c r="N269" s="425"/>
      <c r="O269" s="425"/>
      <c r="P269" s="425"/>
      <c r="Q269" s="424"/>
      <c r="R269" s="426"/>
      <c r="S269" s="426"/>
      <c r="T269" s="426"/>
      <c r="U269" s="426"/>
      <c r="V269" s="326"/>
      <c r="W269" s="326"/>
      <c r="X269" s="426"/>
      <c r="Y269" s="426"/>
      <c r="Z269" s="426"/>
      <c r="AA269" s="426"/>
      <c r="AB269" s="426"/>
      <c r="AC269" s="426"/>
      <c r="AD269" s="426"/>
      <c r="AE269" s="426"/>
      <c r="AF269" s="426"/>
      <c r="AG269" s="326"/>
      <c r="AH269" s="326"/>
      <c r="AI269" s="424"/>
      <c r="AJ269" s="424"/>
      <c r="AK269" s="424"/>
      <c r="AL269" s="424"/>
      <c r="AM269" s="424"/>
      <c r="AN269" s="424"/>
      <c r="AO269" s="425"/>
      <c r="AP269" s="425"/>
      <c r="AQ269" s="425"/>
      <c r="AR269" s="425"/>
      <c r="AS269" s="425"/>
      <c r="AT269" s="425"/>
      <c r="AU269" s="425"/>
      <c r="AV269" s="425"/>
      <c r="AW269" s="425"/>
      <c r="AX269" s="425"/>
      <c r="AY269" s="425"/>
      <c r="AZ269" s="425"/>
      <c r="BA269" s="425"/>
      <c r="BB269" s="425"/>
      <c r="BC269" s="425"/>
      <c r="BD269" s="425"/>
      <c r="BE269" s="425"/>
      <c r="BF269" s="425"/>
      <c r="BG269" s="425"/>
      <c r="BH269" s="425"/>
      <c r="BI269" s="425"/>
      <c r="BJ269" s="425"/>
      <c r="BK269" s="425"/>
      <c r="BL269" s="425"/>
      <c r="BM269" s="425"/>
      <c r="BN269" s="425"/>
    </row>
    <row r="270" spans="1:66" ht="15.75" customHeight="1" x14ac:dyDescent="0.2">
      <c r="A270" s="424"/>
      <c r="B270" s="424"/>
      <c r="C270" s="424"/>
      <c r="D270" s="424"/>
      <c r="E270" s="424"/>
      <c r="F270" s="425"/>
      <c r="G270" s="425"/>
      <c r="H270" s="424"/>
      <c r="I270" s="424"/>
      <c r="J270" s="425"/>
      <c r="K270" s="425"/>
      <c r="L270" s="425"/>
      <c r="M270" s="425"/>
      <c r="N270" s="425"/>
      <c r="O270" s="425"/>
      <c r="P270" s="425"/>
      <c r="Q270" s="424"/>
      <c r="R270" s="426"/>
      <c r="S270" s="426"/>
      <c r="T270" s="426"/>
      <c r="U270" s="426"/>
      <c r="V270" s="326"/>
      <c r="W270" s="326"/>
      <c r="X270" s="426"/>
      <c r="Y270" s="426"/>
      <c r="Z270" s="426"/>
      <c r="AA270" s="426"/>
      <c r="AB270" s="426"/>
      <c r="AC270" s="426"/>
      <c r="AD270" s="426"/>
      <c r="AE270" s="426"/>
      <c r="AF270" s="426"/>
      <c r="AG270" s="326"/>
      <c r="AH270" s="326"/>
      <c r="AI270" s="424"/>
      <c r="AJ270" s="424"/>
      <c r="AK270" s="424"/>
      <c r="AL270" s="424"/>
      <c r="AM270" s="424"/>
      <c r="AN270" s="424"/>
      <c r="AO270" s="425"/>
      <c r="AP270" s="425"/>
      <c r="AQ270" s="425"/>
      <c r="AR270" s="425"/>
      <c r="AS270" s="425"/>
      <c r="AT270" s="425"/>
      <c r="AU270" s="425"/>
      <c r="AV270" s="425"/>
      <c r="AW270" s="425"/>
      <c r="AX270" s="425"/>
      <c r="AY270" s="425"/>
      <c r="AZ270" s="425"/>
      <c r="BA270" s="425"/>
      <c r="BB270" s="425"/>
      <c r="BC270" s="425"/>
      <c r="BD270" s="425"/>
      <c r="BE270" s="425"/>
      <c r="BF270" s="425"/>
      <c r="BG270" s="425"/>
      <c r="BH270" s="425"/>
      <c r="BI270" s="425"/>
      <c r="BJ270" s="425"/>
      <c r="BK270" s="425"/>
      <c r="BL270" s="425"/>
      <c r="BM270" s="425"/>
      <c r="BN270" s="425"/>
    </row>
    <row r="271" spans="1:66" ht="15.75" customHeight="1" x14ac:dyDescent="0.2">
      <c r="A271" s="424"/>
      <c r="B271" s="424"/>
      <c r="C271" s="424"/>
      <c r="D271" s="424"/>
      <c r="E271" s="424"/>
      <c r="F271" s="425"/>
      <c r="G271" s="425"/>
      <c r="H271" s="424"/>
      <c r="I271" s="424"/>
      <c r="J271" s="425"/>
      <c r="K271" s="425"/>
      <c r="L271" s="425"/>
      <c r="M271" s="425"/>
      <c r="N271" s="425"/>
      <c r="O271" s="425"/>
      <c r="P271" s="425"/>
      <c r="Q271" s="424"/>
      <c r="R271" s="426"/>
      <c r="S271" s="426"/>
      <c r="T271" s="426"/>
      <c r="U271" s="426"/>
      <c r="V271" s="326"/>
      <c r="W271" s="326"/>
      <c r="X271" s="426"/>
      <c r="Y271" s="426"/>
      <c r="Z271" s="426"/>
      <c r="AA271" s="426"/>
      <c r="AB271" s="426"/>
      <c r="AC271" s="426"/>
      <c r="AD271" s="426"/>
      <c r="AE271" s="426"/>
      <c r="AF271" s="426"/>
      <c r="AG271" s="326"/>
      <c r="AH271" s="326"/>
      <c r="AI271" s="424"/>
      <c r="AJ271" s="424"/>
      <c r="AK271" s="424"/>
      <c r="AL271" s="424"/>
      <c r="AM271" s="424"/>
      <c r="AN271" s="424"/>
      <c r="AO271" s="425"/>
      <c r="AP271" s="425"/>
      <c r="AQ271" s="425"/>
      <c r="AR271" s="425"/>
      <c r="AS271" s="425"/>
      <c r="AT271" s="425"/>
      <c r="AU271" s="425"/>
      <c r="AV271" s="425"/>
      <c r="AW271" s="425"/>
      <c r="AX271" s="425"/>
      <c r="AY271" s="425"/>
      <c r="AZ271" s="425"/>
      <c r="BA271" s="425"/>
      <c r="BB271" s="425"/>
      <c r="BC271" s="425"/>
      <c r="BD271" s="425"/>
      <c r="BE271" s="425"/>
      <c r="BF271" s="425"/>
      <c r="BG271" s="425"/>
      <c r="BH271" s="425"/>
      <c r="BI271" s="425"/>
      <c r="BJ271" s="425"/>
      <c r="BK271" s="425"/>
      <c r="BL271" s="425"/>
      <c r="BM271" s="425"/>
      <c r="BN271" s="425"/>
    </row>
    <row r="272" spans="1:66" ht="15.75" customHeight="1" x14ac:dyDescent="0.2">
      <c r="A272" s="424"/>
      <c r="B272" s="424"/>
      <c r="C272" s="424"/>
      <c r="D272" s="424"/>
      <c r="E272" s="424"/>
      <c r="F272" s="425"/>
      <c r="G272" s="425"/>
      <c r="H272" s="424"/>
      <c r="I272" s="424"/>
      <c r="J272" s="425"/>
      <c r="K272" s="425"/>
      <c r="L272" s="425"/>
      <c r="M272" s="425"/>
      <c r="N272" s="425"/>
      <c r="O272" s="425"/>
      <c r="P272" s="425"/>
      <c r="Q272" s="424"/>
      <c r="R272" s="426"/>
      <c r="S272" s="426"/>
      <c r="T272" s="426"/>
      <c r="U272" s="426"/>
      <c r="V272" s="326"/>
      <c r="W272" s="326"/>
      <c r="X272" s="426"/>
      <c r="Y272" s="426"/>
      <c r="Z272" s="426"/>
      <c r="AA272" s="426"/>
      <c r="AB272" s="426"/>
      <c r="AC272" s="426"/>
      <c r="AD272" s="426"/>
      <c r="AE272" s="426"/>
      <c r="AF272" s="426"/>
      <c r="AG272" s="326"/>
      <c r="AH272" s="326"/>
      <c r="AI272" s="424"/>
      <c r="AJ272" s="424"/>
      <c r="AK272" s="424"/>
      <c r="AL272" s="424"/>
      <c r="AM272" s="424"/>
      <c r="AN272" s="424"/>
      <c r="AO272" s="425"/>
      <c r="AP272" s="425"/>
      <c r="AQ272" s="425"/>
      <c r="AR272" s="425"/>
      <c r="AS272" s="425"/>
      <c r="AT272" s="425"/>
      <c r="AU272" s="425"/>
      <c r="AV272" s="425"/>
      <c r="AW272" s="425"/>
      <c r="AX272" s="425"/>
      <c r="AY272" s="425"/>
      <c r="AZ272" s="425"/>
      <c r="BA272" s="425"/>
      <c r="BB272" s="425"/>
      <c r="BC272" s="425"/>
      <c r="BD272" s="425"/>
      <c r="BE272" s="425"/>
      <c r="BF272" s="425"/>
      <c r="BG272" s="425"/>
      <c r="BH272" s="425"/>
      <c r="BI272" s="425"/>
      <c r="BJ272" s="425"/>
      <c r="BK272" s="425"/>
      <c r="BL272" s="425"/>
      <c r="BM272" s="425"/>
      <c r="BN272" s="425"/>
    </row>
    <row r="273" spans="1:66" ht="15.75" customHeight="1" x14ac:dyDescent="0.2">
      <c r="A273" s="424"/>
      <c r="B273" s="424"/>
      <c r="C273" s="424"/>
      <c r="D273" s="424"/>
      <c r="E273" s="424"/>
      <c r="F273" s="425"/>
      <c r="G273" s="425"/>
      <c r="H273" s="424"/>
      <c r="I273" s="424"/>
      <c r="J273" s="425"/>
      <c r="K273" s="425"/>
      <c r="L273" s="425"/>
      <c r="M273" s="425"/>
      <c r="N273" s="425"/>
      <c r="O273" s="425"/>
      <c r="P273" s="425"/>
      <c r="Q273" s="424"/>
      <c r="R273" s="426"/>
      <c r="S273" s="426"/>
      <c r="T273" s="426"/>
      <c r="U273" s="426"/>
      <c r="V273" s="326"/>
      <c r="W273" s="326"/>
      <c r="X273" s="426"/>
      <c r="Y273" s="426"/>
      <c r="Z273" s="426"/>
      <c r="AA273" s="426"/>
      <c r="AB273" s="426"/>
      <c r="AC273" s="426"/>
      <c r="AD273" s="426"/>
      <c r="AE273" s="426"/>
      <c r="AF273" s="426"/>
      <c r="AG273" s="326"/>
      <c r="AH273" s="326"/>
      <c r="AI273" s="424"/>
      <c r="AJ273" s="424"/>
      <c r="AK273" s="424"/>
      <c r="AL273" s="424"/>
      <c r="AM273" s="424"/>
      <c r="AN273" s="424"/>
      <c r="AO273" s="425"/>
      <c r="AP273" s="425"/>
      <c r="AQ273" s="425"/>
      <c r="AR273" s="425"/>
      <c r="AS273" s="425"/>
      <c r="AT273" s="425"/>
      <c r="AU273" s="425"/>
      <c r="AV273" s="425"/>
      <c r="AW273" s="425"/>
      <c r="AX273" s="425"/>
      <c r="AY273" s="425"/>
      <c r="AZ273" s="425"/>
      <c r="BA273" s="425"/>
      <c r="BB273" s="425"/>
      <c r="BC273" s="425"/>
      <c r="BD273" s="425"/>
      <c r="BE273" s="425"/>
      <c r="BF273" s="425"/>
      <c r="BG273" s="425"/>
      <c r="BH273" s="425"/>
      <c r="BI273" s="425"/>
      <c r="BJ273" s="425"/>
      <c r="BK273" s="425"/>
      <c r="BL273" s="425"/>
      <c r="BM273" s="425"/>
      <c r="BN273" s="425"/>
    </row>
    <row r="274" spans="1:66" ht="15.75" customHeight="1" x14ac:dyDescent="0.2">
      <c r="A274" s="424"/>
      <c r="B274" s="424"/>
      <c r="C274" s="424"/>
      <c r="D274" s="424"/>
      <c r="E274" s="424"/>
      <c r="F274" s="425"/>
      <c r="G274" s="425"/>
      <c r="H274" s="424"/>
      <c r="I274" s="424"/>
      <c r="J274" s="425"/>
      <c r="K274" s="425"/>
      <c r="L274" s="425"/>
      <c r="M274" s="425"/>
      <c r="N274" s="425"/>
      <c r="O274" s="425"/>
      <c r="P274" s="425"/>
      <c r="Q274" s="424"/>
      <c r="R274" s="426"/>
      <c r="S274" s="426"/>
      <c r="T274" s="426"/>
      <c r="U274" s="426"/>
      <c r="V274" s="326"/>
      <c r="W274" s="326"/>
      <c r="X274" s="426"/>
      <c r="Y274" s="426"/>
      <c r="Z274" s="426"/>
      <c r="AA274" s="426"/>
      <c r="AB274" s="426"/>
      <c r="AC274" s="426"/>
      <c r="AD274" s="426"/>
      <c r="AE274" s="426"/>
      <c r="AF274" s="426"/>
      <c r="AG274" s="326"/>
      <c r="AH274" s="326"/>
      <c r="AI274" s="424"/>
      <c r="AJ274" s="424"/>
      <c r="AK274" s="424"/>
      <c r="AL274" s="424"/>
      <c r="AM274" s="424"/>
      <c r="AN274" s="424"/>
      <c r="AO274" s="425"/>
      <c r="AP274" s="425"/>
      <c r="AQ274" s="425"/>
      <c r="AR274" s="425"/>
      <c r="AS274" s="425"/>
      <c r="AT274" s="425"/>
      <c r="AU274" s="425"/>
      <c r="AV274" s="425"/>
      <c r="AW274" s="425"/>
      <c r="AX274" s="425"/>
      <c r="AY274" s="425"/>
      <c r="AZ274" s="425"/>
      <c r="BA274" s="425"/>
      <c r="BB274" s="425"/>
      <c r="BC274" s="425"/>
      <c r="BD274" s="425"/>
      <c r="BE274" s="425"/>
      <c r="BF274" s="425"/>
      <c r="BG274" s="425"/>
      <c r="BH274" s="425"/>
      <c r="BI274" s="425"/>
      <c r="BJ274" s="425"/>
      <c r="BK274" s="425"/>
      <c r="BL274" s="425"/>
      <c r="BM274" s="425"/>
      <c r="BN274" s="425"/>
    </row>
    <row r="275" spans="1:66" ht="15.75" customHeight="1" x14ac:dyDescent="0.2">
      <c r="A275" s="424"/>
      <c r="B275" s="424"/>
      <c r="C275" s="424"/>
      <c r="D275" s="424"/>
      <c r="E275" s="424"/>
      <c r="F275" s="425"/>
      <c r="G275" s="425"/>
      <c r="H275" s="424"/>
      <c r="I275" s="424"/>
      <c r="J275" s="425"/>
      <c r="K275" s="425"/>
      <c r="L275" s="425"/>
      <c r="M275" s="425"/>
      <c r="N275" s="425"/>
      <c r="O275" s="425"/>
      <c r="P275" s="425"/>
      <c r="Q275" s="424"/>
      <c r="R275" s="426"/>
      <c r="S275" s="426"/>
      <c r="T275" s="426"/>
      <c r="U275" s="426"/>
      <c r="V275" s="326"/>
      <c r="W275" s="326"/>
      <c r="X275" s="426"/>
      <c r="Y275" s="426"/>
      <c r="Z275" s="426"/>
      <c r="AA275" s="426"/>
      <c r="AB275" s="426"/>
      <c r="AC275" s="426"/>
      <c r="AD275" s="426"/>
      <c r="AE275" s="426"/>
      <c r="AF275" s="426"/>
      <c r="AG275" s="326"/>
      <c r="AH275" s="326"/>
      <c r="AI275" s="424"/>
      <c r="AJ275" s="424"/>
      <c r="AK275" s="424"/>
      <c r="AL275" s="424"/>
      <c r="AM275" s="424"/>
      <c r="AN275" s="424"/>
      <c r="AO275" s="425"/>
      <c r="AP275" s="425"/>
      <c r="AQ275" s="425"/>
      <c r="AR275" s="425"/>
      <c r="AS275" s="425"/>
      <c r="AT275" s="425"/>
      <c r="AU275" s="425"/>
      <c r="AV275" s="425"/>
      <c r="AW275" s="425"/>
      <c r="AX275" s="425"/>
      <c r="AY275" s="425"/>
      <c r="AZ275" s="425"/>
      <c r="BA275" s="425"/>
      <c r="BB275" s="425"/>
      <c r="BC275" s="425"/>
      <c r="BD275" s="425"/>
      <c r="BE275" s="425"/>
      <c r="BF275" s="425"/>
      <c r="BG275" s="425"/>
      <c r="BH275" s="425"/>
      <c r="BI275" s="425"/>
      <c r="BJ275" s="425"/>
      <c r="BK275" s="425"/>
      <c r="BL275" s="425"/>
      <c r="BM275" s="425"/>
      <c r="BN275" s="425"/>
    </row>
    <row r="276" spans="1:66" ht="15.75" customHeight="1" x14ac:dyDescent="0.2">
      <c r="A276" s="424"/>
      <c r="B276" s="424"/>
      <c r="C276" s="424"/>
      <c r="D276" s="424"/>
      <c r="E276" s="424"/>
      <c r="F276" s="425"/>
      <c r="G276" s="425"/>
      <c r="H276" s="424"/>
      <c r="I276" s="424"/>
      <c r="J276" s="425"/>
      <c r="K276" s="425"/>
      <c r="L276" s="425"/>
      <c r="M276" s="425"/>
      <c r="N276" s="425"/>
      <c r="O276" s="425"/>
      <c r="P276" s="425"/>
      <c r="Q276" s="424"/>
      <c r="R276" s="426"/>
      <c r="S276" s="426"/>
      <c r="T276" s="426"/>
      <c r="U276" s="426"/>
      <c r="V276" s="326"/>
      <c r="W276" s="326"/>
      <c r="X276" s="426"/>
      <c r="Y276" s="426"/>
      <c r="Z276" s="426"/>
      <c r="AA276" s="426"/>
      <c r="AB276" s="426"/>
      <c r="AC276" s="426"/>
      <c r="AD276" s="426"/>
      <c r="AE276" s="426"/>
      <c r="AF276" s="426"/>
      <c r="AG276" s="326"/>
      <c r="AH276" s="326"/>
      <c r="AI276" s="424"/>
      <c r="AJ276" s="424"/>
      <c r="AK276" s="424"/>
      <c r="AL276" s="424"/>
      <c r="AM276" s="424"/>
      <c r="AN276" s="424"/>
      <c r="AO276" s="425"/>
      <c r="AP276" s="425"/>
      <c r="AQ276" s="425"/>
      <c r="AR276" s="425"/>
      <c r="AS276" s="425"/>
      <c r="AT276" s="425"/>
      <c r="AU276" s="425"/>
      <c r="AV276" s="425"/>
      <c r="AW276" s="425"/>
      <c r="AX276" s="425"/>
      <c r="AY276" s="425"/>
      <c r="AZ276" s="425"/>
      <c r="BA276" s="425"/>
      <c r="BB276" s="425"/>
      <c r="BC276" s="425"/>
      <c r="BD276" s="425"/>
      <c r="BE276" s="425"/>
      <c r="BF276" s="425"/>
      <c r="BG276" s="425"/>
      <c r="BH276" s="425"/>
      <c r="BI276" s="425"/>
      <c r="BJ276" s="425"/>
      <c r="BK276" s="425"/>
      <c r="BL276" s="425"/>
      <c r="BM276" s="425"/>
      <c r="BN276" s="425"/>
    </row>
    <row r="277" spans="1:66" ht="15.75" customHeight="1" x14ac:dyDescent="0.2">
      <c r="A277" s="424"/>
      <c r="B277" s="424"/>
      <c r="C277" s="424"/>
      <c r="D277" s="424"/>
      <c r="E277" s="424"/>
      <c r="F277" s="425"/>
      <c r="G277" s="425"/>
      <c r="H277" s="424"/>
      <c r="I277" s="424"/>
      <c r="J277" s="425"/>
      <c r="K277" s="425"/>
      <c r="L277" s="425"/>
      <c r="M277" s="425"/>
      <c r="N277" s="425"/>
      <c r="O277" s="425"/>
      <c r="P277" s="425"/>
      <c r="Q277" s="424"/>
      <c r="R277" s="426"/>
      <c r="S277" s="426"/>
      <c r="T277" s="426"/>
      <c r="U277" s="426"/>
      <c r="V277" s="326"/>
      <c r="W277" s="326"/>
      <c r="X277" s="426"/>
      <c r="Y277" s="426"/>
      <c r="Z277" s="426"/>
      <c r="AA277" s="426"/>
      <c r="AB277" s="426"/>
      <c r="AC277" s="426"/>
      <c r="AD277" s="426"/>
      <c r="AE277" s="426"/>
      <c r="AF277" s="426"/>
      <c r="AG277" s="326"/>
      <c r="AH277" s="326"/>
      <c r="AI277" s="424"/>
      <c r="AJ277" s="424"/>
      <c r="AK277" s="424"/>
      <c r="AL277" s="424"/>
      <c r="AM277" s="424"/>
      <c r="AN277" s="424"/>
      <c r="AO277" s="425"/>
      <c r="AP277" s="425"/>
      <c r="AQ277" s="425"/>
      <c r="AR277" s="425"/>
      <c r="AS277" s="425"/>
      <c r="AT277" s="425"/>
      <c r="AU277" s="425"/>
      <c r="AV277" s="425"/>
      <c r="AW277" s="425"/>
      <c r="AX277" s="425"/>
      <c r="AY277" s="425"/>
      <c r="AZ277" s="425"/>
      <c r="BA277" s="425"/>
      <c r="BB277" s="425"/>
      <c r="BC277" s="425"/>
      <c r="BD277" s="425"/>
      <c r="BE277" s="425"/>
      <c r="BF277" s="425"/>
      <c r="BG277" s="425"/>
      <c r="BH277" s="425"/>
      <c r="BI277" s="425"/>
      <c r="BJ277" s="425"/>
      <c r="BK277" s="425"/>
      <c r="BL277" s="425"/>
      <c r="BM277" s="425"/>
      <c r="BN277" s="425"/>
    </row>
    <row r="278" spans="1:66" ht="15.75" customHeight="1" x14ac:dyDescent="0.2">
      <c r="A278" s="424"/>
      <c r="B278" s="424"/>
      <c r="C278" s="424"/>
      <c r="D278" s="424"/>
      <c r="E278" s="424"/>
      <c r="F278" s="425"/>
      <c r="G278" s="425"/>
      <c r="H278" s="424"/>
      <c r="I278" s="424"/>
      <c r="J278" s="425"/>
      <c r="K278" s="425"/>
      <c r="L278" s="425"/>
      <c r="M278" s="425"/>
      <c r="N278" s="425"/>
      <c r="O278" s="425"/>
      <c r="P278" s="425"/>
      <c r="Q278" s="424"/>
      <c r="R278" s="426"/>
      <c r="S278" s="426"/>
      <c r="T278" s="426"/>
      <c r="U278" s="426"/>
      <c r="V278" s="326"/>
      <c r="W278" s="326"/>
      <c r="X278" s="426"/>
      <c r="Y278" s="426"/>
      <c r="Z278" s="426"/>
      <c r="AA278" s="426"/>
      <c r="AB278" s="426"/>
      <c r="AC278" s="426"/>
      <c r="AD278" s="426"/>
      <c r="AE278" s="426"/>
      <c r="AF278" s="426"/>
      <c r="AG278" s="326"/>
      <c r="AH278" s="326"/>
      <c r="AI278" s="424"/>
      <c r="AJ278" s="424"/>
      <c r="AK278" s="424"/>
      <c r="AL278" s="424"/>
      <c r="AM278" s="424"/>
      <c r="AN278" s="424"/>
      <c r="AO278" s="425"/>
      <c r="AP278" s="425"/>
      <c r="AQ278" s="425"/>
      <c r="AR278" s="425"/>
      <c r="AS278" s="425"/>
      <c r="AT278" s="425"/>
      <c r="AU278" s="425"/>
      <c r="AV278" s="425"/>
      <c r="AW278" s="425"/>
      <c r="AX278" s="425"/>
      <c r="AY278" s="425"/>
      <c r="AZ278" s="425"/>
      <c r="BA278" s="425"/>
      <c r="BB278" s="425"/>
      <c r="BC278" s="425"/>
      <c r="BD278" s="425"/>
      <c r="BE278" s="425"/>
      <c r="BF278" s="425"/>
      <c r="BG278" s="425"/>
      <c r="BH278" s="425"/>
      <c r="BI278" s="425"/>
      <c r="BJ278" s="425"/>
      <c r="BK278" s="425"/>
      <c r="BL278" s="425"/>
      <c r="BM278" s="425"/>
      <c r="BN278" s="425"/>
    </row>
    <row r="279" spans="1:66" ht="15.75" customHeight="1" x14ac:dyDescent="0.2">
      <c r="A279" s="424"/>
      <c r="B279" s="424"/>
      <c r="C279" s="424"/>
      <c r="D279" s="424"/>
      <c r="E279" s="424"/>
      <c r="F279" s="425"/>
      <c r="G279" s="425"/>
      <c r="H279" s="424"/>
      <c r="I279" s="424"/>
      <c r="J279" s="425"/>
      <c r="K279" s="425"/>
      <c r="L279" s="425"/>
      <c r="M279" s="425"/>
      <c r="N279" s="425"/>
      <c r="O279" s="425"/>
      <c r="P279" s="425"/>
      <c r="Q279" s="424"/>
      <c r="R279" s="426"/>
      <c r="S279" s="426"/>
      <c r="T279" s="426"/>
      <c r="U279" s="426"/>
      <c r="V279" s="326"/>
      <c r="W279" s="326"/>
      <c r="X279" s="426"/>
      <c r="Y279" s="426"/>
      <c r="Z279" s="426"/>
      <c r="AA279" s="426"/>
      <c r="AB279" s="426"/>
      <c r="AC279" s="426"/>
      <c r="AD279" s="426"/>
      <c r="AE279" s="426"/>
      <c r="AF279" s="426"/>
      <c r="AG279" s="326"/>
      <c r="AH279" s="326"/>
      <c r="AI279" s="424"/>
      <c r="AJ279" s="424"/>
      <c r="AK279" s="424"/>
      <c r="AL279" s="424"/>
      <c r="AM279" s="424"/>
      <c r="AN279" s="424"/>
      <c r="AO279" s="425"/>
      <c r="AP279" s="425"/>
      <c r="AQ279" s="425"/>
      <c r="AR279" s="425"/>
      <c r="AS279" s="425"/>
      <c r="AT279" s="425"/>
      <c r="AU279" s="425"/>
      <c r="AV279" s="425"/>
      <c r="AW279" s="425"/>
      <c r="AX279" s="425"/>
      <c r="AY279" s="425"/>
      <c r="AZ279" s="425"/>
      <c r="BA279" s="425"/>
      <c r="BB279" s="425"/>
      <c r="BC279" s="425"/>
      <c r="BD279" s="425"/>
      <c r="BE279" s="425"/>
      <c r="BF279" s="425"/>
      <c r="BG279" s="425"/>
      <c r="BH279" s="425"/>
      <c r="BI279" s="425"/>
      <c r="BJ279" s="425"/>
      <c r="BK279" s="425"/>
      <c r="BL279" s="425"/>
      <c r="BM279" s="425"/>
      <c r="BN279" s="425"/>
    </row>
    <row r="280" spans="1:66" ht="15.75" customHeight="1" x14ac:dyDescent="0.2">
      <c r="A280" s="424"/>
      <c r="B280" s="424"/>
      <c r="C280" s="424"/>
      <c r="D280" s="424"/>
      <c r="E280" s="424"/>
      <c r="F280" s="425"/>
      <c r="G280" s="425"/>
      <c r="H280" s="424"/>
      <c r="I280" s="424"/>
      <c r="J280" s="425"/>
      <c r="K280" s="425"/>
      <c r="L280" s="425"/>
      <c r="M280" s="425"/>
      <c r="N280" s="425"/>
      <c r="O280" s="425"/>
      <c r="P280" s="425"/>
      <c r="Q280" s="424"/>
      <c r="R280" s="426"/>
      <c r="S280" s="426"/>
      <c r="T280" s="426"/>
      <c r="U280" s="426"/>
      <c r="V280" s="326"/>
      <c r="W280" s="326"/>
      <c r="X280" s="426"/>
      <c r="Y280" s="426"/>
      <c r="Z280" s="426"/>
      <c r="AA280" s="426"/>
      <c r="AB280" s="426"/>
      <c r="AC280" s="426"/>
      <c r="AD280" s="426"/>
      <c r="AE280" s="426"/>
      <c r="AF280" s="426"/>
      <c r="AG280" s="326"/>
      <c r="AH280" s="326"/>
      <c r="AI280" s="424"/>
      <c r="AJ280" s="424"/>
      <c r="AK280" s="424"/>
      <c r="AL280" s="424"/>
      <c r="AM280" s="424"/>
      <c r="AN280" s="424"/>
      <c r="AO280" s="425"/>
      <c r="AP280" s="425"/>
      <c r="AQ280" s="425"/>
      <c r="AR280" s="425"/>
      <c r="AS280" s="425"/>
      <c r="AT280" s="425"/>
      <c r="AU280" s="425"/>
      <c r="AV280" s="425"/>
      <c r="AW280" s="425"/>
      <c r="AX280" s="425"/>
      <c r="AY280" s="425"/>
      <c r="AZ280" s="425"/>
      <c r="BA280" s="425"/>
      <c r="BB280" s="425"/>
      <c r="BC280" s="425"/>
      <c r="BD280" s="425"/>
      <c r="BE280" s="425"/>
      <c r="BF280" s="425"/>
      <c r="BG280" s="425"/>
      <c r="BH280" s="425"/>
      <c r="BI280" s="425"/>
      <c r="BJ280" s="425"/>
      <c r="BK280" s="425"/>
      <c r="BL280" s="425"/>
      <c r="BM280" s="425"/>
      <c r="BN280" s="425"/>
    </row>
    <row r="281" spans="1:66" ht="15.75" customHeight="1" x14ac:dyDescent="0.2">
      <c r="A281" s="424"/>
      <c r="B281" s="424"/>
      <c r="C281" s="424"/>
      <c r="D281" s="424"/>
      <c r="E281" s="424"/>
      <c r="F281" s="425"/>
      <c r="G281" s="425"/>
      <c r="H281" s="424"/>
      <c r="I281" s="424"/>
      <c r="J281" s="425"/>
      <c r="K281" s="425"/>
      <c r="L281" s="425"/>
      <c r="M281" s="425"/>
      <c r="N281" s="425"/>
      <c r="O281" s="425"/>
      <c r="P281" s="425"/>
      <c r="Q281" s="424"/>
      <c r="R281" s="426"/>
      <c r="S281" s="426"/>
      <c r="T281" s="426"/>
      <c r="U281" s="426"/>
      <c r="V281" s="326"/>
      <c r="W281" s="326"/>
      <c r="X281" s="426"/>
      <c r="Y281" s="426"/>
      <c r="Z281" s="426"/>
      <c r="AA281" s="426"/>
      <c r="AB281" s="426"/>
      <c r="AC281" s="426"/>
      <c r="AD281" s="426"/>
      <c r="AE281" s="426"/>
      <c r="AF281" s="426"/>
      <c r="AG281" s="326"/>
      <c r="AH281" s="326"/>
      <c r="AI281" s="424"/>
      <c r="AJ281" s="424"/>
      <c r="AK281" s="424"/>
      <c r="AL281" s="424"/>
      <c r="AM281" s="424"/>
      <c r="AN281" s="424"/>
      <c r="AO281" s="425"/>
      <c r="AP281" s="425"/>
      <c r="AQ281" s="425"/>
      <c r="AR281" s="425"/>
      <c r="AS281" s="425"/>
      <c r="AT281" s="425"/>
      <c r="AU281" s="425"/>
      <c r="AV281" s="425"/>
      <c r="AW281" s="425"/>
      <c r="AX281" s="425"/>
      <c r="AY281" s="425"/>
      <c r="AZ281" s="425"/>
      <c r="BA281" s="425"/>
      <c r="BB281" s="425"/>
      <c r="BC281" s="425"/>
      <c r="BD281" s="425"/>
      <c r="BE281" s="425"/>
      <c r="BF281" s="425"/>
      <c r="BG281" s="425"/>
      <c r="BH281" s="425"/>
      <c r="BI281" s="425"/>
      <c r="BJ281" s="425"/>
      <c r="BK281" s="425"/>
      <c r="BL281" s="425"/>
      <c r="BM281" s="425"/>
      <c r="BN281" s="425"/>
    </row>
    <row r="282" spans="1:66" ht="15.75" customHeight="1" x14ac:dyDescent="0.2">
      <c r="A282" s="424"/>
      <c r="B282" s="424"/>
      <c r="C282" s="424"/>
      <c r="D282" s="424"/>
      <c r="E282" s="424"/>
      <c r="F282" s="425"/>
      <c r="G282" s="425"/>
      <c r="H282" s="424"/>
      <c r="I282" s="424"/>
      <c r="J282" s="425"/>
      <c r="K282" s="425"/>
      <c r="L282" s="425"/>
      <c r="M282" s="425"/>
      <c r="N282" s="425"/>
      <c r="O282" s="425"/>
      <c r="P282" s="425"/>
      <c r="Q282" s="424"/>
      <c r="R282" s="426"/>
      <c r="S282" s="426"/>
      <c r="T282" s="426"/>
      <c r="U282" s="426"/>
      <c r="V282" s="326"/>
      <c r="W282" s="326"/>
      <c r="X282" s="426"/>
      <c r="Y282" s="426"/>
      <c r="Z282" s="426"/>
      <c r="AA282" s="426"/>
      <c r="AB282" s="426"/>
      <c r="AC282" s="426"/>
      <c r="AD282" s="426"/>
      <c r="AE282" s="426"/>
      <c r="AF282" s="426"/>
      <c r="AG282" s="326"/>
      <c r="AH282" s="326"/>
      <c r="AI282" s="424"/>
      <c r="AJ282" s="424"/>
      <c r="AK282" s="424"/>
      <c r="AL282" s="424"/>
      <c r="AM282" s="424"/>
      <c r="AN282" s="424"/>
      <c r="AO282" s="425"/>
      <c r="AP282" s="425"/>
      <c r="AQ282" s="425"/>
      <c r="AR282" s="425"/>
      <c r="AS282" s="425"/>
      <c r="AT282" s="425"/>
      <c r="AU282" s="425"/>
      <c r="AV282" s="425"/>
      <c r="AW282" s="425"/>
      <c r="AX282" s="425"/>
      <c r="AY282" s="425"/>
      <c r="AZ282" s="425"/>
      <c r="BA282" s="425"/>
      <c r="BB282" s="425"/>
      <c r="BC282" s="425"/>
      <c r="BD282" s="425"/>
      <c r="BE282" s="425"/>
      <c r="BF282" s="425"/>
      <c r="BG282" s="425"/>
      <c r="BH282" s="425"/>
      <c r="BI282" s="425"/>
      <c r="BJ282" s="425"/>
      <c r="BK282" s="425"/>
      <c r="BL282" s="425"/>
      <c r="BM282" s="425"/>
      <c r="BN282" s="425"/>
    </row>
    <row r="283" spans="1:66" ht="15.75" customHeight="1" x14ac:dyDescent="0.2">
      <c r="A283" s="424"/>
      <c r="B283" s="424"/>
      <c r="C283" s="424"/>
      <c r="D283" s="424"/>
      <c r="E283" s="424"/>
      <c r="F283" s="425"/>
      <c r="G283" s="425"/>
      <c r="H283" s="424"/>
      <c r="I283" s="424"/>
      <c r="J283" s="425"/>
      <c r="K283" s="425"/>
      <c r="L283" s="425"/>
      <c r="M283" s="425"/>
      <c r="N283" s="425"/>
      <c r="O283" s="425"/>
      <c r="P283" s="425"/>
      <c r="Q283" s="424"/>
      <c r="R283" s="426"/>
      <c r="S283" s="426"/>
      <c r="T283" s="426"/>
      <c r="U283" s="426"/>
      <c r="V283" s="326"/>
      <c r="W283" s="326"/>
      <c r="X283" s="426"/>
      <c r="Y283" s="426"/>
      <c r="Z283" s="426"/>
      <c r="AA283" s="426"/>
      <c r="AB283" s="426"/>
      <c r="AC283" s="426"/>
      <c r="AD283" s="426"/>
      <c r="AE283" s="426"/>
      <c r="AF283" s="426"/>
      <c r="AG283" s="326"/>
      <c r="AH283" s="326"/>
      <c r="AI283" s="424"/>
      <c r="AJ283" s="424"/>
      <c r="AK283" s="424"/>
      <c r="AL283" s="424"/>
      <c r="AM283" s="424"/>
      <c r="AN283" s="424"/>
      <c r="AO283" s="425"/>
      <c r="AP283" s="425"/>
      <c r="AQ283" s="425"/>
      <c r="AR283" s="425"/>
      <c r="AS283" s="425"/>
      <c r="AT283" s="425"/>
      <c r="AU283" s="425"/>
      <c r="AV283" s="425"/>
      <c r="AW283" s="425"/>
      <c r="AX283" s="425"/>
      <c r="AY283" s="425"/>
      <c r="AZ283" s="425"/>
      <c r="BA283" s="425"/>
      <c r="BB283" s="425"/>
      <c r="BC283" s="425"/>
      <c r="BD283" s="425"/>
      <c r="BE283" s="425"/>
      <c r="BF283" s="425"/>
      <c r="BG283" s="425"/>
      <c r="BH283" s="425"/>
      <c r="BI283" s="425"/>
      <c r="BJ283" s="425"/>
      <c r="BK283" s="425"/>
      <c r="BL283" s="425"/>
      <c r="BM283" s="425"/>
      <c r="BN283" s="425"/>
    </row>
    <row r="284" spans="1:66" ht="15.75" customHeight="1" x14ac:dyDescent="0.2">
      <c r="A284" s="424"/>
      <c r="B284" s="424"/>
      <c r="C284" s="424"/>
      <c r="D284" s="424"/>
      <c r="E284" s="424"/>
      <c r="F284" s="425"/>
      <c r="G284" s="425"/>
      <c r="H284" s="424"/>
      <c r="I284" s="424"/>
      <c r="J284" s="425"/>
      <c r="K284" s="425"/>
      <c r="L284" s="425"/>
      <c r="M284" s="425"/>
      <c r="N284" s="425"/>
      <c r="O284" s="425"/>
      <c r="P284" s="425"/>
      <c r="Q284" s="424"/>
      <c r="R284" s="426"/>
      <c r="S284" s="426"/>
      <c r="T284" s="426"/>
      <c r="U284" s="426"/>
      <c r="V284" s="326"/>
      <c r="W284" s="326"/>
      <c r="X284" s="426"/>
      <c r="Y284" s="426"/>
      <c r="Z284" s="426"/>
      <c r="AA284" s="426"/>
      <c r="AB284" s="426"/>
      <c r="AC284" s="426"/>
      <c r="AD284" s="426"/>
      <c r="AE284" s="426"/>
      <c r="AF284" s="426"/>
      <c r="AG284" s="326"/>
      <c r="AH284" s="326"/>
      <c r="AI284" s="424"/>
      <c r="AJ284" s="424"/>
      <c r="AK284" s="424"/>
      <c r="AL284" s="424"/>
      <c r="AM284" s="424"/>
      <c r="AN284" s="424"/>
      <c r="AO284" s="425"/>
      <c r="AP284" s="425"/>
      <c r="AQ284" s="425"/>
      <c r="AR284" s="425"/>
      <c r="AS284" s="425"/>
      <c r="AT284" s="425"/>
      <c r="AU284" s="425"/>
      <c r="AV284" s="425"/>
      <c r="AW284" s="425"/>
      <c r="AX284" s="425"/>
      <c r="AY284" s="425"/>
      <c r="AZ284" s="425"/>
      <c r="BA284" s="425"/>
      <c r="BB284" s="425"/>
      <c r="BC284" s="425"/>
      <c r="BD284" s="425"/>
      <c r="BE284" s="425"/>
      <c r="BF284" s="425"/>
      <c r="BG284" s="425"/>
      <c r="BH284" s="425"/>
      <c r="BI284" s="425"/>
      <c r="BJ284" s="425"/>
      <c r="BK284" s="425"/>
      <c r="BL284" s="425"/>
      <c r="BM284" s="425"/>
      <c r="BN284" s="425"/>
    </row>
    <row r="285" spans="1:66" ht="15.75" customHeight="1" x14ac:dyDescent="0.2">
      <c r="A285" s="424"/>
      <c r="B285" s="424"/>
      <c r="C285" s="424"/>
      <c r="D285" s="424"/>
      <c r="E285" s="424"/>
      <c r="F285" s="425"/>
      <c r="G285" s="425"/>
      <c r="H285" s="424"/>
      <c r="I285" s="424"/>
      <c r="J285" s="425"/>
      <c r="K285" s="425"/>
      <c r="L285" s="425"/>
      <c r="M285" s="425"/>
      <c r="N285" s="425"/>
      <c r="O285" s="425"/>
      <c r="P285" s="425"/>
      <c r="Q285" s="424"/>
      <c r="R285" s="426"/>
      <c r="S285" s="426"/>
      <c r="T285" s="426"/>
      <c r="U285" s="426"/>
      <c r="V285" s="326"/>
      <c r="W285" s="326"/>
      <c r="X285" s="426"/>
      <c r="Y285" s="426"/>
      <c r="Z285" s="426"/>
      <c r="AA285" s="426"/>
      <c r="AB285" s="426"/>
      <c r="AC285" s="426"/>
      <c r="AD285" s="426"/>
      <c r="AE285" s="426"/>
      <c r="AF285" s="426"/>
      <c r="AG285" s="326"/>
      <c r="AH285" s="326"/>
      <c r="AI285" s="424"/>
      <c r="AJ285" s="424"/>
      <c r="AK285" s="424"/>
      <c r="AL285" s="424"/>
      <c r="AM285" s="424"/>
      <c r="AN285" s="424"/>
      <c r="AO285" s="425"/>
      <c r="AP285" s="425"/>
      <c r="AQ285" s="425"/>
      <c r="AR285" s="425"/>
      <c r="AS285" s="425"/>
      <c r="AT285" s="425"/>
      <c r="AU285" s="425"/>
      <c r="AV285" s="425"/>
      <c r="AW285" s="425"/>
      <c r="AX285" s="425"/>
      <c r="AY285" s="425"/>
      <c r="AZ285" s="425"/>
      <c r="BA285" s="425"/>
      <c r="BB285" s="425"/>
      <c r="BC285" s="425"/>
      <c r="BD285" s="425"/>
      <c r="BE285" s="425"/>
      <c r="BF285" s="425"/>
      <c r="BG285" s="425"/>
      <c r="BH285" s="425"/>
      <c r="BI285" s="425"/>
      <c r="BJ285" s="425"/>
      <c r="BK285" s="425"/>
      <c r="BL285" s="425"/>
      <c r="BM285" s="425"/>
      <c r="BN285" s="425"/>
    </row>
    <row r="286" spans="1:66" ht="15.75" customHeight="1" x14ac:dyDescent="0.2">
      <c r="A286" s="424"/>
      <c r="B286" s="424"/>
      <c r="C286" s="424"/>
      <c r="D286" s="424"/>
      <c r="E286" s="424"/>
      <c r="F286" s="425"/>
      <c r="G286" s="425"/>
      <c r="H286" s="424"/>
      <c r="I286" s="424"/>
      <c r="J286" s="425"/>
      <c r="K286" s="425"/>
      <c r="L286" s="425"/>
      <c r="M286" s="425"/>
      <c r="N286" s="425"/>
      <c r="O286" s="425"/>
      <c r="P286" s="425"/>
      <c r="Q286" s="424"/>
      <c r="R286" s="426"/>
      <c r="S286" s="426"/>
      <c r="T286" s="426"/>
      <c r="U286" s="426"/>
      <c r="V286" s="326"/>
      <c r="W286" s="326"/>
      <c r="X286" s="426"/>
      <c r="Y286" s="426"/>
      <c r="Z286" s="426"/>
      <c r="AA286" s="426"/>
      <c r="AB286" s="426"/>
      <c r="AC286" s="426"/>
      <c r="AD286" s="426"/>
      <c r="AE286" s="426"/>
      <c r="AF286" s="426"/>
      <c r="AG286" s="326"/>
      <c r="AH286" s="326"/>
      <c r="AI286" s="424"/>
      <c r="AJ286" s="424"/>
      <c r="AK286" s="424"/>
      <c r="AL286" s="424"/>
      <c r="AM286" s="424"/>
      <c r="AN286" s="424"/>
      <c r="AO286" s="425"/>
      <c r="AP286" s="425"/>
      <c r="AQ286" s="425"/>
      <c r="AR286" s="425"/>
      <c r="AS286" s="425"/>
      <c r="AT286" s="425"/>
      <c r="AU286" s="425"/>
      <c r="AV286" s="425"/>
      <c r="AW286" s="425"/>
      <c r="AX286" s="425"/>
      <c r="AY286" s="425"/>
      <c r="AZ286" s="425"/>
      <c r="BA286" s="425"/>
      <c r="BB286" s="425"/>
      <c r="BC286" s="425"/>
      <c r="BD286" s="425"/>
      <c r="BE286" s="425"/>
      <c r="BF286" s="425"/>
      <c r="BG286" s="425"/>
      <c r="BH286" s="425"/>
      <c r="BI286" s="425"/>
      <c r="BJ286" s="425"/>
      <c r="BK286" s="425"/>
      <c r="BL286" s="425"/>
      <c r="BM286" s="425"/>
      <c r="BN286" s="425"/>
    </row>
    <row r="287" spans="1:66" ht="15.75" customHeight="1" x14ac:dyDescent="0.2">
      <c r="A287" s="424"/>
      <c r="B287" s="424"/>
      <c r="C287" s="424"/>
      <c r="D287" s="424"/>
      <c r="E287" s="424"/>
      <c r="F287" s="425"/>
      <c r="G287" s="425"/>
      <c r="H287" s="424"/>
      <c r="I287" s="424"/>
      <c r="J287" s="425"/>
      <c r="K287" s="425"/>
      <c r="L287" s="425"/>
      <c r="M287" s="425"/>
      <c r="N287" s="425"/>
      <c r="O287" s="425"/>
      <c r="P287" s="425"/>
      <c r="Q287" s="424"/>
      <c r="R287" s="426"/>
      <c r="S287" s="426"/>
      <c r="T287" s="426"/>
      <c r="U287" s="426"/>
      <c r="V287" s="326"/>
      <c r="W287" s="326"/>
      <c r="X287" s="426"/>
      <c r="Y287" s="426"/>
      <c r="Z287" s="426"/>
      <c r="AA287" s="426"/>
      <c r="AB287" s="426"/>
      <c r="AC287" s="426"/>
      <c r="AD287" s="426"/>
      <c r="AE287" s="426"/>
      <c r="AF287" s="426"/>
      <c r="AG287" s="326"/>
      <c r="AH287" s="326"/>
      <c r="AI287" s="424"/>
      <c r="AJ287" s="424"/>
      <c r="AK287" s="424"/>
      <c r="AL287" s="424"/>
      <c r="AM287" s="424"/>
      <c r="AN287" s="424"/>
      <c r="AO287" s="425"/>
      <c r="AP287" s="425"/>
      <c r="AQ287" s="425"/>
      <c r="AR287" s="425"/>
      <c r="AS287" s="425"/>
      <c r="AT287" s="425"/>
      <c r="AU287" s="425"/>
      <c r="AV287" s="425"/>
      <c r="AW287" s="425"/>
      <c r="AX287" s="425"/>
      <c r="AY287" s="425"/>
      <c r="AZ287" s="425"/>
      <c r="BA287" s="425"/>
      <c r="BB287" s="425"/>
      <c r="BC287" s="425"/>
      <c r="BD287" s="425"/>
      <c r="BE287" s="425"/>
      <c r="BF287" s="425"/>
      <c r="BG287" s="425"/>
      <c r="BH287" s="425"/>
      <c r="BI287" s="425"/>
      <c r="BJ287" s="425"/>
      <c r="BK287" s="425"/>
      <c r="BL287" s="425"/>
      <c r="BM287" s="425"/>
      <c r="BN287" s="425"/>
    </row>
    <row r="288" spans="1:66" ht="15.75" customHeight="1" x14ac:dyDescent="0.2">
      <c r="A288" s="424"/>
      <c r="B288" s="424"/>
      <c r="C288" s="424"/>
      <c r="D288" s="424"/>
      <c r="E288" s="424"/>
      <c r="F288" s="425"/>
      <c r="G288" s="425"/>
      <c r="H288" s="424"/>
      <c r="I288" s="424"/>
      <c r="J288" s="425"/>
      <c r="K288" s="425"/>
      <c r="L288" s="425"/>
      <c r="M288" s="425"/>
      <c r="N288" s="425"/>
      <c r="O288" s="425"/>
      <c r="P288" s="425"/>
      <c r="Q288" s="424"/>
      <c r="R288" s="426"/>
      <c r="S288" s="426"/>
      <c r="T288" s="426"/>
      <c r="U288" s="426"/>
      <c r="V288" s="326"/>
      <c r="W288" s="326"/>
      <c r="X288" s="426"/>
      <c r="Y288" s="426"/>
      <c r="Z288" s="426"/>
      <c r="AA288" s="426"/>
      <c r="AB288" s="426"/>
      <c r="AC288" s="426"/>
      <c r="AD288" s="426"/>
      <c r="AE288" s="426"/>
      <c r="AF288" s="426"/>
      <c r="AG288" s="326"/>
      <c r="AH288" s="326"/>
      <c r="AI288" s="424"/>
      <c r="AJ288" s="424"/>
      <c r="AK288" s="424"/>
      <c r="AL288" s="424"/>
      <c r="AM288" s="424"/>
      <c r="AN288" s="424"/>
      <c r="AO288" s="425"/>
      <c r="AP288" s="425"/>
      <c r="AQ288" s="425"/>
      <c r="AR288" s="425"/>
      <c r="AS288" s="425"/>
      <c r="AT288" s="425"/>
      <c r="AU288" s="425"/>
      <c r="AV288" s="425"/>
      <c r="AW288" s="425"/>
      <c r="AX288" s="425"/>
      <c r="AY288" s="425"/>
      <c r="AZ288" s="425"/>
      <c r="BA288" s="425"/>
      <c r="BB288" s="425"/>
      <c r="BC288" s="425"/>
      <c r="BD288" s="425"/>
      <c r="BE288" s="425"/>
      <c r="BF288" s="425"/>
      <c r="BG288" s="425"/>
      <c r="BH288" s="425"/>
      <c r="BI288" s="425"/>
      <c r="BJ288" s="425"/>
      <c r="BK288" s="425"/>
      <c r="BL288" s="425"/>
      <c r="BM288" s="425"/>
      <c r="BN288" s="425"/>
    </row>
    <row r="289" spans="1:66" ht="15.75" customHeight="1" x14ac:dyDescent="0.2">
      <c r="A289" s="424"/>
      <c r="B289" s="424"/>
      <c r="C289" s="424"/>
      <c r="D289" s="424"/>
      <c r="E289" s="424"/>
      <c r="F289" s="425"/>
      <c r="G289" s="425"/>
      <c r="H289" s="424"/>
      <c r="I289" s="424"/>
      <c r="J289" s="425"/>
      <c r="K289" s="425"/>
      <c r="L289" s="425"/>
      <c r="M289" s="425"/>
      <c r="N289" s="425"/>
      <c r="O289" s="425"/>
      <c r="P289" s="425"/>
      <c r="Q289" s="424"/>
      <c r="R289" s="426"/>
      <c r="S289" s="426"/>
      <c r="T289" s="426"/>
      <c r="U289" s="426"/>
      <c r="V289" s="326"/>
      <c r="W289" s="326"/>
      <c r="X289" s="426"/>
      <c r="Y289" s="426"/>
      <c r="Z289" s="426"/>
      <c r="AA289" s="426"/>
      <c r="AB289" s="426"/>
      <c r="AC289" s="426"/>
      <c r="AD289" s="426"/>
      <c r="AE289" s="426"/>
      <c r="AF289" s="426"/>
      <c r="AG289" s="326"/>
      <c r="AH289" s="326"/>
      <c r="AI289" s="424"/>
      <c r="AJ289" s="424"/>
      <c r="AK289" s="424"/>
      <c r="AL289" s="424"/>
      <c r="AM289" s="424"/>
      <c r="AN289" s="424"/>
      <c r="AO289" s="425"/>
      <c r="AP289" s="425"/>
      <c r="AQ289" s="425"/>
      <c r="AR289" s="425"/>
      <c r="AS289" s="425"/>
      <c r="AT289" s="425"/>
      <c r="AU289" s="425"/>
      <c r="AV289" s="425"/>
      <c r="AW289" s="425"/>
      <c r="AX289" s="425"/>
      <c r="AY289" s="425"/>
      <c r="AZ289" s="425"/>
      <c r="BA289" s="425"/>
      <c r="BB289" s="425"/>
      <c r="BC289" s="425"/>
      <c r="BD289" s="425"/>
      <c r="BE289" s="425"/>
      <c r="BF289" s="425"/>
      <c r="BG289" s="425"/>
      <c r="BH289" s="425"/>
      <c r="BI289" s="425"/>
      <c r="BJ289" s="425"/>
      <c r="BK289" s="425"/>
      <c r="BL289" s="425"/>
      <c r="BM289" s="425"/>
      <c r="BN289" s="425"/>
    </row>
    <row r="290" spans="1:66" ht="15.75" customHeight="1" x14ac:dyDescent="0.2">
      <c r="A290" s="424"/>
      <c r="B290" s="424"/>
      <c r="C290" s="424"/>
      <c r="D290" s="424"/>
      <c r="E290" s="424"/>
      <c r="F290" s="425"/>
      <c r="G290" s="425"/>
      <c r="H290" s="424"/>
      <c r="I290" s="424"/>
      <c r="J290" s="425"/>
      <c r="K290" s="425"/>
      <c r="L290" s="425"/>
      <c r="M290" s="425"/>
      <c r="N290" s="425"/>
      <c r="O290" s="425"/>
      <c r="P290" s="425"/>
      <c r="Q290" s="424"/>
      <c r="R290" s="426"/>
      <c r="S290" s="426"/>
      <c r="T290" s="426"/>
      <c r="U290" s="426"/>
      <c r="V290" s="326"/>
      <c r="W290" s="326"/>
      <c r="X290" s="426"/>
      <c r="Y290" s="426"/>
      <c r="Z290" s="426"/>
      <c r="AA290" s="426"/>
      <c r="AB290" s="426"/>
      <c r="AC290" s="426"/>
      <c r="AD290" s="426"/>
      <c r="AE290" s="426"/>
      <c r="AF290" s="426"/>
      <c r="AG290" s="326"/>
      <c r="AH290" s="326"/>
      <c r="AI290" s="424"/>
      <c r="AJ290" s="424"/>
      <c r="AK290" s="424"/>
      <c r="AL290" s="424"/>
      <c r="AM290" s="424"/>
      <c r="AN290" s="424"/>
      <c r="AO290" s="425"/>
      <c r="AP290" s="425"/>
      <c r="AQ290" s="425"/>
      <c r="AR290" s="425"/>
      <c r="AS290" s="425"/>
      <c r="AT290" s="425"/>
      <c r="AU290" s="425"/>
      <c r="AV290" s="425"/>
      <c r="AW290" s="425"/>
      <c r="AX290" s="425"/>
      <c r="AY290" s="425"/>
      <c r="AZ290" s="425"/>
      <c r="BA290" s="425"/>
      <c r="BB290" s="425"/>
      <c r="BC290" s="425"/>
      <c r="BD290" s="425"/>
      <c r="BE290" s="425"/>
      <c r="BF290" s="425"/>
      <c r="BG290" s="425"/>
      <c r="BH290" s="425"/>
      <c r="BI290" s="425"/>
      <c r="BJ290" s="425"/>
      <c r="BK290" s="425"/>
      <c r="BL290" s="425"/>
      <c r="BM290" s="425"/>
      <c r="BN290" s="425"/>
    </row>
    <row r="291" spans="1:66" ht="15.75" customHeight="1" x14ac:dyDescent="0.2">
      <c r="A291" s="424"/>
      <c r="B291" s="424"/>
      <c r="C291" s="424"/>
      <c r="D291" s="424"/>
      <c r="E291" s="424"/>
      <c r="F291" s="425"/>
      <c r="G291" s="425"/>
      <c r="H291" s="424"/>
      <c r="I291" s="424"/>
      <c r="J291" s="425"/>
      <c r="K291" s="425"/>
      <c r="L291" s="425"/>
      <c r="M291" s="425"/>
      <c r="N291" s="425"/>
      <c r="O291" s="425"/>
      <c r="P291" s="425"/>
      <c r="Q291" s="424"/>
      <c r="R291" s="426"/>
      <c r="S291" s="426"/>
      <c r="T291" s="426"/>
      <c r="U291" s="426"/>
      <c r="V291" s="326"/>
      <c r="W291" s="326"/>
      <c r="X291" s="426"/>
      <c r="Y291" s="426"/>
      <c r="Z291" s="426"/>
      <c r="AA291" s="426"/>
      <c r="AB291" s="426"/>
      <c r="AC291" s="426"/>
      <c r="AD291" s="426"/>
      <c r="AE291" s="426"/>
      <c r="AF291" s="426"/>
      <c r="AG291" s="326"/>
      <c r="AH291" s="326"/>
      <c r="AI291" s="424"/>
      <c r="AJ291" s="424"/>
      <c r="AK291" s="424"/>
      <c r="AL291" s="424"/>
      <c r="AM291" s="424"/>
      <c r="AN291" s="424"/>
      <c r="AO291" s="425"/>
      <c r="AP291" s="425"/>
      <c r="AQ291" s="425"/>
      <c r="AR291" s="425"/>
      <c r="AS291" s="425"/>
      <c r="AT291" s="425"/>
      <c r="AU291" s="425"/>
      <c r="AV291" s="425"/>
      <c r="AW291" s="425"/>
      <c r="AX291" s="425"/>
      <c r="AY291" s="425"/>
      <c r="AZ291" s="425"/>
      <c r="BA291" s="425"/>
      <c r="BB291" s="425"/>
      <c r="BC291" s="425"/>
      <c r="BD291" s="425"/>
      <c r="BE291" s="425"/>
      <c r="BF291" s="425"/>
      <c r="BG291" s="425"/>
      <c r="BH291" s="425"/>
      <c r="BI291" s="425"/>
      <c r="BJ291" s="425"/>
      <c r="BK291" s="425"/>
      <c r="BL291" s="425"/>
      <c r="BM291" s="425"/>
      <c r="BN291" s="425"/>
    </row>
    <row r="292" spans="1:66" ht="15.75" customHeight="1" x14ac:dyDescent="0.2">
      <c r="A292" s="424"/>
      <c r="B292" s="424"/>
      <c r="C292" s="424"/>
      <c r="D292" s="424"/>
      <c r="E292" s="424"/>
      <c r="F292" s="425"/>
      <c r="G292" s="425"/>
      <c r="H292" s="424"/>
      <c r="I292" s="424"/>
      <c r="J292" s="425"/>
      <c r="K292" s="425"/>
      <c r="L292" s="425"/>
      <c r="M292" s="425"/>
      <c r="N292" s="425"/>
      <c r="O292" s="425"/>
      <c r="P292" s="425"/>
      <c r="Q292" s="424"/>
      <c r="R292" s="426"/>
      <c r="S292" s="426"/>
      <c r="T292" s="426"/>
      <c r="U292" s="426"/>
      <c r="V292" s="326"/>
      <c r="W292" s="326"/>
      <c r="X292" s="426"/>
      <c r="Y292" s="426"/>
      <c r="Z292" s="426"/>
      <c r="AA292" s="426"/>
      <c r="AB292" s="426"/>
      <c r="AC292" s="426"/>
      <c r="AD292" s="426"/>
      <c r="AE292" s="426"/>
      <c r="AF292" s="426"/>
      <c r="AG292" s="326"/>
      <c r="AH292" s="326"/>
      <c r="AI292" s="424"/>
      <c r="AJ292" s="424"/>
      <c r="AK292" s="424"/>
      <c r="AL292" s="424"/>
      <c r="AM292" s="424"/>
      <c r="AN292" s="424"/>
      <c r="AO292" s="425"/>
      <c r="AP292" s="425"/>
      <c r="AQ292" s="425"/>
      <c r="AR292" s="425"/>
      <c r="AS292" s="425"/>
      <c r="AT292" s="425"/>
      <c r="AU292" s="425"/>
      <c r="AV292" s="425"/>
      <c r="AW292" s="425"/>
      <c r="AX292" s="425"/>
      <c r="AY292" s="425"/>
      <c r="AZ292" s="425"/>
      <c r="BA292" s="425"/>
      <c r="BB292" s="425"/>
      <c r="BC292" s="425"/>
      <c r="BD292" s="425"/>
      <c r="BE292" s="425"/>
      <c r="BF292" s="425"/>
      <c r="BG292" s="425"/>
      <c r="BH292" s="425"/>
      <c r="BI292" s="425"/>
      <c r="BJ292" s="425"/>
      <c r="BK292" s="425"/>
      <c r="BL292" s="425"/>
      <c r="BM292" s="425"/>
      <c r="BN292" s="425"/>
    </row>
    <row r="293" spans="1:66" ht="15.75" customHeight="1" x14ac:dyDescent="0.2">
      <c r="A293" s="424"/>
      <c r="B293" s="424"/>
      <c r="C293" s="424"/>
      <c r="D293" s="424"/>
      <c r="E293" s="424"/>
      <c r="F293" s="425"/>
      <c r="G293" s="425"/>
      <c r="H293" s="424"/>
      <c r="I293" s="424"/>
      <c r="J293" s="425"/>
      <c r="K293" s="425"/>
      <c r="L293" s="425"/>
      <c r="M293" s="425"/>
      <c r="N293" s="425"/>
      <c r="O293" s="425"/>
      <c r="P293" s="425"/>
      <c r="Q293" s="424"/>
      <c r="R293" s="426"/>
      <c r="S293" s="426"/>
      <c r="T293" s="426"/>
      <c r="U293" s="426"/>
      <c r="V293" s="326"/>
      <c r="W293" s="326"/>
      <c r="X293" s="426"/>
      <c r="Y293" s="426"/>
      <c r="Z293" s="426"/>
      <c r="AA293" s="426"/>
      <c r="AB293" s="426"/>
      <c r="AC293" s="426"/>
      <c r="AD293" s="426"/>
      <c r="AE293" s="426"/>
      <c r="AF293" s="426"/>
      <c r="AG293" s="326"/>
      <c r="AH293" s="326"/>
      <c r="AI293" s="424"/>
      <c r="AJ293" s="424"/>
      <c r="AK293" s="424"/>
      <c r="AL293" s="424"/>
      <c r="AM293" s="424"/>
      <c r="AN293" s="424"/>
      <c r="AO293" s="425"/>
      <c r="AP293" s="425"/>
      <c r="AQ293" s="425"/>
      <c r="AR293" s="425"/>
      <c r="AS293" s="425"/>
      <c r="AT293" s="425"/>
      <c r="AU293" s="425"/>
      <c r="AV293" s="425"/>
      <c r="AW293" s="425"/>
      <c r="AX293" s="425"/>
      <c r="AY293" s="425"/>
      <c r="AZ293" s="425"/>
      <c r="BA293" s="425"/>
      <c r="BB293" s="425"/>
      <c r="BC293" s="425"/>
      <c r="BD293" s="425"/>
      <c r="BE293" s="425"/>
      <c r="BF293" s="425"/>
      <c r="BG293" s="425"/>
      <c r="BH293" s="425"/>
      <c r="BI293" s="425"/>
      <c r="BJ293" s="425"/>
      <c r="BK293" s="425"/>
      <c r="BL293" s="425"/>
      <c r="BM293" s="425"/>
      <c r="BN293" s="425"/>
    </row>
    <row r="294" spans="1:66" ht="15.75" customHeight="1" x14ac:dyDescent="0.2">
      <c r="A294" s="424"/>
      <c r="B294" s="424"/>
      <c r="C294" s="424"/>
      <c r="D294" s="424"/>
      <c r="E294" s="424"/>
      <c r="F294" s="425"/>
      <c r="G294" s="425"/>
      <c r="H294" s="424"/>
      <c r="I294" s="424"/>
      <c r="J294" s="425"/>
      <c r="K294" s="425"/>
      <c r="L294" s="425"/>
      <c r="M294" s="425"/>
      <c r="N294" s="425"/>
      <c r="O294" s="425"/>
      <c r="P294" s="425"/>
      <c r="Q294" s="424"/>
      <c r="R294" s="426"/>
      <c r="S294" s="426"/>
      <c r="T294" s="426"/>
      <c r="U294" s="426"/>
      <c r="V294" s="326"/>
      <c r="W294" s="326"/>
      <c r="X294" s="426"/>
      <c r="Y294" s="426"/>
      <c r="Z294" s="426"/>
      <c r="AA294" s="426"/>
      <c r="AB294" s="426"/>
      <c r="AC294" s="426"/>
      <c r="AD294" s="426"/>
      <c r="AE294" s="426"/>
      <c r="AF294" s="426"/>
      <c r="AG294" s="326"/>
      <c r="AH294" s="326"/>
      <c r="AI294" s="424"/>
      <c r="AJ294" s="424"/>
      <c r="AK294" s="424"/>
      <c r="AL294" s="424"/>
      <c r="AM294" s="424"/>
      <c r="AN294" s="424"/>
      <c r="AO294" s="425"/>
      <c r="AP294" s="425"/>
      <c r="AQ294" s="425"/>
      <c r="AR294" s="425"/>
      <c r="AS294" s="425"/>
      <c r="AT294" s="425"/>
      <c r="AU294" s="425"/>
      <c r="AV294" s="425"/>
      <c r="AW294" s="425"/>
      <c r="AX294" s="425"/>
      <c r="AY294" s="425"/>
      <c r="AZ294" s="425"/>
      <c r="BA294" s="425"/>
      <c r="BB294" s="425"/>
      <c r="BC294" s="425"/>
      <c r="BD294" s="425"/>
      <c r="BE294" s="425"/>
      <c r="BF294" s="425"/>
      <c r="BG294" s="425"/>
      <c r="BH294" s="425"/>
      <c r="BI294" s="425"/>
      <c r="BJ294" s="425"/>
      <c r="BK294" s="425"/>
      <c r="BL294" s="425"/>
      <c r="BM294" s="425"/>
      <c r="BN294" s="425"/>
    </row>
    <row r="295" spans="1:66" ht="15.75" customHeight="1" x14ac:dyDescent="0.2">
      <c r="A295" s="424"/>
      <c r="B295" s="424"/>
      <c r="C295" s="424"/>
      <c r="D295" s="424"/>
      <c r="E295" s="424"/>
      <c r="F295" s="425"/>
      <c r="G295" s="425"/>
      <c r="H295" s="424"/>
      <c r="I295" s="424"/>
      <c r="J295" s="425"/>
      <c r="K295" s="425"/>
      <c r="L295" s="425"/>
      <c r="M295" s="425"/>
      <c r="N295" s="425"/>
      <c r="O295" s="425"/>
      <c r="P295" s="425"/>
      <c r="Q295" s="424"/>
      <c r="R295" s="426"/>
      <c r="S295" s="426"/>
      <c r="T295" s="426"/>
      <c r="U295" s="426"/>
      <c r="V295" s="326"/>
      <c r="W295" s="326"/>
      <c r="X295" s="426"/>
      <c r="Y295" s="426"/>
      <c r="Z295" s="426"/>
      <c r="AA295" s="426"/>
      <c r="AB295" s="426"/>
      <c r="AC295" s="426"/>
      <c r="AD295" s="426"/>
      <c r="AE295" s="426"/>
      <c r="AF295" s="426"/>
      <c r="AG295" s="326"/>
      <c r="AH295" s="326"/>
      <c r="AI295" s="424"/>
      <c r="AJ295" s="424"/>
      <c r="AK295" s="424"/>
      <c r="AL295" s="424"/>
      <c r="AM295" s="424"/>
      <c r="AN295" s="424"/>
      <c r="AO295" s="425"/>
      <c r="AP295" s="425"/>
      <c r="AQ295" s="425"/>
      <c r="AR295" s="425"/>
      <c r="AS295" s="425"/>
      <c r="AT295" s="425"/>
      <c r="AU295" s="425"/>
      <c r="AV295" s="425"/>
      <c r="AW295" s="425"/>
      <c r="AX295" s="425"/>
      <c r="AY295" s="425"/>
      <c r="AZ295" s="425"/>
      <c r="BA295" s="425"/>
      <c r="BB295" s="425"/>
      <c r="BC295" s="425"/>
      <c r="BD295" s="425"/>
      <c r="BE295" s="425"/>
      <c r="BF295" s="425"/>
      <c r="BG295" s="425"/>
      <c r="BH295" s="425"/>
      <c r="BI295" s="425"/>
      <c r="BJ295" s="425"/>
      <c r="BK295" s="425"/>
      <c r="BL295" s="425"/>
      <c r="BM295" s="425"/>
      <c r="BN295" s="425"/>
    </row>
    <row r="296" spans="1:66" ht="15.75" customHeight="1" x14ac:dyDescent="0.2">
      <c r="A296" s="424"/>
      <c r="B296" s="424"/>
      <c r="C296" s="424"/>
      <c r="D296" s="424"/>
      <c r="E296" s="424"/>
      <c r="F296" s="425"/>
      <c r="G296" s="425"/>
      <c r="H296" s="424"/>
      <c r="I296" s="424"/>
      <c r="J296" s="425"/>
      <c r="K296" s="425"/>
      <c r="L296" s="425"/>
      <c r="M296" s="425"/>
      <c r="N296" s="425"/>
      <c r="O296" s="425"/>
      <c r="P296" s="425"/>
      <c r="Q296" s="424"/>
      <c r="R296" s="426"/>
      <c r="S296" s="426"/>
      <c r="T296" s="426"/>
      <c r="U296" s="426"/>
      <c r="V296" s="326"/>
      <c r="W296" s="326"/>
      <c r="X296" s="426"/>
      <c r="Y296" s="426"/>
      <c r="Z296" s="426"/>
      <c r="AA296" s="426"/>
      <c r="AB296" s="426"/>
      <c r="AC296" s="426"/>
      <c r="AD296" s="426"/>
      <c r="AE296" s="426"/>
      <c r="AF296" s="426"/>
      <c r="AG296" s="326"/>
      <c r="AH296" s="326"/>
      <c r="AI296" s="424"/>
      <c r="AJ296" s="424"/>
      <c r="AK296" s="424"/>
      <c r="AL296" s="424"/>
      <c r="AM296" s="424"/>
      <c r="AN296" s="424"/>
      <c r="AO296" s="425"/>
      <c r="AP296" s="425"/>
      <c r="AQ296" s="425"/>
      <c r="AR296" s="425"/>
      <c r="AS296" s="425"/>
      <c r="AT296" s="425"/>
      <c r="AU296" s="425"/>
      <c r="AV296" s="425"/>
      <c r="AW296" s="425"/>
      <c r="AX296" s="425"/>
      <c r="AY296" s="425"/>
      <c r="AZ296" s="425"/>
      <c r="BA296" s="425"/>
      <c r="BB296" s="425"/>
      <c r="BC296" s="425"/>
      <c r="BD296" s="425"/>
      <c r="BE296" s="425"/>
      <c r="BF296" s="425"/>
      <c r="BG296" s="425"/>
      <c r="BH296" s="425"/>
      <c r="BI296" s="425"/>
      <c r="BJ296" s="425"/>
      <c r="BK296" s="425"/>
      <c r="BL296" s="425"/>
      <c r="BM296" s="425"/>
      <c r="BN296" s="425"/>
    </row>
    <row r="297" spans="1:66" ht="15.75" customHeight="1" x14ac:dyDescent="0.2">
      <c r="A297" s="424"/>
      <c r="B297" s="424"/>
      <c r="C297" s="424"/>
      <c r="D297" s="424"/>
      <c r="E297" s="424"/>
      <c r="F297" s="425"/>
      <c r="G297" s="425"/>
      <c r="H297" s="424"/>
      <c r="I297" s="424"/>
      <c r="J297" s="425"/>
      <c r="K297" s="425"/>
      <c r="L297" s="425"/>
      <c r="M297" s="425"/>
      <c r="N297" s="425"/>
      <c r="O297" s="425"/>
      <c r="P297" s="425"/>
      <c r="Q297" s="424"/>
      <c r="R297" s="426"/>
      <c r="S297" s="426"/>
      <c r="T297" s="426"/>
      <c r="U297" s="426"/>
      <c r="V297" s="326"/>
      <c r="W297" s="326"/>
      <c r="X297" s="426"/>
      <c r="Y297" s="426"/>
      <c r="Z297" s="426"/>
      <c r="AA297" s="426"/>
      <c r="AB297" s="426"/>
      <c r="AC297" s="426"/>
      <c r="AD297" s="426"/>
      <c r="AE297" s="426"/>
      <c r="AF297" s="426"/>
      <c r="AG297" s="326"/>
      <c r="AH297" s="326"/>
      <c r="AI297" s="424"/>
      <c r="AJ297" s="424"/>
      <c r="AK297" s="424"/>
      <c r="AL297" s="424"/>
      <c r="AM297" s="424"/>
      <c r="AN297" s="424"/>
      <c r="AO297" s="425"/>
      <c r="AP297" s="425"/>
      <c r="AQ297" s="425"/>
      <c r="AR297" s="425"/>
      <c r="AS297" s="425"/>
      <c r="AT297" s="425"/>
      <c r="AU297" s="425"/>
      <c r="AV297" s="425"/>
      <c r="AW297" s="425"/>
      <c r="AX297" s="425"/>
      <c r="AY297" s="425"/>
      <c r="AZ297" s="425"/>
      <c r="BA297" s="425"/>
      <c r="BB297" s="425"/>
      <c r="BC297" s="425"/>
      <c r="BD297" s="425"/>
      <c r="BE297" s="425"/>
      <c r="BF297" s="425"/>
      <c r="BG297" s="425"/>
      <c r="BH297" s="425"/>
      <c r="BI297" s="425"/>
      <c r="BJ297" s="425"/>
      <c r="BK297" s="425"/>
      <c r="BL297" s="425"/>
      <c r="BM297" s="425"/>
      <c r="BN297" s="425"/>
    </row>
    <row r="298" spans="1:66" ht="15.75" customHeight="1" x14ac:dyDescent="0.2">
      <c r="A298" s="424"/>
      <c r="B298" s="424"/>
      <c r="C298" s="424"/>
      <c r="D298" s="424"/>
      <c r="E298" s="424"/>
      <c r="F298" s="425"/>
      <c r="G298" s="425"/>
      <c r="H298" s="424"/>
      <c r="I298" s="424"/>
      <c r="J298" s="425"/>
      <c r="K298" s="425"/>
      <c r="L298" s="425"/>
      <c r="M298" s="425"/>
      <c r="N298" s="425"/>
      <c r="O298" s="425"/>
      <c r="P298" s="425"/>
      <c r="Q298" s="424"/>
      <c r="R298" s="426"/>
      <c r="S298" s="426"/>
      <c r="T298" s="426"/>
      <c r="U298" s="426"/>
      <c r="V298" s="326"/>
      <c r="W298" s="326"/>
      <c r="X298" s="426"/>
      <c r="Y298" s="426"/>
      <c r="Z298" s="426"/>
      <c r="AA298" s="426"/>
      <c r="AB298" s="426"/>
      <c r="AC298" s="426"/>
      <c r="AD298" s="426"/>
      <c r="AE298" s="426"/>
      <c r="AF298" s="426"/>
      <c r="AG298" s="326"/>
      <c r="AH298" s="326"/>
      <c r="AI298" s="424"/>
      <c r="AJ298" s="424"/>
      <c r="AK298" s="424"/>
      <c r="AL298" s="424"/>
      <c r="AM298" s="424"/>
      <c r="AN298" s="424"/>
      <c r="AO298" s="425"/>
      <c r="AP298" s="425"/>
      <c r="AQ298" s="425"/>
      <c r="AR298" s="425"/>
      <c r="AS298" s="425"/>
      <c r="AT298" s="425"/>
      <c r="AU298" s="425"/>
      <c r="AV298" s="425"/>
      <c r="AW298" s="425"/>
      <c r="AX298" s="425"/>
      <c r="AY298" s="425"/>
      <c r="AZ298" s="425"/>
      <c r="BA298" s="425"/>
      <c r="BB298" s="425"/>
      <c r="BC298" s="425"/>
      <c r="BD298" s="425"/>
      <c r="BE298" s="425"/>
      <c r="BF298" s="425"/>
      <c r="BG298" s="425"/>
      <c r="BH298" s="425"/>
      <c r="BI298" s="425"/>
      <c r="BJ298" s="425"/>
      <c r="BK298" s="425"/>
      <c r="BL298" s="425"/>
      <c r="BM298" s="425"/>
      <c r="BN298" s="425"/>
    </row>
    <row r="299" spans="1:66" ht="15.75" customHeight="1" x14ac:dyDescent="0.2">
      <c r="A299" s="424"/>
      <c r="B299" s="424"/>
      <c r="C299" s="424"/>
      <c r="D299" s="424"/>
      <c r="E299" s="424"/>
      <c r="F299" s="425"/>
      <c r="G299" s="425"/>
      <c r="H299" s="424"/>
      <c r="I299" s="424"/>
      <c r="J299" s="425"/>
      <c r="K299" s="425"/>
      <c r="L299" s="425"/>
      <c r="M299" s="425"/>
      <c r="N299" s="425"/>
      <c r="O299" s="425"/>
      <c r="P299" s="425"/>
      <c r="Q299" s="424"/>
      <c r="R299" s="426"/>
      <c r="S299" s="426"/>
      <c r="T299" s="426"/>
      <c r="U299" s="426"/>
      <c r="V299" s="326"/>
      <c r="W299" s="326"/>
      <c r="X299" s="426"/>
      <c r="Y299" s="426"/>
      <c r="Z299" s="426"/>
      <c r="AA299" s="426"/>
      <c r="AB299" s="426"/>
      <c r="AC299" s="426"/>
      <c r="AD299" s="426"/>
      <c r="AE299" s="426"/>
      <c r="AF299" s="426"/>
      <c r="AG299" s="326"/>
      <c r="AH299" s="326"/>
      <c r="AI299" s="424"/>
      <c r="AJ299" s="424"/>
      <c r="AK299" s="424"/>
      <c r="AL299" s="424"/>
      <c r="AM299" s="424"/>
      <c r="AN299" s="424"/>
      <c r="AO299" s="425"/>
      <c r="AP299" s="425"/>
      <c r="AQ299" s="425"/>
      <c r="AR299" s="425"/>
      <c r="AS299" s="425"/>
      <c r="AT299" s="425"/>
      <c r="AU299" s="425"/>
      <c r="AV299" s="425"/>
      <c r="AW299" s="425"/>
      <c r="AX299" s="425"/>
      <c r="AY299" s="425"/>
      <c r="AZ299" s="425"/>
      <c r="BA299" s="425"/>
      <c r="BB299" s="425"/>
      <c r="BC299" s="425"/>
      <c r="BD299" s="425"/>
      <c r="BE299" s="425"/>
      <c r="BF299" s="425"/>
      <c r="BG299" s="425"/>
      <c r="BH299" s="425"/>
      <c r="BI299" s="425"/>
      <c r="BJ299" s="425"/>
      <c r="BK299" s="425"/>
      <c r="BL299" s="425"/>
      <c r="BM299" s="425"/>
      <c r="BN299" s="425"/>
    </row>
    <row r="300" spans="1:66" ht="15.75" customHeight="1" x14ac:dyDescent="0.2">
      <c r="A300" s="424"/>
      <c r="B300" s="424"/>
      <c r="C300" s="424"/>
      <c r="D300" s="424"/>
      <c r="E300" s="424"/>
      <c r="F300" s="425"/>
      <c r="G300" s="425"/>
      <c r="H300" s="424"/>
      <c r="I300" s="424"/>
      <c r="J300" s="425"/>
      <c r="K300" s="425"/>
      <c r="L300" s="425"/>
      <c r="M300" s="425"/>
      <c r="N300" s="425"/>
      <c r="O300" s="425"/>
      <c r="P300" s="425"/>
      <c r="Q300" s="424"/>
      <c r="R300" s="426"/>
      <c r="S300" s="426"/>
      <c r="T300" s="426"/>
      <c r="U300" s="426"/>
      <c r="V300" s="326"/>
      <c r="W300" s="326"/>
      <c r="X300" s="426"/>
      <c r="Y300" s="426"/>
      <c r="Z300" s="426"/>
      <c r="AA300" s="426"/>
      <c r="AB300" s="426"/>
      <c r="AC300" s="426"/>
      <c r="AD300" s="426"/>
      <c r="AE300" s="426"/>
      <c r="AF300" s="426"/>
      <c r="AG300" s="326"/>
      <c r="AH300" s="326"/>
      <c r="AI300" s="424"/>
      <c r="AJ300" s="424"/>
      <c r="AK300" s="424"/>
      <c r="AL300" s="424"/>
      <c r="AM300" s="424"/>
      <c r="AN300" s="424"/>
      <c r="AO300" s="425"/>
      <c r="AP300" s="425"/>
      <c r="AQ300" s="425"/>
      <c r="AR300" s="425"/>
      <c r="AS300" s="425"/>
      <c r="AT300" s="425"/>
      <c r="AU300" s="425"/>
      <c r="AV300" s="425"/>
      <c r="AW300" s="425"/>
      <c r="AX300" s="425"/>
      <c r="AY300" s="425"/>
      <c r="AZ300" s="425"/>
      <c r="BA300" s="425"/>
      <c r="BB300" s="425"/>
      <c r="BC300" s="425"/>
      <c r="BD300" s="425"/>
      <c r="BE300" s="425"/>
      <c r="BF300" s="425"/>
      <c r="BG300" s="425"/>
      <c r="BH300" s="425"/>
      <c r="BI300" s="425"/>
      <c r="BJ300" s="425"/>
      <c r="BK300" s="425"/>
      <c r="BL300" s="425"/>
      <c r="BM300" s="425"/>
      <c r="BN300" s="425"/>
    </row>
    <row r="301" spans="1:66" ht="15.75" customHeight="1" x14ac:dyDescent="0.2">
      <c r="A301" s="424"/>
      <c r="B301" s="424"/>
      <c r="C301" s="424"/>
      <c r="D301" s="424"/>
      <c r="E301" s="424"/>
      <c r="F301" s="425"/>
      <c r="G301" s="425"/>
      <c r="H301" s="424"/>
      <c r="I301" s="424"/>
      <c r="J301" s="425"/>
      <c r="K301" s="425"/>
      <c r="L301" s="425"/>
      <c r="M301" s="425"/>
      <c r="N301" s="425"/>
      <c r="O301" s="425"/>
      <c r="P301" s="425"/>
      <c r="Q301" s="424"/>
      <c r="R301" s="426"/>
      <c r="S301" s="426"/>
      <c r="T301" s="426"/>
      <c r="U301" s="426"/>
      <c r="V301" s="326"/>
      <c r="W301" s="326"/>
      <c r="X301" s="426"/>
      <c r="Y301" s="426"/>
      <c r="Z301" s="426"/>
      <c r="AA301" s="426"/>
      <c r="AB301" s="426"/>
      <c r="AC301" s="426"/>
      <c r="AD301" s="426"/>
      <c r="AE301" s="426"/>
      <c r="AF301" s="426"/>
      <c r="AG301" s="326"/>
      <c r="AH301" s="326"/>
      <c r="AI301" s="424"/>
      <c r="AJ301" s="424"/>
      <c r="AK301" s="424"/>
      <c r="AL301" s="424"/>
      <c r="AM301" s="424"/>
      <c r="AN301" s="424"/>
      <c r="AO301" s="425"/>
      <c r="AP301" s="425"/>
      <c r="AQ301" s="425"/>
      <c r="AR301" s="425"/>
      <c r="AS301" s="425"/>
      <c r="AT301" s="425"/>
      <c r="AU301" s="425"/>
      <c r="AV301" s="425"/>
      <c r="AW301" s="425"/>
      <c r="AX301" s="425"/>
      <c r="AY301" s="425"/>
      <c r="AZ301" s="425"/>
      <c r="BA301" s="425"/>
      <c r="BB301" s="425"/>
      <c r="BC301" s="425"/>
      <c r="BD301" s="425"/>
      <c r="BE301" s="425"/>
      <c r="BF301" s="425"/>
      <c r="BG301" s="425"/>
      <c r="BH301" s="425"/>
      <c r="BI301" s="425"/>
      <c r="BJ301" s="425"/>
      <c r="BK301" s="425"/>
      <c r="BL301" s="425"/>
      <c r="BM301" s="425"/>
      <c r="BN301" s="425"/>
    </row>
    <row r="302" spans="1:66" ht="15.75" customHeight="1" x14ac:dyDescent="0.2">
      <c r="A302" s="424"/>
      <c r="B302" s="424"/>
      <c r="C302" s="424"/>
      <c r="D302" s="424"/>
      <c r="E302" s="424"/>
      <c r="F302" s="425"/>
      <c r="G302" s="425"/>
      <c r="H302" s="424"/>
      <c r="I302" s="424"/>
      <c r="J302" s="425"/>
      <c r="K302" s="425"/>
      <c r="L302" s="425"/>
      <c r="M302" s="425"/>
      <c r="N302" s="425"/>
      <c r="O302" s="425"/>
      <c r="P302" s="425"/>
      <c r="Q302" s="424"/>
      <c r="R302" s="426"/>
      <c r="S302" s="426"/>
      <c r="T302" s="426"/>
      <c r="U302" s="426"/>
      <c r="V302" s="326"/>
      <c r="W302" s="326"/>
      <c r="X302" s="426"/>
      <c r="Y302" s="426"/>
      <c r="Z302" s="426"/>
      <c r="AA302" s="426"/>
      <c r="AB302" s="426"/>
      <c r="AC302" s="426"/>
      <c r="AD302" s="426"/>
      <c r="AE302" s="426"/>
      <c r="AF302" s="426"/>
      <c r="AG302" s="326"/>
      <c r="AH302" s="326"/>
      <c r="AI302" s="424"/>
      <c r="AJ302" s="424"/>
      <c r="AK302" s="424"/>
      <c r="AL302" s="424"/>
      <c r="AM302" s="424"/>
      <c r="AN302" s="424"/>
      <c r="AO302" s="425"/>
      <c r="AP302" s="425"/>
      <c r="AQ302" s="425"/>
      <c r="AR302" s="425"/>
      <c r="AS302" s="425"/>
      <c r="AT302" s="425"/>
      <c r="AU302" s="425"/>
      <c r="AV302" s="425"/>
      <c r="AW302" s="425"/>
      <c r="AX302" s="425"/>
      <c r="AY302" s="425"/>
      <c r="AZ302" s="425"/>
      <c r="BA302" s="425"/>
      <c r="BB302" s="425"/>
      <c r="BC302" s="425"/>
      <c r="BD302" s="425"/>
      <c r="BE302" s="425"/>
      <c r="BF302" s="425"/>
      <c r="BG302" s="425"/>
      <c r="BH302" s="425"/>
      <c r="BI302" s="425"/>
      <c r="BJ302" s="425"/>
      <c r="BK302" s="425"/>
      <c r="BL302" s="425"/>
      <c r="BM302" s="425"/>
      <c r="BN302" s="425"/>
    </row>
    <row r="303" spans="1:66" ht="15.75" customHeight="1" x14ac:dyDescent="0.2">
      <c r="A303" s="424"/>
      <c r="B303" s="424"/>
      <c r="C303" s="424"/>
      <c r="D303" s="424"/>
      <c r="E303" s="424"/>
      <c r="F303" s="425"/>
      <c r="G303" s="425"/>
      <c r="H303" s="424"/>
      <c r="I303" s="424"/>
      <c r="J303" s="425"/>
      <c r="K303" s="425"/>
      <c r="L303" s="425"/>
      <c r="M303" s="425"/>
      <c r="N303" s="425"/>
      <c r="O303" s="425"/>
      <c r="P303" s="425"/>
      <c r="Q303" s="424"/>
      <c r="R303" s="426"/>
      <c r="S303" s="426"/>
      <c r="T303" s="426"/>
      <c r="U303" s="426"/>
      <c r="V303" s="326"/>
      <c r="W303" s="326"/>
      <c r="X303" s="426"/>
      <c r="Y303" s="426"/>
      <c r="Z303" s="426"/>
      <c r="AA303" s="426"/>
      <c r="AB303" s="426"/>
      <c r="AC303" s="426"/>
      <c r="AD303" s="426"/>
      <c r="AE303" s="426"/>
      <c r="AF303" s="426"/>
      <c r="AG303" s="326"/>
      <c r="AH303" s="326"/>
      <c r="AI303" s="424"/>
      <c r="AJ303" s="424"/>
      <c r="AK303" s="424"/>
      <c r="AL303" s="424"/>
      <c r="AM303" s="424"/>
      <c r="AN303" s="424"/>
      <c r="AO303" s="425"/>
      <c r="AP303" s="425"/>
      <c r="AQ303" s="425"/>
      <c r="AR303" s="425"/>
      <c r="AS303" s="425"/>
      <c r="AT303" s="425"/>
      <c r="AU303" s="425"/>
      <c r="AV303" s="425"/>
      <c r="AW303" s="425"/>
      <c r="AX303" s="425"/>
      <c r="AY303" s="425"/>
      <c r="AZ303" s="425"/>
      <c r="BA303" s="425"/>
      <c r="BB303" s="425"/>
      <c r="BC303" s="425"/>
      <c r="BD303" s="425"/>
      <c r="BE303" s="425"/>
      <c r="BF303" s="425"/>
      <c r="BG303" s="425"/>
      <c r="BH303" s="425"/>
      <c r="BI303" s="425"/>
      <c r="BJ303" s="425"/>
      <c r="BK303" s="425"/>
      <c r="BL303" s="425"/>
      <c r="BM303" s="425"/>
      <c r="BN303" s="425"/>
    </row>
    <row r="304" spans="1:66" ht="15.75" customHeight="1" x14ac:dyDescent="0.2">
      <c r="A304" s="424"/>
      <c r="B304" s="424"/>
      <c r="C304" s="424"/>
      <c r="D304" s="424"/>
      <c r="E304" s="424"/>
      <c r="F304" s="425"/>
      <c r="G304" s="425"/>
      <c r="H304" s="424"/>
      <c r="I304" s="424"/>
      <c r="J304" s="425"/>
      <c r="K304" s="425"/>
      <c r="L304" s="425"/>
      <c r="M304" s="425"/>
      <c r="N304" s="425"/>
      <c r="O304" s="425"/>
      <c r="P304" s="425"/>
      <c r="Q304" s="424"/>
      <c r="R304" s="426"/>
      <c r="S304" s="426"/>
      <c r="T304" s="426"/>
      <c r="U304" s="426"/>
      <c r="V304" s="326"/>
      <c r="W304" s="326"/>
      <c r="X304" s="426"/>
      <c r="Y304" s="426"/>
      <c r="Z304" s="426"/>
      <c r="AA304" s="426"/>
      <c r="AB304" s="426"/>
      <c r="AC304" s="426"/>
      <c r="AD304" s="426"/>
      <c r="AE304" s="426"/>
      <c r="AF304" s="426"/>
      <c r="AG304" s="326"/>
      <c r="AH304" s="326"/>
      <c r="AI304" s="424"/>
      <c r="AJ304" s="424"/>
      <c r="AK304" s="424"/>
      <c r="AL304" s="424"/>
      <c r="AM304" s="424"/>
      <c r="AN304" s="424"/>
      <c r="AO304" s="425"/>
      <c r="AP304" s="425"/>
      <c r="AQ304" s="425"/>
      <c r="AR304" s="425"/>
      <c r="AS304" s="425"/>
      <c r="AT304" s="425"/>
      <c r="AU304" s="425"/>
      <c r="AV304" s="425"/>
      <c r="AW304" s="425"/>
      <c r="AX304" s="425"/>
      <c r="AY304" s="425"/>
      <c r="AZ304" s="425"/>
      <c r="BA304" s="425"/>
      <c r="BB304" s="425"/>
      <c r="BC304" s="425"/>
      <c r="BD304" s="425"/>
      <c r="BE304" s="425"/>
      <c r="BF304" s="425"/>
      <c r="BG304" s="425"/>
      <c r="BH304" s="425"/>
      <c r="BI304" s="425"/>
      <c r="BJ304" s="425"/>
      <c r="BK304" s="425"/>
      <c r="BL304" s="425"/>
      <c r="BM304" s="425"/>
      <c r="BN304" s="425"/>
    </row>
    <row r="305" spans="1:66" ht="15.75" customHeight="1" x14ac:dyDescent="0.2">
      <c r="A305" s="424"/>
      <c r="B305" s="424"/>
      <c r="C305" s="424"/>
      <c r="D305" s="424"/>
      <c r="E305" s="424"/>
      <c r="F305" s="425"/>
      <c r="G305" s="425"/>
      <c r="H305" s="424"/>
      <c r="I305" s="424"/>
      <c r="J305" s="425"/>
      <c r="K305" s="425"/>
      <c r="L305" s="425"/>
      <c r="M305" s="425"/>
      <c r="N305" s="425"/>
      <c r="O305" s="425"/>
      <c r="P305" s="425"/>
      <c r="Q305" s="424"/>
      <c r="R305" s="426"/>
      <c r="S305" s="426"/>
      <c r="T305" s="426"/>
      <c r="U305" s="426"/>
      <c r="V305" s="326"/>
      <c r="W305" s="326"/>
      <c r="X305" s="426"/>
      <c r="Y305" s="426"/>
      <c r="Z305" s="426"/>
      <c r="AA305" s="426"/>
      <c r="AB305" s="426"/>
      <c r="AC305" s="426"/>
      <c r="AD305" s="426"/>
      <c r="AE305" s="426"/>
      <c r="AF305" s="426"/>
      <c r="AG305" s="326"/>
      <c r="AH305" s="326"/>
      <c r="AI305" s="424"/>
      <c r="AJ305" s="424"/>
      <c r="AK305" s="424"/>
      <c r="AL305" s="424"/>
      <c r="AM305" s="424"/>
      <c r="AN305" s="424"/>
      <c r="AO305" s="425"/>
      <c r="AP305" s="425"/>
      <c r="AQ305" s="425"/>
      <c r="AR305" s="425"/>
      <c r="AS305" s="425"/>
      <c r="AT305" s="425"/>
      <c r="AU305" s="425"/>
      <c r="AV305" s="425"/>
      <c r="AW305" s="425"/>
      <c r="AX305" s="425"/>
      <c r="AY305" s="425"/>
      <c r="AZ305" s="425"/>
      <c r="BA305" s="425"/>
      <c r="BB305" s="425"/>
      <c r="BC305" s="425"/>
      <c r="BD305" s="425"/>
      <c r="BE305" s="425"/>
      <c r="BF305" s="425"/>
      <c r="BG305" s="425"/>
      <c r="BH305" s="425"/>
      <c r="BI305" s="425"/>
      <c r="BJ305" s="425"/>
      <c r="BK305" s="425"/>
      <c r="BL305" s="425"/>
      <c r="BM305" s="425"/>
      <c r="BN305" s="425"/>
    </row>
    <row r="306" spans="1:66" ht="15.75" customHeight="1" x14ac:dyDescent="0.2">
      <c r="A306" s="424"/>
      <c r="B306" s="424"/>
      <c r="C306" s="424"/>
      <c r="D306" s="424"/>
      <c r="E306" s="424"/>
      <c r="F306" s="425"/>
      <c r="G306" s="425"/>
      <c r="H306" s="424"/>
      <c r="I306" s="424"/>
      <c r="J306" s="425"/>
      <c r="K306" s="425"/>
      <c r="L306" s="425"/>
      <c r="M306" s="425"/>
      <c r="N306" s="425"/>
      <c r="O306" s="425"/>
      <c r="P306" s="425"/>
      <c r="Q306" s="424"/>
      <c r="R306" s="426"/>
      <c r="S306" s="426"/>
      <c r="T306" s="426"/>
      <c r="U306" s="426"/>
      <c r="V306" s="326"/>
      <c r="W306" s="326"/>
      <c r="X306" s="426"/>
      <c r="Y306" s="426"/>
      <c r="Z306" s="426"/>
      <c r="AA306" s="426"/>
      <c r="AB306" s="426"/>
      <c r="AC306" s="426"/>
      <c r="AD306" s="426"/>
      <c r="AE306" s="426"/>
      <c r="AF306" s="426"/>
      <c r="AG306" s="326"/>
      <c r="AH306" s="326"/>
      <c r="AI306" s="424"/>
      <c r="AJ306" s="424"/>
      <c r="AK306" s="424"/>
      <c r="AL306" s="424"/>
      <c r="AM306" s="424"/>
      <c r="AN306" s="424"/>
      <c r="AO306" s="425"/>
      <c r="AP306" s="425"/>
      <c r="AQ306" s="425"/>
      <c r="AR306" s="425"/>
      <c r="AS306" s="425"/>
      <c r="AT306" s="425"/>
      <c r="AU306" s="425"/>
      <c r="AV306" s="425"/>
      <c r="AW306" s="425"/>
      <c r="AX306" s="425"/>
      <c r="AY306" s="425"/>
      <c r="AZ306" s="425"/>
      <c r="BA306" s="425"/>
      <c r="BB306" s="425"/>
      <c r="BC306" s="425"/>
      <c r="BD306" s="425"/>
      <c r="BE306" s="425"/>
      <c r="BF306" s="425"/>
      <c r="BG306" s="425"/>
      <c r="BH306" s="425"/>
      <c r="BI306" s="425"/>
      <c r="BJ306" s="425"/>
      <c r="BK306" s="425"/>
      <c r="BL306" s="425"/>
      <c r="BM306" s="425"/>
      <c r="BN306" s="425"/>
    </row>
    <row r="307" spans="1:66" ht="15.75" customHeight="1" x14ac:dyDescent="0.2">
      <c r="A307" s="424"/>
      <c r="B307" s="424"/>
      <c r="C307" s="424"/>
      <c r="D307" s="424"/>
      <c r="E307" s="424"/>
      <c r="F307" s="425"/>
      <c r="G307" s="425"/>
      <c r="H307" s="424"/>
      <c r="I307" s="424"/>
      <c r="J307" s="425"/>
      <c r="K307" s="425"/>
      <c r="L307" s="425"/>
      <c r="M307" s="425"/>
      <c r="N307" s="425"/>
      <c r="O307" s="425"/>
      <c r="P307" s="425"/>
      <c r="Q307" s="424"/>
      <c r="R307" s="426"/>
      <c r="S307" s="426"/>
      <c r="T307" s="426"/>
      <c r="U307" s="426"/>
      <c r="V307" s="326"/>
      <c r="W307" s="326"/>
      <c r="X307" s="426"/>
      <c r="Y307" s="426"/>
      <c r="Z307" s="426"/>
      <c r="AA307" s="426"/>
      <c r="AB307" s="426"/>
      <c r="AC307" s="426"/>
      <c r="AD307" s="426"/>
      <c r="AE307" s="426"/>
      <c r="AF307" s="426"/>
      <c r="AG307" s="326"/>
      <c r="AH307" s="326"/>
      <c r="AI307" s="424"/>
      <c r="AJ307" s="424"/>
      <c r="AK307" s="424"/>
      <c r="AL307" s="424"/>
      <c r="AM307" s="424"/>
      <c r="AN307" s="424"/>
      <c r="AO307" s="425"/>
      <c r="AP307" s="425"/>
      <c r="AQ307" s="425"/>
      <c r="AR307" s="425"/>
      <c r="AS307" s="425"/>
      <c r="AT307" s="425"/>
      <c r="AU307" s="425"/>
      <c r="AV307" s="425"/>
      <c r="AW307" s="425"/>
      <c r="AX307" s="425"/>
      <c r="AY307" s="425"/>
      <c r="AZ307" s="425"/>
      <c r="BA307" s="425"/>
      <c r="BB307" s="425"/>
      <c r="BC307" s="425"/>
      <c r="BD307" s="425"/>
      <c r="BE307" s="425"/>
      <c r="BF307" s="425"/>
      <c r="BG307" s="425"/>
      <c r="BH307" s="425"/>
      <c r="BI307" s="425"/>
      <c r="BJ307" s="425"/>
      <c r="BK307" s="425"/>
      <c r="BL307" s="425"/>
      <c r="BM307" s="425"/>
      <c r="BN307" s="425"/>
    </row>
    <row r="308" spans="1:66" ht="15.75" customHeight="1" x14ac:dyDescent="0.2">
      <c r="A308" s="424"/>
      <c r="B308" s="424"/>
      <c r="C308" s="424"/>
      <c r="D308" s="424"/>
      <c r="E308" s="424"/>
      <c r="F308" s="425"/>
      <c r="G308" s="425"/>
      <c r="H308" s="424"/>
      <c r="I308" s="424"/>
      <c r="J308" s="425"/>
      <c r="K308" s="425"/>
      <c r="L308" s="425"/>
      <c r="M308" s="425"/>
      <c r="N308" s="425"/>
      <c r="O308" s="425"/>
      <c r="P308" s="425"/>
      <c r="Q308" s="424"/>
      <c r="R308" s="426"/>
      <c r="S308" s="426"/>
      <c r="T308" s="426"/>
      <c r="U308" s="426"/>
      <c r="V308" s="326"/>
      <c r="W308" s="326"/>
      <c r="X308" s="426"/>
      <c r="Y308" s="426"/>
      <c r="Z308" s="426"/>
      <c r="AA308" s="426"/>
      <c r="AB308" s="426"/>
      <c r="AC308" s="426"/>
      <c r="AD308" s="426"/>
      <c r="AE308" s="426"/>
      <c r="AF308" s="426"/>
      <c r="AG308" s="326"/>
      <c r="AH308" s="326"/>
      <c r="AI308" s="424"/>
      <c r="AJ308" s="424"/>
      <c r="AK308" s="424"/>
      <c r="AL308" s="424"/>
      <c r="AM308" s="424"/>
      <c r="AN308" s="424"/>
      <c r="AO308" s="425"/>
      <c r="AP308" s="425"/>
      <c r="AQ308" s="425"/>
      <c r="AR308" s="425"/>
      <c r="AS308" s="425"/>
      <c r="AT308" s="425"/>
      <c r="AU308" s="425"/>
      <c r="AV308" s="425"/>
      <c r="AW308" s="425"/>
      <c r="AX308" s="425"/>
      <c r="AY308" s="425"/>
      <c r="AZ308" s="425"/>
      <c r="BA308" s="425"/>
      <c r="BB308" s="425"/>
      <c r="BC308" s="425"/>
      <c r="BD308" s="425"/>
      <c r="BE308" s="425"/>
      <c r="BF308" s="425"/>
      <c r="BG308" s="425"/>
      <c r="BH308" s="425"/>
      <c r="BI308" s="425"/>
      <c r="BJ308" s="425"/>
      <c r="BK308" s="425"/>
      <c r="BL308" s="425"/>
      <c r="BM308" s="425"/>
      <c r="BN308" s="425"/>
    </row>
    <row r="309" spans="1:66" ht="15.75" customHeight="1" x14ac:dyDescent="0.2">
      <c r="A309" s="424"/>
      <c r="B309" s="424"/>
      <c r="C309" s="424"/>
      <c r="D309" s="424"/>
      <c r="E309" s="424"/>
      <c r="F309" s="425"/>
      <c r="G309" s="425"/>
      <c r="H309" s="424"/>
      <c r="I309" s="424"/>
      <c r="J309" s="425"/>
      <c r="K309" s="425"/>
      <c r="L309" s="425"/>
      <c r="M309" s="425"/>
      <c r="N309" s="425"/>
      <c r="O309" s="425"/>
      <c r="P309" s="425"/>
      <c r="Q309" s="424"/>
      <c r="R309" s="426"/>
      <c r="S309" s="426"/>
      <c r="T309" s="426"/>
      <c r="U309" s="426"/>
      <c r="V309" s="326"/>
      <c r="W309" s="326"/>
      <c r="X309" s="426"/>
      <c r="Y309" s="426"/>
      <c r="Z309" s="426"/>
      <c r="AA309" s="426"/>
      <c r="AB309" s="426"/>
      <c r="AC309" s="426"/>
      <c r="AD309" s="426"/>
      <c r="AE309" s="426"/>
      <c r="AF309" s="426"/>
      <c r="AG309" s="326"/>
      <c r="AH309" s="326"/>
      <c r="AI309" s="424"/>
      <c r="AJ309" s="424"/>
      <c r="AK309" s="424"/>
      <c r="AL309" s="424"/>
      <c r="AM309" s="424"/>
      <c r="AN309" s="424"/>
      <c r="AO309" s="425"/>
      <c r="AP309" s="425"/>
      <c r="AQ309" s="425"/>
      <c r="AR309" s="425"/>
      <c r="AS309" s="425"/>
      <c r="AT309" s="425"/>
      <c r="AU309" s="425"/>
      <c r="AV309" s="425"/>
      <c r="AW309" s="425"/>
      <c r="AX309" s="425"/>
      <c r="AY309" s="425"/>
      <c r="AZ309" s="425"/>
      <c r="BA309" s="425"/>
      <c r="BB309" s="425"/>
      <c r="BC309" s="425"/>
      <c r="BD309" s="425"/>
      <c r="BE309" s="425"/>
      <c r="BF309" s="425"/>
      <c r="BG309" s="425"/>
      <c r="BH309" s="425"/>
      <c r="BI309" s="425"/>
      <c r="BJ309" s="425"/>
      <c r="BK309" s="425"/>
      <c r="BL309" s="425"/>
      <c r="BM309" s="425"/>
      <c r="BN309" s="425"/>
    </row>
    <row r="310" spans="1:66" ht="15.75" customHeight="1" x14ac:dyDescent="0.2">
      <c r="A310" s="424"/>
      <c r="B310" s="424"/>
      <c r="C310" s="424"/>
      <c r="D310" s="424"/>
      <c r="E310" s="424"/>
      <c r="F310" s="425"/>
      <c r="G310" s="425"/>
      <c r="H310" s="424"/>
      <c r="I310" s="424"/>
      <c r="J310" s="425"/>
      <c r="K310" s="425"/>
      <c r="L310" s="425"/>
      <c r="M310" s="425"/>
      <c r="N310" s="425"/>
      <c r="O310" s="425"/>
      <c r="P310" s="425"/>
      <c r="Q310" s="424"/>
      <c r="R310" s="426"/>
      <c r="S310" s="426"/>
      <c r="T310" s="426"/>
      <c r="U310" s="426"/>
      <c r="V310" s="326"/>
      <c r="W310" s="326"/>
      <c r="X310" s="426"/>
      <c r="Y310" s="426"/>
      <c r="Z310" s="426"/>
      <c r="AA310" s="426"/>
      <c r="AB310" s="426"/>
      <c r="AC310" s="426"/>
      <c r="AD310" s="426"/>
      <c r="AE310" s="426"/>
      <c r="AF310" s="426"/>
      <c r="AG310" s="326"/>
      <c r="AH310" s="326"/>
      <c r="AI310" s="424"/>
      <c r="AJ310" s="424"/>
      <c r="AK310" s="424"/>
      <c r="AL310" s="424"/>
      <c r="AM310" s="424"/>
      <c r="AN310" s="424"/>
      <c r="AO310" s="425"/>
      <c r="AP310" s="425"/>
      <c r="AQ310" s="425"/>
      <c r="AR310" s="425"/>
      <c r="AS310" s="425"/>
      <c r="AT310" s="425"/>
      <c r="AU310" s="425"/>
      <c r="AV310" s="425"/>
      <c r="AW310" s="425"/>
      <c r="AX310" s="425"/>
      <c r="AY310" s="425"/>
      <c r="AZ310" s="425"/>
      <c r="BA310" s="425"/>
      <c r="BB310" s="425"/>
      <c r="BC310" s="425"/>
      <c r="BD310" s="425"/>
      <c r="BE310" s="425"/>
      <c r="BF310" s="425"/>
      <c r="BG310" s="425"/>
      <c r="BH310" s="425"/>
      <c r="BI310" s="425"/>
      <c r="BJ310" s="425"/>
      <c r="BK310" s="425"/>
      <c r="BL310" s="425"/>
      <c r="BM310" s="425"/>
      <c r="BN310" s="425"/>
    </row>
    <row r="311" spans="1:66" ht="15.75" customHeight="1" x14ac:dyDescent="0.2">
      <c r="A311" s="424"/>
      <c r="B311" s="424"/>
      <c r="C311" s="424"/>
      <c r="D311" s="424"/>
      <c r="E311" s="424"/>
      <c r="F311" s="425"/>
      <c r="G311" s="425"/>
      <c r="H311" s="424"/>
      <c r="I311" s="424"/>
      <c r="J311" s="425"/>
      <c r="K311" s="425"/>
      <c r="L311" s="425"/>
      <c r="M311" s="425"/>
      <c r="N311" s="425"/>
      <c r="O311" s="425"/>
      <c r="P311" s="425"/>
      <c r="Q311" s="424"/>
      <c r="R311" s="426"/>
      <c r="S311" s="426"/>
      <c r="T311" s="426"/>
      <c r="U311" s="426"/>
      <c r="V311" s="326"/>
      <c r="W311" s="326"/>
      <c r="X311" s="426"/>
      <c r="Y311" s="426"/>
      <c r="Z311" s="426"/>
      <c r="AA311" s="426"/>
      <c r="AB311" s="426"/>
      <c r="AC311" s="426"/>
      <c r="AD311" s="426"/>
      <c r="AE311" s="426"/>
      <c r="AF311" s="426"/>
      <c r="AG311" s="326"/>
      <c r="AH311" s="326"/>
      <c r="AI311" s="424"/>
      <c r="AJ311" s="424"/>
      <c r="AK311" s="424"/>
      <c r="AL311" s="424"/>
      <c r="AM311" s="424"/>
      <c r="AN311" s="424"/>
      <c r="AO311" s="425"/>
      <c r="AP311" s="425"/>
      <c r="AQ311" s="425"/>
      <c r="AR311" s="425"/>
      <c r="AS311" s="425"/>
      <c r="AT311" s="425"/>
      <c r="AU311" s="425"/>
      <c r="AV311" s="425"/>
      <c r="AW311" s="425"/>
      <c r="AX311" s="425"/>
      <c r="AY311" s="425"/>
      <c r="AZ311" s="425"/>
      <c r="BA311" s="425"/>
      <c r="BB311" s="425"/>
      <c r="BC311" s="425"/>
      <c r="BD311" s="425"/>
      <c r="BE311" s="425"/>
      <c r="BF311" s="425"/>
      <c r="BG311" s="425"/>
      <c r="BH311" s="425"/>
      <c r="BI311" s="425"/>
      <c r="BJ311" s="425"/>
      <c r="BK311" s="425"/>
      <c r="BL311" s="425"/>
      <c r="BM311" s="425"/>
      <c r="BN311" s="425"/>
    </row>
    <row r="312" spans="1:66" ht="15.75" customHeight="1" x14ac:dyDescent="0.2"/>
    <row r="313" spans="1:66" ht="15.75" customHeight="1" x14ac:dyDescent="0.2"/>
    <row r="314" spans="1:66" ht="15.75" customHeight="1" x14ac:dyDescent="0.2"/>
    <row r="315" spans="1:66" ht="15.75" customHeight="1" x14ac:dyDescent="0.2"/>
    <row r="316" spans="1:66" ht="15.75" customHeight="1" x14ac:dyDescent="0.2"/>
    <row r="317" spans="1:66" ht="15.75" customHeight="1" x14ac:dyDescent="0.2"/>
    <row r="318" spans="1:66" ht="15.75" customHeight="1" x14ac:dyDescent="0.2"/>
    <row r="319" spans="1:66" ht="15.75" customHeight="1" x14ac:dyDescent="0.2"/>
    <row r="320" spans="1:66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autoFilter ref="A1:BC10" xr:uid="{00000000-0009-0000-0000-00000B000000}"/>
  <customSheetViews>
    <customSheetView guid="{41A8EFA9-0D9F-4D25-B14C-D7994C10AD31}" filter="1" showAutoFilter="1">
      <pageMargins left="0.7" right="0.7" top="0.75" bottom="0.75" header="0.3" footer="0.3"/>
      <autoFilter ref="A1:BC10" xr:uid="{F9328437-FA2B-41B7-AE17-A1ACD2A6B418}"/>
      <extLst>
        <ext uri="GoogleSheetsCustomDataVersion1">
          <go:sheetsCustomData xmlns:go="http://customooxmlschemas.google.com/" filterViewId="256610161"/>
        </ext>
      </extLst>
    </customSheetView>
    <customSheetView guid="{BF376FC4-2325-430A-B7C3-C8D43C8FA5B8}" filter="1" showAutoFilter="1">
      <pageMargins left="0.7" right="0.7" top="0.75" bottom="0.75" header="0.3" footer="0.3"/>
      <autoFilter ref="A1:BC105" xr:uid="{C9AA015C-A0F3-4704-BE8B-CF05F07BF31F}"/>
      <extLst>
        <ext uri="GoogleSheetsCustomDataVersion1">
          <go:sheetsCustomData xmlns:go="http://customooxmlschemas.google.com/" filterViewId="825603598"/>
        </ext>
      </extLst>
    </customSheetView>
    <customSheetView guid="{AC2EB4D7-5D35-4F70-86AF-8C6FCD8AAB75}" filter="1" showAutoFilter="1">
      <pageMargins left="0.7" right="0.7" top="0.75" bottom="0.75" header="0.3" footer="0.3"/>
      <autoFilter ref="A17:BC105" xr:uid="{D6C77567-9589-4202-9CC8-40CCBA619A17}">
        <sortState xmlns:xlrd2="http://schemas.microsoft.com/office/spreadsheetml/2017/richdata2" ref="A17:BC105">
          <sortCondition descending="1" ref="H17:H105"/>
        </sortState>
      </autoFilter>
      <extLst>
        <ext uri="GoogleSheetsCustomDataVersion1">
          <go:sheetsCustomData xmlns:go="http://customooxmlschemas.google.com/" filterViewId="314658968"/>
        </ext>
      </extLst>
    </customSheetView>
  </customSheetViews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N1000"/>
  <sheetViews>
    <sheetView workbookViewId="0"/>
  </sheetViews>
  <sheetFormatPr defaultColWidth="12.5703125" defaultRowHeight="15" customHeight="1" x14ac:dyDescent="0.2"/>
  <cols>
    <col min="1" max="1" width="5.28515625" customWidth="1"/>
    <col min="2" max="2" width="9.7109375" customWidth="1"/>
    <col min="3" max="3" width="11.7109375" customWidth="1"/>
    <col min="4" max="4" width="10.85546875" customWidth="1"/>
    <col min="5" max="5" width="13.28515625" customWidth="1"/>
    <col min="6" max="6" width="11.42578125" customWidth="1"/>
    <col min="7" max="7" width="10.140625" customWidth="1"/>
    <col min="8" max="8" width="3.85546875" customWidth="1"/>
    <col min="9" max="9" width="8.5703125" customWidth="1"/>
    <col min="10" max="10" width="4" customWidth="1"/>
    <col min="11" max="11" width="10.140625" customWidth="1"/>
    <col min="12" max="12" width="6.42578125" customWidth="1"/>
    <col min="13" max="13" width="7.140625" customWidth="1"/>
    <col min="14" max="14" width="6.42578125" customWidth="1"/>
    <col min="15" max="15" width="6.7109375" customWidth="1"/>
    <col min="16" max="16" width="7.28515625" customWidth="1"/>
    <col min="17" max="17" width="10" customWidth="1"/>
    <col min="18" max="18" width="9.42578125" customWidth="1"/>
    <col min="19" max="19" width="10.42578125" customWidth="1"/>
    <col min="20" max="20" width="15" customWidth="1"/>
    <col min="21" max="21" width="16.28515625" customWidth="1"/>
    <col min="22" max="23" width="6.140625" customWidth="1"/>
    <col min="24" max="24" width="8.42578125" customWidth="1"/>
    <col min="25" max="25" width="8" customWidth="1"/>
    <col min="26" max="26" width="19.7109375" customWidth="1"/>
    <col min="27" max="27" width="12.28515625" customWidth="1"/>
    <col min="28" max="28" width="14.7109375" customWidth="1"/>
    <col min="29" max="29" width="12.85546875" customWidth="1"/>
    <col min="30" max="30" width="9.42578125" customWidth="1"/>
    <col min="31" max="31" width="16.140625" customWidth="1"/>
    <col min="32" max="32" width="8" customWidth="1"/>
    <col min="33" max="33" width="7.85546875" customWidth="1"/>
    <col min="34" max="34" width="10.28515625" customWidth="1"/>
    <col min="35" max="35" width="14.42578125" customWidth="1"/>
    <col min="36" max="37" width="8.42578125" customWidth="1"/>
    <col min="38" max="38" width="15.42578125" customWidth="1"/>
    <col min="39" max="39" width="9.28515625" customWidth="1"/>
    <col min="40" max="40" width="14.42578125" customWidth="1"/>
    <col min="41" max="41" width="10.42578125" customWidth="1"/>
    <col min="42" max="42" width="19.42578125" customWidth="1"/>
    <col min="43" max="43" width="8.42578125" customWidth="1"/>
    <col min="44" max="44" width="5.42578125" customWidth="1"/>
    <col min="45" max="45" width="11.42578125" customWidth="1"/>
    <col min="46" max="46" width="18.140625" customWidth="1"/>
    <col min="47" max="47" width="13.140625" customWidth="1"/>
    <col min="48" max="48" width="19.85546875" customWidth="1"/>
    <col min="49" max="49" width="6.5703125" customWidth="1"/>
    <col min="50" max="50" width="19.7109375" customWidth="1"/>
    <col min="51" max="52" width="4.42578125" customWidth="1"/>
    <col min="53" max="53" width="6.140625" customWidth="1"/>
    <col min="54" max="54" width="5.42578125" customWidth="1"/>
    <col min="55" max="55" width="8.5703125" customWidth="1"/>
    <col min="56" max="57" width="7.7109375" customWidth="1"/>
    <col min="58" max="66" width="1.42578125" customWidth="1"/>
  </cols>
  <sheetData>
    <row r="1" spans="1:66" ht="21" customHeight="1" x14ac:dyDescent="0.2">
      <c r="A1" s="284" t="s">
        <v>1006</v>
      </c>
      <c r="B1" s="284" t="s">
        <v>642</v>
      </c>
      <c r="C1" s="284" t="s">
        <v>643</v>
      </c>
      <c r="D1" s="284" t="s">
        <v>644</v>
      </c>
      <c r="E1" s="284" t="s">
        <v>26</v>
      </c>
      <c r="F1" s="284" t="s">
        <v>27</v>
      </c>
      <c r="G1" s="284" t="s">
        <v>645</v>
      </c>
      <c r="H1" s="284" t="s">
        <v>646</v>
      </c>
      <c r="I1" s="284" t="s">
        <v>647</v>
      </c>
      <c r="J1" s="284" t="s">
        <v>648</v>
      </c>
      <c r="K1" s="284" t="s">
        <v>6</v>
      </c>
      <c r="L1" s="284" t="s">
        <v>650</v>
      </c>
      <c r="M1" s="284" t="s">
        <v>9</v>
      </c>
      <c r="N1" s="284" t="s">
        <v>10</v>
      </c>
      <c r="O1" s="284" t="s">
        <v>29</v>
      </c>
      <c r="P1" s="285" t="s">
        <v>11</v>
      </c>
      <c r="Q1" s="286" t="s">
        <v>652</v>
      </c>
      <c r="R1" s="286" t="s">
        <v>13</v>
      </c>
      <c r="S1" s="285" t="s">
        <v>14</v>
      </c>
      <c r="T1" s="285" t="s">
        <v>653</v>
      </c>
      <c r="U1" s="285" t="s">
        <v>15</v>
      </c>
      <c r="V1" s="285" t="s">
        <v>16</v>
      </c>
      <c r="W1" s="285" t="s">
        <v>17</v>
      </c>
      <c r="X1" s="285" t="s">
        <v>18</v>
      </c>
      <c r="Y1" s="285" t="s">
        <v>24</v>
      </c>
      <c r="Z1" s="285" t="s">
        <v>19</v>
      </c>
      <c r="AA1" s="286" t="s">
        <v>20</v>
      </c>
      <c r="AB1" s="285" t="s">
        <v>21</v>
      </c>
      <c r="AC1" s="285" t="s">
        <v>22</v>
      </c>
      <c r="AD1" s="285" t="s">
        <v>23</v>
      </c>
      <c r="AE1" s="285" t="s">
        <v>654</v>
      </c>
      <c r="AF1" s="285" t="s">
        <v>25</v>
      </c>
      <c r="AG1" s="284" t="s">
        <v>655</v>
      </c>
      <c r="AH1" s="284" t="s">
        <v>656</v>
      </c>
      <c r="AI1" s="284" t="s">
        <v>657</v>
      </c>
      <c r="AJ1" s="284" t="s">
        <v>658</v>
      </c>
      <c r="AK1" s="284" t="s">
        <v>659</v>
      </c>
      <c r="AL1" s="284" t="s">
        <v>660</v>
      </c>
      <c r="AM1" s="284" t="s">
        <v>667</v>
      </c>
      <c r="AN1" s="284" t="s">
        <v>668</v>
      </c>
      <c r="AO1" s="287" t="s">
        <v>669</v>
      </c>
      <c r="AP1" s="287" t="s">
        <v>28</v>
      </c>
      <c r="AQ1" s="284" t="s">
        <v>670</v>
      </c>
      <c r="AR1" s="284" t="s">
        <v>671</v>
      </c>
      <c r="AS1" s="284" t="s">
        <v>672</v>
      </c>
      <c r="AT1" s="284" t="s">
        <v>673</v>
      </c>
      <c r="AU1" s="284" t="s">
        <v>674</v>
      </c>
      <c r="AV1" s="288" t="s">
        <v>0</v>
      </c>
      <c r="AW1" s="288"/>
      <c r="AX1" s="288"/>
      <c r="AY1" s="288"/>
      <c r="AZ1" s="288"/>
      <c r="BA1" s="288"/>
      <c r="BB1" s="288"/>
      <c r="BC1" s="288"/>
      <c r="BD1" s="288"/>
      <c r="BE1" s="288"/>
      <c r="BF1" s="288"/>
      <c r="BG1" s="427"/>
      <c r="BH1" s="427"/>
      <c r="BI1" s="427"/>
      <c r="BJ1" s="427"/>
      <c r="BK1" s="427"/>
      <c r="BL1" s="427"/>
      <c r="BM1" s="427"/>
      <c r="BN1" s="427"/>
    </row>
    <row r="2" spans="1:66" ht="17.25" customHeight="1" x14ac:dyDescent="0.2">
      <c r="A2" s="428">
        <v>1</v>
      </c>
      <c r="B2" s="428" t="s">
        <v>1007</v>
      </c>
      <c r="C2" s="428"/>
      <c r="D2" s="429" t="s">
        <v>1008</v>
      </c>
      <c r="E2" s="430" t="s">
        <v>1009</v>
      </c>
      <c r="F2" s="428" t="s">
        <v>1010</v>
      </c>
      <c r="G2" s="428">
        <v>8097470700</v>
      </c>
      <c r="H2" s="428" t="s">
        <v>800</v>
      </c>
      <c r="I2" s="428">
        <v>7</v>
      </c>
      <c r="J2" s="428">
        <v>34.82</v>
      </c>
      <c r="K2" s="428">
        <v>0</v>
      </c>
      <c r="L2" s="428">
        <v>146</v>
      </c>
      <c r="M2" s="428"/>
      <c r="N2" s="428"/>
      <c r="O2" s="428">
        <v>15250</v>
      </c>
      <c r="P2" s="431">
        <v>0</v>
      </c>
      <c r="Q2" s="432">
        <v>500000</v>
      </c>
      <c r="R2" s="432">
        <v>105000</v>
      </c>
      <c r="S2" s="428">
        <v>0</v>
      </c>
      <c r="T2" s="431">
        <v>0</v>
      </c>
      <c r="U2" s="431">
        <v>0</v>
      </c>
      <c r="V2" s="431">
        <v>195500</v>
      </c>
      <c r="W2" s="431">
        <v>156400</v>
      </c>
      <c r="X2" s="431">
        <v>117300</v>
      </c>
      <c r="Y2" s="431">
        <v>6000</v>
      </c>
      <c r="Z2" s="431">
        <v>0</v>
      </c>
      <c r="AA2" s="432">
        <v>30000</v>
      </c>
      <c r="AB2" s="431">
        <f t="shared" ref="AB2:AB4" si="0">S2*12%</f>
        <v>0</v>
      </c>
      <c r="AC2" s="431">
        <f>V2*12%+W2*12%+Y2*12%</f>
        <v>42948</v>
      </c>
      <c r="AD2" s="431">
        <f>S2*7%+65</f>
        <v>65</v>
      </c>
      <c r="AE2" s="431"/>
      <c r="AF2" s="431">
        <f>Z2+AA2+AB2+AC2+AD2</f>
        <v>73013</v>
      </c>
      <c r="AG2" s="428">
        <f t="shared" ref="AG2:AG3" si="1">S2*9%</f>
        <v>0</v>
      </c>
      <c r="AH2" s="428">
        <v>0</v>
      </c>
      <c r="AI2" s="428">
        <v>0</v>
      </c>
      <c r="AJ2" s="431">
        <v>0</v>
      </c>
      <c r="AK2" s="428"/>
      <c r="AL2" s="428"/>
      <c r="AM2" s="428" t="s">
        <v>679</v>
      </c>
      <c r="AN2" s="428" t="s">
        <v>1011</v>
      </c>
      <c r="AO2" s="433" t="s">
        <v>681</v>
      </c>
      <c r="AP2" s="433" t="s">
        <v>1012</v>
      </c>
      <c r="AQ2" s="434"/>
      <c r="AR2" s="428"/>
      <c r="AS2" s="428"/>
      <c r="AT2" s="428"/>
      <c r="AU2" s="428" t="s">
        <v>1013</v>
      </c>
      <c r="AV2" s="435"/>
      <c r="AW2" s="435"/>
      <c r="AX2" s="435"/>
      <c r="AY2" s="435"/>
      <c r="AZ2" s="435"/>
      <c r="BA2" s="435"/>
      <c r="BB2" s="435"/>
      <c r="BC2" s="435"/>
      <c r="BD2" s="435"/>
      <c r="BE2" s="435"/>
      <c r="BF2" s="435"/>
      <c r="BG2" s="436"/>
      <c r="BH2" s="436"/>
      <c r="BI2" s="436"/>
      <c r="BJ2" s="436"/>
      <c r="BK2" s="436"/>
      <c r="BL2" s="436"/>
      <c r="BM2" s="436"/>
      <c r="BN2" s="436"/>
    </row>
    <row r="3" spans="1:66" ht="15.75" customHeight="1" x14ac:dyDescent="0.2">
      <c r="A3" s="428">
        <v>2</v>
      </c>
      <c r="B3" s="428" t="s">
        <v>740</v>
      </c>
      <c r="C3" s="428"/>
      <c r="D3" s="429" t="s">
        <v>1008</v>
      </c>
      <c r="E3" s="430" t="s">
        <v>1014</v>
      </c>
      <c r="F3" s="428" t="s">
        <v>175</v>
      </c>
      <c r="G3" s="428">
        <v>8805860600</v>
      </c>
      <c r="H3" s="428" t="s">
        <v>694</v>
      </c>
      <c r="I3" s="428">
        <v>21</v>
      </c>
      <c r="J3" s="428">
        <v>17.21</v>
      </c>
      <c r="K3" s="428">
        <v>0</v>
      </c>
      <c r="L3" s="428">
        <v>0</v>
      </c>
      <c r="M3" s="428"/>
      <c r="N3" s="428"/>
      <c r="O3" s="428">
        <v>12060</v>
      </c>
      <c r="P3" s="431">
        <v>0</v>
      </c>
      <c r="Q3" s="432">
        <v>0</v>
      </c>
      <c r="R3" s="432">
        <v>35000</v>
      </c>
      <c r="S3" s="428">
        <v>0</v>
      </c>
      <c r="T3" s="431">
        <v>0</v>
      </c>
      <c r="U3" s="431">
        <v>0</v>
      </c>
      <c r="V3" s="431">
        <v>69500</v>
      </c>
      <c r="W3" s="431">
        <v>55600</v>
      </c>
      <c r="X3" s="431">
        <v>41700</v>
      </c>
      <c r="Y3" s="431">
        <v>6000</v>
      </c>
      <c r="Z3" s="431">
        <v>0</v>
      </c>
      <c r="AA3" s="432">
        <v>30000</v>
      </c>
      <c r="AB3" s="431">
        <f t="shared" si="0"/>
        <v>0</v>
      </c>
      <c r="AC3" s="431">
        <f t="shared" ref="AC3:AC4" si="2">V3*12%+W3*12%+X3*12%+Y3*12%</f>
        <v>20736</v>
      </c>
      <c r="AD3" s="431">
        <f>S3*7%+62</f>
        <v>62</v>
      </c>
      <c r="AE3" s="431"/>
      <c r="AF3" s="431">
        <f>Z3+AA3+AB3+AC3+AD3+1</f>
        <v>50799</v>
      </c>
      <c r="AG3" s="428">
        <f t="shared" si="1"/>
        <v>0</v>
      </c>
      <c r="AH3" s="428">
        <v>36587</v>
      </c>
      <c r="AI3" s="428" t="s">
        <v>1015</v>
      </c>
      <c r="AJ3" s="431">
        <v>1394949</v>
      </c>
      <c r="AK3" s="428">
        <v>167394</v>
      </c>
      <c r="AL3" s="428" t="s">
        <v>1016</v>
      </c>
      <c r="AM3" s="428" t="s">
        <v>679</v>
      </c>
      <c r="AN3" s="428" t="s">
        <v>1017</v>
      </c>
      <c r="AO3" s="433" t="s">
        <v>681</v>
      </c>
      <c r="AP3" s="433" t="s">
        <v>712</v>
      </c>
      <c r="AQ3" s="434"/>
      <c r="AR3" s="428"/>
      <c r="AS3" s="431">
        <f>(P3*5%)+AR3</f>
        <v>0</v>
      </c>
      <c r="AT3" s="428"/>
      <c r="AU3" s="428" t="s">
        <v>1018</v>
      </c>
      <c r="AV3" s="428"/>
      <c r="AW3" s="428"/>
      <c r="AX3" s="428"/>
      <c r="AY3" s="428"/>
      <c r="AZ3" s="428"/>
      <c r="BA3" s="428"/>
      <c r="BB3" s="428"/>
      <c r="BC3" s="428"/>
      <c r="BD3" s="428"/>
      <c r="BE3" s="428"/>
      <c r="BF3" s="428"/>
      <c r="BG3" s="437"/>
      <c r="BH3" s="437"/>
      <c r="BI3" s="437"/>
      <c r="BJ3" s="437"/>
      <c r="BK3" s="437"/>
      <c r="BL3" s="437"/>
      <c r="BM3" s="437"/>
      <c r="BN3" s="437"/>
    </row>
    <row r="4" spans="1:66" ht="24.75" customHeight="1" x14ac:dyDescent="0.2">
      <c r="A4" s="428">
        <v>3</v>
      </c>
      <c r="B4" s="438">
        <v>43477</v>
      </c>
      <c r="C4" s="428"/>
      <c r="D4" s="429" t="s">
        <v>1008</v>
      </c>
      <c r="E4" s="430" t="s">
        <v>1019</v>
      </c>
      <c r="F4" s="428" t="s">
        <v>175</v>
      </c>
      <c r="G4" s="428">
        <v>9730018840</v>
      </c>
      <c r="H4" s="428" t="s">
        <v>800</v>
      </c>
      <c r="I4" s="428">
        <v>19</v>
      </c>
      <c r="J4" s="439">
        <v>20.07</v>
      </c>
      <c r="K4" s="439">
        <v>216</v>
      </c>
      <c r="L4" s="439">
        <v>88</v>
      </c>
      <c r="M4" s="439">
        <v>304</v>
      </c>
      <c r="N4" s="428">
        <v>456</v>
      </c>
      <c r="O4" s="428">
        <v>14000</v>
      </c>
      <c r="P4" s="431">
        <v>0</v>
      </c>
      <c r="Q4" s="432">
        <v>0</v>
      </c>
      <c r="R4" s="432">
        <v>0</v>
      </c>
      <c r="S4" s="431">
        <f>P4+Q4+R4</f>
        <v>0</v>
      </c>
      <c r="T4" s="431">
        <v>0</v>
      </c>
      <c r="U4" s="431">
        <v>0</v>
      </c>
      <c r="V4" s="431">
        <v>114000</v>
      </c>
      <c r="W4" s="431">
        <v>91200</v>
      </c>
      <c r="X4" s="431">
        <v>68400</v>
      </c>
      <c r="Y4" s="431">
        <v>0</v>
      </c>
      <c r="Z4" s="431">
        <v>0</v>
      </c>
      <c r="AA4" s="432">
        <v>30000</v>
      </c>
      <c r="AB4" s="431">
        <f t="shared" si="0"/>
        <v>0</v>
      </c>
      <c r="AC4" s="431">
        <f t="shared" si="2"/>
        <v>32832</v>
      </c>
      <c r="AD4" s="431">
        <f>S4*7%+70</f>
        <v>70</v>
      </c>
      <c r="AE4" s="431">
        <v>6000</v>
      </c>
      <c r="AF4" s="431">
        <v>0</v>
      </c>
      <c r="AG4" s="440">
        <v>0</v>
      </c>
      <c r="AH4" s="441">
        <v>0</v>
      </c>
      <c r="AI4" s="428"/>
      <c r="AJ4" s="428">
        <v>0</v>
      </c>
      <c r="AK4" s="441">
        <v>0</v>
      </c>
      <c r="AL4" s="428">
        <v>0</v>
      </c>
      <c r="AM4" s="428" t="s">
        <v>679</v>
      </c>
      <c r="AN4" s="428" t="s">
        <v>1020</v>
      </c>
      <c r="AO4" s="433" t="s">
        <v>732</v>
      </c>
      <c r="AP4" s="433" t="s">
        <v>322</v>
      </c>
      <c r="AQ4" s="434"/>
      <c r="AR4" s="428">
        <v>0</v>
      </c>
      <c r="AS4" s="428">
        <v>0</v>
      </c>
      <c r="AT4" s="428"/>
      <c r="AU4" s="428" t="s">
        <v>1021</v>
      </c>
      <c r="AV4" s="428"/>
      <c r="AW4" s="433" t="s">
        <v>732</v>
      </c>
      <c r="AX4" s="428"/>
      <c r="AY4" s="428"/>
      <c r="AZ4" s="428"/>
      <c r="BA4" s="428"/>
      <c r="BB4" s="428"/>
      <c r="BC4" s="428"/>
      <c r="BD4" s="428"/>
      <c r="BE4" s="428"/>
      <c r="BF4" s="428"/>
      <c r="BG4" s="437"/>
      <c r="BH4" s="437"/>
      <c r="BI4" s="437"/>
      <c r="BJ4" s="437"/>
      <c r="BK4" s="437"/>
      <c r="BL4" s="437"/>
      <c r="BM4" s="437"/>
      <c r="BN4" s="437"/>
    </row>
    <row r="5" spans="1:66" ht="24.75" customHeight="1" x14ac:dyDescent="0.2">
      <c r="A5" s="428">
        <v>4</v>
      </c>
      <c r="B5" s="428" t="s">
        <v>1022</v>
      </c>
      <c r="C5" s="442"/>
      <c r="D5" s="428" t="s">
        <v>1008</v>
      </c>
      <c r="E5" s="430" t="s">
        <v>1023</v>
      </c>
      <c r="F5" s="428" t="s">
        <v>175</v>
      </c>
      <c r="G5" s="428"/>
      <c r="H5" s="428" t="s">
        <v>729</v>
      </c>
      <c r="I5" s="428">
        <v>17</v>
      </c>
      <c r="J5" s="439">
        <v>24.09</v>
      </c>
      <c r="K5" s="439">
        <v>259</v>
      </c>
      <c r="L5" s="439">
        <v>0</v>
      </c>
      <c r="M5" s="439">
        <v>0</v>
      </c>
      <c r="N5" s="439">
        <v>0</v>
      </c>
      <c r="O5" s="439">
        <v>259</v>
      </c>
      <c r="P5" s="428">
        <v>389</v>
      </c>
      <c r="Q5" s="428">
        <v>10200</v>
      </c>
      <c r="R5" s="431">
        <f t="shared" ref="R5:R6" si="3">P5*Q5</f>
        <v>3967800</v>
      </c>
      <c r="S5" s="432">
        <v>0</v>
      </c>
      <c r="T5" s="432">
        <v>35000</v>
      </c>
      <c r="U5" s="431">
        <f t="shared" ref="U5:U6" si="4">R5+S5+T5</f>
        <v>4002800</v>
      </c>
      <c r="V5" s="431">
        <v>0</v>
      </c>
      <c r="W5" s="431">
        <v>0</v>
      </c>
      <c r="X5" s="431">
        <v>97250</v>
      </c>
      <c r="Y5" s="431">
        <v>77800</v>
      </c>
      <c r="Z5" s="431">
        <v>58350</v>
      </c>
      <c r="AA5" s="431">
        <v>0</v>
      </c>
      <c r="AB5" s="431">
        <f t="shared" ref="AB5:AB6" si="5">U5+X5+Y5+Z5+AA5</f>
        <v>4236200</v>
      </c>
      <c r="AC5" s="432">
        <v>30000</v>
      </c>
      <c r="AD5" s="431">
        <f t="shared" ref="AD5:AD6" si="6">U5*12%</f>
        <v>480336</v>
      </c>
      <c r="AE5" s="431">
        <f t="shared" ref="AE5:AE6" si="7">X5*12%+Y5*12%+Z5*12%+AA5*12%</f>
        <v>28008</v>
      </c>
      <c r="AF5" s="431">
        <f>U5*7%+4</f>
        <v>280200</v>
      </c>
      <c r="AG5" s="431">
        <v>6000</v>
      </c>
      <c r="AH5" s="431">
        <f t="shared" ref="AH5:AH6" si="8">AB5+AC5+AD5+AE5+AF5+AG5</f>
        <v>5060744</v>
      </c>
      <c r="AI5" s="440">
        <v>800560</v>
      </c>
      <c r="AJ5" s="441">
        <v>96067</v>
      </c>
      <c r="AK5" s="443"/>
      <c r="AL5" s="428" t="s">
        <v>1024</v>
      </c>
      <c r="AM5" s="441">
        <v>48034</v>
      </c>
      <c r="AN5" s="443"/>
      <c r="AO5" s="433" t="s">
        <v>732</v>
      </c>
      <c r="AP5" s="428">
        <v>0</v>
      </c>
      <c r="AQ5" s="443"/>
      <c r="AR5" s="428">
        <v>0</v>
      </c>
      <c r="AS5" s="428">
        <v>0</v>
      </c>
      <c r="AT5" s="443"/>
      <c r="AU5" s="428" t="s">
        <v>679</v>
      </c>
      <c r="AV5" s="428"/>
      <c r="AW5" s="433" t="s">
        <v>732</v>
      </c>
      <c r="AX5" s="433" t="s">
        <v>83</v>
      </c>
      <c r="AY5" s="444">
        <v>0</v>
      </c>
      <c r="AZ5" s="428">
        <v>0</v>
      </c>
      <c r="BA5" s="428">
        <v>0</v>
      </c>
      <c r="BB5" s="428">
        <v>0</v>
      </c>
      <c r="BC5" s="428"/>
      <c r="BD5" s="428"/>
      <c r="BE5" s="428"/>
      <c r="BF5" s="428"/>
      <c r="BG5" s="428"/>
      <c r="BH5" s="428"/>
      <c r="BI5" s="428"/>
      <c r="BJ5" s="428"/>
      <c r="BK5" s="428"/>
      <c r="BL5" s="428"/>
      <c r="BM5" s="428"/>
      <c r="BN5" s="428"/>
    </row>
    <row r="6" spans="1:66" ht="24.75" customHeight="1" x14ac:dyDescent="0.2">
      <c r="A6" s="428">
        <v>5</v>
      </c>
      <c r="B6" s="428" t="s">
        <v>1025</v>
      </c>
      <c r="C6" s="442"/>
      <c r="D6" s="428" t="s">
        <v>1008</v>
      </c>
      <c r="E6" s="430" t="s">
        <v>1026</v>
      </c>
      <c r="F6" s="428" t="s">
        <v>175</v>
      </c>
      <c r="G6" s="428"/>
      <c r="H6" s="428" t="s">
        <v>1027</v>
      </c>
      <c r="I6" s="428">
        <v>12</v>
      </c>
      <c r="J6" s="439">
        <v>41.01</v>
      </c>
      <c r="K6" s="439">
        <v>441</v>
      </c>
      <c r="L6" s="439">
        <v>0</v>
      </c>
      <c r="M6" s="439">
        <v>0</v>
      </c>
      <c r="N6" s="439">
        <v>0</v>
      </c>
      <c r="O6" s="439">
        <v>441</v>
      </c>
      <c r="P6" s="428">
        <v>639</v>
      </c>
      <c r="Q6" s="428">
        <v>8000</v>
      </c>
      <c r="R6" s="431">
        <f t="shared" si="3"/>
        <v>5112000</v>
      </c>
      <c r="S6" s="432">
        <v>500000</v>
      </c>
      <c r="T6" s="432">
        <v>70000</v>
      </c>
      <c r="U6" s="431">
        <f t="shared" si="4"/>
        <v>5682000</v>
      </c>
      <c r="V6" s="431">
        <v>0</v>
      </c>
      <c r="W6" s="431">
        <v>0</v>
      </c>
      <c r="X6" s="431">
        <v>159750</v>
      </c>
      <c r="Y6" s="431">
        <v>127800</v>
      </c>
      <c r="Z6" s="431">
        <v>95850</v>
      </c>
      <c r="AA6" s="431">
        <v>0</v>
      </c>
      <c r="AB6" s="431">
        <f t="shared" si="5"/>
        <v>6065400</v>
      </c>
      <c r="AC6" s="432">
        <v>30000</v>
      </c>
      <c r="AD6" s="431">
        <f t="shared" si="6"/>
        <v>681840</v>
      </c>
      <c r="AE6" s="431">
        <f t="shared" si="7"/>
        <v>46008</v>
      </c>
      <c r="AF6" s="431">
        <f>U6*7%+60</f>
        <v>397800.00000000006</v>
      </c>
      <c r="AG6" s="431">
        <v>6000</v>
      </c>
      <c r="AH6" s="431">
        <f t="shared" si="8"/>
        <v>7227048</v>
      </c>
      <c r="AI6" s="440">
        <v>0</v>
      </c>
      <c r="AJ6" s="441">
        <v>0</v>
      </c>
      <c r="AK6" s="443"/>
      <c r="AL6" s="428"/>
      <c r="AM6" s="441"/>
      <c r="AN6" s="443"/>
      <c r="AO6" s="433" t="s">
        <v>732</v>
      </c>
      <c r="AP6" s="428">
        <v>0</v>
      </c>
      <c r="AQ6" s="443"/>
      <c r="AR6" s="428">
        <v>0</v>
      </c>
      <c r="AS6" s="428">
        <v>0</v>
      </c>
      <c r="AT6" s="443"/>
      <c r="AU6" s="428" t="s">
        <v>696</v>
      </c>
      <c r="AV6" s="428"/>
      <c r="AW6" s="433" t="s">
        <v>732</v>
      </c>
      <c r="AX6" s="445" t="s">
        <v>1028</v>
      </c>
      <c r="AY6" s="444">
        <v>0</v>
      </c>
      <c r="AZ6" s="428">
        <v>0</v>
      </c>
      <c r="BA6" s="428">
        <v>0</v>
      </c>
      <c r="BB6" s="428">
        <v>0</v>
      </c>
      <c r="BC6" s="428"/>
      <c r="BD6" s="428"/>
      <c r="BE6" s="428"/>
      <c r="BF6" s="428"/>
      <c r="BG6" s="428"/>
      <c r="BH6" s="428"/>
      <c r="BI6" s="428"/>
      <c r="BJ6" s="428"/>
      <c r="BK6" s="428"/>
      <c r="BL6" s="428"/>
      <c r="BM6" s="428"/>
      <c r="BN6" s="428"/>
    </row>
    <row r="7" spans="1:66" ht="15.75" customHeight="1" x14ac:dyDescent="0.25">
      <c r="A7" s="446">
        <v>6</v>
      </c>
      <c r="B7" s="429" t="s">
        <v>1029</v>
      </c>
      <c r="C7" s="429"/>
      <c r="D7" s="429" t="s">
        <v>1008</v>
      </c>
      <c r="E7" s="447" t="s">
        <v>1030</v>
      </c>
      <c r="F7" s="429" t="s">
        <v>175</v>
      </c>
      <c r="G7" s="429"/>
      <c r="H7" s="429" t="s">
        <v>729</v>
      </c>
      <c r="I7" s="429">
        <v>17</v>
      </c>
      <c r="J7" s="448"/>
      <c r="K7" s="448"/>
      <c r="L7" s="448"/>
      <c r="M7" s="448"/>
      <c r="N7" s="448"/>
      <c r="O7" s="448"/>
      <c r="P7" s="448"/>
      <c r="Q7" s="429">
        <v>10500</v>
      </c>
      <c r="R7" s="448"/>
      <c r="S7" s="448"/>
      <c r="T7" s="449"/>
      <c r="U7" s="449"/>
      <c r="V7" s="449"/>
      <c r="W7" s="449"/>
      <c r="X7" s="449"/>
      <c r="Y7" s="449"/>
      <c r="Z7" s="449"/>
      <c r="AA7" s="449"/>
      <c r="AB7" s="449">
        <v>5158000</v>
      </c>
      <c r="AC7" s="449"/>
      <c r="AD7" s="449"/>
      <c r="AE7" s="449"/>
      <c r="AF7" s="449"/>
      <c r="AG7" s="449"/>
      <c r="AH7" s="449"/>
      <c r="AI7" s="449"/>
      <c r="AJ7" s="449"/>
      <c r="AK7" s="449"/>
      <c r="AL7" s="449"/>
      <c r="AM7" s="449"/>
      <c r="AN7" s="429"/>
      <c r="AO7" s="433" t="s">
        <v>732</v>
      </c>
      <c r="AP7" s="429"/>
      <c r="AQ7" s="429"/>
      <c r="AR7" s="429"/>
      <c r="AS7" s="429"/>
      <c r="AT7" s="429"/>
      <c r="AU7" s="429" t="s">
        <v>696</v>
      </c>
      <c r="AV7" s="429"/>
      <c r="AW7" s="429" t="s">
        <v>732</v>
      </c>
      <c r="AX7" s="429" t="s">
        <v>1031</v>
      </c>
      <c r="AY7" s="450">
        <v>0</v>
      </c>
      <c r="AZ7" s="429">
        <v>0</v>
      </c>
      <c r="BA7" s="429">
        <v>0</v>
      </c>
      <c r="BB7" s="429">
        <v>0</v>
      </c>
      <c r="BC7" s="429" t="s">
        <v>873</v>
      </c>
      <c r="BD7" s="429"/>
      <c r="BE7" s="448"/>
      <c r="BF7" s="448"/>
      <c r="BG7" s="448"/>
      <c r="BH7" s="448"/>
      <c r="BI7" s="448"/>
      <c r="BJ7" s="448"/>
      <c r="BK7" s="448"/>
      <c r="BL7" s="448"/>
      <c r="BM7" s="448"/>
      <c r="BN7" s="448"/>
    </row>
    <row r="8" spans="1:66" ht="15.75" customHeight="1" x14ac:dyDescent="0.25">
      <c r="A8" s="429">
        <v>7</v>
      </c>
      <c r="B8" s="429" t="s">
        <v>1032</v>
      </c>
      <c r="C8" s="429"/>
      <c r="D8" s="429" t="s">
        <v>1008</v>
      </c>
      <c r="E8" s="447" t="s">
        <v>1033</v>
      </c>
      <c r="F8" s="429" t="s">
        <v>175</v>
      </c>
      <c r="G8" s="429">
        <v>9960041585</v>
      </c>
      <c r="H8" s="429" t="s">
        <v>694</v>
      </c>
      <c r="I8" s="429">
        <v>17</v>
      </c>
      <c r="J8" s="448">
        <v>33</v>
      </c>
      <c r="K8" s="448">
        <v>355</v>
      </c>
      <c r="L8" s="448">
        <v>0</v>
      </c>
      <c r="M8" s="448">
        <v>0</v>
      </c>
      <c r="N8" s="448">
        <v>0</v>
      </c>
      <c r="O8" s="448">
        <v>355</v>
      </c>
      <c r="P8" s="449">
        <v>533</v>
      </c>
      <c r="Q8" s="451">
        <v>14983</v>
      </c>
      <c r="R8" s="449">
        <v>7985939</v>
      </c>
      <c r="S8" s="449">
        <v>500000</v>
      </c>
      <c r="T8" s="449">
        <v>70000</v>
      </c>
      <c r="U8" s="449">
        <v>8555939</v>
      </c>
      <c r="V8" s="449">
        <v>0</v>
      </c>
      <c r="W8" s="449">
        <v>0</v>
      </c>
      <c r="X8" s="449">
        <v>133250</v>
      </c>
      <c r="Y8" s="449">
        <v>106600</v>
      </c>
      <c r="Z8" s="449">
        <v>79950</v>
      </c>
      <c r="AA8" s="449">
        <v>0</v>
      </c>
      <c r="AB8" s="449">
        <v>8875739</v>
      </c>
      <c r="AC8" s="449">
        <v>30000</v>
      </c>
      <c r="AD8" s="449">
        <v>1065088</v>
      </c>
      <c r="AE8" s="449">
        <f>X8*12%+Y8*12%+Z8*12%+AA8*12%</f>
        <v>38376</v>
      </c>
      <c r="AF8" s="449">
        <v>513400</v>
      </c>
      <c r="AG8" s="449">
        <v>6000</v>
      </c>
      <c r="AH8" s="449">
        <v>10490227</v>
      </c>
      <c r="AI8" s="451">
        <v>770035</v>
      </c>
      <c r="AJ8" s="449">
        <v>92404</v>
      </c>
      <c r="AK8" s="449"/>
      <c r="AL8" s="449">
        <v>1796747</v>
      </c>
      <c r="AM8" s="449">
        <v>215610</v>
      </c>
      <c r="AN8" s="429"/>
      <c r="AO8" s="433" t="s">
        <v>732</v>
      </c>
      <c r="AP8" s="429">
        <v>154007</v>
      </c>
      <c r="AQ8" s="429"/>
      <c r="AR8" s="429">
        <v>427797</v>
      </c>
      <c r="AS8" s="429">
        <v>51336</v>
      </c>
      <c r="AT8" s="429"/>
      <c r="AU8" s="429" t="s">
        <v>696</v>
      </c>
      <c r="AV8" s="429" t="s">
        <v>1034</v>
      </c>
      <c r="AW8" s="429" t="s">
        <v>732</v>
      </c>
      <c r="AX8" s="429" t="s">
        <v>83</v>
      </c>
      <c r="AY8" s="450">
        <v>0</v>
      </c>
      <c r="AZ8" s="429">
        <v>0</v>
      </c>
      <c r="BA8" s="429">
        <v>0</v>
      </c>
      <c r="BB8" s="429">
        <v>0</v>
      </c>
      <c r="BC8" s="429" t="s">
        <v>873</v>
      </c>
      <c r="BD8" s="429"/>
      <c r="BE8" s="448"/>
      <c r="BF8" s="448"/>
      <c r="BG8" s="448"/>
      <c r="BH8" s="448"/>
      <c r="BI8" s="448"/>
      <c r="BJ8" s="448"/>
      <c r="BK8" s="448"/>
      <c r="BL8" s="448"/>
      <c r="BM8" s="448"/>
      <c r="BN8" s="448"/>
    </row>
    <row r="9" spans="1:66" ht="15.75" customHeight="1" x14ac:dyDescent="0.2">
      <c r="A9" s="428">
        <v>8</v>
      </c>
      <c r="B9" s="428" t="s">
        <v>1035</v>
      </c>
      <c r="C9" s="442"/>
      <c r="D9" s="429" t="s">
        <v>1008</v>
      </c>
      <c r="E9" s="430" t="s">
        <v>1036</v>
      </c>
      <c r="F9" s="428" t="s">
        <v>175</v>
      </c>
      <c r="G9" s="428">
        <v>7775896046</v>
      </c>
      <c r="H9" s="428" t="s">
        <v>811</v>
      </c>
      <c r="I9" s="452">
        <v>16</v>
      </c>
      <c r="J9" s="439">
        <v>50.64</v>
      </c>
      <c r="K9" s="439">
        <v>545</v>
      </c>
      <c r="L9" s="439">
        <v>0</v>
      </c>
      <c r="M9" s="439">
        <v>0</v>
      </c>
      <c r="N9" s="439">
        <v>0</v>
      </c>
      <c r="O9" s="439">
        <v>545</v>
      </c>
      <c r="P9" s="428">
        <v>790</v>
      </c>
      <c r="Q9" s="452">
        <v>6400</v>
      </c>
      <c r="R9" s="453">
        <v>5057000</v>
      </c>
      <c r="S9" s="432">
        <v>500000</v>
      </c>
      <c r="T9" s="432">
        <v>105000</v>
      </c>
      <c r="U9" s="432">
        <v>5662600</v>
      </c>
      <c r="V9" s="431">
        <v>0</v>
      </c>
      <c r="W9" s="431">
        <v>0</v>
      </c>
      <c r="X9" s="431">
        <v>197563</v>
      </c>
      <c r="Y9" s="431">
        <v>158050</v>
      </c>
      <c r="Z9" s="431">
        <v>118538</v>
      </c>
      <c r="AA9" s="431">
        <v>0</v>
      </c>
      <c r="AB9" s="431">
        <f>U9+X9+Y9+Z9+AA9-1</f>
        <v>6136750</v>
      </c>
      <c r="AC9" s="432">
        <v>30000</v>
      </c>
      <c r="AD9" s="431">
        <v>736410</v>
      </c>
      <c r="AE9" s="431">
        <f t="shared" ref="AE9:AE10" si="9">X9*12%+Y9*12%+Z9*12%+AA9*12% -1</f>
        <v>56897.119999999995</v>
      </c>
      <c r="AF9" s="431">
        <v>339800</v>
      </c>
      <c r="AG9" s="431">
        <v>6000</v>
      </c>
      <c r="AH9" s="431">
        <v>7248960</v>
      </c>
      <c r="AI9" s="440">
        <v>0</v>
      </c>
      <c r="AJ9" s="441">
        <v>0</v>
      </c>
      <c r="AK9" s="452" t="s">
        <v>882</v>
      </c>
      <c r="AL9" s="428">
        <v>1132520</v>
      </c>
      <c r="AM9" s="441">
        <v>135902</v>
      </c>
      <c r="AN9" s="443"/>
      <c r="AO9" s="433" t="s">
        <v>732</v>
      </c>
      <c r="AP9" s="428">
        <v>101927</v>
      </c>
      <c r="AQ9" s="443"/>
      <c r="AR9" s="428">
        <v>283130</v>
      </c>
      <c r="AS9" s="428">
        <v>33976</v>
      </c>
      <c r="AT9" s="443"/>
      <c r="AU9" s="428" t="s">
        <v>696</v>
      </c>
      <c r="AV9" s="428" t="s">
        <v>1037</v>
      </c>
      <c r="AW9" s="433" t="s">
        <v>732</v>
      </c>
      <c r="AX9" s="445" t="s">
        <v>1028</v>
      </c>
      <c r="AY9" s="444">
        <v>0.03</v>
      </c>
      <c r="AZ9" s="428">
        <v>20000</v>
      </c>
      <c r="BA9" s="431">
        <f t="shared" ref="BA9:BA10" si="10">R9*3%+AZ9</f>
        <v>171710</v>
      </c>
      <c r="BB9" s="428" t="s">
        <v>702</v>
      </c>
      <c r="BC9" s="428"/>
      <c r="BD9" s="428"/>
      <c r="BE9" s="428"/>
      <c r="BF9" s="428"/>
      <c r="BG9" s="437"/>
      <c r="BH9" s="437"/>
      <c r="BI9" s="437"/>
      <c r="BJ9" s="437"/>
      <c r="BK9" s="437"/>
      <c r="BL9" s="437"/>
      <c r="BM9" s="437"/>
      <c r="BN9" s="437"/>
    </row>
    <row r="10" spans="1:66" ht="15.75" customHeight="1" x14ac:dyDescent="0.2">
      <c r="A10" s="428">
        <v>9</v>
      </c>
      <c r="B10" s="442">
        <v>43868</v>
      </c>
      <c r="C10" s="442"/>
      <c r="D10" s="429" t="s">
        <v>1008</v>
      </c>
      <c r="E10" s="430" t="s">
        <v>1038</v>
      </c>
      <c r="F10" s="428" t="s">
        <v>175</v>
      </c>
      <c r="G10" s="428">
        <v>9970288613</v>
      </c>
      <c r="H10" s="428" t="s">
        <v>844</v>
      </c>
      <c r="I10" s="428">
        <v>10</v>
      </c>
      <c r="J10" s="439">
        <v>50.64</v>
      </c>
      <c r="K10" s="439">
        <v>545</v>
      </c>
      <c r="L10" s="439">
        <v>0</v>
      </c>
      <c r="M10" s="439">
        <v>0</v>
      </c>
      <c r="N10" s="439">
        <v>0</v>
      </c>
      <c r="O10" s="439">
        <v>545</v>
      </c>
      <c r="P10" s="428">
        <v>790</v>
      </c>
      <c r="Q10" s="428">
        <v>6000</v>
      </c>
      <c r="R10" s="431">
        <v>4740000</v>
      </c>
      <c r="S10" s="432">
        <v>500000</v>
      </c>
      <c r="T10" s="432">
        <v>105000</v>
      </c>
      <c r="U10" s="432">
        <v>5345000</v>
      </c>
      <c r="V10" s="431">
        <v>0</v>
      </c>
      <c r="W10" s="431">
        <v>0</v>
      </c>
      <c r="X10" s="431">
        <v>197500</v>
      </c>
      <c r="Y10" s="431">
        <v>158000</v>
      </c>
      <c r="Z10" s="431">
        <v>118500</v>
      </c>
      <c r="AA10" s="431">
        <v>0</v>
      </c>
      <c r="AB10" s="431">
        <v>5819000</v>
      </c>
      <c r="AC10" s="432">
        <v>30000</v>
      </c>
      <c r="AD10" s="431">
        <v>698280</v>
      </c>
      <c r="AE10" s="431">
        <f t="shared" si="9"/>
        <v>56879</v>
      </c>
      <c r="AF10" s="431">
        <v>320700</v>
      </c>
      <c r="AG10" s="431">
        <v>6000</v>
      </c>
      <c r="AH10" s="431">
        <v>6873980</v>
      </c>
      <c r="AI10" s="454">
        <v>481050</v>
      </c>
      <c r="AJ10" s="431">
        <v>57726</v>
      </c>
      <c r="AK10" s="431"/>
      <c r="AL10" s="431">
        <v>1122450</v>
      </c>
      <c r="AM10" s="431">
        <v>134694</v>
      </c>
      <c r="AN10" s="428"/>
      <c r="AO10" s="433" t="s">
        <v>732</v>
      </c>
      <c r="AP10" s="428">
        <v>96210</v>
      </c>
      <c r="AQ10" s="428"/>
      <c r="AR10" s="428">
        <v>267250</v>
      </c>
      <c r="AS10" s="428">
        <v>32070</v>
      </c>
      <c r="AT10" s="428"/>
      <c r="AU10" s="428" t="s">
        <v>696</v>
      </c>
      <c r="AV10" s="428" t="s">
        <v>1039</v>
      </c>
      <c r="AW10" s="433" t="s">
        <v>732</v>
      </c>
      <c r="AX10" s="433" t="s">
        <v>1040</v>
      </c>
      <c r="AY10" s="444">
        <v>0.03</v>
      </c>
      <c r="AZ10" s="428">
        <v>20000</v>
      </c>
      <c r="BA10" s="431">
        <f t="shared" si="10"/>
        <v>162200</v>
      </c>
      <c r="BB10" s="428" t="s">
        <v>702</v>
      </c>
      <c r="BC10" s="428" t="s">
        <v>1041</v>
      </c>
      <c r="BD10" s="428"/>
      <c r="BE10" s="428"/>
      <c r="BF10" s="428"/>
      <c r="BG10" s="437"/>
      <c r="BH10" s="437"/>
      <c r="BI10" s="437"/>
      <c r="BJ10" s="437"/>
      <c r="BK10" s="437"/>
      <c r="BL10" s="437"/>
      <c r="BM10" s="437"/>
      <c r="BN10" s="437"/>
    </row>
    <row r="11" spans="1:66" ht="15.75" customHeight="1" x14ac:dyDescent="0.2">
      <c r="A11" s="428">
        <v>10</v>
      </c>
      <c r="B11" s="442">
        <v>43923</v>
      </c>
      <c r="C11" s="442"/>
      <c r="D11" s="429" t="s">
        <v>1008</v>
      </c>
      <c r="E11" s="430" t="s">
        <v>1042</v>
      </c>
      <c r="F11" s="428" t="s">
        <v>175</v>
      </c>
      <c r="G11" s="428">
        <v>9850066849</v>
      </c>
      <c r="H11" s="428" t="s">
        <v>729</v>
      </c>
      <c r="I11" s="428">
        <v>18</v>
      </c>
      <c r="J11" s="439">
        <v>21.5</v>
      </c>
      <c r="K11" s="439">
        <v>231</v>
      </c>
      <c r="L11" s="439">
        <v>0</v>
      </c>
      <c r="M11" s="439">
        <v>0</v>
      </c>
      <c r="N11" s="439">
        <v>0</v>
      </c>
      <c r="O11" s="439">
        <v>231</v>
      </c>
      <c r="P11" s="428">
        <v>347</v>
      </c>
      <c r="Q11" s="428">
        <v>9000</v>
      </c>
      <c r="R11" s="431">
        <f>P11*Q11</f>
        <v>3123000</v>
      </c>
      <c r="S11" s="432">
        <v>500000</v>
      </c>
      <c r="T11" s="432">
        <v>35000</v>
      </c>
      <c r="U11" s="432">
        <f>R11+S11+T11</f>
        <v>3658000</v>
      </c>
      <c r="V11" s="431">
        <v>0</v>
      </c>
      <c r="W11" s="431">
        <v>0</v>
      </c>
      <c r="X11" s="431">
        <v>86750</v>
      </c>
      <c r="Y11" s="431">
        <v>69400</v>
      </c>
      <c r="Z11" s="431">
        <v>52050</v>
      </c>
      <c r="AA11" s="431">
        <v>0</v>
      </c>
      <c r="AB11" s="431">
        <f>U11+X11+Y11+Z11+AA11</f>
        <v>3866200</v>
      </c>
      <c r="AC11" s="432">
        <v>30000</v>
      </c>
      <c r="AD11" s="431">
        <f>U11*12%</f>
        <v>438960</v>
      </c>
      <c r="AE11" s="431">
        <f t="shared" ref="AE11:AE14" si="11">X11*12%+Y11*12%+Z11*12%+AA11*12%</f>
        <v>24984</v>
      </c>
      <c r="AF11" s="431">
        <f>U11*7%+40</f>
        <v>256100.00000000003</v>
      </c>
      <c r="AG11" s="431">
        <v>6000</v>
      </c>
      <c r="AH11" s="431">
        <f>AB11+AC11+AD11+AE11+AF11+AG11</f>
        <v>4622244</v>
      </c>
      <c r="AI11" s="454">
        <v>329220</v>
      </c>
      <c r="AJ11" s="431">
        <v>39506</v>
      </c>
      <c r="AK11" s="431">
        <v>43880</v>
      </c>
      <c r="AL11" s="431">
        <v>768180</v>
      </c>
      <c r="AM11" s="431">
        <v>92182</v>
      </c>
      <c r="AN11" s="428"/>
      <c r="AO11" s="433" t="s">
        <v>732</v>
      </c>
      <c r="AP11" s="428">
        <v>0</v>
      </c>
      <c r="AQ11" s="428"/>
      <c r="AR11" s="428">
        <v>0</v>
      </c>
      <c r="AS11" s="428">
        <v>0</v>
      </c>
      <c r="AT11" s="428"/>
      <c r="AU11" s="428" t="s">
        <v>679</v>
      </c>
      <c r="AV11" s="428" t="s">
        <v>1043</v>
      </c>
      <c r="AW11" s="433" t="s">
        <v>732</v>
      </c>
      <c r="AX11" s="433" t="s">
        <v>83</v>
      </c>
      <c r="AY11" s="444">
        <v>0</v>
      </c>
      <c r="AZ11" s="428">
        <v>0</v>
      </c>
      <c r="BA11" s="431">
        <v>0</v>
      </c>
      <c r="BB11" s="428">
        <v>0</v>
      </c>
      <c r="BC11" s="428"/>
      <c r="BD11" s="428"/>
      <c r="BE11" s="428"/>
      <c r="BF11" s="428"/>
      <c r="BG11" s="437"/>
      <c r="BH11" s="437"/>
      <c r="BI11" s="437"/>
      <c r="BJ11" s="437"/>
      <c r="BK11" s="437"/>
      <c r="BL11" s="437"/>
      <c r="BM11" s="437"/>
      <c r="BN11" s="437"/>
    </row>
    <row r="12" spans="1:66" ht="15.75" customHeight="1" x14ac:dyDescent="0.2">
      <c r="A12" s="428">
        <v>11</v>
      </c>
      <c r="B12" s="429" t="s">
        <v>913</v>
      </c>
      <c r="C12" s="429"/>
      <c r="D12" s="429" t="s">
        <v>1008</v>
      </c>
      <c r="E12" s="447" t="s">
        <v>1044</v>
      </c>
      <c r="F12" s="429" t="s">
        <v>175</v>
      </c>
      <c r="G12" s="429">
        <v>9923072767</v>
      </c>
      <c r="H12" s="429" t="s">
        <v>677</v>
      </c>
      <c r="I12" s="429">
        <v>28</v>
      </c>
      <c r="J12" s="455">
        <v>26.25</v>
      </c>
      <c r="K12" s="455">
        <v>283</v>
      </c>
      <c r="L12" s="455">
        <v>0</v>
      </c>
      <c r="M12" s="455">
        <v>0</v>
      </c>
      <c r="N12" s="455">
        <v>0</v>
      </c>
      <c r="O12" s="455">
        <v>283</v>
      </c>
      <c r="P12" s="455">
        <v>425</v>
      </c>
      <c r="Q12" s="429">
        <v>10000</v>
      </c>
      <c r="R12" s="456">
        <v>4245000</v>
      </c>
      <c r="S12" s="456">
        <v>0</v>
      </c>
      <c r="T12" s="451">
        <v>35000</v>
      </c>
      <c r="U12" s="451">
        <v>4280000</v>
      </c>
      <c r="V12" s="451">
        <v>0</v>
      </c>
      <c r="W12" s="451">
        <v>0</v>
      </c>
      <c r="X12" s="451">
        <v>106125</v>
      </c>
      <c r="Y12" s="451">
        <v>84900</v>
      </c>
      <c r="Z12" s="451">
        <v>63675</v>
      </c>
      <c r="AA12" s="451">
        <v>0</v>
      </c>
      <c r="AB12" s="451">
        <v>4534700</v>
      </c>
      <c r="AC12" s="451">
        <v>30000</v>
      </c>
      <c r="AD12" s="451">
        <v>544164</v>
      </c>
      <c r="AE12" s="451">
        <f t="shared" si="11"/>
        <v>30564</v>
      </c>
      <c r="AF12" s="451">
        <v>128400</v>
      </c>
      <c r="AG12" s="451">
        <v>6000</v>
      </c>
      <c r="AH12" s="451">
        <v>5243264</v>
      </c>
      <c r="AI12" s="451">
        <v>428000</v>
      </c>
      <c r="AJ12" s="451">
        <v>51360</v>
      </c>
      <c r="AK12" s="457"/>
      <c r="AL12" s="451">
        <v>856000</v>
      </c>
      <c r="AM12" s="451">
        <v>102720</v>
      </c>
      <c r="AN12" s="429"/>
      <c r="AO12" s="429" t="s">
        <v>732</v>
      </c>
      <c r="AP12" s="429" t="s">
        <v>331</v>
      </c>
      <c r="AQ12" s="429"/>
      <c r="AR12" s="429">
        <v>214000</v>
      </c>
      <c r="AS12" s="429">
        <v>25680</v>
      </c>
      <c r="AT12" s="429"/>
      <c r="AU12" s="429"/>
      <c r="AV12" s="429" t="s">
        <v>1045</v>
      </c>
      <c r="AW12" s="429" t="s">
        <v>732</v>
      </c>
      <c r="AX12" s="429" t="s">
        <v>331</v>
      </c>
      <c r="AY12" s="450">
        <v>0.03</v>
      </c>
      <c r="AZ12" s="429">
        <v>20000</v>
      </c>
      <c r="BA12" s="429">
        <v>0</v>
      </c>
      <c r="BB12" s="429">
        <v>0</v>
      </c>
      <c r="BC12" s="429" t="s">
        <v>873</v>
      </c>
      <c r="BD12" s="428"/>
      <c r="BE12" s="428"/>
      <c r="BF12" s="428"/>
      <c r="BG12" s="437"/>
      <c r="BH12" s="437"/>
      <c r="BI12" s="437"/>
      <c r="BJ12" s="437"/>
      <c r="BK12" s="437"/>
      <c r="BL12" s="437"/>
      <c r="BM12" s="437"/>
      <c r="BN12" s="437"/>
    </row>
    <row r="13" spans="1:66" ht="15.75" customHeight="1" x14ac:dyDescent="0.2">
      <c r="A13" s="428">
        <v>12</v>
      </c>
      <c r="B13" s="428" t="s">
        <v>1046</v>
      </c>
      <c r="C13" s="442"/>
      <c r="D13" s="429" t="s">
        <v>1008</v>
      </c>
      <c r="E13" s="430" t="s">
        <v>1047</v>
      </c>
      <c r="F13" s="428" t="s">
        <v>175</v>
      </c>
      <c r="G13" s="428">
        <v>9080610497</v>
      </c>
      <c r="H13" s="428" t="s">
        <v>844</v>
      </c>
      <c r="I13" s="428">
        <v>22</v>
      </c>
      <c r="J13" s="439">
        <v>66.650000000000006</v>
      </c>
      <c r="K13" s="439">
        <v>717</v>
      </c>
      <c r="L13" s="439">
        <v>0</v>
      </c>
      <c r="M13" s="439">
        <v>0</v>
      </c>
      <c r="N13" s="439">
        <v>0</v>
      </c>
      <c r="O13" s="439">
        <v>717</v>
      </c>
      <c r="P13" s="428">
        <v>1040</v>
      </c>
      <c r="Q13" s="428">
        <v>6700</v>
      </c>
      <c r="R13" s="431">
        <f>P13*Q13</f>
        <v>6968000</v>
      </c>
      <c r="S13" s="432">
        <v>500000</v>
      </c>
      <c r="T13" s="432">
        <v>140000</v>
      </c>
      <c r="U13" s="431">
        <f>R13+S13+T13</f>
        <v>7608000</v>
      </c>
      <c r="V13" s="431">
        <v>0</v>
      </c>
      <c r="W13" s="431">
        <v>0</v>
      </c>
      <c r="X13" s="431">
        <v>260000</v>
      </c>
      <c r="Y13" s="431">
        <v>208000</v>
      </c>
      <c r="Z13" s="431">
        <v>156000</v>
      </c>
      <c r="AA13" s="431">
        <v>0</v>
      </c>
      <c r="AB13" s="431">
        <f>U13+X13+Y13+Z13+AA13</f>
        <v>8232000</v>
      </c>
      <c r="AC13" s="432">
        <v>30000</v>
      </c>
      <c r="AD13" s="431">
        <f>U13*12%</f>
        <v>912960</v>
      </c>
      <c r="AE13" s="431">
        <f t="shared" si="11"/>
        <v>74880</v>
      </c>
      <c r="AF13" s="431">
        <f>U13*7%+40</f>
        <v>532600</v>
      </c>
      <c r="AG13" s="431">
        <v>6000</v>
      </c>
      <c r="AH13" s="431">
        <f>AB13+AC13+AD13+AE13+AF13+AG13</f>
        <v>9788440</v>
      </c>
      <c r="AI13" s="440">
        <v>684720</v>
      </c>
      <c r="AJ13" s="441">
        <v>82166</v>
      </c>
      <c r="AK13" s="443">
        <v>43900</v>
      </c>
      <c r="AL13" s="428">
        <v>1597680</v>
      </c>
      <c r="AM13" s="441">
        <v>191722</v>
      </c>
      <c r="AN13" s="443">
        <v>43900</v>
      </c>
      <c r="AO13" s="428" t="s">
        <v>732</v>
      </c>
      <c r="AP13" s="428">
        <v>136944</v>
      </c>
      <c r="AQ13" s="443">
        <v>43900</v>
      </c>
      <c r="AR13" s="428">
        <v>380400</v>
      </c>
      <c r="AS13" s="428">
        <v>45648</v>
      </c>
      <c r="AT13" s="443">
        <v>43900</v>
      </c>
      <c r="AU13" s="428" t="s">
        <v>679</v>
      </c>
      <c r="AV13" s="428" t="s">
        <v>1048</v>
      </c>
      <c r="AW13" s="433" t="s">
        <v>732</v>
      </c>
      <c r="AX13" s="433" t="s">
        <v>83</v>
      </c>
      <c r="AY13" s="444">
        <v>0</v>
      </c>
      <c r="AZ13" s="428">
        <v>0</v>
      </c>
      <c r="BA13" s="428">
        <v>0</v>
      </c>
      <c r="BB13" s="428">
        <v>0</v>
      </c>
      <c r="BC13" s="428"/>
      <c r="BD13" s="428"/>
      <c r="BE13" s="428"/>
      <c r="BF13" s="428"/>
      <c r="BG13" s="437"/>
      <c r="BH13" s="437"/>
      <c r="BI13" s="437"/>
      <c r="BJ13" s="437"/>
      <c r="BK13" s="437"/>
      <c r="BL13" s="437"/>
      <c r="BM13" s="437"/>
      <c r="BN13" s="437"/>
    </row>
    <row r="14" spans="1:66" ht="15.75" customHeight="1" x14ac:dyDescent="0.25">
      <c r="A14" s="323">
        <f>A13+1</f>
        <v>13</v>
      </c>
      <c r="B14" s="389" t="s">
        <v>910</v>
      </c>
      <c r="C14" s="389"/>
      <c r="D14" s="389" t="s">
        <v>1008</v>
      </c>
      <c r="E14" s="388" t="s">
        <v>1049</v>
      </c>
      <c r="F14" s="389" t="s">
        <v>175</v>
      </c>
      <c r="G14" s="389">
        <v>9850955721</v>
      </c>
      <c r="H14" s="389" t="s">
        <v>729</v>
      </c>
      <c r="I14" s="389">
        <v>24</v>
      </c>
      <c r="J14" s="458">
        <v>17.64</v>
      </c>
      <c r="K14" s="458">
        <v>190</v>
      </c>
      <c r="L14" s="458">
        <v>0</v>
      </c>
      <c r="M14" s="458">
        <v>0</v>
      </c>
      <c r="N14" s="458">
        <v>0</v>
      </c>
      <c r="O14" s="458">
        <v>190</v>
      </c>
      <c r="P14" s="458">
        <v>285</v>
      </c>
      <c r="Q14" s="389">
        <v>8500</v>
      </c>
      <c r="R14" s="459">
        <v>2422500</v>
      </c>
      <c r="S14" s="459">
        <v>0</v>
      </c>
      <c r="T14" s="393">
        <v>35000</v>
      </c>
      <c r="U14" s="393">
        <v>2457500</v>
      </c>
      <c r="V14" s="393">
        <v>0</v>
      </c>
      <c r="W14" s="393">
        <v>0</v>
      </c>
      <c r="X14" s="393">
        <v>71250</v>
      </c>
      <c r="Y14" s="393">
        <v>57000</v>
      </c>
      <c r="Z14" s="393">
        <v>42750</v>
      </c>
      <c r="AA14" s="393">
        <v>0</v>
      </c>
      <c r="AB14" s="393">
        <v>2628500</v>
      </c>
      <c r="AC14" s="393">
        <v>30000</v>
      </c>
      <c r="AD14" s="393">
        <v>315420</v>
      </c>
      <c r="AE14" s="393">
        <f t="shared" si="11"/>
        <v>20520</v>
      </c>
      <c r="AF14" s="393">
        <v>73800</v>
      </c>
      <c r="AG14" s="393">
        <v>6000</v>
      </c>
      <c r="AH14" s="393">
        <v>3053720</v>
      </c>
      <c r="AI14" s="393">
        <v>122875</v>
      </c>
      <c r="AJ14" s="393">
        <v>14745</v>
      </c>
      <c r="AK14" s="460"/>
      <c r="AL14" s="393">
        <v>368625</v>
      </c>
      <c r="AM14" s="393">
        <v>44235</v>
      </c>
      <c r="AN14" s="389"/>
      <c r="AO14" s="389">
        <v>245750</v>
      </c>
      <c r="AP14" s="389">
        <v>29490</v>
      </c>
      <c r="AQ14" s="389"/>
      <c r="AR14" s="389">
        <v>491500</v>
      </c>
      <c r="AS14" s="389">
        <v>58980</v>
      </c>
      <c r="AT14" s="389"/>
      <c r="AU14" s="389"/>
      <c r="AV14" s="389" t="s">
        <v>1050</v>
      </c>
      <c r="AW14" s="389" t="s">
        <v>732</v>
      </c>
      <c r="AX14" s="389" t="s">
        <v>884</v>
      </c>
      <c r="AY14" s="461">
        <v>0</v>
      </c>
      <c r="AZ14" s="389">
        <v>0</v>
      </c>
      <c r="BA14" s="389">
        <v>0</v>
      </c>
      <c r="BB14" s="389">
        <v>0</v>
      </c>
      <c r="BC14" s="389" t="s">
        <v>873</v>
      </c>
      <c r="BD14" s="389"/>
      <c r="BE14" s="462"/>
      <c r="BF14" s="462"/>
      <c r="BG14" s="462"/>
      <c r="BH14" s="462"/>
      <c r="BI14" s="462"/>
      <c r="BJ14" s="462"/>
      <c r="BK14" s="462"/>
      <c r="BL14" s="462"/>
      <c r="BM14" s="462"/>
      <c r="BN14" s="462"/>
    </row>
    <row r="15" spans="1:66" ht="15.75" customHeight="1" x14ac:dyDescent="0.2">
      <c r="A15" s="289">
        <f>'Updated CRM Sheet'!A81+1</f>
        <v>77</v>
      </c>
      <c r="B15" s="290">
        <v>44290</v>
      </c>
      <c r="C15" s="289"/>
      <c r="D15" s="289" t="s">
        <v>702</v>
      </c>
      <c r="E15" s="291" t="s">
        <v>1051</v>
      </c>
      <c r="F15" s="354" t="s">
        <v>175</v>
      </c>
      <c r="G15" s="289"/>
      <c r="H15" s="289" t="s">
        <v>729</v>
      </c>
      <c r="I15" s="289">
        <v>6</v>
      </c>
      <c r="J15" s="295">
        <v>34.270000000000003</v>
      </c>
      <c r="K15" s="295">
        <v>369</v>
      </c>
      <c r="L15" s="295">
        <v>0</v>
      </c>
      <c r="M15" s="295">
        <v>0</v>
      </c>
      <c r="N15" s="295">
        <v>0</v>
      </c>
      <c r="O15" s="295">
        <v>369</v>
      </c>
      <c r="P15" s="353">
        <f t="shared" ref="P15:P16" si="12">O15*150%</f>
        <v>553.5</v>
      </c>
      <c r="Q15" s="289">
        <v>9000</v>
      </c>
      <c r="R15" s="295">
        <v>4981500</v>
      </c>
      <c r="S15" s="295">
        <v>0</v>
      </c>
      <c r="T15" s="358">
        <v>35000</v>
      </c>
      <c r="U15" s="293">
        <v>5016500</v>
      </c>
      <c r="V15" s="293">
        <v>0</v>
      </c>
      <c r="W15" s="293">
        <v>0</v>
      </c>
      <c r="X15" s="293">
        <v>138375</v>
      </c>
      <c r="Y15" s="293">
        <v>110700</v>
      </c>
      <c r="Z15" s="293">
        <v>83025</v>
      </c>
      <c r="AA15" s="293">
        <v>0</v>
      </c>
      <c r="AB15" s="293">
        <v>5348600</v>
      </c>
      <c r="AC15" s="358">
        <v>30000</v>
      </c>
      <c r="AD15" s="293">
        <v>332100</v>
      </c>
      <c r="AE15" s="293"/>
      <c r="AF15" s="293">
        <v>301000</v>
      </c>
      <c r="AG15" s="358">
        <v>6000</v>
      </c>
      <c r="AH15" s="293">
        <v>6327432</v>
      </c>
      <c r="AI15" s="293">
        <f>U15*9%</f>
        <v>451485</v>
      </c>
      <c r="AJ15" s="293">
        <f>AI15*12%</f>
        <v>54178.2</v>
      </c>
      <c r="AK15" s="293"/>
      <c r="AL15" s="293">
        <f>U15*21%</f>
        <v>1053465</v>
      </c>
      <c r="AM15" s="293">
        <f>AL15*12%</f>
        <v>126415.79999999999</v>
      </c>
      <c r="AN15" s="289"/>
      <c r="AO15" s="293">
        <f>U15*15%</f>
        <v>752475</v>
      </c>
      <c r="AP15" s="293">
        <f>AO15*12%</f>
        <v>90297</v>
      </c>
      <c r="AQ15" s="289"/>
      <c r="AR15" s="293">
        <f>U15*5%</f>
        <v>250825</v>
      </c>
      <c r="AS15" s="293">
        <f>AR15*12%</f>
        <v>30099</v>
      </c>
      <c r="AT15" s="289"/>
      <c r="AU15" s="289"/>
      <c r="AV15" s="289"/>
      <c r="AW15" s="354" t="s">
        <v>732</v>
      </c>
      <c r="AX15" s="298" t="s">
        <v>1052</v>
      </c>
      <c r="AY15" s="360">
        <v>0.03</v>
      </c>
      <c r="AZ15" s="354">
        <v>20000</v>
      </c>
      <c r="BA15" s="289">
        <v>0</v>
      </c>
      <c r="BB15" s="289">
        <v>0</v>
      </c>
      <c r="BC15" s="354" t="s">
        <v>873</v>
      </c>
      <c r="BD15" s="289"/>
      <c r="BE15" s="289"/>
      <c r="BF15" s="289"/>
      <c r="BG15" s="289"/>
      <c r="BH15" s="289"/>
      <c r="BI15" s="289"/>
      <c r="BJ15" s="289"/>
      <c r="BK15" s="289"/>
      <c r="BL15" s="289"/>
      <c r="BM15" s="289"/>
      <c r="BN15" s="289"/>
    </row>
    <row r="16" spans="1:66" ht="15.75" customHeight="1" x14ac:dyDescent="0.25">
      <c r="A16" s="289">
        <f>'Updated CRM Sheet'!A71+1</f>
        <v>68</v>
      </c>
      <c r="B16" s="354" t="s">
        <v>1053</v>
      </c>
      <c r="C16" s="354"/>
      <c r="D16" s="354" t="s">
        <v>702</v>
      </c>
      <c r="E16" s="355" t="s">
        <v>1054</v>
      </c>
      <c r="F16" s="354" t="s">
        <v>175</v>
      </c>
      <c r="G16" s="354">
        <v>9168207999</v>
      </c>
      <c r="H16" s="354" t="s">
        <v>844</v>
      </c>
      <c r="I16" s="354">
        <v>7</v>
      </c>
      <c r="J16" s="356">
        <v>45.87</v>
      </c>
      <c r="K16" s="356">
        <v>494</v>
      </c>
      <c r="L16" s="356">
        <v>0</v>
      </c>
      <c r="M16" s="356">
        <v>0</v>
      </c>
      <c r="N16" s="356">
        <v>101</v>
      </c>
      <c r="O16" s="356">
        <v>595</v>
      </c>
      <c r="P16" s="353">
        <f t="shared" si="12"/>
        <v>892.5</v>
      </c>
      <c r="Q16" s="354">
        <v>6175</v>
      </c>
      <c r="R16" s="357">
        <v>5400815</v>
      </c>
      <c r="S16" s="357">
        <v>0</v>
      </c>
      <c r="T16" s="358">
        <v>105000</v>
      </c>
      <c r="U16" s="358">
        <v>5505815</v>
      </c>
      <c r="V16" s="358">
        <v>0</v>
      </c>
      <c r="W16" s="358">
        <v>0</v>
      </c>
      <c r="X16" s="358">
        <v>215688</v>
      </c>
      <c r="Y16" s="358">
        <v>172550</v>
      </c>
      <c r="Z16" s="358">
        <v>129413</v>
      </c>
      <c r="AA16" s="358">
        <v>0</v>
      </c>
      <c r="AB16" s="358">
        <v>6023465</v>
      </c>
      <c r="AC16" s="358">
        <v>30000</v>
      </c>
      <c r="AD16" s="358">
        <v>722816</v>
      </c>
      <c r="AE16" s="358">
        <f>X16*12%+Y16*12%+Z16*12%+AA16*12%</f>
        <v>62118.119999999995</v>
      </c>
      <c r="AF16" s="358">
        <v>220300</v>
      </c>
      <c r="AG16" s="358">
        <v>6000</v>
      </c>
      <c r="AH16" s="358">
        <v>7002581</v>
      </c>
      <c r="AI16" s="358">
        <v>550582</v>
      </c>
      <c r="AJ16" s="358">
        <v>66070</v>
      </c>
      <c r="AK16" s="359"/>
      <c r="AL16" s="358">
        <v>1101163</v>
      </c>
      <c r="AM16" s="358">
        <v>132140</v>
      </c>
      <c r="AN16" s="354"/>
      <c r="AO16" s="354">
        <v>825872</v>
      </c>
      <c r="AP16" s="354">
        <v>99105</v>
      </c>
      <c r="AQ16" s="354"/>
      <c r="AR16" s="354">
        <v>275291</v>
      </c>
      <c r="AS16" s="354">
        <v>33035</v>
      </c>
      <c r="AT16" s="354"/>
      <c r="AU16" s="354"/>
      <c r="AV16" s="354" t="s">
        <v>1055</v>
      </c>
      <c r="AW16" s="354" t="s">
        <v>732</v>
      </c>
      <c r="AX16" s="354" t="s">
        <v>101</v>
      </c>
      <c r="AY16" s="360">
        <v>0.03</v>
      </c>
      <c r="AZ16" s="354">
        <v>20000</v>
      </c>
      <c r="BA16" s="354">
        <v>0</v>
      </c>
      <c r="BB16" s="354">
        <v>0</v>
      </c>
      <c r="BC16" s="354" t="s">
        <v>873</v>
      </c>
      <c r="BD16" s="354"/>
      <c r="BE16" s="361"/>
      <c r="BF16" s="361"/>
      <c r="BG16" s="361"/>
      <c r="BH16" s="361"/>
      <c r="BI16" s="361"/>
      <c r="BJ16" s="361"/>
      <c r="BK16" s="361"/>
      <c r="BL16" s="361"/>
      <c r="BM16" s="361"/>
      <c r="BN16" s="361"/>
    </row>
    <row r="17" spans="1:66" ht="15.75" customHeight="1" x14ac:dyDescent="0.2">
      <c r="A17" s="323"/>
      <c r="B17" s="323" t="s">
        <v>1005</v>
      </c>
      <c r="C17" s="323"/>
      <c r="D17" s="323"/>
      <c r="E17" s="323" t="s">
        <v>0</v>
      </c>
      <c r="F17" s="323"/>
      <c r="G17" s="323"/>
      <c r="H17" s="323"/>
      <c r="I17" s="323"/>
      <c r="J17" s="337"/>
      <c r="K17" s="337">
        <f>SUM(K2:K4)</f>
        <v>216</v>
      </c>
      <c r="L17" s="337"/>
      <c r="M17" s="337">
        <f>SUM(M2:M4)</f>
        <v>304</v>
      </c>
      <c r="N17" s="323">
        <f>SUM(N2:N3)</f>
        <v>0</v>
      </c>
      <c r="O17" s="323"/>
      <c r="P17" s="326">
        <f>SUM(P2:P4)</f>
        <v>0</v>
      </c>
      <c r="Q17" s="327"/>
      <c r="R17" s="327"/>
      <c r="S17" s="326"/>
      <c r="T17" s="326"/>
      <c r="U17" s="326"/>
      <c r="V17" s="326"/>
      <c r="W17" s="326"/>
      <c r="X17" s="326"/>
      <c r="Y17" s="326"/>
      <c r="Z17" s="326">
        <f>SUM(Z2:Z4)</f>
        <v>0</v>
      </c>
      <c r="AA17" s="327"/>
      <c r="AB17" s="326"/>
      <c r="AC17" s="326"/>
      <c r="AD17" s="326"/>
      <c r="AE17" s="326"/>
      <c r="AF17" s="326">
        <f t="shared" ref="AF17:AH17" si="13">SUM(AF2:AF4)</f>
        <v>123812</v>
      </c>
      <c r="AG17" s="326">
        <f t="shared" si="13"/>
        <v>0</v>
      </c>
      <c r="AH17" s="326">
        <f t="shared" si="13"/>
        <v>36587</v>
      </c>
      <c r="AI17" s="326"/>
      <c r="AJ17" s="326">
        <f t="shared" ref="AJ17:AK17" si="14">SUM(AJ2:AJ4)</f>
        <v>1394949</v>
      </c>
      <c r="AK17" s="326">
        <f t="shared" si="14"/>
        <v>167394</v>
      </c>
      <c r="AL17" s="323"/>
      <c r="AM17" s="323"/>
      <c r="AN17" s="323"/>
      <c r="AO17" s="328"/>
      <c r="AP17" s="328"/>
      <c r="AQ17" s="323"/>
      <c r="AR17" s="323"/>
      <c r="AS17" s="323"/>
      <c r="AT17" s="323"/>
      <c r="AU17" s="323"/>
      <c r="AV17" s="323"/>
      <c r="AW17" s="323"/>
      <c r="AX17" s="323"/>
      <c r="AY17" s="323"/>
      <c r="AZ17" s="323"/>
      <c r="BA17" s="323"/>
      <c r="BB17" s="323"/>
      <c r="BC17" s="323"/>
      <c r="BD17" s="323"/>
      <c r="BE17" s="323"/>
      <c r="BF17" s="323"/>
      <c r="BG17" s="324"/>
      <c r="BH17" s="324"/>
      <c r="BI17" s="324"/>
      <c r="BJ17" s="324"/>
      <c r="BK17" s="324"/>
      <c r="BL17" s="324"/>
      <c r="BM17" s="324"/>
      <c r="BN17" s="324"/>
    </row>
    <row r="18" spans="1:66" ht="15.75" customHeight="1" x14ac:dyDescent="0.2">
      <c r="A18" s="324"/>
      <c r="B18" s="324"/>
      <c r="C18" s="324"/>
      <c r="D18" s="324"/>
      <c r="E18" s="324"/>
      <c r="F18" s="324"/>
      <c r="G18" s="324"/>
      <c r="H18" s="324"/>
      <c r="I18" s="324"/>
      <c r="J18" s="374"/>
      <c r="K18" s="374"/>
      <c r="L18" s="374"/>
      <c r="M18" s="374"/>
      <c r="N18" s="324"/>
      <c r="O18" s="324"/>
      <c r="P18" s="375"/>
      <c r="Q18" s="375"/>
      <c r="R18" s="375"/>
      <c r="S18" s="375"/>
      <c r="T18" s="375"/>
      <c r="U18" s="375"/>
      <c r="V18" s="375"/>
      <c r="W18" s="375"/>
      <c r="X18" s="375"/>
      <c r="Y18" s="375"/>
      <c r="Z18" s="375"/>
      <c r="AA18" s="375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24"/>
      <c r="AM18" s="324"/>
      <c r="AN18" s="324"/>
      <c r="AO18" s="324"/>
      <c r="AP18" s="324"/>
      <c r="AQ18" s="324"/>
      <c r="AR18" s="324"/>
      <c r="AS18" s="324"/>
      <c r="AT18" s="324"/>
      <c r="AU18" s="324"/>
      <c r="AV18" s="324"/>
      <c r="AW18" s="324"/>
      <c r="AX18" s="324"/>
      <c r="AY18" s="324"/>
      <c r="AZ18" s="324"/>
      <c r="BA18" s="324"/>
      <c r="BB18" s="324"/>
      <c r="BC18" s="324"/>
      <c r="BD18" s="324"/>
      <c r="BE18" s="324"/>
      <c r="BF18" s="324"/>
      <c r="BG18" s="324"/>
      <c r="BH18" s="324"/>
      <c r="BI18" s="324"/>
      <c r="BJ18" s="324"/>
      <c r="BK18" s="324"/>
      <c r="BL18" s="324"/>
      <c r="BM18" s="324"/>
      <c r="BN18" s="324"/>
    </row>
    <row r="19" spans="1:66" ht="15.75" customHeight="1" x14ac:dyDescent="0.2">
      <c r="G19" s="423" t="s">
        <v>0</v>
      </c>
    </row>
    <row r="20" spans="1:66" ht="15.75" customHeight="1" x14ac:dyDescent="0.2">
      <c r="G20" s="423"/>
    </row>
    <row r="21" spans="1:66" ht="15.75" customHeight="1" x14ac:dyDescent="0.2">
      <c r="G21" s="423"/>
    </row>
    <row r="22" spans="1:66" ht="15.75" customHeight="1" x14ac:dyDescent="0.2">
      <c r="G22" s="423"/>
    </row>
    <row r="23" spans="1:66" ht="15.75" customHeight="1" x14ac:dyDescent="0.2">
      <c r="G23" s="423"/>
    </row>
    <row r="24" spans="1:66" ht="15.75" customHeight="1" x14ac:dyDescent="0.2"/>
    <row r="25" spans="1:66" ht="15.75" customHeight="1" x14ac:dyDescent="0.2">
      <c r="F25" s="423" t="s">
        <v>0</v>
      </c>
    </row>
    <row r="26" spans="1:66" ht="15.75" customHeight="1" x14ac:dyDescent="0.2"/>
    <row r="27" spans="1:66" ht="15.75" customHeight="1" x14ac:dyDescent="0.2"/>
    <row r="28" spans="1:66" ht="15.75" customHeight="1" x14ac:dyDescent="0.2">
      <c r="A28" s="424"/>
      <c r="B28" s="424"/>
      <c r="C28" s="424"/>
      <c r="D28" s="424"/>
      <c r="E28" s="424"/>
      <c r="F28" s="425"/>
      <c r="G28" s="425"/>
      <c r="H28" s="424"/>
      <c r="I28" s="424"/>
      <c r="J28" s="425"/>
      <c r="K28" s="425"/>
      <c r="L28" s="425"/>
      <c r="M28" s="425"/>
      <c r="N28" s="425"/>
      <c r="O28" s="424"/>
      <c r="P28" s="426"/>
      <c r="Q28" s="426"/>
      <c r="R28" s="426"/>
      <c r="S28" s="426"/>
      <c r="T28" s="326"/>
      <c r="U28" s="326"/>
      <c r="V28" s="426"/>
      <c r="W28" s="426"/>
      <c r="X28" s="426"/>
      <c r="Y28" s="426"/>
      <c r="Z28" s="426"/>
      <c r="AA28" s="426"/>
      <c r="AB28" s="426"/>
      <c r="AC28" s="426"/>
      <c r="AD28" s="426"/>
      <c r="AE28" s="326"/>
      <c r="AF28" s="326"/>
      <c r="AG28" s="424"/>
      <c r="AH28" s="424"/>
      <c r="AI28" s="424"/>
      <c r="AJ28" s="424"/>
      <c r="AK28" s="424"/>
      <c r="AL28" s="424"/>
      <c r="AM28" s="425"/>
      <c r="AN28" s="425"/>
      <c r="AO28" s="425"/>
      <c r="AP28" s="425"/>
      <c r="AQ28" s="425"/>
      <c r="AR28" s="425"/>
      <c r="AS28" s="425"/>
      <c r="AT28" s="425"/>
      <c r="AU28" s="425"/>
      <c r="AV28" s="425"/>
      <c r="AW28" s="425"/>
      <c r="AX28" s="425"/>
      <c r="AY28" s="425"/>
      <c r="AZ28" s="425"/>
      <c r="BA28" s="425"/>
      <c r="BB28" s="425"/>
      <c r="BC28" s="425"/>
      <c r="BD28" s="425"/>
      <c r="BE28" s="425"/>
      <c r="BF28" s="425"/>
      <c r="BG28" s="463"/>
      <c r="BH28" s="463"/>
      <c r="BI28" s="463"/>
      <c r="BJ28" s="463"/>
      <c r="BK28" s="463"/>
      <c r="BL28" s="463"/>
      <c r="BM28" s="463"/>
      <c r="BN28" s="463"/>
    </row>
    <row r="29" spans="1:66" ht="15.75" customHeight="1" x14ac:dyDescent="0.2">
      <c r="A29" s="424"/>
      <c r="B29" s="424"/>
      <c r="C29" s="424"/>
      <c r="D29" s="424"/>
      <c r="E29" s="424"/>
      <c r="F29" s="425"/>
      <c r="G29" s="425"/>
      <c r="H29" s="424"/>
      <c r="I29" s="424"/>
      <c r="J29" s="425"/>
      <c r="K29" s="425"/>
      <c r="L29" s="425"/>
      <c r="M29" s="425"/>
      <c r="N29" s="425"/>
      <c r="O29" s="424"/>
      <c r="P29" s="426"/>
      <c r="Q29" s="426"/>
      <c r="R29" s="426"/>
      <c r="S29" s="426"/>
      <c r="T29" s="326"/>
      <c r="U29" s="326"/>
      <c r="V29" s="426"/>
      <c r="W29" s="426"/>
      <c r="X29" s="426"/>
      <c r="Y29" s="426"/>
      <c r="Z29" s="426"/>
      <c r="AA29" s="426"/>
      <c r="AB29" s="426"/>
      <c r="AC29" s="426"/>
      <c r="AD29" s="426"/>
      <c r="AE29" s="326"/>
      <c r="AF29" s="326"/>
      <c r="AG29" s="424"/>
      <c r="AH29" s="424"/>
      <c r="AI29" s="424"/>
      <c r="AJ29" s="424"/>
      <c r="AK29" s="424"/>
      <c r="AL29" s="424"/>
      <c r="AM29" s="425"/>
      <c r="AN29" s="425"/>
      <c r="AO29" s="425"/>
      <c r="AP29" s="425"/>
      <c r="AQ29" s="425"/>
      <c r="AR29" s="425"/>
      <c r="AS29" s="425"/>
      <c r="AT29" s="425"/>
      <c r="AU29" s="425"/>
      <c r="AV29" s="425"/>
      <c r="AW29" s="425"/>
      <c r="AX29" s="425"/>
      <c r="AY29" s="425"/>
      <c r="AZ29" s="425"/>
      <c r="BA29" s="425"/>
      <c r="BB29" s="425"/>
      <c r="BC29" s="425"/>
      <c r="BD29" s="425"/>
      <c r="BE29" s="425"/>
      <c r="BF29" s="425"/>
      <c r="BG29" s="463"/>
      <c r="BH29" s="463"/>
      <c r="BI29" s="463"/>
      <c r="BJ29" s="463"/>
      <c r="BK29" s="463"/>
      <c r="BL29" s="463"/>
      <c r="BM29" s="463"/>
      <c r="BN29" s="463"/>
    </row>
    <row r="30" spans="1:66" ht="15.75" customHeight="1" x14ac:dyDescent="0.2">
      <c r="A30" s="424"/>
      <c r="B30" s="424"/>
      <c r="C30" s="424"/>
      <c r="D30" s="424"/>
      <c r="E30" s="424"/>
      <c r="F30" s="425"/>
      <c r="G30" s="425"/>
      <c r="H30" s="424"/>
      <c r="I30" s="424"/>
      <c r="J30" s="425"/>
      <c r="K30" s="425"/>
      <c r="L30" s="425"/>
      <c r="M30" s="425"/>
      <c r="N30" s="425"/>
      <c r="O30" s="424"/>
      <c r="P30" s="426"/>
      <c r="Q30" s="426"/>
      <c r="R30" s="426"/>
      <c r="S30" s="426"/>
      <c r="T30" s="326"/>
      <c r="U30" s="326"/>
      <c r="V30" s="426"/>
      <c r="W30" s="426"/>
      <c r="X30" s="426"/>
      <c r="Y30" s="426"/>
      <c r="Z30" s="426"/>
      <c r="AA30" s="426"/>
      <c r="AB30" s="426"/>
      <c r="AC30" s="426"/>
      <c r="AD30" s="426"/>
      <c r="AE30" s="326"/>
      <c r="AF30" s="326"/>
      <c r="AG30" s="424"/>
      <c r="AH30" s="424"/>
      <c r="AI30" s="424"/>
      <c r="AJ30" s="424"/>
      <c r="AK30" s="424"/>
      <c r="AL30" s="424"/>
      <c r="AM30" s="425"/>
      <c r="AN30" s="425"/>
      <c r="AO30" s="425"/>
      <c r="AP30" s="425"/>
      <c r="AQ30" s="425"/>
      <c r="AR30" s="425"/>
      <c r="AS30" s="425"/>
      <c r="AT30" s="425"/>
      <c r="AU30" s="425"/>
      <c r="AV30" s="425"/>
      <c r="AW30" s="425"/>
      <c r="AX30" s="425"/>
      <c r="AY30" s="425"/>
      <c r="AZ30" s="425"/>
      <c r="BA30" s="425"/>
      <c r="BB30" s="425"/>
      <c r="BC30" s="425"/>
      <c r="BD30" s="425"/>
      <c r="BE30" s="425"/>
      <c r="BF30" s="425"/>
      <c r="BG30" s="463"/>
      <c r="BH30" s="463"/>
      <c r="BI30" s="463"/>
      <c r="BJ30" s="463"/>
      <c r="BK30" s="463"/>
      <c r="BL30" s="463"/>
      <c r="BM30" s="463"/>
      <c r="BN30" s="463"/>
    </row>
    <row r="31" spans="1:66" ht="15.75" customHeight="1" x14ac:dyDescent="0.2">
      <c r="A31" s="424"/>
      <c r="B31" s="424"/>
      <c r="C31" s="424"/>
      <c r="D31" s="424"/>
      <c r="E31" s="424"/>
      <c r="F31" s="425"/>
      <c r="G31" s="425"/>
      <c r="H31" s="424"/>
      <c r="I31" s="424"/>
      <c r="J31" s="425"/>
      <c r="K31" s="425"/>
      <c r="L31" s="425"/>
      <c r="M31" s="425"/>
      <c r="N31" s="425"/>
      <c r="O31" s="424"/>
      <c r="P31" s="426"/>
      <c r="Q31" s="426"/>
      <c r="R31" s="426"/>
      <c r="S31" s="426"/>
      <c r="T31" s="326"/>
      <c r="U31" s="326"/>
      <c r="V31" s="426"/>
      <c r="W31" s="426"/>
      <c r="X31" s="426"/>
      <c r="Y31" s="426"/>
      <c r="Z31" s="426"/>
      <c r="AA31" s="426"/>
      <c r="AB31" s="426"/>
      <c r="AC31" s="426"/>
      <c r="AD31" s="426"/>
      <c r="AE31" s="326"/>
      <c r="AF31" s="326"/>
      <c r="AG31" s="424"/>
      <c r="AH31" s="424"/>
      <c r="AI31" s="424"/>
      <c r="AJ31" s="424"/>
      <c r="AK31" s="424"/>
      <c r="AL31" s="424"/>
      <c r="AM31" s="425"/>
      <c r="AN31" s="425"/>
      <c r="AO31" s="425"/>
      <c r="AP31" s="425"/>
      <c r="AQ31" s="425"/>
      <c r="AR31" s="425"/>
      <c r="AS31" s="425"/>
      <c r="AT31" s="425"/>
      <c r="AU31" s="425"/>
      <c r="AV31" s="425"/>
      <c r="AW31" s="425"/>
      <c r="AX31" s="425"/>
      <c r="AY31" s="425"/>
      <c r="AZ31" s="425"/>
      <c r="BA31" s="425"/>
      <c r="BB31" s="425"/>
      <c r="BC31" s="425"/>
      <c r="BD31" s="425"/>
      <c r="BE31" s="425"/>
      <c r="BF31" s="425"/>
      <c r="BG31" s="463"/>
      <c r="BH31" s="463"/>
      <c r="BI31" s="463"/>
      <c r="BJ31" s="463"/>
      <c r="BK31" s="463"/>
      <c r="BL31" s="463"/>
      <c r="BM31" s="463"/>
      <c r="BN31" s="463"/>
    </row>
    <row r="32" spans="1:66" ht="15.75" customHeight="1" x14ac:dyDescent="0.2">
      <c r="A32" s="424"/>
      <c r="B32" s="424"/>
      <c r="C32" s="424"/>
      <c r="D32" s="424"/>
      <c r="E32" s="424"/>
      <c r="F32" s="425"/>
      <c r="G32" s="425"/>
      <c r="H32" s="424"/>
      <c r="I32" s="424"/>
      <c r="J32" s="425"/>
      <c r="K32" s="425"/>
      <c r="L32" s="425"/>
      <c r="M32" s="425"/>
      <c r="N32" s="425"/>
      <c r="O32" s="424"/>
      <c r="P32" s="426"/>
      <c r="Q32" s="426"/>
      <c r="R32" s="426"/>
      <c r="S32" s="426"/>
      <c r="T32" s="326"/>
      <c r="U32" s="326"/>
      <c r="V32" s="426"/>
      <c r="W32" s="426"/>
      <c r="X32" s="426"/>
      <c r="Y32" s="426"/>
      <c r="Z32" s="426"/>
      <c r="AA32" s="426"/>
      <c r="AB32" s="426"/>
      <c r="AC32" s="426"/>
      <c r="AD32" s="426"/>
      <c r="AE32" s="326"/>
      <c r="AF32" s="326"/>
      <c r="AG32" s="424"/>
      <c r="AH32" s="424"/>
      <c r="AI32" s="424"/>
      <c r="AJ32" s="424"/>
      <c r="AK32" s="424"/>
      <c r="AL32" s="424"/>
      <c r="AM32" s="425"/>
      <c r="AN32" s="425"/>
      <c r="AO32" s="425"/>
      <c r="AP32" s="425"/>
      <c r="AQ32" s="425"/>
      <c r="AR32" s="425"/>
      <c r="AS32" s="425"/>
      <c r="AT32" s="425"/>
      <c r="AU32" s="425"/>
      <c r="AV32" s="425"/>
      <c r="AW32" s="425"/>
      <c r="AX32" s="425"/>
      <c r="AY32" s="425"/>
      <c r="AZ32" s="425"/>
      <c r="BA32" s="425"/>
      <c r="BB32" s="425"/>
      <c r="BC32" s="425"/>
      <c r="BD32" s="425"/>
      <c r="BE32" s="425"/>
      <c r="BF32" s="425"/>
      <c r="BG32" s="463"/>
      <c r="BH32" s="463"/>
      <c r="BI32" s="463"/>
      <c r="BJ32" s="463"/>
      <c r="BK32" s="463"/>
      <c r="BL32" s="463"/>
      <c r="BM32" s="463"/>
      <c r="BN32" s="463"/>
    </row>
    <row r="33" spans="1:66" ht="15.75" customHeight="1" x14ac:dyDescent="0.2">
      <c r="A33" s="424"/>
      <c r="B33" s="424"/>
      <c r="C33" s="424"/>
      <c r="D33" s="424"/>
      <c r="E33" s="424"/>
      <c r="F33" s="425"/>
      <c r="G33" s="425"/>
      <c r="H33" s="424"/>
      <c r="I33" s="424"/>
      <c r="J33" s="425"/>
      <c r="K33" s="425"/>
      <c r="L33" s="425"/>
      <c r="M33" s="425"/>
      <c r="N33" s="425"/>
      <c r="O33" s="424"/>
      <c r="P33" s="426"/>
      <c r="Q33" s="426"/>
      <c r="R33" s="426"/>
      <c r="S33" s="426"/>
      <c r="T33" s="326"/>
      <c r="U33" s="326"/>
      <c r="V33" s="426"/>
      <c r="W33" s="426"/>
      <c r="X33" s="426"/>
      <c r="Y33" s="426"/>
      <c r="Z33" s="426"/>
      <c r="AA33" s="426"/>
      <c r="AB33" s="426"/>
      <c r="AC33" s="426"/>
      <c r="AD33" s="426"/>
      <c r="AE33" s="326"/>
      <c r="AF33" s="326"/>
      <c r="AG33" s="424"/>
      <c r="AH33" s="424"/>
      <c r="AI33" s="424"/>
      <c r="AJ33" s="424"/>
      <c r="AK33" s="424"/>
      <c r="AL33" s="424"/>
      <c r="AM33" s="425"/>
      <c r="AN33" s="425"/>
      <c r="AO33" s="425"/>
      <c r="AP33" s="425"/>
      <c r="AQ33" s="425"/>
      <c r="AR33" s="425"/>
      <c r="AS33" s="425"/>
      <c r="AT33" s="425"/>
      <c r="AU33" s="425"/>
      <c r="AV33" s="425"/>
      <c r="AW33" s="425"/>
      <c r="AX33" s="425"/>
      <c r="AY33" s="425"/>
      <c r="AZ33" s="425"/>
      <c r="BA33" s="425"/>
      <c r="BB33" s="425"/>
      <c r="BC33" s="425"/>
      <c r="BD33" s="425"/>
      <c r="BE33" s="425"/>
      <c r="BF33" s="425"/>
      <c r="BG33" s="463"/>
      <c r="BH33" s="463"/>
      <c r="BI33" s="463"/>
      <c r="BJ33" s="463"/>
      <c r="BK33" s="463"/>
      <c r="BL33" s="463"/>
      <c r="BM33" s="463"/>
      <c r="BN33" s="463"/>
    </row>
    <row r="34" spans="1:66" ht="15.75" customHeight="1" x14ac:dyDescent="0.2">
      <c r="A34" s="424"/>
      <c r="B34" s="424"/>
      <c r="C34" s="424"/>
      <c r="D34" s="424"/>
      <c r="E34" s="424"/>
      <c r="F34" s="425"/>
      <c r="G34" s="425"/>
      <c r="H34" s="424"/>
      <c r="I34" s="424"/>
      <c r="J34" s="425"/>
      <c r="K34" s="425"/>
      <c r="L34" s="425"/>
      <c r="M34" s="425"/>
      <c r="N34" s="425"/>
      <c r="O34" s="424"/>
      <c r="P34" s="426"/>
      <c r="Q34" s="426"/>
      <c r="R34" s="426"/>
      <c r="S34" s="426"/>
      <c r="T34" s="326"/>
      <c r="U34" s="326"/>
      <c r="V34" s="426"/>
      <c r="W34" s="426"/>
      <c r="X34" s="426"/>
      <c r="Y34" s="426"/>
      <c r="Z34" s="426"/>
      <c r="AA34" s="426"/>
      <c r="AB34" s="426"/>
      <c r="AC34" s="426"/>
      <c r="AD34" s="426"/>
      <c r="AE34" s="326"/>
      <c r="AF34" s="326"/>
      <c r="AG34" s="424"/>
      <c r="AH34" s="424"/>
      <c r="AI34" s="424"/>
      <c r="AJ34" s="424"/>
      <c r="AK34" s="424"/>
      <c r="AL34" s="424"/>
      <c r="AM34" s="425"/>
      <c r="AN34" s="425"/>
      <c r="AO34" s="425"/>
      <c r="AP34" s="425"/>
      <c r="AQ34" s="425"/>
      <c r="AR34" s="425"/>
      <c r="AS34" s="425"/>
      <c r="AT34" s="425"/>
      <c r="AU34" s="425"/>
      <c r="AV34" s="425"/>
      <c r="AW34" s="425"/>
      <c r="AX34" s="425"/>
      <c r="AY34" s="425"/>
      <c r="AZ34" s="425"/>
      <c r="BA34" s="425"/>
      <c r="BB34" s="425"/>
      <c r="BC34" s="425"/>
      <c r="BD34" s="425"/>
      <c r="BE34" s="425"/>
      <c r="BF34" s="425"/>
      <c r="BG34" s="463"/>
      <c r="BH34" s="463"/>
      <c r="BI34" s="463"/>
      <c r="BJ34" s="463"/>
      <c r="BK34" s="463"/>
      <c r="BL34" s="463"/>
      <c r="BM34" s="463"/>
      <c r="BN34" s="463"/>
    </row>
    <row r="35" spans="1:66" ht="15.75" customHeight="1" x14ac:dyDescent="0.2">
      <c r="A35" s="424"/>
      <c r="B35" s="424"/>
      <c r="C35" s="424"/>
      <c r="D35" s="424"/>
      <c r="E35" s="424"/>
      <c r="F35" s="425"/>
      <c r="G35" s="425"/>
      <c r="H35" s="424"/>
      <c r="I35" s="424"/>
      <c r="J35" s="425"/>
      <c r="K35" s="425"/>
      <c r="L35" s="425"/>
      <c r="M35" s="425"/>
      <c r="N35" s="425"/>
      <c r="O35" s="424"/>
      <c r="P35" s="426"/>
      <c r="Q35" s="426"/>
      <c r="R35" s="426"/>
      <c r="S35" s="426"/>
      <c r="T35" s="326"/>
      <c r="U35" s="326"/>
      <c r="V35" s="426"/>
      <c r="W35" s="426"/>
      <c r="X35" s="426"/>
      <c r="Y35" s="426"/>
      <c r="Z35" s="426"/>
      <c r="AA35" s="426"/>
      <c r="AB35" s="426"/>
      <c r="AC35" s="426"/>
      <c r="AD35" s="426"/>
      <c r="AE35" s="326"/>
      <c r="AF35" s="326"/>
      <c r="AG35" s="424"/>
      <c r="AH35" s="424"/>
      <c r="AI35" s="424"/>
      <c r="AJ35" s="424"/>
      <c r="AK35" s="424"/>
      <c r="AL35" s="424"/>
      <c r="AM35" s="425"/>
      <c r="AN35" s="425"/>
      <c r="AO35" s="425"/>
      <c r="AP35" s="425"/>
      <c r="AQ35" s="425"/>
      <c r="AR35" s="425"/>
      <c r="AS35" s="425"/>
      <c r="AT35" s="425"/>
      <c r="AU35" s="425"/>
      <c r="AV35" s="425"/>
      <c r="AW35" s="425"/>
      <c r="AX35" s="425"/>
      <c r="AY35" s="425"/>
      <c r="AZ35" s="425"/>
      <c r="BA35" s="425"/>
      <c r="BB35" s="425"/>
      <c r="BC35" s="425"/>
      <c r="BD35" s="425"/>
      <c r="BE35" s="425"/>
      <c r="BF35" s="425"/>
      <c r="BG35" s="463"/>
      <c r="BH35" s="463"/>
      <c r="BI35" s="463"/>
      <c r="BJ35" s="463"/>
      <c r="BK35" s="463"/>
      <c r="BL35" s="463"/>
      <c r="BM35" s="463"/>
      <c r="BN35" s="463"/>
    </row>
    <row r="36" spans="1:66" ht="15.75" customHeight="1" x14ac:dyDescent="0.2">
      <c r="A36" s="424"/>
      <c r="B36" s="424"/>
      <c r="C36" s="424"/>
      <c r="D36" s="424"/>
      <c r="E36" s="424"/>
      <c r="F36" s="425"/>
      <c r="G36" s="425"/>
      <c r="H36" s="424"/>
      <c r="I36" s="424"/>
      <c r="J36" s="425"/>
      <c r="K36" s="425"/>
      <c r="L36" s="425"/>
      <c r="M36" s="425"/>
      <c r="N36" s="425"/>
      <c r="O36" s="424"/>
      <c r="P36" s="426"/>
      <c r="Q36" s="426"/>
      <c r="R36" s="426"/>
      <c r="S36" s="426"/>
      <c r="T36" s="326"/>
      <c r="U36" s="326"/>
      <c r="V36" s="426"/>
      <c r="W36" s="426"/>
      <c r="X36" s="426"/>
      <c r="Y36" s="426"/>
      <c r="Z36" s="426"/>
      <c r="AA36" s="426"/>
      <c r="AB36" s="426"/>
      <c r="AC36" s="426"/>
      <c r="AD36" s="426"/>
      <c r="AE36" s="326"/>
      <c r="AF36" s="326"/>
      <c r="AG36" s="424"/>
      <c r="AH36" s="424"/>
      <c r="AI36" s="424"/>
      <c r="AJ36" s="424"/>
      <c r="AK36" s="424"/>
      <c r="AL36" s="424"/>
      <c r="AM36" s="425"/>
      <c r="AN36" s="425"/>
      <c r="AO36" s="425"/>
      <c r="AP36" s="425"/>
      <c r="AQ36" s="425"/>
      <c r="AR36" s="425"/>
      <c r="AS36" s="425"/>
      <c r="AT36" s="425"/>
      <c r="AU36" s="425"/>
      <c r="AV36" s="425"/>
      <c r="AW36" s="425"/>
      <c r="AX36" s="425"/>
      <c r="AY36" s="425"/>
      <c r="AZ36" s="425"/>
      <c r="BA36" s="425"/>
      <c r="BB36" s="425"/>
      <c r="BC36" s="425"/>
      <c r="BD36" s="425"/>
      <c r="BE36" s="425"/>
      <c r="BF36" s="425"/>
      <c r="BG36" s="463"/>
      <c r="BH36" s="463"/>
      <c r="BI36" s="463"/>
      <c r="BJ36" s="463"/>
      <c r="BK36" s="463"/>
      <c r="BL36" s="463"/>
      <c r="BM36" s="463"/>
      <c r="BN36" s="463"/>
    </row>
    <row r="37" spans="1:66" ht="15.75" customHeight="1" x14ac:dyDescent="0.2">
      <c r="A37" s="424"/>
      <c r="B37" s="424"/>
      <c r="C37" s="424"/>
      <c r="D37" s="424"/>
      <c r="E37" s="424"/>
      <c r="F37" s="425"/>
      <c r="G37" s="425"/>
      <c r="H37" s="424"/>
      <c r="I37" s="424"/>
      <c r="J37" s="425"/>
      <c r="K37" s="425"/>
      <c r="L37" s="425"/>
      <c r="M37" s="425"/>
      <c r="N37" s="425"/>
      <c r="O37" s="424"/>
      <c r="P37" s="426"/>
      <c r="Q37" s="426"/>
      <c r="R37" s="426"/>
      <c r="S37" s="426"/>
      <c r="T37" s="326"/>
      <c r="U37" s="326"/>
      <c r="V37" s="426"/>
      <c r="W37" s="426"/>
      <c r="X37" s="426"/>
      <c r="Y37" s="426"/>
      <c r="Z37" s="426"/>
      <c r="AA37" s="426"/>
      <c r="AB37" s="426"/>
      <c r="AC37" s="426"/>
      <c r="AD37" s="426"/>
      <c r="AE37" s="326"/>
      <c r="AF37" s="326"/>
      <c r="AG37" s="424"/>
      <c r="AH37" s="424"/>
      <c r="AI37" s="424"/>
      <c r="AJ37" s="424"/>
      <c r="AK37" s="424"/>
      <c r="AL37" s="424"/>
      <c r="AM37" s="425"/>
      <c r="AN37" s="425"/>
      <c r="AO37" s="425"/>
      <c r="AP37" s="425"/>
      <c r="AQ37" s="425"/>
      <c r="AR37" s="425"/>
      <c r="AS37" s="425"/>
      <c r="AT37" s="425"/>
      <c r="AU37" s="425"/>
      <c r="AV37" s="425"/>
      <c r="AW37" s="425"/>
      <c r="AX37" s="425"/>
      <c r="AY37" s="425"/>
      <c r="AZ37" s="425"/>
      <c r="BA37" s="425"/>
      <c r="BB37" s="425"/>
      <c r="BC37" s="425"/>
      <c r="BD37" s="425"/>
      <c r="BE37" s="425"/>
      <c r="BF37" s="425"/>
      <c r="BG37" s="463"/>
      <c r="BH37" s="463"/>
      <c r="BI37" s="463"/>
      <c r="BJ37" s="463"/>
      <c r="BK37" s="463"/>
      <c r="BL37" s="463"/>
      <c r="BM37" s="463"/>
      <c r="BN37" s="463"/>
    </row>
    <row r="38" spans="1:66" ht="15.75" customHeight="1" x14ac:dyDescent="0.2">
      <c r="A38" s="424"/>
      <c r="B38" s="424"/>
      <c r="C38" s="424"/>
      <c r="D38" s="424"/>
      <c r="E38" s="424"/>
      <c r="F38" s="425"/>
      <c r="G38" s="425"/>
      <c r="H38" s="424"/>
      <c r="I38" s="424"/>
      <c r="J38" s="425"/>
      <c r="K38" s="425"/>
      <c r="L38" s="425"/>
      <c r="M38" s="425"/>
      <c r="N38" s="425"/>
      <c r="O38" s="424"/>
      <c r="P38" s="426"/>
      <c r="Q38" s="426"/>
      <c r="R38" s="426"/>
      <c r="S38" s="426"/>
      <c r="T38" s="326"/>
      <c r="U38" s="326"/>
      <c r="V38" s="426"/>
      <c r="W38" s="426"/>
      <c r="X38" s="426"/>
      <c r="Y38" s="426"/>
      <c r="Z38" s="426"/>
      <c r="AA38" s="426"/>
      <c r="AB38" s="426"/>
      <c r="AC38" s="426"/>
      <c r="AD38" s="426"/>
      <c r="AE38" s="326"/>
      <c r="AF38" s="326"/>
      <c r="AG38" s="424"/>
      <c r="AH38" s="424"/>
      <c r="AI38" s="424"/>
      <c r="AJ38" s="424"/>
      <c r="AK38" s="424"/>
      <c r="AL38" s="424"/>
      <c r="AM38" s="425"/>
      <c r="AN38" s="425"/>
      <c r="AO38" s="425"/>
      <c r="AP38" s="425"/>
      <c r="AQ38" s="425"/>
      <c r="AR38" s="425"/>
      <c r="AS38" s="425"/>
      <c r="AT38" s="425"/>
      <c r="AU38" s="425"/>
      <c r="AV38" s="425"/>
      <c r="AW38" s="425"/>
      <c r="AX38" s="425"/>
      <c r="AY38" s="425"/>
      <c r="AZ38" s="425"/>
      <c r="BA38" s="425"/>
      <c r="BB38" s="425"/>
      <c r="BC38" s="425"/>
      <c r="BD38" s="425"/>
      <c r="BE38" s="425"/>
      <c r="BF38" s="425"/>
      <c r="BG38" s="463"/>
      <c r="BH38" s="463"/>
      <c r="BI38" s="463"/>
      <c r="BJ38" s="463"/>
      <c r="BK38" s="463"/>
      <c r="BL38" s="463"/>
      <c r="BM38" s="463"/>
      <c r="BN38" s="463"/>
    </row>
    <row r="39" spans="1:66" ht="15.75" customHeight="1" x14ac:dyDescent="0.2">
      <c r="A39" s="424"/>
      <c r="B39" s="424"/>
      <c r="C39" s="424"/>
      <c r="D39" s="424"/>
      <c r="E39" s="424"/>
      <c r="F39" s="425"/>
      <c r="G39" s="425"/>
      <c r="H39" s="424"/>
      <c r="I39" s="424"/>
      <c r="J39" s="425"/>
      <c r="K39" s="425"/>
      <c r="L39" s="425"/>
      <c r="M39" s="425"/>
      <c r="N39" s="425"/>
      <c r="O39" s="424"/>
      <c r="P39" s="426"/>
      <c r="Q39" s="426"/>
      <c r="R39" s="426"/>
      <c r="S39" s="426"/>
      <c r="T39" s="326"/>
      <c r="U39" s="326"/>
      <c r="V39" s="426"/>
      <c r="W39" s="426"/>
      <c r="X39" s="426"/>
      <c r="Y39" s="426"/>
      <c r="Z39" s="426"/>
      <c r="AA39" s="426"/>
      <c r="AB39" s="426"/>
      <c r="AC39" s="426"/>
      <c r="AD39" s="426"/>
      <c r="AE39" s="326"/>
      <c r="AF39" s="326"/>
      <c r="AG39" s="424"/>
      <c r="AH39" s="424"/>
      <c r="AI39" s="424"/>
      <c r="AJ39" s="424"/>
      <c r="AK39" s="424"/>
      <c r="AL39" s="424"/>
      <c r="AM39" s="425"/>
      <c r="AN39" s="425"/>
      <c r="AO39" s="425"/>
      <c r="AP39" s="425"/>
      <c r="AQ39" s="425"/>
      <c r="AR39" s="425"/>
      <c r="AS39" s="425"/>
      <c r="AT39" s="425"/>
      <c r="AU39" s="425"/>
      <c r="AV39" s="425"/>
      <c r="AW39" s="425"/>
      <c r="AX39" s="425"/>
      <c r="AY39" s="425"/>
      <c r="AZ39" s="425"/>
      <c r="BA39" s="425"/>
      <c r="BB39" s="425"/>
      <c r="BC39" s="425"/>
      <c r="BD39" s="425"/>
      <c r="BE39" s="425"/>
      <c r="BF39" s="425"/>
      <c r="BG39" s="463"/>
      <c r="BH39" s="463"/>
      <c r="BI39" s="463"/>
      <c r="BJ39" s="463"/>
      <c r="BK39" s="463"/>
      <c r="BL39" s="463"/>
      <c r="BM39" s="463"/>
      <c r="BN39" s="463"/>
    </row>
    <row r="40" spans="1:66" ht="15.75" customHeight="1" x14ac:dyDescent="0.2">
      <c r="A40" s="424"/>
      <c r="B40" s="424"/>
      <c r="C40" s="424"/>
      <c r="D40" s="424"/>
      <c r="E40" s="424"/>
      <c r="F40" s="425"/>
      <c r="G40" s="425"/>
      <c r="H40" s="424"/>
      <c r="I40" s="424"/>
      <c r="J40" s="425"/>
      <c r="K40" s="425"/>
      <c r="L40" s="425"/>
      <c r="M40" s="425"/>
      <c r="N40" s="425"/>
      <c r="O40" s="424"/>
      <c r="P40" s="426"/>
      <c r="Q40" s="426"/>
      <c r="R40" s="426"/>
      <c r="S40" s="426"/>
      <c r="T40" s="326"/>
      <c r="U40" s="326"/>
      <c r="V40" s="426"/>
      <c r="W40" s="426"/>
      <c r="X40" s="426"/>
      <c r="Y40" s="426"/>
      <c r="Z40" s="426"/>
      <c r="AA40" s="426"/>
      <c r="AB40" s="426"/>
      <c r="AC40" s="426"/>
      <c r="AD40" s="426"/>
      <c r="AE40" s="326"/>
      <c r="AF40" s="326"/>
      <c r="AG40" s="424"/>
      <c r="AH40" s="424"/>
      <c r="AI40" s="424"/>
      <c r="AJ40" s="424"/>
      <c r="AK40" s="424"/>
      <c r="AL40" s="424"/>
      <c r="AM40" s="425"/>
      <c r="AN40" s="425"/>
      <c r="AO40" s="425"/>
      <c r="AP40" s="425"/>
      <c r="AQ40" s="425"/>
      <c r="AR40" s="425"/>
      <c r="AS40" s="425"/>
      <c r="AT40" s="425"/>
      <c r="AU40" s="425"/>
      <c r="AV40" s="425"/>
      <c r="AW40" s="425"/>
      <c r="AX40" s="425"/>
      <c r="AY40" s="425"/>
      <c r="AZ40" s="425"/>
      <c r="BA40" s="425"/>
      <c r="BB40" s="425"/>
      <c r="BC40" s="425"/>
      <c r="BD40" s="425"/>
      <c r="BE40" s="425"/>
      <c r="BF40" s="425"/>
      <c r="BG40" s="463"/>
      <c r="BH40" s="463"/>
      <c r="BI40" s="463"/>
      <c r="BJ40" s="463"/>
      <c r="BK40" s="463"/>
      <c r="BL40" s="463"/>
      <c r="BM40" s="463"/>
      <c r="BN40" s="463"/>
    </row>
    <row r="41" spans="1:66" ht="15.75" customHeight="1" x14ac:dyDescent="0.2">
      <c r="A41" s="424"/>
      <c r="B41" s="424"/>
      <c r="C41" s="424"/>
      <c r="D41" s="424"/>
      <c r="E41" s="424"/>
      <c r="F41" s="425"/>
      <c r="G41" s="425"/>
      <c r="H41" s="424"/>
      <c r="I41" s="424"/>
      <c r="J41" s="425"/>
      <c r="K41" s="425"/>
      <c r="L41" s="425"/>
      <c r="M41" s="425"/>
      <c r="N41" s="425"/>
      <c r="O41" s="424"/>
      <c r="P41" s="426"/>
      <c r="Q41" s="426"/>
      <c r="R41" s="426"/>
      <c r="S41" s="426"/>
      <c r="T41" s="326"/>
      <c r="U41" s="326"/>
      <c r="V41" s="426"/>
      <c r="W41" s="426"/>
      <c r="X41" s="426"/>
      <c r="Y41" s="426"/>
      <c r="Z41" s="426"/>
      <c r="AA41" s="426"/>
      <c r="AB41" s="426"/>
      <c r="AC41" s="426"/>
      <c r="AD41" s="426"/>
      <c r="AE41" s="326"/>
      <c r="AF41" s="326"/>
      <c r="AG41" s="424"/>
      <c r="AH41" s="424"/>
      <c r="AI41" s="424"/>
      <c r="AJ41" s="424"/>
      <c r="AK41" s="424"/>
      <c r="AL41" s="424"/>
      <c r="AM41" s="425"/>
      <c r="AN41" s="425"/>
      <c r="AO41" s="425"/>
      <c r="AP41" s="425"/>
      <c r="AQ41" s="425"/>
      <c r="AR41" s="425"/>
      <c r="AS41" s="425"/>
      <c r="AT41" s="425"/>
      <c r="AU41" s="425"/>
      <c r="AV41" s="425"/>
      <c r="AW41" s="425"/>
      <c r="AX41" s="425"/>
      <c r="AY41" s="425"/>
      <c r="AZ41" s="425"/>
      <c r="BA41" s="425"/>
      <c r="BB41" s="425"/>
      <c r="BC41" s="425"/>
      <c r="BD41" s="425"/>
      <c r="BE41" s="425"/>
      <c r="BF41" s="425"/>
      <c r="BG41" s="463"/>
      <c r="BH41" s="463"/>
      <c r="BI41" s="463"/>
      <c r="BJ41" s="463"/>
      <c r="BK41" s="463"/>
      <c r="BL41" s="463"/>
      <c r="BM41" s="463"/>
      <c r="BN41" s="463"/>
    </row>
    <row r="42" spans="1:66" ht="15.75" customHeight="1" x14ac:dyDescent="0.2">
      <c r="A42" s="424"/>
      <c r="B42" s="424"/>
      <c r="C42" s="424"/>
      <c r="D42" s="424"/>
      <c r="E42" s="424"/>
      <c r="F42" s="425"/>
      <c r="G42" s="425"/>
      <c r="H42" s="424"/>
      <c r="I42" s="424"/>
      <c r="J42" s="425"/>
      <c r="K42" s="425"/>
      <c r="L42" s="425"/>
      <c r="M42" s="425"/>
      <c r="N42" s="425"/>
      <c r="O42" s="424"/>
      <c r="P42" s="426"/>
      <c r="Q42" s="426"/>
      <c r="R42" s="426"/>
      <c r="S42" s="426"/>
      <c r="T42" s="326"/>
      <c r="U42" s="326"/>
      <c r="V42" s="426"/>
      <c r="W42" s="426"/>
      <c r="X42" s="426"/>
      <c r="Y42" s="426"/>
      <c r="Z42" s="426"/>
      <c r="AA42" s="426"/>
      <c r="AB42" s="426"/>
      <c r="AC42" s="426"/>
      <c r="AD42" s="426"/>
      <c r="AE42" s="326"/>
      <c r="AF42" s="326"/>
      <c r="AG42" s="424"/>
      <c r="AH42" s="424"/>
      <c r="AI42" s="424"/>
      <c r="AJ42" s="424"/>
      <c r="AK42" s="424"/>
      <c r="AL42" s="424"/>
      <c r="AM42" s="425"/>
      <c r="AN42" s="425"/>
      <c r="AO42" s="425"/>
      <c r="AP42" s="425"/>
      <c r="AQ42" s="425"/>
      <c r="AR42" s="425"/>
      <c r="AS42" s="425"/>
      <c r="AT42" s="425"/>
      <c r="AU42" s="425"/>
      <c r="AV42" s="425"/>
      <c r="AW42" s="425"/>
      <c r="AX42" s="425"/>
      <c r="AY42" s="425"/>
      <c r="AZ42" s="425"/>
      <c r="BA42" s="425"/>
      <c r="BB42" s="425"/>
      <c r="BC42" s="425"/>
      <c r="BD42" s="425"/>
      <c r="BE42" s="425"/>
      <c r="BF42" s="425"/>
      <c r="BG42" s="463"/>
      <c r="BH42" s="463"/>
      <c r="BI42" s="463"/>
      <c r="BJ42" s="463"/>
      <c r="BK42" s="463"/>
      <c r="BL42" s="463"/>
      <c r="BM42" s="463"/>
      <c r="BN42" s="463"/>
    </row>
    <row r="43" spans="1:66" ht="15.75" customHeight="1" x14ac:dyDescent="0.2">
      <c r="A43" s="424"/>
      <c r="B43" s="424"/>
      <c r="C43" s="424"/>
      <c r="D43" s="424"/>
      <c r="E43" s="424"/>
      <c r="F43" s="425"/>
      <c r="G43" s="425"/>
      <c r="H43" s="424"/>
      <c r="I43" s="424"/>
      <c r="J43" s="425"/>
      <c r="K43" s="425"/>
      <c r="L43" s="425"/>
      <c r="M43" s="425"/>
      <c r="N43" s="425"/>
      <c r="O43" s="424"/>
      <c r="P43" s="426"/>
      <c r="Q43" s="426"/>
      <c r="R43" s="426"/>
      <c r="S43" s="426"/>
      <c r="T43" s="326"/>
      <c r="U43" s="326"/>
      <c r="V43" s="426"/>
      <c r="W43" s="426"/>
      <c r="X43" s="426"/>
      <c r="Y43" s="426"/>
      <c r="Z43" s="426"/>
      <c r="AA43" s="426"/>
      <c r="AB43" s="426"/>
      <c r="AC43" s="426"/>
      <c r="AD43" s="426"/>
      <c r="AE43" s="326"/>
      <c r="AF43" s="326"/>
      <c r="AG43" s="424"/>
      <c r="AH43" s="424"/>
      <c r="AI43" s="424"/>
      <c r="AJ43" s="424"/>
      <c r="AK43" s="424"/>
      <c r="AL43" s="424"/>
      <c r="AM43" s="425"/>
      <c r="AN43" s="425"/>
      <c r="AO43" s="425"/>
      <c r="AP43" s="425"/>
      <c r="AQ43" s="425"/>
      <c r="AR43" s="425"/>
      <c r="AS43" s="425"/>
      <c r="AT43" s="425"/>
      <c r="AU43" s="425"/>
      <c r="AV43" s="425"/>
      <c r="AW43" s="425"/>
      <c r="AX43" s="425"/>
      <c r="AY43" s="425"/>
      <c r="AZ43" s="425"/>
      <c r="BA43" s="425"/>
      <c r="BB43" s="425"/>
      <c r="BC43" s="425"/>
      <c r="BD43" s="425"/>
      <c r="BE43" s="425"/>
      <c r="BF43" s="425"/>
      <c r="BG43" s="463"/>
      <c r="BH43" s="463"/>
      <c r="BI43" s="463"/>
      <c r="BJ43" s="463"/>
      <c r="BK43" s="463"/>
      <c r="BL43" s="463"/>
      <c r="BM43" s="463"/>
      <c r="BN43" s="463"/>
    </row>
    <row r="44" spans="1:66" ht="15.75" customHeight="1" x14ac:dyDescent="0.2">
      <c r="A44" s="424"/>
      <c r="B44" s="424"/>
      <c r="C44" s="424"/>
      <c r="D44" s="424"/>
      <c r="E44" s="424"/>
      <c r="F44" s="425"/>
      <c r="G44" s="425"/>
      <c r="H44" s="424"/>
      <c r="I44" s="424"/>
      <c r="J44" s="425"/>
      <c r="K44" s="425"/>
      <c r="L44" s="425"/>
      <c r="M44" s="425"/>
      <c r="N44" s="425"/>
      <c r="O44" s="424"/>
      <c r="P44" s="426"/>
      <c r="Q44" s="426"/>
      <c r="R44" s="426"/>
      <c r="S44" s="426"/>
      <c r="T44" s="326"/>
      <c r="U44" s="326"/>
      <c r="V44" s="426"/>
      <c r="W44" s="426"/>
      <c r="X44" s="426"/>
      <c r="Y44" s="426"/>
      <c r="Z44" s="426"/>
      <c r="AA44" s="426"/>
      <c r="AB44" s="426"/>
      <c r="AC44" s="426"/>
      <c r="AD44" s="426"/>
      <c r="AE44" s="326"/>
      <c r="AF44" s="326"/>
      <c r="AG44" s="424"/>
      <c r="AH44" s="424"/>
      <c r="AI44" s="424"/>
      <c r="AJ44" s="424"/>
      <c r="AK44" s="424"/>
      <c r="AL44" s="424"/>
      <c r="AM44" s="425"/>
      <c r="AN44" s="425"/>
      <c r="AO44" s="425"/>
      <c r="AP44" s="425"/>
      <c r="AQ44" s="425"/>
      <c r="AR44" s="425"/>
      <c r="AS44" s="425"/>
      <c r="AT44" s="425"/>
      <c r="AU44" s="425"/>
      <c r="AV44" s="425"/>
      <c r="AW44" s="425"/>
      <c r="AX44" s="425"/>
      <c r="AY44" s="425"/>
      <c r="AZ44" s="425"/>
      <c r="BA44" s="425"/>
      <c r="BB44" s="425"/>
      <c r="BC44" s="425"/>
      <c r="BD44" s="425"/>
      <c r="BE44" s="425"/>
      <c r="BF44" s="425"/>
      <c r="BG44" s="463"/>
      <c r="BH44" s="463"/>
      <c r="BI44" s="463"/>
      <c r="BJ44" s="463"/>
      <c r="BK44" s="463"/>
      <c r="BL44" s="463"/>
      <c r="BM44" s="463"/>
      <c r="BN44" s="463"/>
    </row>
    <row r="45" spans="1:66" ht="15.75" customHeight="1" x14ac:dyDescent="0.2">
      <c r="A45" s="424"/>
      <c r="B45" s="424"/>
      <c r="C45" s="424"/>
      <c r="D45" s="424"/>
      <c r="E45" s="424"/>
      <c r="F45" s="425"/>
      <c r="G45" s="425"/>
      <c r="H45" s="424"/>
      <c r="I45" s="424"/>
      <c r="J45" s="425"/>
      <c r="K45" s="425"/>
      <c r="L45" s="425"/>
      <c r="M45" s="425"/>
      <c r="N45" s="425"/>
      <c r="O45" s="424"/>
      <c r="P45" s="426"/>
      <c r="Q45" s="426"/>
      <c r="R45" s="426"/>
      <c r="S45" s="426"/>
      <c r="T45" s="326"/>
      <c r="U45" s="326"/>
      <c r="V45" s="426"/>
      <c r="W45" s="426"/>
      <c r="X45" s="426"/>
      <c r="Y45" s="426"/>
      <c r="Z45" s="426"/>
      <c r="AA45" s="426"/>
      <c r="AB45" s="426"/>
      <c r="AC45" s="426"/>
      <c r="AD45" s="426"/>
      <c r="AE45" s="326"/>
      <c r="AF45" s="326"/>
      <c r="AG45" s="424"/>
      <c r="AH45" s="424"/>
      <c r="AI45" s="424"/>
      <c r="AJ45" s="424"/>
      <c r="AK45" s="424"/>
      <c r="AL45" s="424"/>
      <c r="AM45" s="425"/>
      <c r="AN45" s="425"/>
      <c r="AO45" s="425"/>
      <c r="AP45" s="425"/>
      <c r="AQ45" s="425"/>
      <c r="AR45" s="425"/>
      <c r="AS45" s="425"/>
      <c r="AT45" s="425"/>
      <c r="AU45" s="425"/>
      <c r="AV45" s="425"/>
      <c r="AW45" s="425"/>
      <c r="AX45" s="425"/>
      <c r="AY45" s="425"/>
      <c r="AZ45" s="425"/>
      <c r="BA45" s="425"/>
      <c r="BB45" s="425"/>
      <c r="BC45" s="425"/>
      <c r="BD45" s="425"/>
      <c r="BE45" s="425"/>
      <c r="BF45" s="425"/>
      <c r="BG45" s="463"/>
      <c r="BH45" s="463"/>
      <c r="BI45" s="463"/>
      <c r="BJ45" s="463"/>
      <c r="BK45" s="463"/>
      <c r="BL45" s="463"/>
      <c r="BM45" s="463"/>
      <c r="BN45" s="463"/>
    </row>
    <row r="46" spans="1:66" ht="15.75" customHeight="1" x14ac:dyDescent="0.2">
      <c r="A46" s="424"/>
      <c r="B46" s="424"/>
      <c r="C46" s="424"/>
      <c r="D46" s="424"/>
      <c r="E46" s="424"/>
      <c r="F46" s="425"/>
      <c r="G46" s="425"/>
      <c r="H46" s="424"/>
      <c r="I46" s="424"/>
      <c r="J46" s="425"/>
      <c r="K46" s="425"/>
      <c r="L46" s="425"/>
      <c r="M46" s="425"/>
      <c r="N46" s="425"/>
      <c r="O46" s="424"/>
      <c r="P46" s="426"/>
      <c r="Q46" s="426"/>
      <c r="R46" s="426"/>
      <c r="S46" s="426"/>
      <c r="T46" s="326"/>
      <c r="U46" s="326"/>
      <c r="V46" s="426"/>
      <c r="W46" s="426"/>
      <c r="X46" s="426"/>
      <c r="Y46" s="426"/>
      <c r="Z46" s="426"/>
      <c r="AA46" s="426"/>
      <c r="AB46" s="426"/>
      <c r="AC46" s="426"/>
      <c r="AD46" s="426"/>
      <c r="AE46" s="326"/>
      <c r="AF46" s="326"/>
      <c r="AG46" s="424"/>
      <c r="AH46" s="424"/>
      <c r="AI46" s="424"/>
      <c r="AJ46" s="424"/>
      <c r="AK46" s="424"/>
      <c r="AL46" s="424"/>
      <c r="AM46" s="425"/>
      <c r="AN46" s="425"/>
      <c r="AO46" s="425"/>
      <c r="AP46" s="425"/>
      <c r="AQ46" s="425"/>
      <c r="AR46" s="425"/>
      <c r="AS46" s="425"/>
      <c r="AT46" s="425"/>
      <c r="AU46" s="425"/>
      <c r="AV46" s="425"/>
      <c r="AW46" s="425"/>
      <c r="AX46" s="425"/>
      <c r="AY46" s="425"/>
      <c r="AZ46" s="425"/>
      <c r="BA46" s="425"/>
      <c r="BB46" s="425"/>
      <c r="BC46" s="425"/>
      <c r="BD46" s="425"/>
      <c r="BE46" s="425"/>
      <c r="BF46" s="425"/>
      <c r="BG46" s="463"/>
      <c r="BH46" s="463"/>
      <c r="BI46" s="463"/>
      <c r="BJ46" s="463"/>
      <c r="BK46" s="463"/>
      <c r="BL46" s="463"/>
      <c r="BM46" s="463"/>
      <c r="BN46" s="463"/>
    </row>
    <row r="47" spans="1:66" ht="15.75" customHeight="1" x14ac:dyDescent="0.2">
      <c r="A47" s="424"/>
      <c r="B47" s="424"/>
      <c r="C47" s="424"/>
      <c r="D47" s="424"/>
      <c r="E47" s="424"/>
      <c r="F47" s="425"/>
      <c r="G47" s="425"/>
      <c r="H47" s="424"/>
      <c r="I47" s="424"/>
      <c r="J47" s="425"/>
      <c r="K47" s="425"/>
      <c r="L47" s="425"/>
      <c r="M47" s="425"/>
      <c r="N47" s="425"/>
      <c r="O47" s="424"/>
      <c r="P47" s="426"/>
      <c r="Q47" s="426"/>
      <c r="R47" s="426"/>
      <c r="S47" s="426"/>
      <c r="T47" s="326"/>
      <c r="U47" s="326"/>
      <c r="V47" s="426"/>
      <c r="W47" s="426"/>
      <c r="X47" s="426"/>
      <c r="Y47" s="426"/>
      <c r="Z47" s="426"/>
      <c r="AA47" s="426"/>
      <c r="AB47" s="426"/>
      <c r="AC47" s="426"/>
      <c r="AD47" s="426"/>
      <c r="AE47" s="326"/>
      <c r="AF47" s="326"/>
      <c r="AG47" s="424"/>
      <c r="AH47" s="424"/>
      <c r="AI47" s="424"/>
      <c r="AJ47" s="424"/>
      <c r="AK47" s="424"/>
      <c r="AL47" s="424"/>
      <c r="AM47" s="425"/>
      <c r="AN47" s="425"/>
      <c r="AO47" s="425"/>
      <c r="AP47" s="425"/>
      <c r="AQ47" s="425"/>
      <c r="AR47" s="425"/>
      <c r="AS47" s="425"/>
      <c r="AT47" s="425"/>
      <c r="AU47" s="425"/>
      <c r="AV47" s="425"/>
      <c r="AW47" s="425"/>
      <c r="AX47" s="425"/>
      <c r="AY47" s="425"/>
      <c r="AZ47" s="425"/>
      <c r="BA47" s="425"/>
      <c r="BB47" s="425"/>
      <c r="BC47" s="425"/>
      <c r="BD47" s="425"/>
      <c r="BE47" s="425"/>
      <c r="BF47" s="425"/>
      <c r="BG47" s="463"/>
      <c r="BH47" s="463"/>
      <c r="BI47" s="463"/>
      <c r="BJ47" s="463"/>
      <c r="BK47" s="463"/>
      <c r="BL47" s="463"/>
      <c r="BM47" s="463"/>
      <c r="BN47" s="463"/>
    </row>
    <row r="48" spans="1:66" ht="15.75" customHeight="1" x14ac:dyDescent="0.2">
      <c r="A48" s="424"/>
      <c r="B48" s="424"/>
      <c r="C48" s="424"/>
      <c r="D48" s="424"/>
      <c r="E48" s="424"/>
      <c r="F48" s="425"/>
      <c r="G48" s="425"/>
      <c r="H48" s="424"/>
      <c r="I48" s="424"/>
      <c r="J48" s="425"/>
      <c r="K48" s="425"/>
      <c r="L48" s="425"/>
      <c r="M48" s="425"/>
      <c r="N48" s="425"/>
      <c r="O48" s="424"/>
      <c r="P48" s="426"/>
      <c r="Q48" s="426"/>
      <c r="R48" s="426"/>
      <c r="S48" s="426"/>
      <c r="T48" s="326"/>
      <c r="U48" s="326"/>
      <c r="V48" s="426"/>
      <c r="W48" s="426"/>
      <c r="X48" s="426"/>
      <c r="Y48" s="426"/>
      <c r="Z48" s="426"/>
      <c r="AA48" s="426"/>
      <c r="AB48" s="426"/>
      <c r="AC48" s="426"/>
      <c r="AD48" s="426"/>
      <c r="AE48" s="326"/>
      <c r="AF48" s="326"/>
      <c r="AG48" s="424"/>
      <c r="AH48" s="424"/>
      <c r="AI48" s="424"/>
      <c r="AJ48" s="424"/>
      <c r="AK48" s="424"/>
      <c r="AL48" s="424"/>
      <c r="AM48" s="425"/>
      <c r="AN48" s="425"/>
      <c r="AO48" s="425"/>
      <c r="AP48" s="425"/>
      <c r="AQ48" s="425"/>
      <c r="AR48" s="425"/>
      <c r="AS48" s="425"/>
      <c r="AT48" s="425"/>
      <c r="AU48" s="425"/>
      <c r="AV48" s="425"/>
      <c r="AW48" s="425"/>
      <c r="AX48" s="425"/>
      <c r="AY48" s="425"/>
      <c r="AZ48" s="425"/>
      <c r="BA48" s="425"/>
      <c r="BB48" s="425"/>
      <c r="BC48" s="425"/>
      <c r="BD48" s="425"/>
      <c r="BE48" s="425"/>
      <c r="BF48" s="425"/>
      <c r="BG48" s="463"/>
      <c r="BH48" s="463"/>
      <c r="BI48" s="463"/>
      <c r="BJ48" s="463"/>
      <c r="BK48" s="463"/>
      <c r="BL48" s="463"/>
      <c r="BM48" s="463"/>
      <c r="BN48" s="463"/>
    </row>
    <row r="49" spans="1:66" ht="15.75" customHeight="1" x14ac:dyDescent="0.2">
      <c r="A49" s="424"/>
      <c r="B49" s="424"/>
      <c r="C49" s="424"/>
      <c r="D49" s="424"/>
      <c r="E49" s="424"/>
      <c r="F49" s="425"/>
      <c r="G49" s="425"/>
      <c r="H49" s="424"/>
      <c r="I49" s="424"/>
      <c r="J49" s="425"/>
      <c r="K49" s="425"/>
      <c r="L49" s="425"/>
      <c r="M49" s="425"/>
      <c r="N49" s="425"/>
      <c r="O49" s="424"/>
      <c r="P49" s="426"/>
      <c r="Q49" s="426"/>
      <c r="R49" s="426"/>
      <c r="S49" s="426"/>
      <c r="T49" s="326"/>
      <c r="U49" s="326"/>
      <c r="V49" s="426"/>
      <c r="W49" s="426"/>
      <c r="X49" s="426"/>
      <c r="Y49" s="426"/>
      <c r="Z49" s="426"/>
      <c r="AA49" s="426"/>
      <c r="AB49" s="426"/>
      <c r="AC49" s="426"/>
      <c r="AD49" s="426"/>
      <c r="AE49" s="326"/>
      <c r="AF49" s="326"/>
      <c r="AG49" s="424"/>
      <c r="AH49" s="424"/>
      <c r="AI49" s="424"/>
      <c r="AJ49" s="424"/>
      <c r="AK49" s="424"/>
      <c r="AL49" s="424"/>
      <c r="AM49" s="425"/>
      <c r="AN49" s="425"/>
      <c r="AO49" s="425"/>
      <c r="AP49" s="425"/>
      <c r="AQ49" s="425"/>
      <c r="AR49" s="425"/>
      <c r="AS49" s="425"/>
      <c r="AT49" s="425"/>
      <c r="AU49" s="425"/>
      <c r="AV49" s="425"/>
      <c r="AW49" s="425"/>
      <c r="AX49" s="425"/>
      <c r="AY49" s="425"/>
      <c r="AZ49" s="425"/>
      <c r="BA49" s="425"/>
      <c r="BB49" s="425"/>
      <c r="BC49" s="425"/>
      <c r="BD49" s="425"/>
      <c r="BE49" s="425"/>
      <c r="BF49" s="425"/>
      <c r="BG49" s="463"/>
      <c r="BH49" s="463"/>
      <c r="BI49" s="463"/>
      <c r="BJ49" s="463"/>
      <c r="BK49" s="463"/>
      <c r="BL49" s="463"/>
      <c r="BM49" s="463"/>
      <c r="BN49" s="463"/>
    </row>
    <row r="50" spans="1:66" ht="15.75" customHeight="1" x14ac:dyDescent="0.2">
      <c r="A50" s="424"/>
      <c r="B50" s="424"/>
      <c r="C50" s="424"/>
      <c r="D50" s="424"/>
      <c r="E50" s="424"/>
      <c r="F50" s="425"/>
      <c r="G50" s="425"/>
      <c r="H50" s="424"/>
      <c r="I50" s="424"/>
      <c r="J50" s="425"/>
      <c r="K50" s="425"/>
      <c r="L50" s="425"/>
      <c r="M50" s="425"/>
      <c r="N50" s="425"/>
      <c r="O50" s="424"/>
      <c r="P50" s="426"/>
      <c r="Q50" s="426"/>
      <c r="R50" s="426"/>
      <c r="S50" s="426"/>
      <c r="T50" s="326"/>
      <c r="U50" s="326"/>
      <c r="V50" s="426"/>
      <c r="W50" s="426"/>
      <c r="X50" s="426"/>
      <c r="Y50" s="426"/>
      <c r="Z50" s="426"/>
      <c r="AA50" s="426"/>
      <c r="AB50" s="426"/>
      <c r="AC50" s="426"/>
      <c r="AD50" s="426"/>
      <c r="AE50" s="326"/>
      <c r="AF50" s="326"/>
      <c r="AG50" s="424"/>
      <c r="AH50" s="424"/>
      <c r="AI50" s="424"/>
      <c r="AJ50" s="424"/>
      <c r="AK50" s="424"/>
      <c r="AL50" s="424"/>
      <c r="AM50" s="425"/>
      <c r="AN50" s="425"/>
      <c r="AO50" s="425"/>
      <c r="AP50" s="425"/>
      <c r="AQ50" s="425"/>
      <c r="AR50" s="425"/>
      <c r="AS50" s="425"/>
      <c r="AT50" s="425"/>
      <c r="AU50" s="425"/>
      <c r="AV50" s="425"/>
      <c r="AW50" s="425"/>
      <c r="AX50" s="425"/>
      <c r="AY50" s="425"/>
      <c r="AZ50" s="425"/>
      <c r="BA50" s="425"/>
      <c r="BB50" s="425"/>
      <c r="BC50" s="425"/>
      <c r="BD50" s="425"/>
      <c r="BE50" s="425"/>
      <c r="BF50" s="425"/>
      <c r="BG50" s="463"/>
      <c r="BH50" s="463"/>
      <c r="BI50" s="463"/>
      <c r="BJ50" s="463"/>
      <c r="BK50" s="463"/>
      <c r="BL50" s="463"/>
      <c r="BM50" s="463"/>
      <c r="BN50" s="463"/>
    </row>
    <row r="51" spans="1:66" ht="15.75" customHeight="1" x14ac:dyDescent="0.2">
      <c r="A51" s="424"/>
      <c r="B51" s="424"/>
      <c r="C51" s="424"/>
      <c r="D51" s="424"/>
      <c r="E51" s="424"/>
      <c r="F51" s="425"/>
      <c r="G51" s="425"/>
      <c r="H51" s="424"/>
      <c r="I51" s="424"/>
      <c r="J51" s="425"/>
      <c r="K51" s="425"/>
      <c r="L51" s="425"/>
      <c r="M51" s="425"/>
      <c r="N51" s="425"/>
      <c r="O51" s="424"/>
      <c r="P51" s="426"/>
      <c r="Q51" s="426"/>
      <c r="R51" s="426"/>
      <c r="S51" s="426"/>
      <c r="T51" s="326"/>
      <c r="U51" s="326"/>
      <c r="V51" s="426"/>
      <c r="W51" s="426"/>
      <c r="X51" s="426"/>
      <c r="Y51" s="426"/>
      <c r="Z51" s="426"/>
      <c r="AA51" s="426"/>
      <c r="AB51" s="426"/>
      <c r="AC51" s="426"/>
      <c r="AD51" s="426"/>
      <c r="AE51" s="326"/>
      <c r="AF51" s="326"/>
      <c r="AG51" s="424"/>
      <c r="AH51" s="424"/>
      <c r="AI51" s="424"/>
      <c r="AJ51" s="424"/>
      <c r="AK51" s="424"/>
      <c r="AL51" s="424"/>
      <c r="AM51" s="425"/>
      <c r="AN51" s="425"/>
      <c r="AO51" s="425"/>
      <c r="AP51" s="425"/>
      <c r="AQ51" s="425"/>
      <c r="AR51" s="425"/>
      <c r="AS51" s="425"/>
      <c r="AT51" s="425"/>
      <c r="AU51" s="425"/>
      <c r="AV51" s="425"/>
      <c r="AW51" s="425"/>
      <c r="AX51" s="425"/>
      <c r="AY51" s="425"/>
      <c r="AZ51" s="425"/>
      <c r="BA51" s="425"/>
      <c r="BB51" s="425"/>
      <c r="BC51" s="425"/>
      <c r="BD51" s="425"/>
      <c r="BE51" s="425"/>
      <c r="BF51" s="425"/>
      <c r="BG51" s="463"/>
      <c r="BH51" s="463"/>
      <c r="BI51" s="463"/>
      <c r="BJ51" s="463"/>
      <c r="BK51" s="463"/>
      <c r="BL51" s="463"/>
      <c r="BM51" s="463"/>
      <c r="BN51" s="463"/>
    </row>
    <row r="52" spans="1:66" ht="15.75" customHeight="1" x14ac:dyDescent="0.2">
      <c r="A52" s="424"/>
      <c r="B52" s="424"/>
      <c r="C52" s="424"/>
      <c r="D52" s="424"/>
      <c r="E52" s="424"/>
      <c r="F52" s="425"/>
      <c r="G52" s="425"/>
      <c r="H52" s="424"/>
      <c r="I52" s="424"/>
      <c r="J52" s="425"/>
      <c r="K52" s="425"/>
      <c r="L52" s="425"/>
      <c r="M52" s="425"/>
      <c r="N52" s="425"/>
      <c r="O52" s="424"/>
      <c r="P52" s="426"/>
      <c r="Q52" s="426"/>
      <c r="R52" s="426"/>
      <c r="S52" s="426"/>
      <c r="T52" s="326"/>
      <c r="U52" s="326"/>
      <c r="V52" s="426"/>
      <c r="W52" s="426"/>
      <c r="X52" s="426"/>
      <c r="Y52" s="426"/>
      <c r="Z52" s="426"/>
      <c r="AA52" s="426"/>
      <c r="AB52" s="426"/>
      <c r="AC52" s="426"/>
      <c r="AD52" s="426"/>
      <c r="AE52" s="326"/>
      <c r="AF52" s="326"/>
      <c r="AG52" s="424"/>
      <c r="AH52" s="424"/>
      <c r="AI52" s="424"/>
      <c r="AJ52" s="424"/>
      <c r="AK52" s="424"/>
      <c r="AL52" s="424"/>
      <c r="AM52" s="425"/>
      <c r="AN52" s="425"/>
      <c r="AO52" s="425"/>
      <c r="AP52" s="425"/>
      <c r="AQ52" s="425"/>
      <c r="AR52" s="425"/>
      <c r="AS52" s="425"/>
      <c r="AT52" s="425"/>
      <c r="AU52" s="425"/>
      <c r="AV52" s="425"/>
      <c r="AW52" s="425"/>
      <c r="AX52" s="425"/>
      <c r="AY52" s="425"/>
      <c r="AZ52" s="425"/>
      <c r="BA52" s="425"/>
      <c r="BB52" s="425"/>
      <c r="BC52" s="425"/>
      <c r="BD52" s="425"/>
      <c r="BE52" s="425"/>
      <c r="BF52" s="425"/>
      <c r="BG52" s="463"/>
      <c r="BH52" s="463"/>
      <c r="BI52" s="463"/>
      <c r="BJ52" s="463"/>
      <c r="BK52" s="463"/>
      <c r="BL52" s="463"/>
      <c r="BM52" s="463"/>
      <c r="BN52" s="463"/>
    </row>
    <row r="53" spans="1:66" ht="15.75" customHeight="1" x14ac:dyDescent="0.2">
      <c r="A53" s="424"/>
      <c r="B53" s="424"/>
      <c r="C53" s="424"/>
      <c r="D53" s="424"/>
      <c r="E53" s="424"/>
      <c r="F53" s="425"/>
      <c r="G53" s="425"/>
      <c r="H53" s="424"/>
      <c r="I53" s="424"/>
      <c r="J53" s="425"/>
      <c r="K53" s="425"/>
      <c r="L53" s="425"/>
      <c r="M53" s="425"/>
      <c r="N53" s="425"/>
      <c r="O53" s="424"/>
      <c r="P53" s="426"/>
      <c r="Q53" s="426"/>
      <c r="R53" s="426"/>
      <c r="S53" s="426"/>
      <c r="T53" s="326"/>
      <c r="U53" s="326"/>
      <c r="V53" s="426"/>
      <c r="W53" s="426"/>
      <c r="X53" s="426"/>
      <c r="Y53" s="426"/>
      <c r="Z53" s="426"/>
      <c r="AA53" s="426"/>
      <c r="AB53" s="426"/>
      <c r="AC53" s="426"/>
      <c r="AD53" s="426"/>
      <c r="AE53" s="326"/>
      <c r="AF53" s="326"/>
      <c r="AG53" s="424"/>
      <c r="AH53" s="424"/>
      <c r="AI53" s="424"/>
      <c r="AJ53" s="424"/>
      <c r="AK53" s="424"/>
      <c r="AL53" s="424"/>
      <c r="AM53" s="425"/>
      <c r="AN53" s="425"/>
      <c r="AO53" s="425"/>
      <c r="AP53" s="425"/>
      <c r="AQ53" s="425"/>
      <c r="AR53" s="425"/>
      <c r="AS53" s="425"/>
      <c r="AT53" s="425"/>
      <c r="AU53" s="425"/>
      <c r="AV53" s="425"/>
      <c r="AW53" s="425"/>
      <c r="AX53" s="425"/>
      <c r="AY53" s="425"/>
      <c r="AZ53" s="425"/>
      <c r="BA53" s="425"/>
      <c r="BB53" s="425"/>
      <c r="BC53" s="425"/>
      <c r="BD53" s="425"/>
      <c r="BE53" s="425"/>
      <c r="BF53" s="425"/>
      <c r="BG53" s="463"/>
      <c r="BH53" s="463"/>
      <c r="BI53" s="463"/>
      <c r="BJ53" s="463"/>
      <c r="BK53" s="463"/>
      <c r="BL53" s="463"/>
      <c r="BM53" s="463"/>
      <c r="BN53" s="463"/>
    </row>
    <row r="54" spans="1:66" ht="15.75" customHeight="1" x14ac:dyDescent="0.2">
      <c r="A54" s="424"/>
      <c r="B54" s="424"/>
      <c r="C54" s="424"/>
      <c r="D54" s="424"/>
      <c r="E54" s="424"/>
      <c r="F54" s="425"/>
      <c r="G54" s="425"/>
      <c r="H54" s="424"/>
      <c r="I54" s="424"/>
      <c r="J54" s="425"/>
      <c r="K54" s="425"/>
      <c r="L54" s="425"/>
      <c r="M54" s="425"/>
      <c r="N54" s="425"/>
      <c r="O54" s="424"/>
      <c r="P54" s="426"/>
      <c r="Q54" s="426"/>
      <c r="R54" s="426"/>
      <c r="S54" s="426"/>
      <c r="T54" s="326"/>
      <c r="U54" s="326"/>
      <c r="V54" s="426"/>
      <c r="W54" s="426"/>
      <c r="X54" s="426"/>
      <c r="Y54" s="426"/>
      <c r="Z54" s="426"/>
      <c r="AA54" s="426"/>
      <c r="AB54" s="426"/>
      <c r="AC54" s="426"/>
      <c r="AD54" s="426"/>
      <c r="AE54" s="326"/>
      <c r="AF54" s="326"/>
      <c r="AG54" s="424"/>
      <c r="AH54" s="424"/>
      <c r="AI54" s="424"/>
      <c r="AJ54" s="424"/>
      <c r="AK54" s="424"/>
      <c r="AL54" s="424"/>
      <c r="AM54" s="425"/>
      <c r="AN54" s="425"/>
      <c r="AO54" s="425"/>
      <c r="AP54" s="425"/>
      <c r="AQ54" s="425"/>
      <c r="AR54" s="425"/>
      <c r="AS54" s="425"/>
      <c r="AT54" s="425"/>
      <c r="AU54" s="425"/>
      <c r="AV54" s="425"/>
      <c r="AW54" s="425"/>
      <c r="AX54" s="425"/>
      <c r="AY54" s="425"/>
      <c r="AZ54" s="425"/>
      <c r="BA54" s="425"/>
      <c r="BB54" s="425"/>
      <c r="BC54" s="425"/>
      <c r="BD54" s="425"/>
      <c r="BE54" s="425"/>
      <c r="BF54" s="425"/>
      <c r="BG54" s="463"/>
      <c r="BH54" s="463"/>
      <c r="BI54" s="463"/>
      <c r="BJ54" s="463"/>
      <c r="BK54" s="463"/>
      <c r="BL54" s="463"/>
      <c r="BM54" s="463"/>
      <c r="BN54" s="463"/>
    </row>
    <row r="55" spans="1:66" ht="15.75" customHeight="1" x14ac:dyDescent="0.2">
      <c r="A55" s="424"/>
      <c r="B55" s="424"/>
      <c r="C55" s="424"/>
      <c r="D55" s="424"/>
      <c r="E55" s="424"/>
      <c r="F55" s="425"/>
      <c r="G55" s="425"/>
      <c r="H55" s="424"/>
      <c r="I55" s="424"/>
      <c r="J55" s="425"/>
      <c r="K55" s="425"/>
      <c r="L55" s="425"/>
      <c r="M55" s="425"/>
      <c r="N55" s="425"/>
      <c r="O55" s="424"/>
      <c r="P55" s="426"/>
      <c r="Q55" s="426"/>
      <c r="R55" s="426"/>
      <c r="S55" s="426"/>
      <c r="T55" s="326"/>
      <c r="U55" s="326"/>
      <c r="V55" s="426"/>
      <c r="W55" s="426"/>
      <c r="X55" s="426"/>
      <c r="Y55" s="426"/>
      <c r="Z55" s="426"/>
      <c r="AA55" s="426"/>
      <c r="AB55" s="426"/>
      <c r="AC55" s="426"/>
      <c r="AD55" s="426"/>
      <c r="AE55" s="326"/>
      <c r="AF55" s="326"/>
      <c r="AG55" s="424"/>
      <c r="AH55" s="424"/>
      <c r="AI55" s="424"/>
      <c r="AJ55" s="424"/>
      <c r="AK55" s="424"/>
      <c r="AL55" s="424"/>
      <c r="AM55" s="425"/>
      <c r="AN55" s="425"/>
      <c r="AO55" s="425"/>
      <c r="AP55" s="425"/>
      <c r="AQ55" s="425"/>
      <c r="AR55" s="425"/>
      <c r="AS55" s="425"/>
      <c r="AT55" s="425"/>
      <c r="AU55" s="425"/>
      <c r="AV55" s="425"/>
      <c r="AW55" s="425"/>
      <c r="AX55" s="425"/>
      <c r="AY55" s="425"/>
      <c r="AZ55" s="425"/>
      <c r="BA55" s="425"/>
      <c r="BB55" s="425"/>
      <c r="BC55" s="425"/>
      <c r="BD55" s="425"/>
      <c r="BE55" s="425"/>
      <c r="BF55" s="425"/>
      <c r="BG55" s="463"/>
      <c r="BH55" s="463"/>
      <c r="BI55" s="463"/>
      <c r="BJ55" s="463"/>
      <c r="BK55" s="463"/>
      <c r="BL55" s="463"/>
      <c r="BM55" s="463"/>
      <c r="BN55" s="463"/>
    </row>
    <row r="56" spans="1:66" ht="15.75" customHeight="1" x14ac:dyDescent="0.2">
      <c r="A56" s="424"/>
      <c r="B56" s="424"/>
      <c r="C56" s="424"/>
      <c r="D56" s="424"/>
      <c r="E56" s="424"/>
      <c r="F56" s="425"/>
      <c r="G56" s="425"/>
      <c r="H56" s="424"/>
      <c r="I56" s="424"/>
      <c r="J56" s="425"/>
      <c r="K56" s="425"/>
      <c r="L56" s="425"/>
      <c r="M56" s="425"/>
      <c r="N56" s="425"/>
      <c r="O56" s="424"/>
      <c r="P56" s="426"/>
      <c r="Q56" s="426"/>
      <c r="R56" s="426"/>
      <c r="S56" s="426"/>
      <c r="T56" s="326"/>
      <c r="U56" s="326"/>
      <c r="V56" s="426"/>
      <c r="W56" s="426"/>
      <c r="X56" s="426"/>
      <c r="Y56" s="426"/>
      <c r="Z56" s="426"/>
      <c r="AA56" s="426"/>
      <c r="AB56" s="426"/>
      <c r="AC56" s="426"/>
      <c r="AD56" s="426"/>
      <c r="AE56" s="326"/>
      <c r="AF56" s="326"/>
      <c r="AG56" s="424"/>
      <c r="AH56" s="424"/>
      <c r="AI56" s="424"/>
      <c r="AJ56" s="424"/>
      <c r="AK56" s="424"/>
      <c r="AL56" s="424"/>
      <c r="AM56" s="425"/>
      <c r="AN56" s="425"/>
      <c r="AO56" s="425"/>
      <c r="AP56" s="425"/>
      <c r="AQ56" s="425"/>
      <c r="AR56" s="425"/>
      <c r="AS56" s="425"/>
      <c r="AT56" s="425"/>
      <c r="AU56" s="425"/>
      <c r="AV56" s="425"/>
      <c r="AW56" s="425"/>
      <c r="AX56" s="425"/>
      <c r="AY56" s="425"/>
      <c r="AZ56" s="425"/>
      <c r="BA56" s="425"/>
      <c r="BB56" s="425"/>
      <c r="BC56" s="425"/>
      <c r="BD56" s="425"/>
      <c r="BE56" s="425"/>
      <c r="BF56" s="425"/>
      <c r="BG56" s="463"/>
      <c r="BH56" s="463"/>
      <c r="BI56" s="463"/>
      <c r="BJ56" s="463"/>
      <c r="BK56" s="463"/>
      <c r="BL56" s="463"/>
      <c r="BM56" s="463"/>
      <c r="BN56" s="463"/>
    </row>
    <row r="57" spans="1:66" ht="15.75" customHeight="1" x14ac:dyDescent="0.2">
      <c r="A57" s="424"/>
      <c r="B57" s="424"/>
      <c r="C57" s="424"/>
      <c r="D57" s="424"/>
      <c r="E57" s="424"/>
      <c r="F57" s="425"/>
      <c r="G57" s="425"/>
      <c r="H57" s="424"/>
      <c r="I57" s="424"/>
      <c r="J57" s="425"/>
      <c r="K57" s="425"/>
      <c r="L57" s="425"/>
      <c r="M57" s="425"/>
      <c r="N57" s="425"/>
      <c r="O57" s="424"/>
      <c r="P57" s="426"/>
      <c r="Q57" s="426"/>
      <c r="R57" s="426"/>
      <c r="S57" s="426"/>
      <c r="T57" s="326"/>
      <c r="U57" s="326"/>
      <c r="V57" s="426"/>
      <c r="W57" s="426"/>
      <c r="X57" s="426"/>
      <c r="Y57" s="426"/>
      <c r="Z57" s="426"/>
      <c r="AA57" s="426"/>
      <c r="AB57" s="426"/>
      <c r="AC57" s="426"/>
      <c r="AD57" s="426"/>
      <c r="AE57" s="326"/>
      <c r="AF57" s="326"/>
      <c r="AG57" s="424"/>
      <c r="AH57" s="424"/>
      <c r="AI57" s="424"/>
      <c r="AJ57" s="424"/>
      <c r="AK57" s="424"/>
      <c r="AL57" s="424"/>
      <c r="AM57" s="425"/>
      <c r="AN57" s="425"/>
      <c r="AO57" s="425"/>
      <c r="AP57" s="425"/>
      <c r="AQ57" s="425"/>
      <c r="AR57" s="425"/>
      <c r="AS57" s="425"/>
      <c r="AT57" s="425"/>
      <c r="AU57" s="425"/>
      <c r="AV57" s="425"/>
      <c r="AW57" s="425"/>
      <c r="AX57" s="425"/>
      <c r="AY57" s="425"/>
      <c r="AZ57" s="425"/>
      <c r="BA57" s="425"/>
      <c r="BB57" s="425"/>
      <c r="BC57" s="425"/>
      <c r="BD57" s="425"/>
      <c r="BE57" s="425"/>
      <c r="BF57" s="425"/>
      <c r="BG57" s="463"/>
      <c r="BH57" s="463"/>
      <c r="BI57" s="463"/>
      <c r="BJ57" s="463"/>
      <c r="BK57" s="463"/>
      <c r="BL57" s="463"/>
      <c r="BM57" s="463"/>
      <c r="BN57" s="463"/>
    </row>
    <row r="58" spans="1:66" ht="15.75" customHeight="1" x14ac:dyDescent="0.2">
      <c r="A58" s="424"/>
      <c r="B58" s="424"/>
      <c r="C58" s="424"/>
      <c r="D58" s="424"/>
      <c r="E58" s="424"/>
      <c r="F58" s="425"/>
      <c r="G58" s="425"/>
      <c r="H58" s="424"/>
      <c r="I58" s="424"/>
      <c r="J58" s="425"/>
      <c r="K58" s="425"/>
      <c r="L58" s="425"/>
      <c r="M58" s="425"/>
      <c r="N58" s="425"/>
      <c r="O58" s="424"/>
      <c r="P58" s="426"/>
      <c r="Q58" s="426"/>
      <c r="R58" s="426"/>
      <c r="S58" s="426"/>
      <c r="T58" s="326"/>
      <c r="U58" s="326"/>
      <c r="V58" s="426"/>
      <c r="W58" s="426"/>
      <c r="X58" s="426"/>
      <c r="Y58" s="426"/>
      <c r="Z58" s="426"/>
      <c r="AA58" s="426"/>
      <c r="AB58" s="426"/>
      <c r="AC58" s="426"/>
      <c r="AD58" s="426"/>
      <c r="AE58" s="326"/>
      <c r="AF58" s="326"/>
      <c r="AG58" s="424"/>
      <c r="AH58" s="424"/>
      <c r="AI58" s="424"/>
      <c r="AJ58" s="424"/>
      <c r="AK58" s="424"/>
      <c r="AL58" s="424"/>
      <c r="AM58" s="425"/>
      <c r="AN58" s="425"/>
      <c r="AO58" s="425"/>
      <c r="AP58" s="425"/>
      <c r="AQ58" s="425"/>
      <c r="AR58" s="425"/>
      <c r="AS58" s="425"/>
      <c r="AT58" s="425"/>
      <c r="AU58" s="425"/>
      <c r="AV58" s="425"/>
      <c r="AW58" s="425"/>
      <c r="AX58" s="425"/>
      <c r="AY58" s="425"/>
      <c r="AZ58" s="425"/>
      <c r="BA58" s="425"/>
      <c r="BB58" s="425"/>
      <c r="BC58" s="425"/>
      <c r="BD58" s="425"/>
      <c r="BE58" s="425"/>
      <c r="BF58" s="425"/>
      <c r="BG58" s="463"/>
      <c r="BH58" s="463"/>
      <c r="BI58" s="463"/>
      <c r="BJ58" s="463"/>
      <c r="BK58" s="463"/>
      <c r="BL58" s="463"/>
      <c r="BM58" s="463"/>
      <c r="BN58" s="463"/>
    </row>
    <row r="59" spans="1:66" ht="15.75" customHeight="1" x14ac:dyDescent="0.2">
      <c r="A59" s="424"/>
      <c r="B59" s="424"/>
      <c r="C59" s="424"/>
      <c r="D59" s="424"/>
      <c r="E59" s="424"/>
      <c r="F59" s="425"/>
      <c r="G59" s="425"/>
      <c r="H59" s="424"/>
      <c r="I59" s="424"/>
      <c r="J59" s="425"/>
      <c r="K59" s="425"/>
      <c r="L59" s="425"/>
      <c r="M59" s="425"/>
      <c r="N59" s="425"/>
      <c r="O59" s="424"/>
      <c r="P59" s="426"/>
      <c r="Q59" s="426"/>
      <c r="R59" s="426"/>
      <c r="S59" s="426"/>
      <c r="T59" s="326"/>
      <c r="U59" s="326"/>
      <c r="V59" s="426"/>
      <c r="W59" s="426"/>
      <c r="X59" s="426"/>
      <c r="Y59" s="426"/>
      <c r="Z59" s="426"/>
      <c r="AA59" s="426"/>
      <c r="AB59" s="426"/>
      <c r="AC59" s="426"/>
      <c r="AD59" s="426"/>
      <c r="AE59" s="326"/>
      <c r="AF59" s="326"/>
      <c r="AG59" s="424"/>
      <c r="AH59" s="424"/>
      <c r="AI59" s="424"/>
      <c r="AJ59" s="424"/>
      <c r="AK59" s="424"/>
      <c r="AL59" s="424"/>
      <c r="AM59" s="425"/>
      <c r="AN59" s="425"/>
      <c r="AO59" s="425"/>
      <c r="AP59" s="425"/>
      <c r="AQ59" s="425"/>
      <c r="AR59" s="425"/>
      <c r="AS59" s="425"/>
      <c r="AT59" s="425"/>
      <c r="AU59" s="425"/>
      <c r="AV59" s="425"/>
      <c r="AW59" s="425"/>
      <c r="AX59" s="425"/>
      <c r="AY59" s="425"/>
      <c r="AZ59" s="425"/>
      <c r="BA59" s="425"/>
      <c r="BB59" s="425"/>
      <c r="BC59" s="425"/>
      <c r="BD59" s="425"/>
      <c r="BE59" s="425"/>
      <c r="BF59" s="425"/>
      <c r="BG59" s="463"/>
      <c r="BH59" s="463"/>
      <c r="BI59" s="463"/>
      <c r="BJ59" s="463"/>
      <c r="BK59" s="463"/>
      <c r="BL59" s="463"/>
      <c r="BM59" s="463"/>
      <c r="BN59" s="463"/>
    </row>
    <row r="60" spans="1:66" ht="15.75" customHeight="1" x14ac:dyDescent="0.2">
      <c r="A60" s="424"/>
      <c r="B60" s="424"/>
      <c r="C60" s="424"/>
      <c r="D60" s="424"/>
      <c r="E60" s="424"/>
      <c r="F60" s="425"/>
      <c r="G60" s="425"/>
      <c r="H60" s="424"/>
      <c r="I60" s="424"/>
      <c r="J60" s="425"/>
      <c r="K60" s="425"/>
      <c r="L60" s="425"/>
      <c r="M60" s="425"/>
      <c r="N60" s="425"/>
      <c r="O60" s="424"/>
      <c r="P60" s="426"/>
      <c r="Q60" s="426"/>
      <c r="R60" s="426"/>
      <c r="S60" s="426"/>
      <c r="T60" s="326"/>
      <c r="U60" s="326"/>
      <c r="V60" s="426"/>
      <c r="W60" s="426"/>
      <c r="X60" s="426"/>
      <c r="Y60" s="426"/>
      <c r="Z60" s="426"/>
      <c r="AA60" s="426"/>
      <c r="AB60" s="426"/>
      <c r="AC60" s="426"/>
      <c r="AD60" s="426"/>
      <c r="AE60" s="326"/>
      <c r="AF60" s="326"/>
      <c r="AG60" s="424"/>
      <c r="AH60" s="424"/>
      <c r="AI60" s="424"/>
      <c r="AJ60" s="424"/>
      <c r="AK60" s="424"/>
      <c r="AL60" s="424"/>
      <c r="AM60" s="425"/>
      <c r="AN60" s="425"/>
      <c r="AO60" s="425"/>
      <c r="AP60" s="425"/>
      <c r="AQ60" s="425"/>
      <c r="AR60" s="425"/>
      <c r="AS60" s="425"/>
      <c r="AT60" s="425"/>
      <c r="AU60" s="425"/>
      <c r="AV60" s="425"/>
      <c r="AW60" s="425"/>
      <c r="AX60" s="425"/>
      <c r="AY60" s="425"/>
      <c r="AZ60" s="425"/>
      <c r="BA60" s="425"/>
      <c r="BB60" s="425"/>
      <c r="BC60" s="425"/>
      <c r="BD60" s="425"/>
      <c r="BE60" s="425"/>
      <c r="BF60" s="425"/>
      <c r="BG60" s="463"/>
      <c r="BH60" s="463"/>
      <c r="BI60" s="463"/>
      <c r="BJ60" s="463"/>
      <c r="BK60" s="463"/>
      <c r="BL60" s="463"/>
      <c r="BM60" s="463"/>
      <c r="BN60" s="463"/>
    </row>
    <row r="61" spans="1:66" ht="15.75" customHeight="1" x14ac:dyDescent="0.2">
      <c r="A61" s="424"/>
      <c r="B61" s="424"/>
      <c r="C61" s="424"/>
      <c r="D61" s="424"/>
      <c r="E61" s="424"/>
      <c r="F61" s="425"/>
      <c r="G61" s="425"/>
      <c r="H61" s="424"/>
      <c r="I61" s="424"/>
      <c r="J61" s="425"/>
      <c r="K61" s="425"/>
      <c r="L61" s="425"/>
      <c r="M61" s="425"/>
      <c r="N61" s="425"/>
      <c r="O61" s="424"/>
      <c r="P61" s="426"/>
      <c r="Q61" s="426"/>
      <c r="R61" s="426"/>
      <c r="S61" s="426"/>
      <c r="T61" s="326"/>
      <c r="U61" s="326"/>
      <c r="V61" s="426"/>
      <c r="W61" s="426"/>
      <c r="X61" s="426"/>
      <c r="Y61" s="426"/>
      <c r="Z61" s="426"/>
      <c r="AA61" s="426"/>
      <c r="AB61" s="426"/>
      <c r="AC61" s="426"/>
      <c r="AD61" s="426"/>
      <c r="AE61" s="326"/>
      <c r="AF61" s="326"/>
      <c r="AG61" s="424"/>
      <c r="AH61" s="424"/>
      <c r="AI61" s="424"/>
      <c r="AJ61" s="424"/>
      <c r="AK61" s="424"/>
      <c r="AL61" s="424"/>
      <c r="AM61" s="425"/>
      <c r="AN61" s="425"/>
      <c r="AO61" s="425"/>
      <c r="AP61" s="425"/>
      <c r="AQ61" s="425"/>
      <c r="AR61" s="425"/>
      <c r="AS61" s="425"/>
      <c r="AT61" s="425"/>
      <c r="AU61" s="425"/>
      <c r="AV61" s="425"/>
      <c r="AW61" s="425"/>
      <c r="AX61" s="425"/>
      <c r="AY61" s="425"/>
      <c r="AZ61" s="425"/>
      <c r="BA61" s="425"/>
      <c r="BB61" s="425"/>
      <c r="BC61" s="425"/>
      <c r="BD61" s="425"/>
      <c r="BE61" s="425"/>
      <c r="BF61" s="425"/>
      <c r="BG61" s="463"/>
      <c r="BH61" s="463"/>
      <c r="BI61" s="463"/>
      <c r="BJ61" s="463"/>
      <c r="BK61" s="463"/>
      <c r="BL61" s="463"/>
      <c r="BM61" s="463"/>
      <c r="BN61" s="463"/>
    </row>
    <row r="62" spans="1:66" ht="15.75" customHeight="1" x14ac:dyDescent="0.2">
      <c r="A62" s="424"/>
      <c r="B62" s="424"/>
      <c r="C62" s="424"/>
      <c r="D62" s="424"/>
      <c r="E62" s="424"/>
      <c r="F62" s="425"/>
      <c r="G62" s="425"/>
      <c r="H62" s="424"/>
      <c r="I62" s="424"/>
      <c r="J62" s="425"/>
      <c r="K62" s="425"/>
      <c r="L62" s="425"/>
      <c r="M62" s="425"/>
      <c r="N62" s="425"/>
      <c r="O62" s="424"/>
      <c r="P62" s="426"/>
      <c r="Q62" s="426"/>
      <c r="R62" s="426"/>
      <c r="S62" s="426"/>
      <c r="T62" s="326"/>
      <c r="U62" s="326"/>
      <c r="V62" s="426"/>
      <c r="W62" s="426"/>
      <c r="X62" s="426"/>
      <c r="Y62" s="426"/>
      <c r="Z62" s="426"/>
      <c r="AA62" s="426"/>
      <c r="AB62" s="426"/>
      <c r="AC62" s="426"/>
      <c r="AD62" s="426"/>
      <c r="AE62" s="326"/>
      <c r="AF62" s="326"/>
      <c r="AG62" s="424"/>
      <c r="AH62" s="424"/>
      <c r="AI62" s="424"/>
      <c r="AJ62" s="424"/>
      <c r="AK62" s="424"/>
      <c r="AL62" s="424"/>
      <c r="AM62" s="425"/>
      <c r="AN62" s="425"/>
      <c r="AO62" s="425"/>
      <c r="AP62" s="425"/>
      <c r="AQ62" s="425"/>
      <c r="AR62" s="425"/>
      <c r="AS62" s="425"/>
      <c r="AT62" s="425"/>
      <c r="AU62" s="425"/>
      <c r="AV62" s="425"/>
      <c r="AW62" s="425"/>
      <c r="AX62" s="425"/>
      <c r="AY62" s="425"/>
      <c r="AZ62" s="425"/>
      <c r="BA62" s="425"/>
      <c r="BB62" s="425"/>
      <c r="BC62" s="425"/>
      <c r="BD62" s="425"/>
      <c r="BE62" s="425"/>
      <c r="BF62" s="425"/>
      <c r="BG62" s="463"/>
      <c r="BH62" s="463"/>
      <c r="BI62" s="463"/>
      <c r="BJ62" s="463"/>
      <c r="BK62" s="463"/>
      <c r="BL62" s="463"/>
      <c r="BM62" s="463"/>
      <c r="BN62" s="463"/>
    </row>
    <row r="63" spans="1:66" ht="15.75" customHeight="1" x14ac:dyDescent="0.2">
      <c r="A63" s="424"/>
      <c r="B63" s="424"/>
      <c r="C63" s="424"/>
      <c r="D63" s="424"/>
      <c r="E63" s="424"/>
      <c r="F63" s="425"/>
      <c r="G63" s="425"/>
      <c r="H63" s="424"/>
      <c r="I63" s="424"/>
      <c r="J63" s="425"/>
      <c r="K63" s="425"/>
      <c r="L63" s="425"/>
      <c r="M63" s="425"/>
      <c r="N63" s="425"/>
      <c r="O63" s="424"/>
      <c r="P63" s="426"/>
      <c r="Q63" s="426"/>
      <c r="R63" s="426"/>
      <c r="S63" s="426"/>
      <c r="T63" s="326"/>
      <c r="U63" s="326"/>
      <c r="V63" s="426"/>
      <c r="W63" s="426"/>
      <c r="X63" s="426"/>
      <c r="Y63" s="426"/>
      <c r="Z63" s="426"/>
      <c r="AA63" s="426"/>
      <c r="AB63" s="426"/>
      <c r="AC63" s="426"/>
      <c r="AD63" s="426"/>
      <c r="AE63" s="326"/>
      <c r="AF63" s="326"/>
      <c r="AG63" s="424"/>
      <c r="AH63" s="424"/>
      <c r="AI63" s="424"/>
      <c r="AJ63" s="424"/>
      <c r="AK63" s="424"/>
      <c r="AL63" s="424"/>
      <c r="AM63" s="425"/>
      <c r="AN63" s="425"/>
      <c r="AO63" s="425"/>
      <c r="AP63" s="425"/>
      <c r="AQ63" s="425"/>
      <c r="AR63" s="425"/>
      <c r="AS63" s="425"/>
      <c r="AT63" s="425"/>
      <c r="AU63" s="425"/>
      <c r="AV63" s="425"/>
      <c r="AW63" s="425"/>
      <c r="AX63" s="425"/>
      <c r="AY63" s="425"/>
      <c r="AZ63" s="425"/>
      <c r="BA63" s="425"/>
      <c r="BB63" s="425"/>
      <c r="BC63" s="425"/>
      <c r="BD63" s="425"/>
      <c r="BE63" s="425"/>
      <c r="BF63" s="425"/>
      <c r="BG63" s="463"/>
      <c r="BH63" s="463"/>
      <c r="BI63" s="463"/>
      <c r="BJ63" s="463"/>
      <c r="BK63" s="463"/>
      <c r="BL63" s="463"/>
      <c r="BM63" s="463"/>
      <c r="BN63" s="463"/>
    </row>
    <row r="64" spans="1:66" ht="15.75" customHeight="1" x14ac:dyDescent="0.2">
      <c r="A64" s="424"/>
      <c r="B64" s="424"/>
      <c r="C64" s="424"/>
      <c r="D64" s="424"/>
      <c r="E64" s="424"/>
      <c r="F64" s="425"/>
      <c r="G64" s="425"/>
      <c r="H64" s="424"/>
      <c r="I64" s="424"/>
      <c r="J64" s="425"/>
      <c r="K64" s="425"/>
      <c r="L64" s="425"/>
      <c r="M64" s="425"/>
      <c r="N64" s="425"/>
      <c r="O64" s="424"/>
      <c r="P64" s="426"/>
      <c r="Q64" s="426"/>
      <c r="R64" s="426"/>
      <c r="S64" s="426"/>
      <c r="T64" s="326"/>
      <c r="U64" s="326"/>
      <c r="V64" s="426"/>
      <c r="W64" s="426"/>
      <c r="X64" s="426"/>
      <c r="Y64" s="426"/>
      <c r="Z64" s="426"/>
      <c r="AA64" s="426"/>
      <c r="AB64" s="426"/>
      <c r="AC64" s="426"/>
      <c r="AD64" s="426"/>
      <c r="AE64" s="326"/>
      <c r="AF64" s="326"/>
      <c r="AG64" s="424"/>
      <c r="AH64" s="424"/>
      <c r="AI64" s="424"/>
      <c r="AJ64" s="424"/>
      <c r="AK64" s="424"/>
      <c r="AL64" s="424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/>
      <c r="BA64" s="425"/>
      <c r="BB64" s="425"/>
      <c r="BC64" s="425"/>
      <c r="BD64" s="425"/>
      <c r="BE64" s="425"/>
      <c r="BF64" s="425"/>
      <c r="BG64" s="463"/>
      <c r="BH64" s="463"/>
      <c r="BI64" s="463"/>
      <c r="BJ64" s="463"/>
      <c r="BK64" s="463"/>
      <c r="BL64" s="463"/>
      <c r="BM64" s="463"/>
      <c r="BN64" s="463"/>
    </row>
    <row r="65" spans="1:66" ht="15.75" customHeight="1" x14ac:dyDescent="0.2">
      <c r="A65" s="424"/>
      <c r="B65" s="424"/>
      <c r="C65" s="424"/>
      <c r="D65" s="424"/>
      <c r="E65" s="424"/>
      <c r="F65" s="425"/>
      <c r="G65" s="425"/>
      <c r="H65" s="424"/>
      <c r="I65" s="424"/>
      <c r="J65" s="425"/>
      <c r="K65" s="425"/>
      <c r="L65" s="425"/>
      <c r="M65" s="425"/>
      <c r="N65" s="425"/>
      <c r="O65" s="424"/>
      <c r="P65" s="426"/>
      <c r="Q65" s="426"/>
      <c r="R65" s="426"/>
      <c r="S65" s="426"/>
      <c r="T65" s="326"/>
      <c r="U65" s="326"/>
      <c r="V65" s="426"/>
      <c r="W65" s="426"/>
      <c r="X65" s="426"/>
      <c r="Y65" s="426"/>
      <c r="Z65" s="426"/>
      <c r="AA65" s="426"/>
      <c r="AB65" s="426"/>
      <c r="AC65" s="426"/>
      <c r="AD65" s="426"/>
      <c r="AE65" s="326"/>
      <c r="AF65" s="326"/>
      <c r="AG65" s="424"/>
      <c r="AH65" s="424"/>
      <c r="AI65" s="424"/>
      <c r="AJ65" s="424"/>
      <c r="AK65" s="424"/>
      <c r="AL65" s="424"/>
      <c r="AM65" s="425"/>
      <c r="AN65" s="425"/>
      <c r="AO65" s="425"/>
      <c r="AP65" s="425"/>
      <c r="AQ65" s="425"/>
      <c r="AR65" s="425"/>
      <c r="AS65" s="425"/>
      <c r="AT65" s="425"/>
      <c r="AU65" s="425"/>
      <c r="AV65" s="425"/>
      <c r="AW65" s="425"/>
      <c r="AX65" s="425"/>
      <c r="AY65" s="425"/>
      <c r="AZ65" s="425"/>
      <c r="BA65" s="425"/>
      <c r="BB65" s="425"/>
      <c r="BC65" s="425"/>
      <c r="BD65" s="425"/>
      <c r="BE65" s="425"/>
      <c r="BF65" s="425"/>
      <c r="BG65" s="463"/>
      <c r="BH65" s="463"/>
      <c r="BI65" s="463"/>
      <c r="BJ65" s="463"/>
      <c r="BK65" s="463"/>
      <c r="BL65" s="463"/>
      <c r="BM65" s="463"/>
      <c r="BN65" s="463"/>
    </row>
    <row r="66" spans="1:66" ht="15.75" customHeight="1" x14ac:dyDescent="0.2">
      <c r="A66" s="424"/>
      <c r="B66" s="424"/>
      <c r="C66" s="424"/>
      <c r="D66" s="424"/>
      <c r="E66" s="424"/>
      <c r="F66" s="425"/>
      <c r="G66" s="425"/>
      <c r="H66" s="424"/>
      <c r="I66" s="424"/>
      <c r="J66" s="425"/>
      <c r="K66" s="425"/>
      <c r="L66" s="425"/>
      <c r="M66" s="425"/>
      <c r="N66" s="425"/>
      <c r="O66" s="424"/>
      <c r="P66" s="426"/>
      <c r="Q66" s="426"/>
      <c r="R66" s="426"/>
      <c r="S66" s="426"/>
      <c r="T66" s="326"/>
      <c r="U66" s="326"/>
      <c r="V66" s="426"/>
      <c r="W66" s="426"/>
      <c r="X66" s="426"/>
      <c r="Y66" s="426"/>
      <c r="Z66" s="426"/>
      <c r="AA66" s="426"/>
      <c r="AB66" s="426"/>
      <c r="AC66" s="426"/>
      <c r="AD66" s="426"/>
      <c r="AE66" s="326"/>
      <c r="AF66" s="326"/>
      <c r="AG66" s="424"/>
      <c r="AH66" s="424"/>
      <c r="AI66" s="424"/>
      <c r="AJ66" s="424"/>
      <c r="AK66" s="424"/>
      <c r="AL66" s="424"/>
      <c r="AM66" s="425"/>
      <c r="AN66" s="425"/>
      <c r="AO66" s="425"/>
      <c r="AP66" s="425"/>
      <c r="AQ66" s="425"/>
      <c r="AR66" s="425"/>
      <c r="AS66" s="425"/>
      <c r="AT66" s="425"/>
      <c r="AU66" s="425"/>
      <c r="AV66" s="425"/>
      <c r="AW66" s="425"/>
      <c r="AX66" s="425"/>
      <c r="AY66" s="425"/>
      <c r="AZ66" s="425"/>
      <c r="BA66" s="425"/>
      <c r="BB66" s="425"/>
      <c r="BC66" s="425"/>
      <c r="BD66" s="425"/>
      <c r="BE66" s="425"/>
      <c r="BF66" s="425"/>
      <c r="BG66" s="463"/>
      <c r="BH66" s="463"/>
      <c r="BI66" s="463"/>
      <c r="BJ66" s="463"/>
      <c r="BK66" s="463"/>
      <c r="BL66" s="463"/>
      <c r="BM66" s="463"/>
      <c r="BN66" s="463"/>
    </row>
    <row r="67" spans="1:66" ht="15.75" customHeight="1" x14ac:dyDescent="0.2">
      <c r="A67" s="424"/>
      <c r="B67" s="424"/>
      <c r="C67" s="424"/>
      <c r="D67" s="424"/>
      <c r="E67" s="424"/>
      <c r="F67" s="425"/>
      <c r="G67" s="425"/>
      <c r="H67" s="424"/>
      <c r="I67" s="424"/>
      <c r="J67" s="425"/>
      <c r="K67" s="425"/>
      <c r="L67" s="425"/>
      <c r="M67" s="425"/>
      <c r="N67" s="425"/>
      <c r="O67" s="424"/>
      <c r="P67" s="426"/>
      <c r="Q67" s="426"/>
      <c r="R67" s="426"/>
      <c r="S67" s="426"/>
      <c r="T67" s="326"/>
      <c r="U67" s="326"/>
      <c r="V67" s="426"/>
      <c r="W67" s="426"/>
      <c r="X67" s="426"/>
      <c r="Y67" s="426"/>
      <c r="Z67" s="426"/>
      <c r="AA67" s="426"/>
      <c r="AB67" s="426"/>
      <c r="AC67" s="426"/>
      <c r="AD67" s="426"/>
      <c r="AE67" s="326"/>
      <c r="AF67" s="326"/>
      <c r="AG67" s="424"/>
      <c r="AH67" s="424"/>
      <c r="AI67" s="424"/>
      <c r="AJ67" s="424"/>
      <c r="AK67" s="424"/>
      <c r="AL67" s="424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/>
      <c r="AZ67" s="425"/>
      <c r="BA67" s="425"/>
      <c r="BB67" s="425"/>
      <c r="BC67" s="425"/>
      <c r="BD67" s="425"/>
      <c r="BE67" s="425"/>
      <c r="BF67" s="425"/>
      <c r="BG67" s="463"/>
      <c r="BH67" s="463"/>
      <c r="BI67" s="463"/>
      <c r="BJ67" s="463"/>
      <c r="BK67" s="463"/>
      <c r="BL67" s="463"/>
      <c r="BM67" s="463"/>
      <c r="BN67" s="463"/>
    </row>
    <row r="68" spans="1:66" ht="15.75" customHeight="1" x14ac:dyDescent="0.2">
      <c r="A68" s="424"/>
      <c r="B68" s="424"/>
      <c r="C68" s="424"/>
      <c r="D68" s="424"/>
      <c r="E68" s="424"/>
      <c r="F68" s="425"/>
      <c r="G68" s="425"/>
      <c r="H68" s="424"/>
      <c r="I68" s="424"/>
      <c r="J68" s="425"/>
      <c r="K68" s="425"/>
      <c r="L68" s="425"/>
      <c r="M68" s="425"/>
      <c r="N68" s="425"/>
      <c r="O68" s="424"/>
      <c r="P68" s="426"/>
      <c r="Q68" s="426"/>
      <c r="R68" s="426"/>
      <c r="S68" s="426"/>
      <c r="T68" s="326"/>
      <c r="U68" s="326"/>
      <c r="V68" s="426"/>
      <c r="W68" s="426"/>
      <c r="X68" s="426"/>
      <c r="Y68" s="426"/>
      <c r="Z68" s="426"/>
      <c r="AA68" s="426"/>
      <c r="AB68" s="426"/>
      <c r="AC68" s="426"/>
      <c r="AD68" s="426"/>
      <c r="AE68" s="326"/>
      <c r="AF68" s="326"/>
      <c r="AG68" s="424"/>
      <c r="AH68" s="424"/>
      <c r="AI68" s="424"/>
      <c r="AJ68" s="424"/>
      <c r="AK68" s="424"/>
      <c r="AL68" s="424"/>
      <c r="AM68" s="425"/>
      <c r="AN68" s="425"/>
      <c r="AO68" s="425"/>
      <c r="AP68" s="425"/>
      <c r="AQ68" s="425"/>
      <c r="AR68" s="425"/>
      <c r="AS68" s="425"/>
      <c r="AT68" s="425"/>
      <c r="AU68" s="425"/>
      <c r="AV68" s="425"/>
      <c r="AW68" s="425"/>
      <c r="AX68" s="425"/>
      <c r="AY68" s="425"/>
      <c r="AZ68" s="425"/>
      <c r="BA68" s="425"/>
      <c r="BB68" s="425"/>
      <c r="BC68" s="425"/>
      <c r="BD68" s="425"/>
      <c r="BE68" s="425"/>
      <c r="BF68" s="425"/>
      <c r="BG68" s="463"/>
      <c r="BH68" s="463"/>
      <c r="BI68" s="463"/>
      <c r="BJ68" s="463"/>
      <c r="BK68" s="463"/>
      <c r="BL68" s="463"/>
      <c r="BM68" s="463"/>
      <c r="BN68" s="463"/>
    </row>
    <row r="69" spans="1:66" ht="15.75" customHeight="1" x14ac:dyDescent="0.2">
      <c r="A69" s="424"/>
      <c r="B69" s="424"/>
      <c r="C69" s="424"/>
      <c r="D69" s="424"/>
      <c r="E69" s="424"/>
      <c r="F69" s="425"/>
      <c r="G69" s="425"/>
      <c r="H69" s="424"/>
      <c r="I69" s="424"/>
      <c r="J69" s="425"/>
      <c r="K69" s="425"/>
      <c r="L69" s="425"/>
      <c r="M69" s="425"/>
      <c r="N69" s="425"/>
      <c r="O69" s="424"/>
      <c r="P69" s="426"/>
      <c r="Q69" s="426"/>
      <c r="R69" s="426"/>
      <c r="S69" s="426"/>
      <c r="T69" s="326"/>
      <c r="U69" s="326"/>
      <c r="V69" s="426"/>
      <c r="W69" s="426"/>
      <c r="X69" s="426"/>
      <c r="Y69" s="426"/>
      <c r="Z69" s="426"/>
      <c r="AA69" s="426"/>
      <c r="AB69" s="426"/>
      <c r="AC69" s="426"/>
      <c r="AD69" s="426"/>
      <c r="AE69" s="326"/>
      <c r="AF69" s="326"/>
      <c r="AG69" s="424"/>
      <c r="AH69" s="424"/>
      <c r="AI69" s="424"/>
      <c r="AJ69" s="424"/>
      <c r="AK69" s="424"/>
      <c r="AL69" s="424"/>
      <c r="AM69" s="425"/>
      <c r="AN69" s="425"/>
      <c r="AO69" s="425"/>
      <c r="AP69" s="425"/>
      <c r="AQ69" s="425"/>
      <c r="AR69" s="425"/>
      <c r="AS69" s="425"/>
      <c r="AT69" s="425"/>
      <c r="AU69" s="425"/>
      <c r="AV69" s="425"/>
      <c r="AW69" s="425"/>
      <c r="AX69" s="425"/>
      <c r="AY69" s="425"/>
      <c r="AZ69" s="425"/>
      <c r="BA69" s="425"/>
      <c r="BB69" s="425"/>
      <c r="BC69" s="425"/>
      <c r="BD69" s="425"/>
      <c r="BE69" s="425"/>
      <c r="BF69" s="425"/>
      <c r="BG69" s="463"/>
      <c r="BH69" s="463"/>
      <c r="BI69" s="463"/>
      <c r="BJ69" s="463"/>
      <c r="BK69" s="463"/>
      <c r="BL69" s="463"/>
      <c r="BM69" s="463"/>
      <c r="BN69" s="463"/>
    </row>
    <row r="70" spans="1:66" ht="15.75" customHeight="1" x14ac:dyDescent="0.2">
      <c r="A70" s="424"/>
      <c r="B70" s="424"/>
      <c r="C70" s="424"/>
      <c r="D70" s="424"/>
      <c r="E70" s="424"/>
      <c r="F70" s="425"/>
      <c r="G70" s="425"/>
      <c r="H70" s="424"/>
      <c r="I70" s="424"/>
      <c r="J70" s="425"/>
      <c r="K70" s="425"/>
      <c r="L70" s="425"/>
      <c r="M70" s="425"/>
      <c r="N70" s="425"/>
      <c r="O70" s="424"/>
      <c r="P70" s="426"/>
      <c r="Q70" s="426"/>
      <c r="R70" s="426"/>
      <c r="S70" s="426"/>
      <c r="T70" s="326"/>
      <c r="U70" s="326"/>
      <c r="V70" s="426"/>
      <c r="W70" s="426"/>
      <c r="X70" s="426"/>
      <c r="Y70" s="426"/>
      <c r="Z70" s="426"/>
      <c r="AA70" s="426"/>
      <c r="AB70" s="426"/>
      <c r="AC70" s="426"/>
      <c r="AD70" s="426"/>
      <c r="AE70" s="326"/>
      <c r="AF70" s="326"/>
      <c r="AG70" s="424"/>
      <c r="AH70" s="424"/>
      <c r="AI70" s="424"/>
      <c r="AJ70" s="424"/>
      <c r="AK70" s="424"/>
      <c r="AL70" s="424"/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/>
      <c r="AY70" s="425"/>
      <c r="AZ70" s="425"/>
      <c r="BA70" s="425"/>
      <c r="BB70" s="425"/>
      <c r="BC70" s="425"/>
      <c r="BD70" s="425"/>
      <c r="BE70" s="425"/>
      <c r="BF70" s="425"/>
      <c r="BG70" s="463"/>
      <c r="BH70" s="463"/>
      <c r="BI70" s="463"/>
      <c r="BJ70" s="463"/>
      <c r="BK70" s="463"/>
      <c r="BL70" s="463"/>
      <c r="BM70" s="463"/>
      <c r="BN70" s="463"/>
    </row>
    <row r="71" spans="1:66" ht="15.75" customHeight="1" x14ac:dyDescent="0.2">
      <c r="A71" s="424"/>
      <c r="B71" s="424"/>
      <c r="C71" s="424"/>
      <c r="D71" s="424"/>
      <c r="E71" s="424"/>
      <c r="F71" s="425"/>
      <c r="G71" s="425"/>
      <c r="H71" s="424"/>
      <c r="I71" s="424"/>
      <c r="J71" s="425"/>
      <c r="K71" s="425"/>
      <c r="L71" s="425"/>
      <c r="M71" s="425"/>
      <c r="N71" s="425"/>
      <c r="O71" s="424"/>
      <c r="P71" s="426"/>
      <c r="Q71" s="426"/>
      <c r="R71" s="426"/>
      <c r="S71" s="426"/>
      <c r="T71" s="326"/>
      <c r="U71" s="326"/>
      <c r="V71" s="426"/>
      <c r="W71" s="426"/>
      <c r="X71" s="426"/>
      <c r="Y71" s="426"/>
      <c r="Z71" s="426"/>
      <c r="AA71" s="426"/>
      <c r="AB71" s="426"/>
      <c r="AC71" s="426"/>
      <c r="AD71" s="426"/>
      <c r="AE71" s="326"/>
      <c r="AF71" s="326"/>
      <c r="AG71" s="424"/>
      <c r="AH71" s="424"/>
      <c r="AI71" s="424"/>
      <c r="AJ71" s="424"/>
      <c r="AK71" s="424"/>
      <c r="AL71" s="424"/>
      <c r="AM71" s="425"/>
      <c r="AN71" s="425"/>
      <c r="AO71" s="425"/>
      <c r="AP71" s="425"/>
      <c r="AQ71" s="425"/>
      <c r="AR71" s="425"/>
      <c r="AS71" s="425"/>
      <c r="AT71" s="425"/>
      <c r="AU71" s="425"/>
      <c r="AV71" s="425"/>
      <c r="AW71" s="425"/>
      <c r="AX71" s="425"/>
      <c r="AY71" s="425"/>
      <c r="AZ71" s="425"/>
      <c r="BA71" s="425"/>
      <c r="BB71" s="425"/>
      <c r="BC71" s="425"/>
      <c r="BD71" s="425"/>
      <c r="BE71" s="425"/>
      <c r="BF71" s="425"/>
      <c r="BG71" s="463"/>
      <c r="BH71" s="463"/>
      <c r="BI71" s="463"/>
      <c r="BJ71" s="463"/>
      <c r="BK71" s="463"/>
      <c r="BL71" s="463"/>
      <c r="BM71" s="463"/>
      <c r="BN71" s="463"/>
    </row>
    <row r="72" spans="1:66" ht="15.75" customHeight="1" x14ac:dyDescent="0.2">
      <c r="A72" s="424"/>
      <c r="B72" s="424"/>
      <c r="C72" s="424"/>
      <c r="D72" s="424"/>
      <c r="E72" s="424"/>
      <c r="F72" s="425"/>
      <c r="G72" s="425"/>
      <c r="H72" s="424"/>
      <c r="I72" s="424"/>
      <c r="J72" s="425"/>
      <c r="K72" s="425"/>
      <c r="L72" s="425"/>
      <c r="M72" s="425"/>
      <c r="N72" s="425"/>
      <c r="O72" s="424"/>
      <c r="P72" s="426"/>
      <c r="Q72" s="426"/>
      <c r="R72" s="426"/>
      <c r="S72" s="426"/>
      <c r="T72" s="326"/>
      <c r="U72" s="326"/>
      <c r="V72" s="426"/>
      <c r="W72" s="426"/>
      <c r="X72" s="426"/>
      <c r="Y72" s="426"/>
      <c r="Z72" s="426"/>
      <c r="AA72" s="426"/>
      <c r="AB72" s="426"/>
      <c r="AC72" s="426"/>
      <c r="AD72" s="426"/>
      <c r="AE72" s="326"/>
      <c r="AF72" s="326"/>
      <c r="AG72" s="424"/>
      <c r="AH72" s="424"/>
      <c r="AI72" s="424"/>
      <c r="AJ72" s="424"/>
      <c r="AK72" s="424"/>
      <c r="AL72" s="424"/>
      <c r="AM72" s="425"/>
      <c r="AN72" s="425"/>
      <c r="AO72" s="425"/>
      <c r="AP72" s="425"/>
      <c r="AQ72" s="425"/>
      <c r="AR72" s="425"/>
      <c r="AS72" s="425"/>
      <c r="AT72" s="425"/>
      <c r="AU72" s="425"/>
      <c r="AV72" s="425"/>
      <c r="AW72" s="425"/>
      <c r="AX72" s="425"/>
      <c r="AY72" s="425"/>
      <c r="AZ72" s="425"/>
      <c r="BA72" s="425"/>
      <c r="BB72" s="425"/>
      <c r="BC72" s="425"/>
      <c r="BD72" s="425"/>
      <c r="BE72" s="425"/>
      <c r="BF72" s="425"/>
      <c r="BG72" s="463"/>
      <c r="BH72" s="463"/>
      <c r="BI72" s="463"/>
      <c r="BJ72" s="463"/>
      <c r="BK72" s="463"/>
      <c r="BL72" s="463"/>
      <c r="BM72" s="463"/>
      <c r="BN72" s="463"/>
    </row>
    <row r="73" spans="1:66" ht="15.75" customHeight="1" x14ac:dyDescent="0.2">
      <c r="A73" s="424"/>
      <c r="B73" s="424"/>
      <c r="C73" s="424"/>
      <c r="D73" s="424"/>
      <c r="E73" s="424"/>
      <c r="F73" s="425"/>
      <c r="G73" s="425"/>
      <c r="H73" s="424"/>
      <c r="I73" s="424"/>
      <c r="J73" s="425"/>
      <c r="K73" s="425"/>
      <c r="L73" s="425"/>
      <c r="M73" s="425"/>
      <c r="N73" s="425"/>
      <c r="O73" s="424"/>
      <c r="P73" s="426"/>
      <c r="Q73" s="426"/>
      <c r="R73" s="426"/>
      <c r="S73" s="426"/>
      <c r="T73" s="326"/>
      <c r="U73" s="326"/>
      <c r="V73" s="426"/>
      <c r="W73" s="426"/>
      <c r="X73" s="426"/>
      <c r="Y73" s="426"/>
      <c r="Z73" s="426"/>
      <c r="AA73" s="426"/>
      <c r="AB73" s="426"/>
      <c r="AC73" s="426"/>
      <c r="AD73" s="426"/>
      <c r="AE73" s="326"/>
      <c r="AF73" s="326"/>
      <c r="AG73" s="424"/>
      <c r="AH73" s="424"/>
      <c r="AI73" s="424"/>
      <c r="AJ73" s="424"/>
      <c r="AK73" s="424"/>
      <c r="AL73" s="424"/>
      <c r="AM73" s="425"/>
      <c r="AN73" s="425"/>
      <c r="AO73" s="425"/>
      <c r="AP73" s="425"/>
      <c r="AQ73" s="425"/>
      <c r="AR73" s="425"/>
      <c r="AS73" s="425"/>
      <c r="AT73" s="425"/>
      <c r="AU73" s="425"/>
      <c r="AV73" s="425"/>
      <c r="AW73" s="425"/>
      <c r="AX73" s="425"/>
      <c r="AY73" s="425"/>
      <c r="AZ73" s="425"/>
      <c r="BA73" s="425"/>
      <c r="BB73" s="425"/>
      <c r="BC73" s="425"/>
      <c r="BD73" s="425"/>
      <c r="BE73" s="425"/>
      <c r="BF73" s="425"/>
      <c r="BG73" s="463"/>
      <c r="BH73" s="463"/>
      <c r="BI73" s="463"/>
      <c r="BJ73" s="463"/>
      <c r="BK73" s="463"/>
      <c r="BL73" s="463"/>
      <c r="BM73" s="463"/>
      <c r="BN73" s="463"/>
    </row>
    <row r="74" spans="1:66" ht="15.75" customHeight="1" x14ac:dyDescent="0.2">
      <c r="A74" s="424"/>
      <c r="B74" s="424"/>
      <c r="C74" s="424"/>
      <c r="D74" s="424"/>
      <c r="E74" s="424"/>
      <c r="F74" s="425"/>
      <c r="G74" s="425"/>
      <c r="H74" s="424"/>
      <c r="I74" s="424"/>
      <c r="J74" s="425"/>
      <c r="K74" s="425"/>
      <c r="L74" s="425"/>
      <c r="M74" s="425"/>
      <c r="N74" s="425"/>
      <c r="O74" s="424"/>
      <c r="P74" s="426"/>
      <c r="Q74" s="426"/>
      <c r="R74" s="426"/>
      <c r="S74" s="426"/>
      <c r="T74" s="326"/>
      <c r="U74" s="326"/>
      <c r="V74" s="426"/>
      <c r="W74" s="426"/>
      <c r="X74" s="426"/>
      <c r="Y74" s="426"/>
      <c r="Z74" s="426"/>
      <c r="AA74" s="426"/>
      <c r="AB74" s="426"/>
      <c r="AC74" s="426"/>
      <c r="AD74" s="426"/>
      <c r="AE74" s="326"/>
      <c r="AF74" s="326"/>
      <c r="AG74" s="424"/>
      <c r="AH74" s="424"/>
      <c r="AI74" s="424"/>
      <c r="AJ74" s="424"/>
      <c r="AK74" s="424"/>
      <c r="AL74" s="424"/>
      <c r="AM74" s="425"/>
      <c r="AN74" s="425"/>
      <c r="AO74" s="425"/>
      <c r="AP74" s="425"/>
      <c r="AQ74" s="425"/>
      <c r="AR74" s="425"/>
      <c r="AS74" s="425"/>
      <c r="AT74" s="425"/>
      <c r="AU74" s="425"/>
      <c r="AV74" s="425"/>
      <c r="AW74" s="425"/>
      <c r="AX74" s="425"/>
      <c r="AY74" s="425"/>
      <c r="AZ74" s="425"/>
      <c r="BA74" s="425"/>
      <c r="BB74" s="425"/>
      <c r="BC74" s="425"/>
      <c r="BD74" s="425"/>
      <c r="BE74" s="425"/>
      <c r="BF74" s="425"/>
      <c r="BG74" s="463"/>
      <c r="BH74" s="463"/>
      <c r="BI74" s="463"/>
      <c r="BJ74" s="463"/>
      <c r="BK74" s="463"/>
      <c r="BL74" s="463"/>
      <c r="BM74" s="463"/>
      <c r="BN74" s="463"/>
    </row>
    <row r="75" spans="1:66" ht="15.75" customHeight="1" x14ac:dyDescent="0.2">
      <c r="A75" s="424"/>
      <c r="B75" s="424"/>
      <c r="C75" s="424"/>
      <c r="D75" s="424"/>
      <c r="E75" s="424"/>
      <c r="F75" s="425"/>
      <c r="G75" s="425"/>
      <c r="H75" s="424"/>
      <c r="I75" s="424"/>
      <c r="J75" s="425"/>
      <c r="K75" s="425"/>
      <c r="L75" s="425"/>
      <c r="M75" s="425"/>
      <c r="N75" s="425"/>
      <c r="O75" s="424"/>
      <c r="P75" s="426"/>
      <c r="Q75" s="426"/>
      <c r="R75" s="426"/>
      <c r="S75" s="426"/>
      <c r="T75" s="326"/>
      <c r="U75" s="326"/>
      <c r="V75" s="426"/>
      <c r="W75" s="426"/>
      <c r="X75" s="426"/>
      <c r="Y75" s="426"/>
      <c r="Z75" s="426"/>
      <c r="AA75" s="426"/>
      <c r="AB75" s="426"/>
      <c r="AC75" s="426"/>
      <c r="AD75" s="426"/>
      <c r="AE75" s="326"/>
      <c r="AF75" s="326"/>
      <c r="AG75" s="424"/>
      <c r="AH75" s="424"/>
      <c r="AI75" s="424"/>
      <c r="AJ75" s="424"/>
      <c r="AK75" s="424"/>
      <c r="AL75" s="424"/>
      <c r="AM75" s="425"/>
      <c r="AN75" s="425"/>
      <c r="AO75" s="425"/>
      <c r="AP75" s="425"/>
      <c r="AQ75" s="425"/>
      <c r="AR75" s="425"/>
      <c r="AS75" s="425"/>
      <c r="AT75" s="425"/>
      <c r="AU75" s="425"/>
      <c r="AV75" s="425"/>
      <c r="AW75" s="425"/>
      <c r="AX75" s="425"/>
      <c r="AY75" s="425"/>
      <c r="AZ75" s="425"/>
      <c r="BA75" s="425"/>
      <c r="BB75" s="425"/>
      <c r="BC75" s="425"/>
      <c r="BD75" s="425"/>
      <c r="BE75" s="425"/>
      <c r="BF75" s="425"/>
      <c r="BG75" s="463"/>
      <c r="BH75" s="463"/>
      <c r="BI75" s="463"/>
      <c r="BJ75" s="463"/>
      <c r="BK75" s="463"/>
      <c r="BL75" s="463"/>
      <c r="BM75" s="463"/>
      <c r="BN75" s="463"/>
    </row>
    <row r="76" spans="1:66" ht="15.75" customHeight="1" x14ac:dyDescent="0.2">
      <c r="A76" s="424"/>
      <c r="B76" s="424"/>
      <c r="C76" s="424"/>
      <c r="D76" s="424"/>
      <c r="E76" s="424"/>
      <c r="F76" s="425"/>
      <c r="G76" s="425"/>
      <c r="H76" s="424"/>
      <c r="I76" s="424"/>
      <c r="J76" s="425"/>
      <c r="K76" s="425"/>
      <c r="L76" s="425"/>
      <c r="M76" s="425"/>
      <c r="N76" s="425"/>
      <c r="O76" s="424"/>
      <c r="P76" s="426"/>
      <c r="Q76" s="426"/>
      <c r="R76" s="426"/>
      <c r="S76" s="426"/>
      <c r="T76" s="326"/>
      <c r="U76" s="326"/>
      <c r="V76" s="426"/>
      <c r="W76" s="426"/>
      <c r="X76" s="426"/>
      <c r="Y76" s="426"/>
      <c r="Z76" s="426"/>
      <c r="AA76" s="426"/>
      <c r="AB76" s="426"/>
      <c r="AC76" s="426"/>
      <c r="AD76" s="426"/>
      <c r="AE76" s="326"/>
      <c r="AF76" s="326"/>
      <c r="AG76" s="424"/>
      <c r="AH76" s="424"/>
      <c r="AI76" s="424"/>
      <c r="AJ76" s="424"/>
      <c r="AK76" s="424"/>
      <c r="AL76" s="424"/>
      <c r="AM76" s="425"/>
      <c r="AN76" s="425"/>
      <c r="AO76" s="425"/>
      <c r="AP76" s="425"/>
      <c r="AQ76" s="425"/>
      <c r="AR76" s="425"/>
      <c r="AS76" s="425"/>
      <c r="AT76" s="425"/>
      <c r="AU76" s="425"/>
      <c r="AV76" s="425"/>
      <c r="AW76" s="425"/>
      <c r="AX76" s="425"/>
      <c r="AY76" s="425"/>
      <c r="AZ76" s="425"/>
      <c r="BA76" s="425"/>
      <c r="BB76" s="425"/>
      <c r="BC76" s="425"/>
      <c r="BD76" s="425"/>
      <c r="BE76" s="425"/>
      <c r="BF76" s="425"/>
      <c r="BG76" s="463"/>
      <c r="BH76" s="463"/>
      <c r="BI76" s="463"/>
      <c r="BJ76" s="463"/>
      <c r="BK76" s="463"/>
      <c r="BL76" s="463"/>
      <c r="BM76" s="463"/>
      <c r="BN76" s="463"/>
    </row>
    <row r="77" spans="1:66" ht="15.75" customHeight="1" x14ac:dyDescent="0.2">
      <c r="A77" s="424"/>
      <c r="B77" s="424"/>
      <c r="C77" s="424"/>
      <c r="D77" s="424"/>
      <c r="E77" s="424"/>
      <c r="F77" s="425"/>
      <c r="G77" s="425"/>
      <c r="H77" s="424"/>
      <c r="I77" s="424"/>
      <c r="J77" s="425"/>
      <c r="K77" s="425"/>
      <c r="L77" s="425"/>
      <c r="M77" s="425"/>
      <c r="N77" s="425"/>
      <c r="O77" s="424"/>
      <c r="P77" s="426"/>
      <c r="Q77" s="426"/>
      <c r="R77" s="426"/>
      <c r="S77" s="426"/>
      <c r="T77" s="326"/>
      <c r="U77" s="326"/>
      <c r="V77" s="426"/>
      <c r="W77" s="426"/>
      <c r="X77" s="426"/>
      <c r="Y77" s="426"/>
      <c r="Z77" s="426"/>
      <c r="AA77" s="426"/>
      <c r="AB77" s="426"/>
      <c r="AC77" s="426"/>
      <c r="AD77" s="426"/>
      <c r="AE77" s="326"/>
      <c r="AF77" s="326"/>
      <c r="AG77" s="424"/>
      <c r="AH77" s="424"/>
      <c r="AI77" s="424"/>
      <c r="AJ77" s="424"/>
      <c r="AK77" s="424"/>
      <c r="AL77" s="424"/>
      <c r="AM77" s="425"/>
      <c r="AN77" s="425"/>
      <c r="AO77" s="425"/>
      <c r="AP77" s="425"/>
      <c r="AQ77" s="425"/>
      <c r="AR77" s="425"/>
      <c r="AS77" s="425"/>
      <c r="AT77" s="425"/>
      <c r="AU77" s="425"/>
      <c r="AV77" s="425"/>
      <c r="AW77" s="425"/>
      <c r="AX77" s="425"/>
      <c r="AY77" s="425"/>
      <c r="AZ77" s="425"/>
      <c r="BA77" s="425"/>
      <c r="BB77" s="425"/>
      <c r="BC77" s="425"/>
      <c r="BD77" s="425"/>
      <c r="BE77" s="425"/>
      <c r="BF77" s="425"/>
      <c r="BG77" s="463"/>
      <c r="BH77" s="463"/>
      <c r="BI77" s="463"/>
      <c r="BJ77" s="463"/>
      <c r="BK77" s="463"/>
      <c r="BL77" s="463"/>
      <c r="BM77" s="463"/>
      <c r="BN77" s="463"/>
    </row>
    <row r="78" spans="1:66" ht="15.75" customHeight="1" x14ac:dyDescent="0.2">
      <c r="A78" s="424"/>
      <c r="B78" s="424"/>
      <c r="C78" s="424"/>
      <c r="D78" s="424"/>
      <c r="E78" s="424"/>
      <c r="F78" s="425"/>
      <c r="G78" s="425"/>
      <c r="H78" s="424"/>
      <c r="I78" s="424"/>
      <c r="J78" s="425"/>
      <c r="K78" s="425"/>
      <c r="L78" s="425"/>
      <c r="M78" s="425"/>
      <c r="N78" s="425"/>
      <c r="O78" s="424"/>
      <c r="P78" s="426"/>
      <c r="Q78" s="426"/>
      <c r="R78" s="426"/>
      <c r="S78" s="426"/>
      <c r="T78" s="326"/>
      <c r="U78" s="326"/>
      <c r="V78" s="426"/>
      <c r="W78" s="426"/>
      <c r="X78" s="426"/>
      <c r="Y78" s="426"/>
      <c r="Z78" s="426"/>
      <c r="AA78" s="426"/>
      <c r="AB78" s="426"/>
      <c r="AC78" s="426"/>
      <c r="AD78" s="426"/>
      <c r="AE78" s="326"/>
      <c r="AF78" s="326"/>
      <c r="AG78" s="424"/>
      <c r="AH78" s="424"/>
      <c r="AI78" s="424"/>
      <c r="AJ78" s="424"/>
      <c r="AK78" s="424"/>
      <c r="AL78" s="424"/>
      <c r="AM78" s="425"/>
      <c r="AN78" s="425"/>
      <c r="AO78" s="425"/>
      <c r="AP78" s="425"/>
      <c r="AQ78" s="425"/>
      <c r="AR78" s="425"/>
      <c r="AS78" s="425"/>
      <c r="AT78" s="425"/>
      <c r="AU78" s="425"/>
      <c r="AV78" s="425"/>
      <c r="AW78" s="425"/>
      <c r="AX78" s="425"/>
      <c r="AY78" s="425"/>
      <c r="AZ78" s="425"/>
      <c r="BA78" s="425"/>
      <c r="BB78" s="425"/>
      <c r="BC78" s="425"/>
      <c r="BD78" s="425"/>
      <c r="BE78" s="425"/>
      <c r="BF78" s="425"/>
      <c r="BG78" s="463"/>
      <c r="BH78" s="463"/>
      <c r="BI78" s="463"/>
      <c r="BJ78" s="463"/>
      <c r="BK78" s="463"/>
      <c r="BL78" s="463"/>
      <c r="BM78" s="463"/>
      <c r="BN78" s="463"/>
    </row>
    <row r="79" spans="1:66" ht="15.75" customHeight="1" x14ac:dyDescent="0.2">
      <c r="A79" s="424"/>
      <c r="B79" s="424"/>
      <c r="C79" s="424"/>
      <c r="D79" s="424"/>
      <c r="E79" s="424"/>
      <c r="F79" s="425"/>
      <c r="G79" s="425"/>
      <c r="H79" s="424"/>
      <c r="I79" s="424"/>
      <c r="J79" s="425"/>
      <c r="K79" s="425"/>
      <c r="L79" s="425"/>
      <c r="M79" s="425"/>
      <c r="N79" s="425"/>
      <c r="O79" s="424"/>
      <c r="P79" s="426"/>
      <c r="Q79" s="426"/>
      <c r="R79" s="426"/>
      <c r="S79" s="426"/>
      <c r="T79" s="326"/>
      <c r="U79" s="326"/>
      <c r="V79" s="426"/>
      <c r="W79" s="426"/>
      <c r="X79" s="426"/>
      <c r="Y79" s="426"/>
      <c r="Z79" s="426"/>
      <c r="AA79" s="426"/>
      <c r="AB79" s="426"/>
      <c r="AC79" s="426"/>
      <c r="AD79" s="426"/>
      <c r="AE79" s="326"/>
      <c r="AF79" s="326"/>
      <c r="AG79" s="424"/>
      <c r="AH79" s="424"/>
      <c r="AI79" s="424"/>
      <c r="AJ79" s="424"/>
      <c r="AK79" s="424"/>
      <c r="AL79" s="424"/>
      <c r="AM79" s="425"/>
      <c r="AN79" s="425"/>
      <c r="AO79" s="425"/>
      <c r="AP79" s="425"/>
      <c r="AQ79" s="425"/>
      <c r="AR79" s="425"/>
      <c r="AS79" s="425"/>
      <c r="AT79" s="425"/>
      <c r="AU79" s="425"/>
      <c r="AV79" s="425"/>
      <c r="AW79" s="425"/>
      <c r="AX79" s="425"/>
      <c r="AY79" s="425"/>
      <c r="AZ79" s="425"/>
      <c r="BA79" s="425"/>
      <c r="BB79" s="425"/>
      <c r="BC79" s="425"/>
      <c r="BD79" s="425"/>
      <c r="BE79" s="425"/>
      <c r="BF79" s="425"/>
      <c r="BG79" s="463"/>
      <c r="BH79" s="463"/>
      <c r="BI79" s="463"/>
      <c r="BJ79" s="463"/>
      <c r="BK79" s="463"/>
      <c r="BL79" s="463"/>
      <c r="BM79" s="463"/>
      <c r="BN79" s="463"/>
    </row>
    <row r="80" spans="1:66" ht="15.75" customHeight="1" x14ac:dyDescent="0.2">
      <c r="A80" s="424"/>
      <c r="B80" s="424"/>
      <c r="C80" s="424"/>
      <c r="D80" s="424"/>
      <c r="E80" s="424"/>
      <c r="F80" s="425"/>
      <c r="G80" s="425"/>
      <c r="H80" s="424"/>
      <c r="I80" s="424"/>
      <c r="J80" s="425"/>
      <c r="K80" s="425"/>
      <c r="L80" s="425"/>
      <c r="M80" s="425"/>
      <c r="N80" s="425"/>
      <c r="O80" s="424"/>
      <c r="P80" s="426"/>
      <c r="Q80" s="426"/>
      <c r="R80" s="426"/>
      <c r="S80" s="426"/>
      <c r="T80" s="326"/>
      <c r="U80" s="326"/>
      <c r="V80" s="426"/>
      <c r="W80" s="426"/>
      <c r="X80" s="426"/>
      <c r="Y80" s="426"/>
      <c r="Z80" s="426"/>
      <c r="AA80" s="426"/>
      <c r="AB80" s="426"/>
      <c r="AC80" s="426"/>
      <c r="AD80" s="426"/>
      <c r="AE80" s="326"/>
      <c r="AF80" s="326"/>
      <c r="AG80" s="424"/>
      <c r="AH80" s="424"/>
      <c r="AI80" s="424"/>
      <c r="AJ80" s="424"/>
      <c r="AK80" s="424"/>
      <c r="AL80" s="424"/>
      <c r="AM80" s="425"/>
      <c r="AN80" s="425"/>
      <c r="AO80" s="425"/>
      <c r="AP80" s="425"/>
      <c r="AQ80" s="425"/>
      <c r="AR80" s="425"/>
      <c r="AS80" s="425"/>
      <c r="AT80" s="425"/>
      <c r="AU80" s="425"/>
      <c r="AV80" s="425"/>
      <c r="AW80" s="425"/>
      <c r="AX80" s="425"/>
      <c r="AY80" s="425"/>
      <c r="AZ80" s="425"/>
      <c r="BA80" s="425"/>
      <c r="BB80" s="425"/>
      <c r="BC80" s="425"/>
      <c r="BD80" s="425"/>
      <c r="BE80" s="425"/>
      <c r="BF80" s="425"/>
      <c r="BG80" s="463"/>
      <c r="BH80" s="463"/>
      <c r="BI80" s="463"/>
      <c r="BJ80" s="463"/>
      <c r="BK80" s="463"/>
      <c r="BL80" s="463"/>
      <c r="BM80" s="463"/>
      <c r="BN80" s="463"/>
    </row>
    <row r="81" spans="1:66" ht="15.75" customHeight="1" x14ac:dyDescent="0.2">
      <c r="A81" s="424"/>
      <c r="B81" s="424"/>
      <c r="C81" s="424"/>
      <c r="D81" s="424"/>
      <c r="E81" s="424"/>
      <c r="F81" s="425"/>
      <c r="G81" s="425"/>
      <c r="H81" s="424"/>
      <c r="I81" s="424"/>
      <c r="J81" s="425"/>
      <c r="K81" s="425"/>
      <c r="L81" s="425"/>
      <c r="M81" s="425"/>
      <c r="N81" s="425"/>
      <c r="O81" s="424"/>
      <c r="P81" s="426"/>
      <c r="Q81" s="426"/>
      <c r="R81" s="426"/>
      <c r="S81" s="426"/>
      <c r="T81" s="326"/>
      <c r="U81" s="326"/>
      <c r="V81" s="426"/>
      <c r="W81" s="426"/>
      <c r="X81" s="426"/>
      <c r="Y81" s="426"/>
      <c r="Z81" s="426"/>
      <c r="AA81" s="426"/>
      <c r="AB81" s="426"/>
      <c r="AC81" s="426"/>
      <c r="AD81" s="426"/>
      <c r="AE81" s="326"/>
      <c r="AF81" s="326"/>
      <c r="AG81" s="424"/>
      <c r="AH81" s="424"/>
      <c r="AI81" s="424"/>
      <c r="AJ81" s="424"/>
      <c r="AK81" s="424"/>
      <c r="AL81" s="424"/>
      <c r="AM81" s="425"/>
      <c r="AN81" s="425"/>
      <c r="AO81" s="425"/>
      <c r="AP81" s="425"/>
      <c r="AQ81" s="425"/>
      <c r="AR81" s="425"/>
      <c r="AS81" s="425"/>
      <c r="AT81" s="425"/>
      <c r="AU81" s="425"/>
      <c r="AV81" s="425"/>
      <c r="AW81" s="425"/>
      <c r="AX81" s="425"/>
      <c r="AY81" s="425"/>
      <c r="AZ81" s="425"/>
      <c r="BA81" s="425"/>
      <c r="BB81" s="425"/>
      <c r="BC81" s="425"/>
      <c r="BD81" s="425"/>
      <c r="BE81" s="425"/>
      <c r="BF81" s="425"/>
      <c r="BG81" s="463"/>
      <c r="BH81" s="463"/>
      <c r="BI81" s="463"/>
      <c r="BJ81" s="463"/>
      <c r="BK81" s="463"/>
      <c r="BL81" s="463"/>
      <c r="BM81" s="463"/>
      <c r="BN81" s="463"/>
    </row>
    <row r="82" spans="1:66" ht="15.75" customHeight="1" x14ac:dyDescent="0.2">
      <c r="A82" s="424"/>
      <c r="B82" s="424"/>
      <c r="C82" s="424"/>
      <c r="D82" s="424"/>
      <c r="E82" s="424"/>
      <c r="F82" s="425"/>
      <c r="G82" s="425"/>
      <c r="H82" s="424"/>
      <c r="I82" s="424"/>
      <c r="J82" s="425"/>
      <c r="K82" s="425"/>
      <c r="L82" s="425"/>
      <c r="M82" s="425"/>
      <c r="N82" s="425"/>
      <c r="O82" s="424"/>
      <c r="P82" s="426"/>
      <c r="Q82" s="426"/>
      <c r="R82" s="426"/>
      <c r="S82" s="426"/>
      <c r="T82" s="326"/>
      <c r="U82" s="326"/>
      <c r="V82" s="426"/>
      <c r="W82" s="426"/>
      <c r="X82" s="426"/>
      <c r="Y82" s="426"/>
      <c r="Z82" s="426"/>
      <c r="AA82" s="426"/>
      <c r="AB82" s="426"/>
      <c r="AC82" s="426"/>
      <c r="AD82" s="426"/>
      <c r="AE82" s="326"/>
      <c r="AF82" s="326"/>
      <c r="AG82" s="424"/>
      <c r="AH82" s="424"/>
      <c r="AI82" s="424"/>
      <c r="AJ82" s="424"/>
      <c r="AK82" s="424"/>
      <c r="AL82" s="424"/>
      <c r="AM82" s="425"/>
      <c r="AN82" s="425"/>
      <c r="AO82" s="425"/>
      <c r="AP82" s="425"/>
      <c r="AQ82" s="425"/>
      <c r="AR82" s="425"/>
      <c r="AS82" s="425"/>
      <c r="AT82" s="425"/>
      <c r="AU82" s="425"/>
      <c r="AV82" s="425"/>
      <c r="AW82" s="425"/>
      <c r="AX82" s="425"/>
      <c r="AY82" s="425"/>
      <c r="AZ82" s="425"/>
      <c r="BA82" s="425"/>
      <c r="BB82" s="425"/>
      <c r="BC82" s="425"/>
      <c r="BD82" s="425"/>
      <c r="BE82" s="425"/>
      <c r="BF82" s="425"/>
      <c r="BG82" s="463"/>
      <c r="BH82" s="463"/>
      <c r="BI82" s="463"/>
      <c r="BJ82" s="463"/>
      <c r="BK82" s="463"/>
      <c r="BL82" s="463"/>
      <c r="BM82" s="463"/>
      <c r="BN82" s="463"/>
    </row>
    <row r="83" spans="1:66" ht="15.75" customHeight="1" x14ac:dyDescent="0.2">
      <c r="A83" s="424"/>
      <c r="B83" s="424"/>
      <c r="C83" s="424"/>
      <c r="D83" s="424"/>
      <c r="E83" s="424"/>
      <c r="F83" s="425"/>
      <c r="G83" s="425"/>
      <c r="H83" s="424"/>
      <c r="I83" s="424"/>
      <c r="J83" s="425"/>
      <c r="K83" s="425"/>
      <c r="L83" s="425"/>
      <c r="M83" s="425"/>
      <c r="N83" s="425"/>
      <c r="O83" s="424"/>
      <c r="P83" s="426"/>
      <c r="Q83" s="426"/>
      <c r="R83" s="426"/>
      <c r="S83" s="426"/>
      <c r="T83" s="326"/>
      <c r="U83" s="326"/>
      <c r="V83" s="426"/>
      <c r="W83" s="426"/>
      <c r="X83" s="426"/>
      <c r="Y83" s="426"/>
      <c r="Z83" s="426"/>
      <c r="AA83" s="426"/>
      <c r="AB83" s="426"/>
      <c r="AC83" s="426"/>
      <c r="AD83" s="426"/>
      <c r="AE83" s="326"/>
      <c r="AF83" s="326"/>
      <c r="AG83" s="424"/>
      <c r="AH83" s="424"/>
      <c r="AI83" s="424"/>
      <c r="AJ83" s="424"/>
      <c r="AK83" s="424"/>
      <c r="AL83" s="424"/>
      <c r="AM83" s="425"/>
      <c r="AN83" s="425"/>
      <c r="AO83" s="425"/>
      <c r="AP83" s="425"/>
      <c r="AQ83" s="425"/>
      <c r="AR83" s="425"/>
      <c r="AS83" s="425"/>
      <c r="AT83" s="425"/>
      <c r="AU83" s="425"/>
      <c r="AV83" s="425"/>
      <c r="AW83" s="425"/>
      <c r="AX83" s="425"/>
      <c r="AY83" s="425"/>
      <c r="AZ83" s="425"/>
      <c r="BA83" s="425"/>
      <c r="BB83" s="425"/>
      <c r="BC83" s="425"/>
      <c r="BD83" s="425"/>
      <c r="BE83" s="425"/>
      <c r="BF83" s="425"/>
      <c r="BG83" s="463"/>
      <c r="BH83" s="463"/>
      <c r="BI83" s="463"/>
      <c r="BJ83" s="463"/>
      <c r="BK83" s="463"/>
      <c r="BL83" s="463"/>
      <c r="BM83" s="463"/>
      <c r="BN83" s="463"/>
    </row>
    <row r="84" spans="1:66" ht="15.75" customHeight="1" x14ac:dyDescent="0.2">
      <c r="A84" s="424"/>
      <c r="B84" s="424"/>
      <c r="C84" s="424"/>
      <c r="D84" s="424"/>
      <c r="E84" s="424"/>
      <c r="F84" s="425"/>
      <c r="G84" s="425"/>
      <c r="H84" s="424"/>
      <c r="I84" s="424"/>
      <c r="J84" s="425"/>
      <c r="K84" s="425"/>
      <c r="L84" s="425"/>
      <c r="M84" s="425"/>
      <c r="N84" s="425"/>
      <c r="O84" s="424"/>
      <c r="P84" s="426"/>
      <c r="Q84" s="426"/>
      <c r="R84" s="426"/>
      <c r="S84" s="426"/>
      <c r="T84" s="326"/>
      <c r="U84" s="326"/>
      <c r="V84" s="426"/>
      <c r="W84" s="426"/>
      <c r="X84" s="426"/>
      <c r="Y84" s="426"/>
      <c r="Z84" s="426"/>
      <c r="AA84" s="426"/>
      <c r="AB84" s="426"/>
      <c r="AC84" s="426"/>
      <c r="AD84" s="426"/>
      <c r="AE84" s="326"/>
      <c r="AF84" s="326"/>
      <c r="AG84" s="424"/>
      <c r="AH84" s="424"/>
      <c r="AI84" s="424"/>
      <c r="AJ84" s="424"/>
      <c r="AK84" s="424"/>
      <c r="AL84" s="424"/>
      <c r="AM84" s="425"/>
      <c r="AN84" s="425"/>
      <c r="AO84" s="425"/>
      <c r="AP84" s="425"/>
      <c r="AQ84" s="425"/>
      <c r="AR84" s="425"/>
      <c r="AS84" s="425"/>
      <c r="AT84" s="425"/>
      <c r="AU84" s="425"/>
      <c r="AV84" s="425"/>
      <c r="AW84" s="425"/>
      <c r="AX84" s="425"/>
      <c r="AY84" s="425"/>
      <c r="AZ84" s="425"/>
      <c r="BA84" s="425"/>
      <c r="BB84" s="425"/>
      <c r="BC84" s="425"/>
      <c r="BD84" s="425"/>
      <c r="BE84" s="425"/>
      <c r="BF84" s="425"/>
      <c r="BG84" s="463"/>
      <c r="BH84" s="463"/>
      <c r="BI84" s="463"/>
      <c r="BJ84" s="463"/>
      <c r="BK84" s="463"/>
      <c r="BL84" s="463"/>
      <c r="BM84" s="463"/>
      <c r="BN84" s="463"/>
    </row>
    <row r="85" spans="1:66" ht="15.75" customHeight="1" x14ac:dyDescent="0.2">
      <c r="A85" s="424"/>
      <c r="B85" s="424"/>
      <c r="C85" s="424"/>
      <c r="D85" s="424"/>
      <c r="E85" s="424"/>
      <c r="F85" s="425"/>
      <c r="G85" s="425"/>
      <c r="H85" s="424"/>
      <c r="I85" s="424"/>
      <c r="J85" s="425"/>
      <c r="K85" s="425"/>
      <c r="L85" s="425"/>
      <c r="M85" s="425"/>
      <c r="N85" s="425"/>
      <c r="O85" s="424"/>
      <c r="P85" s="426"/>
      <c r="Q85" s="426"/>
      <c r="R85" s="426"/>
      <c r="S85" s="426"/>
      <c r="T85" s="326"/>
      <c r="U85" s="326"/>
      <c r="V85" s="426"/>
      <c r="W85" s="426"/>
      <c r="X85" s="426"/>
      <c r="Y85" s="426"/>
      <c r="Z85" s="426"/>
      <c r="AA85" s="426"/>
      <c r="AB85" s="426"/>
      <c r="AC85" s="426"/>
      <c r="AD85" s="426"/>
      <c r="AE85" s="326"/>
      <c r="AF85" s="326"/>
      <c r="AG85" s="424"/>
      <c r="AH85" s="424"/>
      <c r="AI85" s="424"/>
      <c r="AJ85" s="424"/>
      <c r="AK85" s="424"/>
      <c r="AL85" s="424"/>
      <c r="AM85" s="425"/>
      <c r="AN85" s="425"/>
      <c r="AO85" s="425"/>
      <c r="AP85" s="425"/>
      <c r="AQ85" s="425"/>
      <c r="AR85" s="425"/>
      <c r="AS85" s="425"/>
      <c r="AT85" s="425"/>
      <c r="AU85" s="425"/>
      <c r="AV85" s="425"/>
      <c r="AW85" s="425"/>
      <c r="AX85" s="425"/>
      <c r="AY85" s="425"/>
      <c r="AZ85" s="425"/>
      <c r="BA85" s="425"/>
      <c r="BB85" s="425"/>
      <c r="BC85" s="425"/>
      <c r="BD85" s="425"/>
      <c r="BE85" s="425"/>
      <c r="BF85" s="425"/>
      <c r="BG85" s="463"/>
      <c r="BH85" s="463"/>
      <c r="BI85" s="463"/>
      <c r="BJ85" s="463"/>
      <c r="BK85" s="463"/>
      <c r="BL85" s="463"/>
      <c r="BM85" s="463"/>
      <c r="BN85" s="463"/>
    </row>
    <row r="86" spans="1:66" ht="15.75" customHeight="1" x14ac:dyDescent="0.2">
      <c r="A86" s="424"/>
      <c r="B86" s="424"/>
      <c r="C86" s="424"/>
      <c r="D86" s="424"/>
      <c r="E86" s="424"/>
      <c r="F86" s="425"/>
      <c r="G86" s="425"/>
      <c r="H86" s="424"/>
      <c r="I86" s="424"/>
      <c r="J86" s="425"/>
      <c r="K86" s="425"/>
      <c r="L86" s="425"/>
      <c r="M86" s="425"/>
      <c r="N86" s="425"/>
      <c r="O86" s="424"/>
      <c r="P86" s="426"/>
      <c r="Q86" s="426"/>
      <c r="R86" s="426"/>
      <c r="S86" s="426"/>
      <c r="T86" s="326"/>
      <c r="U86" s="326"/>
      <c r="V86" s="426"/>
      <c r="W86" s="426"/>
      <c r="X86" s="426"/>
      <c r="Y86" s="426"/>
      <c r="Z86" s="426"/>
      <c r="AA86" s="426"/>
      <c r="AB86" s="426"/>
      <c r="AC86" s="426"/>
      <c r="AD86" s="426"/>
      <c r="AE86" s="326"/>
      <c r="AF86" s="326"/>
      <c r="AG86" s="424"/>
      <c r="AH86" s="424"/>
      <c r="AI86" s="424"/>
      <c r="AJ86" s="424"/>
      <c r="AK86" s="424"/>
      <c r="AL86" s="424"/>
      <c r="AM86" s="425"/>
      <c r="AN86" s="425"/>
      <c r="AO86" s="425"/>
      <c r="AP86" s="425"/>
      <c r="AQ86" s="425"/>
      <c r="AR86" s="425"/>
      <c r="AS86" s="425"/>
      <c r="AT86" s="425"/>
      <c r="AU86" s="425"/>
      <c r="AV86" s="425"/>
      <c r="AW86" s="425"/>
      <c r="AX86" s="425"/>
      <c r="AY86" s="425"/>
      <c r="AZ86" s="425"/>
      <c r="BA86" s="425"/>
      <c r="BB86" s="425"/>
      <c r="BC86" s="425"/>
      <c r="BD86" s="425"/>
      <c r="BE86" s="425"/>
      <c r="BF86" s="425"/>
      <c r="BG86" s="463"/>
      <c r="BH86" s="463"/>
      <c r="BI86" s="463"/>
      <c r="BJ86" s="463"/>
      <c r="BK86" s="463"/>
      <c r="BL86" s="463"/>
      <c r="BM86" s="463"/>
      <c r="BN86" s="463"/>
    </row>
    <row r="87" spans="1:66" ht="15.75" customHeight="1" x14ac:dyDescent="0.2">
      <c r="A87" s="424"/>
      <c r="B87" s="424"/>
      <c r="C87" s="424"/>
      <c r="D87" s="424"/>
      <c r="E87" s="424"/>
      <c r="F87" s="425"/>
      <c r="G87" s="425"/>
      <c r="H87" s="424"/>
      <c r="I87" s="424"/>
      <c r="J87" s="425"/>
      <c r="K87" s="425"/>
      <c r="L87" s="425"/>
      <c r="M87" s="425"/>
      <c r="N87" s="425"/>
      <c r="O87" s="424"/>
      <c r="P87" s="426"/>
      <c r="Q87" s="426"/>
      <c r="R87" s="426"/>
      <c r="S87" s="426"/>
      <c r="T87" s="326"/>
      <c r="U87" s="326"/>
      <c r="V87" s="426"/>
      <c r="W87" s="426"/>
      <c r="X87" s="426"/>
      <c r="Y87" s="426"/>
      <c r="Z87" s="426"/>
      <c r="AA87" s="426"/>
      <c r="AB87" s="426"/>
      <c r="AC87" s="426"/>
      <c r="AD87" s="426"/>
      <c r="AE87" s="326"/>
      <c r="AF87" s="326"/>
      <c r="AG87" s="424"/>
      <c r="AH87" s="424"/>
      <c r="AI87" s="424"/>
      <c r="AJ87" s="424"/>
      <c r="AK87" s="424"/>
      <c r="AL87" s="424"/>
      <c r="AM87" s="425"/>
      <c r="AN87" s="425"/>
      <c r="AO87" s="425"/>
      <c r="AP87" s="425"/>
      <c r="AQ87" s="425"/>
      <c r="AR87" s="425"/>
      <c r="AS87" s="425"/>
      <c r="AT87" s="425"/>
      <c r="AU87" s="425"/>
      <c r="AV87" s="425"/>
      <c r="AW87" s="425"/>
      <c r="AX87" s="425"/>
      <c r="AY87" s="425"/>
      <c r="AZ87" s="425"/>
      <c r="BA87" s="425"/>
      <c r="BB87" s="425"/>
      <c r="BC87" s="425"/>
      <c r="BD87" s="425"/>
      <c r="BE87" s="425"/>
      <c r="BF87" s="425"/>
      <c r="BG87" s="463"/>
      <c r="BH87" s="463"/>
      <c r="BI87" s="463"/>
      <c r="BJ87" s="463"/>
      <c r="BK87" s="463"/>
      <c r="BL87" s="463"/>
      <c r="BM87" s="463"/>
      <c r="BN87" s="463"/>
    </row>
    <row r="88" spans="1:66" ht="15.75" customHeight="1" x14ac:dyDescent="0.2">
      <c r="A88" s="424"/>
      <c r="B88" s="424"/>
      <c r="C88" s="424"/>
      <c r="D88" s="424"/>
      <c r="E88" s="424"/>
      <c r="F88" s="425"/>
      <c r="G88" s="425"/>
      <c r="H88" s="424"/>
      <c r="I88" s="424"/>
      <c r="J88" s="425"/>
      <c r="K88" s="425"/>
      <c r="L88" s="425"/>
      <c r="M88" s="425"/>
      <c r="N88" s="425"/>
      <c r="O88" s="424"/>
      <c r="P88" s="426"/>
      <c r="Q88" s="426"/>
      <c r="R88" s="426"/>
      <c r="S88" s="426"/>
      <c r="T88" s="326"/>
      <c r="U88" s="326"/>
      <c r="V88" s="426"/>
      <c r="W88" s="426"/>
      <c r="X88" s="426"/>
      <c r="Y88" s="426"/>
      <c r="Z88" s="426"/>
      <c r="AA88" s="426"/>
      <c r="AB88" s="426"/>
      <c r="AC88" s="426"/>
      <c r="AD88" s="426"/>
      <c r="AE88" s="326"/>
      <c r="AF88" s="326"/>
      <c r="AG88" s="424"/>
      <c r="AH88" s="424"/>
      <c r="AI88" s="424"/>
      <c r="AJ88" s="424"/>
      <c r="AK88" s="424"/>
      <c r="AL88" s="424"/>
      <c r="AM88" s="425"/>
      <c r="AN88" s="425"/>
      <c r="AO88" s="425"/>
      <c r="AP88" s="425"/>
      <c r="AQ88" s="425"/>
      <c r="AR88" s="425"/>
      <c r="AS88" s="425"/>
      <c r="AT88" s="425"/>
      <c r="AU88" s="425"/>
      <c r="AV88" s="425"/>
      <c r="AW88" s="425"/>
      <c r="AX88" s="425"/>
      <c r="AY88" s="425"/>
      <c r="AZ88" s="425"/>
      <c r="BA88" s="425"/>
      <c r="BB88" s="425"/>
      <c r="BC88" s="425"/>
      <c r="BD88" s="425"/>
      <c r="BE88" s="425"/>
      <c r="BF88" s="425"/>
      <c r="BG88" s="463"/>
      <c r="BH88" s="463"/>
      <c r="BI88" s="463"/>
      <c r="BJ88" s="463"/>
      <c r="BK88" s="463"/>
      <c r="BL88" s="463"/>
      <c r="BM88" s="463"/>
      <c r="BN88" s="463"/>
    </row>
    <row r="89" spans="1:66" ht="15.75" customHeight="1" x14ac:dyDescent="0.2">
      <c r="A89" s="424"/>
      <c r="B89" s="424"/>
      <c r="C89" s="424"/>
      <c r="D89" s="424"/>
      <c r="E89" s="424"/>
      <c r="F89" s="425"/>
      <c r="G89" s="425"/>
      <c r="H89" s="424"/>
      <c r="I89" s="424"/>
      <c r="J89" s="425"/>
      <c r="K89" s="425"/>
      <c r="L89" s="425"/>
      <c r="M89" s="425"/>
      <c r="N89" s="425"/>
      <c r="O89" s="424"/>
      <c r="P89" s="426"/>
      <c r="Q89" s="426"/>
      <c r="R89" s="426"/>
      <c r="S89" s="426"/>
      <c r="T89" s="326"/>
      <c r="U89" s="326"/>
      <c r="V89" s="426"/>
      <c r="W89" s="426"/>
      <c r="X89" s="426"/>
      <c r="Y89" s="426"/>
      <c r="Z89" s="426"/>
      <c r="AA89" s="426"/>
      <c r="AB89" s="426"/>
      <c r="AC89" s="426"/>
      <c r="AD89" s="426"/>
      <c r="AE89" s="326"/>
      <c r="AF89" s="326"/>
      <c r="AG89" s="424"/>
      <c r="AH89" s="424"/>
      <c r="AI89" s="424"/>
      <c r="AJ89" s="424"/>
      <c r="AK89" s="424"/>
      <c r="AL89" s="424"/>
      <c r="AM89" s="425"/>
      <c r="AN89" s="425"/>
      <c r="AO89" s="425"/>
      <c r="AP89" s="425"/>
      <c r="AQ89" s="425"/>
      <c r="AR89" s="425"/>
      <c r="AS89" s="425"/>
      <c r="AT89" s="425"/>
      <c r="AU89" s="425"/>
      <c r="AV89" s="425"/>
      <c r="AW89" s="425"/>
      <c r="AX89" s="425"/>
      <c r="AY89" s="425"/>
      <c r="AZ89" s="425"/>
      <c r="BA89" s="425"/>
      <c r="BB89" s="425"/>
      <c r="BC89" s="425"/>
      <c r="BD89" s="425"/>
      <c r="BE89" s="425"/>
      <c r="BF89" s="425"/>
      <c r="BG89" s="463"/>
      <c r="BH89" s="463"/>
      <c r="BI89" s="463"/>
      <c r="BJ89" s="463"/>
      <c r="BK89" s="463"/>
      <c r="BL89" s="463"/>
      <c r="BM89" s="463"/>
      <c r="BN89" s="463"/>
    </row>
    <row r="90" spans="1:66" ht="15.75" customHeight="1" x14ac:dyDescent="0.2">
      <c r="A90" s="424"/>
      <c r="B90" s="424"/>
      <c r="C90" s="424"/>
      <c r="D90" s="424"/>
      <c r="E90" s="424"/>
      <c r="F90" s="425"/>
      <c r="G90" s="425"/>
      <c r="H90" s="424"/>
      <c r="I90" s="424"/>
      <c r="J90" s="425"/>
      <c r="K90" s="425"/>
      <c r="L90" s="425"/>
      <c r="M90" s="425"/>
      <c r="N90" s="425"/>
      <c r="O90" s="424"/>
      <c r="P90" s="426"/>
      <c r="Q90" s="426"/>
      <c r="R90" s="426"/>
      <c r="S90" s="426"/>
      <c r="T90" s="326"/>
      <c r="U90" s="326"/>
      <c r="V90" s="426"/>
      <c r="W90" s="426"/>
      <c r="X90" s="426"/>
      <c r="Y90" s="426"/>
      <c r="Z90" s="426"/>
      <c r="AA90" s="426"/>
      <c r="AB90" s="426"/>
      <c r="AC90" s="426"/>
      <c r="AD90" s="426"/>
      <c r="AE90" s="326"/>
      <c r="AF90" s="326"/>
      <c r="AG90" s="424"/>
      <c r="AH90" s="424"/>
      <c r="AI90" s="424"/>
      <c r="AJ90" s="424"/>
      <c r="AK90" s="424"/>
      <c r="AL90" s="424"/>
      <c r="AM90" s="425"/>
      <c r="AN90" s="425"/>
      <c r="AO90" s="425"/>
      <c r="AP90" s="425"/>
      <c r="AQ90" s="425"/>
      <c r="AR90" s="425"/>
      <c r="AS90" s="425"/>
      <c r="AT90" s="425"/>
      <c r="AU90" s="425"/>
      <c r="AV90" s="425"/>
      <c r="AW90" s="425"/>
      <c r="AX90" s="425"/>
      <c r="AY90" s="425"/>
      <c r="AZ90" s="425"/>
      <c r="BA90" s="425"/>
      <c r="BB90" s="425"/>
      <c r="BC90" s="425"/>
      <c r="BD90" s="425"/>
      <c r="BE90" s="425"/>
      <c r="BF90" s="425"/>
      <c r="BG90" s="463"/>
      <c r="BH90" s="463"/>
      <c r="BI90" s="463"/>
      <c r="BJ90" s="463"/>
      <c r="BK90" s="463"/>
      <c r="BL90" s="463"/>
      <c r="BM90" s="463"/>
      <c r="BN90" s="463"/>
    </row>
    <row r="91" spans="1:66" ht="15.75" customHeight="1" x14ac:dyDescent="0.2">
      <c r="A91" s="424"/>
      <c r="B91" s="424"/>
      <c r="C91" s="424"/>
      <c r="D91" s="424"/>
      <c r="E91" s="424"/>
      <c r="F91" s="425"/>
      <c r="G91" s="425"/>
      <c r="H91" s="424"/>
      <c r="I91" s="424"/>
      <c r="J91" s="425"/>
      <c r="K91" s="425"/>
      <c r="L91" s="425"/>
      <c r="M91" s="425"/>
      <c r="N91" s="425"/>
      <c r="O91" s="424"/>
      <c r="P91" s="426"/>
      <c r="Q91" s="426"/>
      <c r="R91" s="426"/>
      <c r="S91" s="426"/>
      <c r="T91" s="326"/>
      <c r="U91" s="326"/>
      <c r="V91" s="426"/>
      <c r="W91" s="426"/>
      <c r="X91" s="426"/>
      <c r="Y91" s="426"/>
      <c r="Z91" s="426"/>
      <c r="AA91" s="426"/>
      <c r="AB91" s="426"/>
      <c r="AC91" s="426"/>
      <c r="AD91" s="426"/>
      <c r="AE91" s="326"/>
      <c r="AF91" s="326"/>
      <c r="AG91" s="424"/>
      <c r="AH91" s="424"/>
      <c r="AI91" s="424"/>
      <c r="AJ91" s="424"/>
      <c r="AK91" s="424"/>
      <c r="AL91" s="424"/>
      <c r="AM91" s="425"/>
      <c r="AN91" s="425"/>
      <c r="AO91" s="425"/>
      <c r="AP91" s="425"/>
      <c r="AQ91" s="425"/>
      <c r="AR91" s="425"/>
      <c r="AS91" s="425"/>
      <c r="AT91" s="425"/>
      <c r="AU91" s="425"/>
      <c r="AV91" s="425"/>
      <c r="AW91" s="425"/>
      <c r="AX91" s="425"/>
      <c r="AY91" s="425"/>
      <c r="AZ91" s="425"/>
      <c r="BA91" s="425"/>
      <c r="BB91" s="425"/>
      <c r="BC91" s="425"/>
      <c r="BD91" s="425"/>
      <c r="BE91" s="425"/>
      <c r="BF91" s="425"/>
      <c r="BG91" s="463"/>
      <c r="BH91" s="463"/>
      <c r="BI91" s="463"/>
      <c r="BJ91" s="463"/>
      <c r="BK91" s="463"/>
      <c r="BL91" s="463"/>
      <c r="BM91" s="463"/>
      <c r="BN91" s="463"/>
    </row>
    <row r="92" spans="1:66" ht="15.75" customHeight="1" x14ac:dyDescent="0.2">
      <c r="A92" s="424"/>
      <c r="B92" s="424"/>
      <c r="C92" s="424"/>
      <c r="D92" s="424"/>
      <c r="E92" s="424"/>
      <c r="F92" s="425"/>
      <c r="G92" s="425"/>
      <c r="H92" s="424"/>
      <c r="I92" s="424"/>
      <c r="J92" s="425"/>
      <c r="K92" s="425"/>
      <c r="L92" s="425"/>
      <c r="M92" s="425"/>
      <c r="N92" s="425"/>
      <c r="O92" s="424"/>
      <c r="P92" s="426"/>
      <c r="Q92" s="426"/>
      <c r="R92" s="426"/>
      <c r="S92" s="426"/>
      <c r="T92" s="326"/>
      <c r="U92" s="326"/>
      <c r="V92" s="426"/>
      <c r="W92" s="426"/>
      <c r="X92" s="426"/>
      <c r="Y92" s="426"/>
      <c r="Z92" s="426"/>
      <c r="AA92" s="426"/>
      <c r="AB92" s="426"/>
      <c r="AC92" s="426"/>
      <c r="AD92" s="426"/>
      <c r="AE92" s="326"/>
      <c r="AF92" s="326"/>
      <c r="AG92" s="424"/>
      <c r="AH92" s="424"/>
      <c r="AI92" s="424"/>
      <c r="AJ92" s="424"/>
      <c r="AK92" s="424"/>
      <c r="AL92" s="424"/>
      <c r="AM92" s="425"/>
      <c r="AN92" s="425"/>
      <c r="AO92" s="425"/>
      <c r="AP92" s="425"/>
      <c r="AQ92" s="425"/>
      <c r="AR92" s="425"/>
      <c r="AS92" s="425"/>
      <c r="AT92" s="425"/>
      <c r="AU92" s="425"/>
      <c r="AV92" s="425"/>
      <c r="AW92" s="425"/>
      <c r="AX92" s="425"/>
      <c r="AY92" s="425"/>
      <c r="AZ92" s="425"/>
      <c r="BA92" s="425"/>
      <c r="BB92" s="425"/>
      <c r="BC92" s="425"/>
      <c r="BD92" s="425"/>
      <c r="BE92" s="425"/>
      <c r="BF92" s="425"/>
      <c r="BG92" s="463"/>
      <c r="BH92" s="463"/>
      <c r="BI92" s="463"/>
      <c r="BJ92" s="463"/>
      <c r="BK92" s="463"/>
      <c r="BL92" s="463"/>
      <c r="BM92" s="463"/>
      <c r="BN92" s="463"/>
    </row>
    <row r="93" spans="1:66" ht="15.75" customHeight="1" x14ac:dyDescent="0.2">
      <c r="A93" s="424"/>
      <c r="B93" s="424"/>
      <c r="C93" s="424"/>
      <c r="D93" s="424"/>
      <c r="E93" s="424"/>
      <c r="F93" s="425"/>
      <c r="G93" s="425"/>
      <c r="H93" s="424"/>
      <c r="I93" s="424"/>
      <c r="J93" s="425"/>
      <c r="K93" s="425"/>
      <c r="L93" s="425"/>
      <c r="M93" s="425"/>
      <c r="N93" s="425"/>
      <c r="O93" s="424"/>
      <c r="P93" s="426"/>
      <c r="Q93" s="426"/>
      <c r="R93" s="426"/>
      <c r="S93" s="426"/>
      <c r="T93" s="326"/>
      <c r="U93" s="326"/>
      <c r="V93" s="426"/>
      <c r="W93" s="426"/>
      <c r="X93" s="426"/>
      <c r="Y93" s="426"/>
      <c r="Z93" s="426"/>
      <c r="AA93" s="426"/>
      <c r="AB93" s="426"/>
      <c r="AC93" s="426"/>
      <c r="AD93" s="426"/>
      <c r="AE93" s="326"/>
      <c r="AF93" s="326"/>
      <c r="AG93" s="424"/>
      <c r="AH93" s="424"/>
      <c r="AI93" s="424"/>
      <c r="AJ93" s="424"/>
      <c r="AK93" s="424"/>
      <c r="AL93" s="424"/>
      <c r="AM93" s="425"/>
      <c r="AN93" s="425"/>
      <c r="AO93" s="425"/>
      <c r="AP93" s="425"/>
      <c r="AQ93" s="425"/>
      <c r="AR93" s="425"/>
      <c r="AS93" s="425"/>
      <c r="AT93" s="425"/>
      <c r="AU93" s="425"/>
      <c r="AV93" s="425"/>
      <c r="AW93" s="425"/>
      <c r="AX93" s="425"/>
      <c r="AY93" s="425"/>
      <c r="AZ93" s="425"/>
      <c r="BA93" s="425"/>
      <c r="BB93" s="425"/>
      <c r="BC93" s="425"/>
      <c r="BD93" s="425"/>
      <c r="BE93" s="425"/>
      <c r="BF93" s="425"/>
      <c r="BG93" s="463"/>
      <c r="BH93" s="463"/>
      <c r="BI93" s="463"/>
      <c r="BJ93" s="463"/>
      <c r="BK93" s="463"/>
      <c r="BL93" s="463"/>
      <c r="BM93" s="463"/>
      <c r="BN93" s="463"/>
    </row>
    <row r="94" spans="1:66" ht="15.75" customHeight="1" x14ac:dyDescent="0.2">
      <c r="A94" s="424"/>
      <c r="B94" s="424"/>
      <c r="C94" s="424"/>
      <c r="D94" s="424"/>
      <c r="E94" s="424"/>
      <c r="F94" s="425"/>
      <c r="G94" s="425"/>
      <c r="H94" s="424"/>
      <c r="I94" s="424"/>
      <c r="J94" s="425"/>
      <c r="K94" s="425"/>
      <c r="L94" s="425"/>
      <c r="M94" s="425"/>
      <c r="N94" s="425"/>
      <c r="O94" s="424"/>
      <c r="P94" s="426"/>
      <c r="Q94" s="426"/>
      <c r="R94" s="426"/>
      <c r="S94" s="426"/>
      <c r="T94" s="326"/>
      <c r="U94" s="326"/>
      <c r="V94" s="426"/>
      <c r="W94" s="426"/>
      <c r="X94" s="426"/>
      <c r="Y94" s="426"/>
      <c r="Z94" s="426"/>
      <c r="AA94" s="426"/>
      <c r="AB94" s="426"/>
      <c r="AC94" s="426"/>
      <c r="AD94" s="426"/>
      <c r="AE94" s="326"/>
      <c r="AF94" s="326"/>
      <c r="AG94" s="424"/>
      <c r="AH94" s="424"/>
      <c r="AI94" s="424"/>
      <c r="AJ94" s="424"/>
      <c r="AK94" s="424"/>
      <c r="AL94" s="424"/>
      <c r="AM94" s="425"/>
      <c r="AN94" s="425"/>
      <c r="AO94" s="425"/>
      <c r="AP94" s="425"/>
      <c r="AQ94" s="425"/>
      <c r="AR94" s="425"/>
      <c r="AS94" s="425"/>
      <c r="AT94" s="425"/>
      <c r="AU94" s="425"/>
      <c r="AV94" s="425"/>
      <c r="AW94" s="425"/>
      <c r="AX94" s="425"/>
      <c r="AY94" s="425"/>
      <c r="AZ94" s="425"/>
      <c r="BA94" s="425"/>
      <c r="BB94" s="425"/>
      <c r="BC94" s="425"/>
      <c r="BD94" s="425"/>
      <c r="BE94" s="425"/>
      <c r="BF94" s="425"/>
      <c r="BG94" s="463"/>
      <c r="BH94" s="463"/>
      <c r="BI94" s="463"/>
      <c r="BJ94" s="463"/>
      <c r="BK94" s="463"/>
      <c r="BL94" s="463"/>
      <c r="BM94" s="463"/>
      <c r="BN94" s="463"/>
    </row>
    <row r="95" spans="1:66" ht="15.75" customHeight="1" x14ac:dyDescent="0.2">
      <c r="A95" s="424"/>
      <c r="B95" s="424"/>
      <c r="C95" s="424"/>
      <c r="D95" s="424"/>
      <c r="E95" s="424"/>
      <c r="F95" s="425"/>
      <c r="G95" s="425"/>
      <c r="H95" s="424"/>
      <c r="I95" s="424"/>
      <c r="J95" s="425"/>
      <c r="K95" s="425"/>
      <c r="L95" s="425"/>
      <c r="M95" s="425"/>
      <c r="N95" s="425"/>
      <c r="O95" s="424"/>
      <c r="P95" s="426"/>
      <c r="Q95" s="426"/>
      <c r="R95" s="426"/>
      <c r="S95" s="426"/>
      <c r="T95" s="326"/>
      <c r="U95" s="326"/>
      <c r="V95" s="426"/>
      <c r="W95" s="426"/>
      <c r="X95" s="426"/>
      <c r="Y95" s="426"/>
      <c r="Z95" s="426"/>
      <c r="AA95" s="426"/>
      <c r="AB95" s="426"/>
      <c r="AC95" s="426"/>
      <c r="AD95" s="426"/>
      <c r="AE95" s="326"/>
      <c r="AF95" s="326"/>
      <c r="AG95" s="424"/>
      <c r="AH95" s="424"/>
      <c r="AI95" s="424"/>
      <c r="AJ95" s="424"/>
      <c r="AK95" s="424"/>
      <c r="AL95" s="424"/>
      <c r="AM95" s="425"/>
      <c r="AN95" s="425"/>
      <c r="AO95" s="425"/>
      <c r="AP95" s="425"/>
      <c r="AQ95" s="425"/>
      <c r="AR95" s="425"/>
      <c r="AS95" s="425"/>
      <c r="AT95" s="425"/>
      <c r="AU95" s="425"/>
      <c r="AV95" s="425"/>
      <c r="AW95" s="425"/>
      <c r="AX95" s="425"/>
      <c r="AY95" s="425"/>
      <c r="AZ95" s="425"/>
      <c r="BA95" s="425"/>
      <c r="BB95" s="425"/>
      <c r="BC95" s="425"/>
      <c r="BD95" s="425"/>
      <c r="BE95" s="425"/>
      <c r="BF95" s="425"/>
      <c r="BG95" s="463"/>
      <c r="BH95" s="463"/>
      <c r="BI95" s="463"/>
      <c r="BJ95" s="463"/>
      <c r="BK95" s="463"/>
      <c r="BL95" s="463"/>
      <c r="BM95" s="463"/>
      <c r="BN95" s="463"/>
    </row>
    <row r="96" spans="1:66" ht="15.75" customHeight="1" x14ac:dyDescent="0.2">
      <c r="A96" s="424"/>
      <c r="B96" s="424"/>
      <c r="C96" s="424"/>
      <c r="D96" s="424"/>
      <c r="E96" s="424"/>
      <c r="F96" s="425"/>
      <c r="G96" s="425"/>
      <c r="H96" s="424"/>
      <c r="I96" s="424"/>
      <c r="J96" s="425"/>
      <c r="K96" s="425"/>
      <c r="L96" s="425"/>
      <c r="M96" s="425"/>
      <c r="N96" s="425"/>
      <c r="O96" s="424"/>
      <c r="P96" s="426"/>
      <c r="Q96" s="426"/>
      <c r="R96" s="426"/>
      <c r="S96" s="426"/>
      <c r="T96" s="326"/>
      <c r="U96" s="326"/>
      <c r="V96" s="426"/>
      <c r="W96" s="426"/>
      <c r="X96" s="426"/>
      <c r="Y96" s="426"/>
      <c r="Z96" s="426"/>
      <c r="AA96" s="426"/>
      <c r="AB96" s="426"/>
      <c r="AC96" s="426"/>
      <c r="AD96" s="426"/>
      <c r="AE96" s="326"/>
      <c r="AF96" s="326"/>
      <c r="AG96" s="424"/>
      <c r="AH96" s="424"/>
      <c r="AI96" s="424"/>
      <c r="AJ96" s="424"/>
      <c r="AK96" s="424"/>
      <c r="AL96" s="424"/>
      <c r="AM96" s="425"/>
      <c r="AN96" s="425"/>
      <c r="AO96" s="425"/>
      <c r="AP96" s="425"/>
      <c r="AQ96" s="425"/>
      <c r="AR96" s="425"/>
      <c r="AS96" s="425"/>
      <c r="AT96" s="425"/>
      <c r="AU96" s="425"/>
      <c r="AV96" s="425"/>
      <c r="AW96" s="425"/>
      <c r="AX96" s="425"/>
      <c r="AY96" s="425"/>
      <c r="AZ96" s="425"/>
      <c r="BA96" s="425"/>
      <c r="BB96" s="425"/>
      <c r="BC96" s="425"/>
      <c r="BD96" s="425"/>
      <c r="BE96" s="425"/>
      <c r="BF96" s="425"/>
      <c r="BG96" s="463"/>
      <c r="BH96" s="463"/>
      <c r="BI96" s="463"/>
      <c r="BJ96" s="463"/>
      <c r="BK96" s="463"/>
      <c r="BL96" s="463"/>
      <c r="BM96" s="463"/>
      <c r="BN96" s="463"/>
    </row>
    <row r="97" spans="1:66" ht="15.75" customHeight="1" x14ac:dyDescent="0.2">
      <c r="A97" s="424"/>
      <c r="B97" s="424"/>
      <c r="C97" s="424"/>
      <c r="D97" s="424"/>
      <c r="E97" s="424"/>
      <c r="F97" s="425"/>
      <c r="G97" s="425"/>
      <c r="H97" s="424"/>
      <c r="I97" s="424"/>
      <c r="J97" s="425"/>
      <c r="K97" s="425"/>
      <c r="L97" s="425"/>
      <c r="M97" s="425"/>
      <c r="N97" s="425"/>
      <c r="O97" s="424"/>
      <c r="P97" s="426"/>
      <c r="Q97" s="426"/>
      <c r="R97" s="426"/>
      <c r="S97" s="426"/>
      <c r="T97" s="326"/>
      <c r="U97" s="326"/>
      <c r="V97" s="426"/>
      <c r="W97" s="426"/>
      <c r="X97" s="426"/>
      <c r="Y97" s="426"/>
      <c r="Z97" s="426"/>
      <c r="AA97" s="426"/>
      <c r="AB97" s="426"/>
      <c r="AC97" s="426"/>
      <c r="AD97" s="426"/>
      <c r="AE97" s="326"/>
      <c r="AF97" s="326"/>
      <c r="AG97" s="424"/>
      <c r="AH97" s="424"/>
      <c r="AI97" s="424"/>
      <c r="AJ97" s="424"/>
      <c r="AK97" s="424"/>
      <c r="AL97" s="424"/>
      <c r="AM97" s="425"/>
      <c r="AN97" s="425"/>
      <c r="AO97" s="425"/>
      <c r="AP97" s="425"/>
      <c r="AQ97" s="425"/>
      <c r="AR97" s="425"/>
      <c r="AS97" s="425"/>
      <c r="AT97" s="425"/>
      <c r="AU97" s="425"/>
      <c r="AV97" s="425"/>
      <c r="AW97" s="425"/>
      <c r="AX97" s="425"/>
      <c r="AY97" s="425"/>
      <c r="AZ97" s="425"/>
      <c r="BA97" s="425"/>
      <c r="BB97" s="425"/>
      <c r="BC97" s="425"/>
      <c r="BD97" s="425"/>
      <c r="BE97" s="425"/>
      <c r="BF97" s="425"/>
      <c r="BG97" s="463"/>
      <c r="BH97" s="463"/>
      <c r="BI97" s="463"/>
      <c r="BJ97" s="463"/>
      <c r="BK97" s="463"/>
      <c r="BL97" s="463"/>
      <c r="BM97" s="463"/>
      <c r="BN97" s="463"/>
    </row>
    <row r="98" spans="1:66" ht="15.75" customHeight="1" x14ac:dyDescent="0.2">
      <c r="A98" s="424"/>
      <c r="B98" s="424"/>
      <c r="C98" s="424"/>
      <c r="D98" s="424"/>
      <c r="E98" s="424"/>
      <c r="F98" s="425"/>
      <c r="G98" s="425"/>
      <c r="H98" s="424"/>
      <c r="I98" s="424"/>
      <c r="J98" s="425"/>
      <c r="K98" s="425"/>
      <c r="L98" s="425"/>
      <c r="M98" s="425"/>
      <c r="N98" s="425"/>
      <c r="O98" s="424"/>
      <c r="P98" s="426"/>
      <c r="Q98" s="426"/>
      <c r="R98" s="426"/>
      <c r="S98" s="426"/>
      <c r="T98" s="326"/>
      <c r="U98" s="326"/>
      <c r="V98" s="426"/>
      <c r="W98" s="426"/>
      <c r="X98" s="426"/>
      <c r="Y98" s="426"/>
      <c r="Z98" s="426"/>
      <c r="AA98" s="426"/>
      <c r="AB98" s="426"/>
      <c r="AC98" s="426"/>
      <c r="AD98" s="426"/>
      <c r="AE98" s="326"/>
      <c r="AF98" s="326"/>
      <c r="AG98" s="424"/>
      <c r="AH98" s="424"/>
      <c r="AI98" s="424"/>
      <c r="AJ98" s="424"/>
      <c r="AK98" s="424"/>
      <c r="AL98" s="424"/>
      <c r="AM98" s="425"/>
      <c r="AN98" s="425"/>
      <c r="AO98" s="425"/>
      <c r="AP98" s="425"/>
      <c r="AQ98" s="425"/>
      <c r="AR98" s="425"/>
      <c r="AS98" s="425"/>
      <c r="AT98" s="425"/>
      <c r="AU98" s="425"/>
      <c r="AV98" s="425"/>
      <c r="AW98" s="425"/>
      <c r="AX98" s="425"/>
      <c r="AY98" s="425"/>
      <c r="AZ98" s="425"/>
      <c r="BA98" s="425"/>
      <c r="BB98" s="425"/>
      <c r="BC98" s="425"/>
      <c r="BD98" s="425"/>
      <c r="BE98" s="425"/>
      <c r="BF98" s="425"/>
      <c r="BG98" s="463"/>
      <c r="BH98" s="463"/>
      <c r="BI98" s="463"/>
      <c r="BJ98" s="463"/>
      <c r="BK98" s="463"/>
      <c r="BL98" s="463"/>
      <c r="BM98" s="463"/>
      <c r="BN98" s="463"/>
    </row>
    <row r="99" spans="1:66" ht="15.75" customHeight="1" x14ac:dyDescent="0.2">
      <c r="A99" s="424"/>
      <c r="B99" s="424"/>
      <c r="C99" s="424"/>
      <c r="D99" s="424"/>
      <c r="E99" s="424"/>
      <c r="F99" s="425"/>
      <c r="G99" s="425"/>
      <c r="H99" s="424"/>
      <c r="I99" s="424"/>
      <c r="J99" s="425"/>
      <c r="K99" s="425"/>
      <c r="L99" s="425"/>
      <c r="M99" s="425"/>
      <c r="N99" s="425"/>
      <c r="O99" s="424"/>
      <c r="P99" s="426"/>
      <c r="Q99" s="426"/>
      <c r="R99" s="426"/>
      <c r="S99" s="426"/>
      <c r="T99" s="326"/>
      <c r="U99" s="326"/>
      <c r="V99" s="426"/>
      <c r="W99" s="426"/>
      <c r="X99" s="426"/>
      <c r="Y99" s="426"/>
      <c r="Z99" s="426"/>
      <c r="AA99" s="426"/>
      <c r="AB99" s="426"/>
      <c r="AC99" s="426"/>
      <c r="AD99" s="426"/>
      <c r="AE99" s="326"/>
      <c r="AF99" s="326"/>
      <c r="AG99" s="424"/>
      <c r="AH99" s="424"/>
      <c r="AI99" s="424"/>
      <c r="AJ99" s="424"/>
      <c r="AK99" s="424"/>
      <c r="AL99" s="424"/>
      <c r="AM99" s="425"/>
      <c r="AN99" s="425"/>
      <c r="AO99" s="425"/>
      <c r="AP99" s="425"/>
      <c r="AQ99" s="425"/>
      <c r="AR99" s="425"/>
      <c r="AS99" s="425"/>
      <c r="AT99" s="425"/>
      <c r="AU99" s="425"/>
      <c r="AV99" s="425"/>
      <c r="AW99" s="425"/>
      <c r="AX99" s="425"/>
      <c r="AY99" s="425"/>
      <c r="AZ99" s="425"/>
      <c r="BA99" s="425"/>
      <c r="BB99" s="425"/>
      <c r="BC99" s="425"/>
      <c r="BD99" s="425"/>
      <c r="BE99" s="425"/>
      <c r="BF99" s="425"/>
      <c r="BG99" s="463"/>
      <c r="BH99" s="463"/>
      <c r="BI99" s="463"/>
      <c r="BJ99" s="463"/>
      <c r="BK99" s="463"/>
      <c r="BL99" s="463"/>
      <c r="BM99" s="463"/>
      <c r="BN99" s="463"/>
    </row>
    <row r="100" spans="1:66" ht="15.75" customHeight="1" x14ac:dyDescent="0.2">
      <c r="A100" s="424"/>
      <c r="B100" s="424"/>
      <c r="C100" s="424"/>
      <c r="D100" s="424"/>
      <c r="E100" s="424"/>
      <c r="F100" s="425"/>
      <c r="G100" s="425"/>
      <c r="H100" s="424"/>
      <c r="I100" s="424"/>
      <c r="J100" s="425"/>
      <c r="K100" s="425"/>
      <c r="L100" s="425"/>
      <c r="M100" s="425"/>
      <c r="N100" s="425"/>
      <c r="O100" s="424"/>
      <c r="P100" s="426"/>
      <c r="Q100" s="426"/>
      <c r="R100" s="426"/>
      <c r="S100" s="426"/>
      <c r="T100" s="326"/>
      <c r="U100" s="326"/>
      <c r="V100" s="426"/>
      <c r="W100" s="426"/>
      <c r="X100" s="426"/>
      <c r="Y100" s="426"/>
      <c r="Z100" s="426"/>
      <c r="AA100" s="426"/>
      <c r="AB100" s="426"/>
      <c r="AC100" s="426"/>
      <c r="AD100" s="426"/>
      <c r="AE100" s="326"/>
      <c r="AF100" s="326"/>
      <c r="AG100" s="424"/>
      <c r="AH100" s="424"/>
      <c r="AI100" s="424"/>
      <c r="AJ100" s="424"/>
      <c r="AK100" s="424"/>
      <c r="AL100" s="424"/>
      <c r="AM100" s="425"/>
      <c r="AN100" s="425"/>
      <c r="AO100" s="425"/>
      <c r="AP100" s="425"/>
      <c r="AQ100" s="425"/>
      <c r="AR100" s="425"/>
      <c r="AS100" s="425"/>
      <c r="AT100" s="425"/>
      <c r="AU100" s="425"/>
      <c r="AV100" s="425"/>
      <c r="AW100" s="425"/>
      <c r="AX100" s="425"/>
      <c r="AY100" s="425"/>
      <c r="AZ100" s="425"/>
      <c r="BA100" s="425"/>
      <c r="BB100" s="425"/>
      <c r="BC100" s="425"/>
      <c r="BD100" s="425"/>
      <c r="BE100" s="425"/>
      <c r="BF100" s="425"/>
      <c r="BG100" s="463"/>
      <c r="BH100" s="463"/>
      <c r="BI100" s="463"/>
      <c r="BJ100" s="463"/>
      <c r="BK100" s="463"/>
      <c r="BL100" s="463"/>
      <c r="BM100" s="463"/>
      <c r="BN100" s="463"/>
    </row>
    <row r="101" spans="1:66" ht="15.75" customHeight="1" x14ac:dyDescent="0.2">
      <c r="A101" s="424"/>
      <c r="B101" s="424"/>
      <c r="C101" s="424"/>
      <c r="D101" s="424"/>
      <c r="E101" s="424"/>
      <c r="F101" s="425"/>
      <c r="G101" s="425"/>
      <c r="H101" s="424"/>
      <c r="I101" s="424"/>
      <c r="J101" s="425"/>
      <c r="K101" s="425"/>
      <c r="L101" s="425"/>
      <c r="M101" s="425"/>
      <c r="N101" s="425"/>
      <c r="O101" s="424"/>
      <c r="P101" s="426"/>
      <c r="Q101" s="426"/>
      <c r="R101" s="426"/>
      <c r="S101" s="426"/>
      <c r="T101" s="326"/>
      <c r="U101" s="326"/>
      <c r="V101" s="426"/>
      <c r="W101" s="426"/>
      <c r="X101" s="426"/>
      <c r="Y101" s="426"/>
      <c r="Z101" s="426"/>
      <c r="AA101" s="426"/>
      <c r="AB101" s="426"/>
      <c r="AC101" s="426"/>
      <c r="AD101" s="426"/>
      <c r="AE101" s="326"/>
      <c r="AF101" s="326"/>
      <c r="AG101" s="424"/>
      <c r="AH101" s="424"/>
      <c r="AI101" s="424"/>
      <c r="AJ101" s="424"/>
      <c r="AK101" s="424"/>
      <c r="AL101" s="424"/>
      <c r="AM101" s="425"/>
      <c r="AN101" s="425"/>
      <c r="AO101" s="425"/>
      <c r="AP101" s="425"/>
      <c r="AQ101" s="425"/>
      <c r="AR101" s="425"/>
      <c r="AS101" s="425"/>
      <c r="AT101" s="425"/>
      <c r="AU101" s="425"/>
      <c r="AV101" s="425"/>
      <c r="AW101" s="425"/>
      <c r="AX101" s="425"/>
      <c r="AY101" s="425"/>
      <c r="AZ101" s="425"/>
      <c r="BA101" s="425"/>
      <c r="BB101" s="425"/>
      <c r="BC101" s="425"/>
      <c r="BD101" s="425"/>
      <c r="BE101" s="425"/>
      <c r="BF101" s="425"/>
      <c r="BG101" s="463"/>
      <c r="BH101" s="463"/>
      <c r="BI101" s="463"/>
      <c r="BJ101" s="463"/>
      <c r="BK101" s="463"/>
      <c r="BL101" s="463"/>
      <c r="BM101" s="463"/>
      <c r="BN101" s="463"/>
    </row>
    <row r="102" spans="1:66" ht="15.75" customHeight="1" x14ac:dyDescent="0.2">
      <c r="A102" s="424"/>
      <c r="B102" s="424"/>
      <c r="C102" s="424"/>
      <c r="D102" s="424"/>
      <c r="E102" s="424"/>
      <c r="F102" s="425"/>
      <c r="G102" s="425"/>
      <c r="H102" s="424"/>
      <c r="I102" s="424"/>
      <c r="J102" s="425"/>
      <c r="K102" s="425"/>
      <c r="L102" s="425"/>
      <c r="M102" s="425"/>
      <c r="N102" s="425"/>
      <c r="O102" s="424"/>
      <c r="P102" s="426"/>
      <c r="Q102" s="426"/>
      <c r="R102" s="426"/>
      <c r="S102" s="426"/>
      <c r="T102" s="326"/>
      <c r="U102" s="326"/>
      <c r="V102" s="426"/>
      <c r="W102" s="426"/>
      <c r="X102" s="426"/>
      <c r="Y102" s="426"/>
      <c r="Z102" s="426"/>
      <c r="AA102" s="426"/>
      <c r="AB102" s="426"/>
      <c r="AC102" s="426"/>
      <c r="AD102" s="426"/>
      <c r="AE102" s="326"/>
      <c r="AF102" s="326"/>
      <c r="AG102" s="424"/>
      <c r="AH102" s="424"/>
      <c r="AI102" s="424"/>
      <c r="AJ102" s="424"/>
      <c r="AK102" s="424"/>
      <c r="AL102" s="424"/>
      <c r="AM102" s="425"/>
      <c r="AN102" s="425"/>
      <c r="AO102" s="425"/>
      <c r="AP102" s="425"/>
      <c r="AQ102" s="425"/>
      <c r="AR102" s="425"/>
      <c r="AS102" s="425"/>
      <c r="AT102" s="425"/>
      <c r="AU102" s="425"/>
      <c r="AV102" s="425"/>
      <c r="AW102" s="425"/>
      <c r="AX102" s="425"/>
      <c r="AY102" s="425"/>
      <c r="AZ102" s="425"/>
      <c r="BA102" s="425"/>
      <c r="BB102" s="425"/>
      <c r="BC102" s="425"/>
      <c r="BD102" s="425"/>
      <c r="BE102" s="425"/>
      <c r="BF102" s="425"/>
      <c r="BG102" s="463"/>
      <c r="BH102" s="463"/>
      <c r="BI102" s="463"/>
      <c r="BJ102" s="463"/>
      <c r="BK102" s="463"/>
      <c r="BL102" s="463"/>
      <c r="BM102" s="463"/>
      <c r="BN102" s="463"/>
    </row>
    <row r="103" spans="1:66" ht="15.75" customHeight="1" x14ac:dyDescent="0.2">
      <c r="A103" s="424"/>
      <c r="B103" s="424"/>
      <c r="C103" s="424"/>
      <c r="D103" s="424"/>
      <c r="E103" s="424"/>
      <c r="F103" s="425"/>
      <c r="G103" s="425"/>
      <c r="H103" s="424"/>
      <c r="I103" s="424"/>
      <c r="J103" s="425"/>
      <c r="K103" s="425"/>
      <c r="L103" s="425"/>
      <c r="M103" s="425"/>
      <c r="N103" s="425"/>
      <c r="O103" s="424"/>
      <c r="P103" s="426"/>
      <c r="Q103" s="426"/>
      <c r="R103" s="426"/>
      <c r="S103" s="426"/>
      <c r="T103" s="326"/>
      <c r="U103" s="326"/>
      <c r="V103" s="426"/>
      <c r="W103" s="426"/>
      <c r="X103" s="426"/>
      <c r="Y103" s="426"/>
      <c r="Z103" s="426"/>
      <c r="AA103" s="426"/>
      <c r="AB103" s="426"/>
      <c r="AC103" s="426"/>
      <c r="AD103" s="426"/>
      <c r="AE103" s="326"/>
      <c r="AF103" s="326"/>
      <c r="AG103" s="424"/>
      <c r="AH103" s="424"/>
      <c r="AI103" s="424"/>
      <c r="AJ103" s="424"/>
      <c r="AK103" s="424"/>
      <c r="AL103" s="424"/>
      <c r="AM103" s="425"/>
      <c r="AN103" s="425"/>
      <c r="AO103" s="425"/>
      <c r="AP103" s="425"/>
      <c r="AQ103" s="425"/>
      <c r="AR103" s="425"/>
      <c r="AS103" s="425"/>
      <c r="AT103" s="425"/>
      <c r="AU103" s="425"/>
      <c r="AV103" s="425"/>
      <c r="AW103" s="425"/>
      <c r="AX103" s="425"/>
      <c r="AY103" s="425"/>
      <c r="AZ103" s="425"/>
      <c r="BA103" s="425"/>
      <c r="BB103" s="425"/>
      <c r="BC103" s="425"/>
      <c r="BD103" s="425"/>
      <c r="BE103" s="425"/>
      <c r="BF103" s="425"/>
      <c r="BG103" s="463"/>
      <c r="BH103" s="463"/>
      <c r="BI103" s="463"/>
      <c r="BJ103" s="463"/>
      <c r="BK103" s="463"/>
      <c r="BL103" s="463"/>
      <c r="BM103" s="463"/>
      <c r="BN103" s="463"/>
    </row>
    <row r="104" spans="1:66" ht="15.75" customHeight="1" x14ac:dyDescent="0.2">
      <c r="A104" s="424"/>
      <c r="B104" s="424"/>
      <c r="C104" s="424"/>
      <c r="D104" s="424"/>
      <c r="E104" s="424"/>
      <c r="F104" s="425"/>
      <c r="G104" s="425"/>
      <c r="H104" s="424"/>
      <c r="I104" s="424"/>
      <c r="J104" s="425"/>
      <c r="K104" s="425"/>
      <c r="L104" s="425"/>
      <c r="M104" s="425"/>
      <c r="N104" s="425"/>
      <c r="O104" s="424"/>
      <c r="P104" s="426"/>
      <c r="Q104" s="426"/>
      <c r="R104" s="426"/>
      <c r="S104" s="426"/>
      <c r="T104" s="326"/>
      <c r="U104" s="326"/>
      <c r="V104" s="426"/>
      <c r="W104" s="426"/>
      <c r="X104" s="426"/>
      <c r="Y104" s="426"/>
      <c r="Z104" s="426"/>
      <c r="AA104" s="426"/>
      <c r="AB104" s="426"/>
      <c r="AC104" s="426"/>
      <c r="AD104" s="426"/>
      <c r="AE104" s="326"/>
      <c r="AF104" s="326"/>
      <c r="AG104" s="424"/>
      <c r="AH104" s="424"/>
      <c r="AI104" s="424"/>
      <c r="AJ104" s="424"/>
      <c r="AK104" s="424"/>
      <c r="AL104" s="424"/>
      <c r="AM104" s="425"/>
      <c r="AN104" s="425"/>
      <c r="AO104" s="425"/>
      <c r="AP104" s="425"/>
      <c r="AQ104" s="425"/>
      <c r="AR104" s="425"/>
      <c r="AS104" s="425"/>
      <c r="AT104" s="425"/>
      <c r="AU104" s="425"/>
      <c r="AV104" s="425"/>
      <c r="AW104" s="425"/>
      <c r="AX104" s="425"/>
      <c r="AY104" s="425"/>
      <c r="AZ104" s="425"/>
      <c r="BA104" s="425"/>
      <c r="BB104" s="425"/>
      <c r="BC104" s="425"/>
      <c r="BD104" s="425"/>
      <c r="BE104" s="425"/>
      <c r="BF104" s="425"/>
      <c r="BG104" s="463"/>
      <c r="BH104" s="463"/>
      <c r="BI104" s="463"/>
      <c r="BJ104" s="463"/>
      <c r="BK104" s="463"/>
      <c r="BL104" s="463"/>
      <c r="BM104" s="463"/>
      <c r="BN104" s="463"/>
    </row>
    <row r="105" spans="1:66" ht="15.75" customHeight="1" x14ac:dyDescent="0.2">
      <c r="A105" s="424"/>
      <c r="B105" s="424"/>
      <c r="C105" s="424"/>
      <c r="D105" s="424"/>
      <c r="E105" s="424"/>
      <c r="F105" s="425"/>
      <c r="G105" s="425"/>
      <c r="H105" s="424"/>
      <c r="I105" s="424"/>
      <c r="J105" s="425"/>
      <c r="K105" s="425"/>
      <c r="L105" s="425"/>
      <c r="M105" s="425"/>
      <c r="N105" s="425"/>
      <c r="O105" s="424"/>
      <c r="P105" s="426"/>
      <c r="Q105" s="426"/>
      <c r="R105" s="426"/>
      <c r="S105" s="426"/>
      <c r="T105" s="326"/>
      <c r="U105" s="326"/>
      <c r="V105" s="426"/>
      <c r="W105" s="426"/>
      <c r="X105" s="426"/>
      <c r="Y105" s="426"/>
      <c r="Z105" s="426"/>
      <c r="AA105" s="426"/>
      <c r="AB105" s="426"/>
      <c r="AC105" s="426"/>
      <c r="AD105" s="426"/>
      <c r="AE105" s="326"/>
      <c r="AF105" s="326"/>
      <c r="AG105" s="424"/>
      <c r="AH105" s="424"/>
      <c r="AI105" s="424"/>
      <c r="AJ105" s="424"/>
      <c r="AK105" s="424"/>
      <c r="AL105" s="424"/>
      <c r="AM105" s="425"/>
      <c r="AN105" s="425"/>
      <c r="AO105" s="425"/>
      <c r="AP105" s="425"/>
      <c r="AQ105" s="425"/>
      <c r="AR105" s="425"/>
      <c r="AS105" s="425"/>
      <c r="AT105" s="425"/>
      <c r="AU105" s="425"/>
      <c r="AV105" s="425"/>
      <c r="AW105" s="425"/>
      <c r="AX105" s="425"/>
      <c r="AY105" s="425"/>
      <c r="AZ105" s="425"/>
      <c r="BA105" s="425"/>
      <c r="BB105" s="425"/>
      <c r="BC105" s="425"/>
      <c r="BD105" s="425"/>
      <c r="BE105" s="425"/>
      <c r="BF105" s="425"/>
      <c r="BG105" s="463"/>
      <c r="BH105" s="463"/>
      <c r="BI105" s="463"/>
      <c r="BJ105" s="463"/>
      <c r="BK105" s="463"/>
      <c r="BL105" s="463"/>
      <c r="BM105" s="463"/>
      <c r="BN105" s="463"/>
    </row>
    <row r="106" spans="1:66" ht="15.75" customHeight="1" x14ac:dyDescent="0.2">
      <c r="A106" s="424"/>
      <c r="B106" s="424"/>
      <c r="C106" s="424"/>
      <c r="D106" s="424"/>
      <c r="E106" s="424"/>
      <c r="F106" s="425"/>
      <c r="G106" s="425"/>
      <c r="H106" s="424"/>
      <c r="I106" s="424"/>
      <c r="J106" s="425"/>
      <c r="K106" s="425"/>
      <c r="L106" s="425"/>
      <c r="M106" s="425"/>
      <c r="N106" s="425"/>
      <c r="O106" s="424"/>
      <c r="P106" s="426"/>
      <c r="Q106" s="426"/>
      <c r="R106" s="426"/>
      <c r="S106" s="426"/>
      <c r="T106" s="326"/>
      <c r="U106" s="326"/>
      <c r="V106" s="426"/>
      <c r="W106" s="426"/>
      <c r="X106" s="426"/>
      <c r="Y106" s="426"/>
      <c r="Z106" s="426"/>
      <c r="AA106" s="426"/>
      <c r="AB106" s="426"/>
      <c r="AC106" s="426"/>
      <c r="AD106" s="426"/>
      <c r="AE106" s="326"/>
      <c r="AF106" s="326"/>
      <c r="AG106" s="424"/>
      <c r="AH106" s="424"/>
      <c r="AI106" s="424"/>
      <c r="AJ106" s="424"/>
      <c r="AK106" s="424"/>
      <c r="AL106" s="424"/>
      <c r="AM106" s="425"/>
      <c r="AN106" s="425"/>
      <c r="AO106" s="425"/>
      <c r="AP106" s="425"/>
      <c r="AQ106" s="425"/>
      <c r="AR106" s="425"/>
      <c r="AS106" s="425"/>
      <c r="AT106" s="425"/>
      <c r="AU106" s="425"/>
      <c r="AV106" s="425"/>
      <c r="AW106" s="425"/>
      <c r="AX106" s="425"/>
      <c r="AY106" s="425"/>
      <c r="AZ106" s="425"/>
      <c r="BA106" s="425"/>
      <c r="BB106" s="425"/>
      <c r="BC106" s="425"/>
      <c r="BD106" s="425"/>
      <c r="BE106" s="425"/>
      <c r="BF106" s="425"/>
      <c r="BG106" s="463"/>
      <c r="BH106" s="463"/>
      <c r="BI106" s="463"/>
      <c r="BJ106" s="463"/>
      <c r="BK106" s="463"/>
      <c r="BL106" s="463"/>
      <c r="BM106" s="463"/>
      <c r="BN106" s="463"/>
    </row>
    <row r="107" spans="1:66" ht="15.75" customHeight="1" x14ac:dyDescent="0.2">
      <c r="A107" s="424"/>
      <c r="B107" s="424"/>
      <c r="C107" s="424"/>
      <c r="D107" s="424"/>
      <c r="E107" s="424"/>
      <c r="F107" s="425"/>
      <c r="G107" s="425"/>
      <c r="H107" s="424"/>
      <c r="I107" s="424"/>
      <c r="J107" s="425"/>
      <c r="K107" s="425"/>
      <c r="L107" s="425"/>
      <c r="M107" s="425"/>
      <c r="N107" s="425"/>
      <c r="O107" s="424"/>
      <c r="P107" s="426"/>
      <c r="Q107" s="426"/>
      <c r="R107" s="426"/>
      <c r="S107" s="426"/>
      <c r="T107" s="326"/>
      <c r="U107" s="326"/>
      <c r="V107" s="426"/>
      <c r="W107" s="426"/>
      <c r="X107" s="426"/>
      <c r="Y107" s="426"/>
      <c r="Z107" s="426"/>
      <c r="AA107" s="426"/>
      <c r="AB107" s="426"/>
      <c r="AC107" s="426"/>
      <c r="AD107" s="426"/>
      <c r="AE107" s="326"/>
      <c r="AF107" s="326"/>
      <c r="AG107" s="424"/>
      <c r="AH107" s="424"/>
      <c r="AI107" s="424"/>
      <c r="AJ107" s="424"/>
      <c r="AK107" s="424"/>
      <c r="AL107" s="424"/>
      <c r="AM107" s="425"/>
      <c r="AN107" s="425"/>
      <c r="AO107" s="425"/>
      <c r="AP107" s="425"/>
      <c r="AQ107" s="425"/>
      <c r="AR107" s="425"/>
      <c r="AS107" s="425"/>
      <c r="AT107" s="425"/>
      <c r="AU107" s="425"/>
      <c r="AV107" s="425"/>
      <c r="AW107" s="425"/>
      <c r="AX107" s="425"/>
      <c r="AY107" s="425"/>
      <c r="AZ107" s="425"/>
      <c r="BA107" s="425"/>
      <c r="BB107" s="425"/>
      <c r="BC107" s="425"/>
      <c r="BD107" s="425"/>
      <c r="BE107" s="425"/>
      <c r="BF107" s="425"/>
      <c r="BG107" s="463"/>
      <c r="BH107" s="463"/>
      <c r="BI107" s="463"/>
      <c r="BJ107" s="463"/>
      <c r="BK107" s="463"/>
      <c r="BL107" s="463"/>
      <c r="BM107" s="463"/>
      <c r="BN107" s="463"/>
    </row>
    <row r="108" spans="1:66" ht="15.75" customHeight="1" x14ac:dyDescent="0.2">
      <c r="A108" s="424"/>
      <c r="B108" s="424"/>
      <c r="C108" s="424"/>
      <c r="D108" s="424"/>
      <c r="E108" s="424"/>
      <c r="F108" s="425"/>
      <c r="G108" s="425"/>
      <c r="H108" s="424"/>
      <c r="I108" s="424"/>
      <c r="J108" s="425"/>
      <c r="K108" s="425"/>
      <c r="L108" s="425"/>
      <c r="M108" s="425"/>
      <c r="N108" s="425"/>
      <c r="O108" s="424"/>
      <c r="P108" s="426"/>
      <c r="Q108" s="426"/>
      <c r="R108" s="426"/>
      <c r="S108" s="426"/>
      <c r="T108" s="326"/>
      <c r="U108" s="326"/>
      <c r="V108" s="426"/>
      <c r="W108" s="426"/>
      <c r="X108" s="426"/>
      <c r="Y108" s="426"/>
      <c r="Z108" s="426"/>
      <c r="AA108" s="426"/>
      <c r="AB108" s="426"/>
      <c r="AC108" s="426"/>
      <c r="AD108" s="426"/>
      <c r="AE108" s="326"/>
      <c r="AF108" s="326"/>
      <c r="AG108" s="424"/>
      <c r="AH108" s="424"/>
      <c r="AI108" s="424"/>
      <c r="AJ108" s="424"/>
      <c r="AK108" s="424"/>
      <c r="AL108" s="424"/>
      <c r="AM108" s="425"/>
      <c r="AN108" s="425"/>
      <c r="AO108" s="425"/>
      <c r="AP108" s="425"/>
      <c r="AQ108" s="425"/>
      <c r="AR108" s="425"/>
      <c r="AS108" s="425"/>
      <c r="AT108" s="425"/>
      <c r="AU108" s="425"/>
      <c r="AV108" s="425"/>
      <c r="AW108" s="425"/>
      <c r="AX108" s="425"/>
      <c r="AY108" s="425"/>
      <c r="AZ108" s="425"/>
      <c r="BA108" s="425"/>
      <c r="BB108" s="425"/>
      <c r="BC108" s="425"/>
      <c r="BD108" s="425"/>
      <c r="BE108" s="425"/>
      <c r="BF108" s="425"/>
      <c r="BG108" s="463"/>
      <c r="BH108" s="463"/>
      <c r="BI108" s="463"/>
      <c r="BJ108" s="463"/>
      <c r="BK108" s="463"/>
      <c r="BL108" s="463"/>
      <c r="BM108" s="463"/>
      <c r="BN108" s="463"/>
    </row>
    <row r="109" spans="1:66" ht="15.75" customHeight="1" x14ac:dyDescent="0.2">
      <c r="A109" s="424"/>
      <c r="B109" s="424"/>
      <c r="C109" s="424"/>
      <c r="D109" s="424"/>
      <c r="E109" s="424"/>
      <c r="F109" s="425"/>
      <c r="G109" s="425"/>
      <c r="H109" s="424"/>
      <c r="I109" s="424"/>
      <c r="J109" s="425"/>
      <c r="K109" s="425"/>
      <c r="L109" s="425"/>
      <c r="M109" s="425"/>
      <c r="N109" s="425"/>
      <c r="O109" s="424"/>
      <c r="P109" s="426"/>
      <c r="Q109" s="426"/>
      <c r="R109" s="426"/>
      <c r="S109" s="426"/>
      <c r="T109" s="326"/>
      <c r="U109" s="326"/>
      <c r="V109" s="426"/>
      <c r="W109" s="426"/>
      <c r="X109" s="426"/>
      <c r="Y109" s="426"/>
      <c r="Z109" s="426"/>
      <c r="AA109" s="426"/>
      <c r="AB109" s="426"/>
      <c r="AC109" s="426"/>
      <c r="AD109" s="426"/>
      <c r="AE109" s="326"/>
      <c r="AF109" s="326"/>
      <c r="AG109" s="424"/>
      <c r="AH109" s="424"/>
      <c r="AI109" s="424"/>
      <c r="AJ109" s="424"/>
      <c r="AK109" s="424"/>
      <c r="AL109" s="424"/>
      <c r="AM109" s="425"/>
      <c r="AN109" s="425"/>
      <c r="AO109" s="425"/>
      <c r="AP109" s="425"/>
      <c r="AQ109" s="425"/>
      <c r="AR109" s="425"/>
      <c r="AS109" s="425"/>
      <c r="AT109" s="425"/>
      <c r="AU109" s="425"/>
      <c r="AV109" s="425"/>
      <c r="AW109" s="425"/>
      <c r="AX109" s="425"/>
      <c r="AY109" s="425"/>
      <c r="AZ109" s="425"/>
      <c r="BA109" s="425"/>
      <c r="BB109" s="425"/>
      <c r="BC109" s="425"/>
      <c r="BD109" s="425"/>
      <c r="BE109" s="425"/>
      <c r="BF109" s="425"/>
      <c r="BG109" s="463"/>
      <c r="BH109" s="463"/>
      <c r="BI109" s="463"/>
      <c r="BJ109" s="463"/>
      <c r="BK109" s="463"/>
      <c r="BL109" s="463"/>
      <c r="BM109" s="463"/>
      <c r="BN109" s="463"/>
    </row>
    <row r="110" spans="1:66" ht="15.75" customHeight="1" x14ac:dyDescent="0.2">
      <c r="A110" s="424"/>
      <c r="B110" s="424"/>
      <c r="C110" s="424"/>
      <c r="D110" s="424"/>
      <c r="E110" s="424"/>
      <c r="F110" s="425"/>
      <c r="G110" s="425"/>
      <c r="H110" s="424"/>
      <c r="I110" s="424"/>
      <c r="J110" s="425"/>
      <c r="K110" s="425"/>
      <c r="L110" s="425"/>
      <c r="M110" s="425"/>
      <c r="N110" s="425"/>
      <c r="O110" s="424"/>
      <c r="P110" s="426"/>
      <c r="Q110" s="426"/>
      <c r="R110" s="426"/>
      <c r="S110" s="426"/>
      <c r="T110" s="326"/>
      <c r="U110" s="326"/>
      <c r="V110" s="426"/>
      <c r="W110" s="426"/>
      <c r="X110" s="426"/>
      <c r="Y110" s="426"/>
      <c r="Z110" s="426"/>
      <c r="AA110" s="426"/>
      <c r="AB110" s="426"/>
      <c r="AC110" s="426"/>
      <c r="AD110" s="426"/>
      <c r="AE110" s="326"/>
      <c r="AF110" s="326"/>
      <c r="AG110" s="424"/>
      <c r="AH110" s="424"/>
      <c r="AI110" s="424"/>
      <c r="AJ110" s="424"/>
      <c r="AK110" s="424"/>
      <c r="AL110" s="424"/>
      <c r="AM110" s="425"/>
      <c r="AN110" s="425"/>
      <c r="AO110" s="425"/>
      <c r="AP110" s="425"/>
      <c r="AQ110" s="425"/>
      <c r="AR110" s="425"/>
      <c r="AS110" s="425"/>
      <c r="AT110" s="425"/>
      <c r="AU110" s="425"/>
      <c r="AV110" s="425"/>
      <c r="AW110" s="425"/>
      <c r="AX110" s="425"/>
      <c r="AY110" s="425"/>
      <c r="AZ110" s="425"/>
      <c r="BA110" s="425"/>
      <c r="BB110" s="425"/>
      <c r="BC110" s="425"/>
      <c r="BD110" s="425"/>
      <c r="BE110" s="425"/>
      <c r="BF110" s="425"/>
      <c r="BG110" s="463"/>
      <c r="BH110" s="463"/>
      <c r="BI110" s="463"/>
      <c r="BJ110" s="463"/>
      <c r="BK110" s="463"/>
      <c r="BL110" s="463"/>
      <c r="BM110" s="463"/>
      <c r="BN110" s="463"/>
    </row>
    <row r="111" spans="1:66" ht="15.75" customHeight="1" x14ac:dyDescent="0.2">
      <c r="A111" s="424"/>
      <c r="B111" s="424"/>
      <c r="C111" s="424"/>
      <c r="D111" s="424"/>
      <c r="E111" s="424"/>
      <c r="F111" s="425"/>
      <c r="G111" s="425"/>
      <c r="H111" s="424"/>
      <c r="I111" s="424"/>
      <c r="J111" s="425"/>
      <c r="K111" s="425"/>
      <c r="L111" s="425"/>
      <c r="M111" s="425"/>
      <c r="N111" s="425"/>
      <c r="O111" s="424"/>
      <c r="P111" s="426"/>
      <c r="Q111" s="426"/>
      <c r="R111" s="426"/>
      <c r="S111" s="426"/>
      <c r="T111" s="326"/>
      <c r="U111" s="326"/>
      <c r="V111" s="426"/>
      <c r="W111" s="426"/>
      <c r="X111" s="426"/>
      <c r="Y111" s="426"/>
      <c r="Z111" s="426"/>
      <c r="AA111" s="426"/>
      <c r="AB111" s="426"/>
      <c r="AC111" s="426"/>
      <c r="AD111" s="426"/>
      <c r="AE111" s="326"/>
      <c r="AF111" s="326"/>
      <c r="AG111" s="424"/>
      <c r="AH111" s="424"/>
      <c r="AI111" s="424"/>
      <c r="AJ111" s="424"/>
      <c r="AK111" s="424"/>
      <c r="AL111" s="424"/>
      <c r="AM111" s="425"/>
      <c r="AN111" s="425"/>
      <c r="AO111" s="425"/>
      <c r="AP111" s="425"/>
      <c r="AQ111" s="425"/>
      <c r="AR111" s="425"/>
      <c r="AS111" s="425"/>
      <c r="AT111" s="425"/>
      <c r="AU111" s="425"/>
      <c r="AV111" s="425"/>
      <c r="AW111" s="425"/>
      <c r="AX111" s="425"/>
      <c r="AY111" s="425"/>
      <c r="AZ111" s="425"/>
      <c r="BA111" s="425"/>
      <c r="BB111" s="425"/>
      <c r="BC111" s="425"/>
      <c r="BD111" s="425"/>
      <c r="BE111" s="425"/>
      <c r="BF111" s="425"/>
      <c r="BG111" s="463"/>
      <c r="BH111" s="463"/>
      <c r="BI111" s="463"/>
      <c r="BJ111" s="463"/>
      <c r="BK111" s="463"/>
      <c r="BL111" s="463"/>
      <c r="BM111" s="463"/>
      <c r="BN111" s="463"/>
    </row>
    <row r="112" spans="1:66" ht="15.75" customHeight="1" x14ac:dyDescent="0.2">
      <c r="A112" s="424"/>
      <c r="B112" s="424"/>
      <c r="C112" s="424"/>
      <c r="D112" s="424"/>
      <c r="E112" s="424"/>
      <c r="F112" s="425"/>
      <c r="G112" s="425"/>
      <c r="H112" s="424"/>
      <c r="I112" s="424"/>
      <c r="J112" s="425"/>
      <c r="K112" s="425"/>
      <c r="L112" s="425"/>
      <c r="M112" s="425"/>
      <c r="N112" s="425"/>
      <c r="O112" s="424"/>
      <c r="P112" s="426"/>
      <c r="Q112" s="426"/>
      <c r="R112" s="426"/>
      <c r="S112" s="426"/>
      <c r="T112" s="326"/>
      <c r="U112" s="326"/>
      <c r="V112" s="426"/>
      <c r="W112" s="426"/>
      <c r="X112" s="426"/>
      <c r="Y112" s="426"/>
      <c r="Z112" s="426"/>
      <c r="AA112" s="426"/>
      <c r="AB112" s="426"/>
      <c r="AC112" s="426"/>
      <c r="AD112" s="426"/>
      <c r="AE112" s="326"/>
      <c r="AF112" s="326"/>
      <c r="AG112" s="424"/>
      <c r="AH112" s="424"/>
      <c r="AI112" s="424"/>
      <c r="AJ112" s="424"/>
      <c r="AK112" s="424"/>
      <c r="AL112" s="424"/>
      <c r="AM112" s="425"/>
      <c r="AN112" s="425"/>
      <c r="AO112" s="425"/>
      <c r="AP112" s="425"/>
      <c r="AQ112" s="425"/>
      <c r="AR112" s="425"/>
      <c r="AS112" s="425"/>
      <c r="AT112" s="425"/>
      <c r="AU112" s="425"/>
      <c r="AV112" s="425"/>
      <c r="AW112" s="425"/>
      <c r="AX112" s="425"/>
      <c r="AY112" s="425"/>
      <c r="AZ112" s="425"/>
      <c r="BA112" s="425"/>
      <c r="BB112" s="425"/>
      <c r="BC112" s="425"/>
      <c r="BD112" s="425"/>
      <c r="BE112" s="425"/>
      <c r="BF112" s="425"/>
      <c r="BG112" s="463"/>
      <c r="BH112" s="463"/>
      <c r="BI112" s="463"/>
      <c r="BJ112" s="463"/>
      <c r="BK112" s="463"/>
      <c r="BL112" s="463"/>
      <c r="BM112" s="463"/>
      <c r="BN112" s="463"/>
    </row>
    <row r="113" spans="1:66" ht="15.75" customHeight="1" x14ac:dyDescent="0.2">
      <c r="A113" s="424"/>
      <c r="B113" s="424"/>
      <c r="C113" s="424"/>
      <c r="D113" s="424"/>
      <c r="E113" s="424"/>
      <c r="F113" s="425"/>
      <c r="G113" s="425"/>
      <c r="H113" s="424"/>
      <c r="I113" s="424"/>
      <c r="J113" s="425"/>
      <c r="K113" s="425"/>
      <c r="L113" s="425"/>
      <c r="M113" s="425"/>
      <c r="N113" s="425"/>
      <c r="O113" s="424"/>
      <c r="P113" s="426"/>
      <c r="Q113" s="426"/>
      <c r="R113" s="426"/>
      <c r="S113" s="426"/>
      <c r="T113" s="326"/>
      <c r="U113" s="326"/>
      <c r="V113" s="426"/>
      <c r="W113" s="426"/>
      <c r="X113" s="426"/>
      <c r="Y113" s="426"/>
      <c r="Z113" s="426"/>
      <c r="AA113" s="426"/>
      <c r="AB113" s="426"/>
      <c r="AC113" s="426"/>
      <c r="AD113" s="426"/>
      <c r="AE113" s="326"/>
      <c r="AF113" s="326"/>
      <c r="AG113" s="424"/>
      <c r="AH113" s="424"/>
      <c r="AI113" s="424"/>
      <c r="AJ113" s="424"/>
      <c r="AK113" s="424"/>
      <c r="AL113" s="424"/>
      <c r="AM113" s="425"/>
      <c r="AN113" s="425"/>
      <c r="AO113" s="425"/>
      <c r="AP113" s="425"/>
      <c r="AQ113" s="425"/>
      <c r="AR113" s="425"/>
      <c r="AS113" s="425"/>
      <c r="AT113" s="425"/>
      <c r="AU113" s="425"/>
      <c r="AV113" s="425"/>
      <c r="AW113" s="425"/>
      <c r="AX113" s="425"/>
      <c r="AY113" s="425"/>
      <c r="AZ113" s="425"/>
      <c r="BA113" s="425"/>
      <c r="BB113" s="425"/>
      <c r="BC113" s="425"/>
      <c r="BD113" s="425"/>
      <c r="BE113" s="425"/>
      <c r="BF113" s="425"/>
      <c r="BG113" s="463"/>
      <c r="BH113" s="463"/>
      <c r="BI113" s="463"/>
      <c r="BJ113" s="463"/>
      <c r="BK113" s="463"/>
      <c r="BL113" s="463"/>
      <c r="BM113" s="463"/>
      <c r="BN113" s="463"/>
    </row>
    <row r="114" spans="1:66" ht="15.75" customHeight="1" x14ac:dyDescent="0.2">
      <c r="A114" s="424"/>
      <c r="B114" s="424"/>
      <c r="C114" s="424"/>
      <c r="D114" s="424"/>
      <c r="E114" s="424"/>
      <c r="F114" s="425"/>
      <c r="G114" s="425"/>
      <c r="H114" s="424"/>
      <c r="I114" s="424"/>
      <c r="J114" s="425"/>
      <c r="K114" s="425"/>
      <c r="L114" s="425"/>
      <c r="M114" s="425"/>
      <c r="N114" s="425"/>
      <c r="O114" s="424"/>
      <c r="P114" s="426"/>
      <c r="Q114" s="426"/>
      <c r="R114" s="426"/>
      <c r="S114" s="426"/>
      <c r="T114" s="326"/>
      <c r="U114" s="326"/>
      <c r="V114" s="426"/>
      <c r="W114" s="426"/>
      <c r="X114" s="426"/>
      <c r="Y114" s="426"/>
      <c r="Z114" s="426"/>
      <c r="AA114" s="426"/>
      <c r="AB114" s="426"/>
      <c r="AC114" s="426"/>
      <c r="AD114" s="426"/>
      <c r="AE114" s="326"/>
      <c r="AF114" s="326"/>
      <c r="AG114" s="424"/>
      <c r="AH114" s="424"/>
      <c r="AI114" s="424"/>
      <c r="AJ114" s="424"/>
      <c r="AK114" s="424"/>
      <c r="AL114" s="424"/>
      <c r="AM114" s="425"/>
      <c r="AN114" s="425"/>
      <c r="AO114" s="425"/>
      <c r="AP114" s="425"/>
      <c r="AQ114" s="425"/>
      <c r="AR114" s="425"/>
      <c r="AS114" s="425"/>
      <c r="AT114" s="425"/>
      <c r="AU114" s="425"/>
      <c r="AV114" s="425"/>
      <c r="AW114" s="425"/>
      <c r="AX114" s="425"/>
      <c r="AY114" s="425"/>
      <c r="AZ114" s="425"/>
      <c r="BA114" s="425"/>
      <c r="BB114" s="425"/>
      <c r="BC114" s="425"/>
      <c r="BD114" s="425"/>
      <c r="BE114" s="425"/>
      <c r="BF114" s="425"/>
      <c r="BG114" s="463"/>
      <c r="BH114" s="463"/>
      <c r="BI114" s="463"/>
      <c r="BJ114" s="463"/>
      <c r="BK114" s="463"/>
      <c r="BL114" s="463"/>
      <c r="BM114" s="463"/>
      <c r="BN114" s="463"/>
    </row>
    <row r="115" spans="1:66" ht="15.75" customHeight="1" x14ac:dyDescent="0.2">
      <c r="A115" s="424"/>
      <c r="B115" s="424"/>
      <c r="C115" s="424"/>
      <c r="D115" s="424"/>
      <c r="E115" s="424"/>
      <c r="F115" s="425"/>
      <c r="G115" s="425"/>
      <c r="H115" s="424"/>
      <c r="I115" s="424"/>
      <c r="J115" s="425"/>
      <c r="K115" s="425"/>
      <c r="L115" s="425"/>
      <c r="M115" s="425"/>
      <c r="N115" s="425"/>
      <c r="O115" s="424"/>
      <c r="P115" s="426"/>
      <c r="Q115" s="426"/>
      <c r="R115" s="426"/>
      <c r="S115" s="426"/>
      <c r="T115" s="326"/>
      <c r="U115" s="326"/>
      <c r="V115" s="426"/>
      <c r="W115" s="426"/>
      <c r="X115" s="426"/>
      <c r="Y115" s="426"/>
      <c r="Z115" s="426"/>
      <c r="AA115" s="426"/>
      <c r="AB115" s="426"/>
      <c r="AC115" s="426"/>
      <c r="AD115" s="426"/>
      <c r="AE115" s="326"/>
      <c r="AF115" s="326"/>
      <c r="AG115" s="424"/>
      <c r="AH115" s="424"/>
      <c r="AI115" s="424"/>
      <c r="AJ115" s="424"/>
      <c r="AK115" s="424"/>
      <c r="AL115" s="424"/>
      <c r="AM115" s="425"/>
      <c r="AN115" s="425"/>
      <c r="AO115" s="425"/>
      <c r="AP115" s="425"/>
      <c r="AQ115" s="425"/>
      <c r="AR115" s="425"/>
      <c r="AS115" s="425"/>
      <c r="AT115" s="425"/>
      <c r="AU115" s="425"/>
      <c r="AV115" s="425"/>
      <c r="AW115" s="425"/>
      <c r="AX115" s="425"/>
      <c r="AY115" s="425"/>
      <c r="AZ115" s="425"/>
      <c r="BA115" s="425"/>
      <c r="BB115" s="425"/>
      <c r="BC115" s="425"/>
      <c r="BD115" s="425"/>
      <c r="BE115" s="425"/>
      <c r="BF115" s="425"/>
      <c r="BG115" s="463"/>
      <c r="BH115" s="463"/>
      <c r="BI115" s="463"/>
      <c r="BJ115" s="463"/>
      <c r="BK115" s="463"/>
      <c r="BL115" s="463"/>
      <c r="BM115" s="463"/>
      <c r="BN115" s="463"/>
    </row>
    <row r="116" spans="1:66" ht="15.75" customHeight="1" x14ac:dyDescent="0.2">
      <c r="A116" s="424"/>
      <c r="B116" s="424"/>
      <c r="C116" s="424"/>
      <c r="D116" s="424"/>
      <c r="E116" s="424"/>
      <c r="F116" s="425"/>
      <c r="G116" s="425"/>
      <c r="H116" s="424"/>
      <c r="I116" s="424"/>
      <c r="J116" s="425"/>
      <c r="K116" s="425"/>
      <c r="L116" s="425"/>
      <c r="M116" s="425"/>
      <c r="N116" s="425"/>
      <c r="O116" s="424"/>
      <c r="P116" s="426"/>
      <c r="Q116" s="426"/>
      <c r="R116" s="426"/>
      <c r="S116" s="426"/>
      <c r="T116" s="326"/>
      <c r="U116" s="326"/>
      <c r="V116" s="426"/>
      <c r="W116" s="426"/>
      <c r="X116" s="426"/>
      <c r="Y116" s="426"/>
      <c r="Z116" s="426"/>
      <c r="AA116" s="426"/>
      <c r="AB116" s="426"/>
      <c r="AC116" s="426"/>
      <c r="AD116" s="426"/>
      <c r="AE116" s="326"/>
      <c r="AF116" s="326"/>
      <c r="AG116" s="424"/>
      <c r="AH116" s="424"/>
      <c r="AI116" s="424"/>
      <c r="AJ116" s="424"/>
      <c r="AK116" s="424"/>
      <c r="AL116" s="424"/>
      <c r="AM116" s="425"/>
      <c r="AN116" s="425"/>
      <c r="AO116" s="425"/>
      <c r="AP116" s="425"/>
      <c r="AQ116" s="425"/>
      <c r="AR116" s="425"/>
      <c r="AS116" s="425"/>
      <c r="AT116" s="425"/>
      <c r="AU116" s="425"/>
      <c r="AV116" s="425"/>
      <c r="AW116" s="425"/>
      <c r="AX116" s="425"/>
      <c r="AY116" s="425"/>
      <c r="AZ116" s="425"/>
      <c r="BA116" s="425"/>
      <c r="BB116" s="425"/>
      <c r="BC116" s="425"/>
      <c r="BD116" s="425"/>
      <c r="BE116" s="425"/>
      <c r="BF116" s="425"/>
      <c r="BG116" s="463"/>
      <c r="BH116" s="463"/>
      <c r="BI116" s="463"/>
      <c r="BJ116" s="463"/>
      <c r="BK116" s="463"/>
      <c r="BL116" s="463"/>
      <c r="BM116" s="463"/>
      <c r="BN116" s="463"/>
    </row>
    <row r="117" spans="1:66" ht="15.75" customHeight="1" x14ac:dyDescent="0.2">
      <c r="A117" s="424"/>
      <c r="B117" s="424"/>
      <c r="C117" s="424"/>
      <c r="D117" s="424"/>
      <c r="E117" s="424"/>
      <c r="F117" s="425"/>
      <c r="G117" s="425"/>
      <c r="H117" s="424"/>
      <c r="I117" s="424"/>
      <c r="J117" s="425"/>
      <c r="K117" s="425"/>
      <c r="L117" s="425"/>
      <c r="M117" s="425"/>
      <c r="N117" s="425"/>
      <c r="O117" s="424"/>
      <c r="P117" s="426"/>
      <c r="Q117" s="426"/>
      <c r="R117" s="426"/>
      <c r="S117" s="426"/>
      <c r="T117" s="326"/>
      <c r="U117" s="326"/>
      <c r="V117" s="426"/>
      <c r="W117" s="426"/>
      <c r="X117" s="426"/>
      <c r="Y117" s="426"/>
      <c r="Z117" s="426"/>
      <c r="AA117" s="426"/>
      <c r="AB117" s="426"/>
      <c r="AC117" s="426"/>
      <c r="AD117" s="426"/>
      <c r="AE117" s="326"/>
      <c r="AF117" s="326"/>
      <c r="AG117" s="424"/>
      <c r="AH117" s="424"/>
      <c r="AI117" s="424"/>
      <c r="AJ117" s="424"/>
      <c r="AK117" s="424"/>
      <c r="AL117" s="424"/>
      <c r="AM117" s="425"/>
      <c r="AN117" s="425"/>
      <c r="AO117" s="425"/>
      <c r="AP117" s="425"/>
      <c r="AQ117" s="425"/>
      <c r="AR117" s="425"/>
      <c r="AS117" s="425"/>
      <c r="AT117" s="425"/>
      <c r="AU117" s="425"/>
      <c r="AV117" s="425"/>
      <c r="AW117" s="425"/>
      <c r="AX117" s="425"/>
      <c r="AY117" s="425"/>
      <c r="AZ117" s="425"/>
      <c r="BA117" s="425"/>
      <c r="BB117" s="425"/>
      <c r="BC117" s="425"/>
      <c r="BD117" s="425"/>
      <c r="BE117" s="425"/>
      <c r="BF117" s="425"/>
      <c r="BG117" s="463"/>
      <c r="BH117" s="463"/>
      <c r="BI117" s="463"/>
      <c r="BJ117" s="463"/>
      <c r="BK117" s="463"/>
      <c r="BL117" s="463"/>
      <c r="BM117" s="463"/>
      <c r="BN117" s="463"/>
    </row>
    <row r="118" spans="1:66" ht="15.75" customHeight="1" x14ac:dyDescent="0.2">
      <c r="A118" s="424"/>
      <c r="B118" s="424"/>
      <c r="C118" s="424"/>
      <c r="D118" s="424"/>
      <c r="E118" s="424"/>
      <c r="F118" s="425"/>
      <c r="G118" s="425"/>
      <c r="H118" s="424"/>
      <c r="I118" s="424"/>
      <c r="J118" s="425"/>
      <c r="K118" s="425"/>
      <c r="L118" s="425"/>
      <c r="M118" s="425"/>
      <c r="N118" s="425"/>
      <c r="O118" s="424"/>
      <c r="P118" s="426"/>
      <c r="Q118" s="426"/>
      <c r="R118" s="426"/>
      <c r="S118" s="426"/>
      <c r="T118" s="326"/>
      <c r="U118" s="326"/>
      <c r="V118" s="426"/>
      <c r="W118" s="426"/>
      <c r="X118" s="426"/>
      <c r="Y118" s="426"/>
      <c r="Z118" s="426"/>
      <c r="AA118" s="426"/>
      <c r="AB118" s="426"/>
      <c r="AC118" s="426"/>
      <c r="AD118" s="426"/>
      <c r="AE118" s="326"/>
      <c r="AF118" s="326"/>
      <c r="AG118" s="424"/>
      <c r="AH118" s="424"/>
      <c r="AI118" s="424"/>
      <c r="AJ118" s="424"/>
      <c r="AK118" s="424"/>
      <c r="AL118" s="424"/>
      <c r="AM118" s="425"/>
      <c r="AN118" s="425"/>
      <c r="AO118" s="425"/>
      <c r="AP118" s="425"/>
      <c r="AQ118" s="425"/>
      <c r="AR118" s="425"/>
      <c r="AS118" s="425"/>
      <c r="AT118" s="425"/>
      <c r="AU118" s="425"/>
      <c r="AV118" s="425"/>
      <c r="AW118" s="425"/>
      <c r="AX118" s="425"/>
      <c r="AY118" s="425"/>
      <c r="AZ118" s="425"/>
      <c r="BA118" s="425"/>
      <c r="BB118" s="425"/>
      <c r="BC118" s="425"/>
      <c r="BD118" s="425"/>
      <c r="BE118" s="425"/>
      <c r="BF118" s="425"/>
      <c r="BG118" s="463"/>
      <c r="BH118" s="463"/>
      <c r="BI118" s="463"/>
      <c r="BJ118" s="463"/>
      <c r="BK118" s="463"/>
      <c r="BL118" s="463"/>
      <c r="BM118" s="463"/>
      <c r="BN118" s="463"/>
    </row>
    <row r="119" spans="1:66" ht="15.75" customHeight="1" x14ac:dyDescent="0.2">
      <c r="A119" s="424"/>
      <c r="B119" s="424"/>
      <c r="C119" s="424"/>
      <c r="D119" s="424"/>
      <c r="E119" s="424"/>
      <c r="F119" s="425"/>
      <c r="G119" s="425"/>
      <c r="H119" s="424"/>
      <c r="I119" s="424"/>
      <c r="J119" s="425"/>
      <c r="K119" s="425"/>
      <c r="L119" s="425"/>
      <c r="M119" s="425"/>
      <c r="N119" s="425"/>
      <c r="O119" s="424"/>
      <c r="P119" s="426"/>
      <c r="Q119" s="426"/>
      <c r="R119" s="426"/>
      <c r="S119" s="426"/>
      <c r="T119" s="326"/>
      <c r="U119" s="326"/>
      <c r="V119" s="426"/>
      <c r="W119" s="426"/>
      <c r="X119" s="426"/>
      <c r="Y119" s="426"/>
      <c r="Z119" s="426"/>
      <c r="AA119" s="426"/>
      <c r="AB119" s="426"/>
      <c r="AC119" s="426"/>
      <c r="AD119" s="426"/>
      <c r="AE119" s="326"/>
      <c r="AF119" s="326"/>
      <c r="AG119" s="424"/>
      <c r="AH119" s="424"/>
      <c r="AI119" s="424"/>
      <c r="AJ119" s="424"/>
      <c r="AK119" s="424"/>
      <c r="AL119" s="424"/>
      <c r="AM119" s="425"/>
      <c r="AN119" s="425"/>
      <c r="AO119" s="425"/>
      <c r="AP119" s="425"/>
      <c r="AQ119" s="425"/>
      <c r="AR119" s="425"/>
      <c r="AS119" s="425"/>
      <c r="AT119" s="425"/>
      <c r="AU119" s="425"/>
      <c r="AV119" s="425"/>
      <c r="AW119" s="425"/>
      <c r="AX119" s="425"/>
      <c r="AY119" s="425"/>
      <c r="AZ119" s="425"/>
      <c r="BA119" s="425"/>
      <c r="BB119" s="425"/>
      <c r="BC119" s="425"/>
      <c r="BD119" s="425"/>
      <c r="BE119" s="425"/>
      <c r="BF119" s="425"/>
      <c r="BG119" s="463"/>
      <c r="BH119" s="463"/>
      <c r="BI119" s="463"/>
      <c r="BJ119" s="463"/>
      <c r="BK119" s="463"/>
      <c r="BL119" s="463"/>
      <c r="BM119" s="463"/>
      <c r="BN119" s="463"/>
    </row>
    <row r="120" spans="1:66" ht="15.75" customHeight="1" x14ac:dyDescent="0.2">
      <c r="A120" s="424"/>
      <c r="B120" s="424"/>
      <c r="C120" s="424"/>
      <c r="D120" s="424"/>
      <c r="E120" s="424"/>
      <c r="F120" s="425"/>
      <c r="G120" s="425"/>
      <c r="H120" s="424"/>
      <c r="I120" s="424"/>
      <c r="J120" s="425"/>
      <c r="K120" s="425"/>
      <c r="L120" s="425"/>
      <c r="M120" s="425"/>
      <c r="N120" s="425"/>
      <c r="O120" s="424"/>
      <c r="P120" s="426"/>
      <c r="Q120" s="426"/>
      <c r="R120" s="426"/>
      <c r="S120" s="426"/>
      <c r="T120" s="326"/>
      <c r="U120" s="326"/>
      <c r="V120" s="426"/>
      <c r="W120" s="426"/>
      <c r="X120" s="426"/>
      <c r="Y120" s="426"/>
      <c r="Z120" s="426"/>
      <c r="AA120" s="426"/>
      <c r="AB120" s="426"/>
      <c r="AC120" s="426"/>
      <c r="AD120" s="426"/>
      <c r="AE120" s="326"/>
      <c r="AF120" s="326"/>
      <c r="AG120" s="424"/>
      <c r="AH120" s="424"/>
      <c r="AI120" s="424"/>
      <c r="AJ120" s="424"/>
      <c r="AK120" s="424"/>
      <c r="AL120" s="424"/>
      <c r="AM120" s="425"/>
      <c r="AN120" s="425"/>
      <c r="AO120" s="425"/>
      <c r="AP120" s="425"/>
      <c r="AQ120" s="425"/>
      <c r="AR120" s="425"/>
      <c r="AS120" s="425"/>
      <c r="AT120" s="425"/>
      <c r="AU120" s="425"/>
      <c r="AV120" s="425"/>
      <c r="AW120" s="425"/>
      <c r="AX120" s="425"/>
      <c r="AY120" s="425"/>
      <c r="AZ120" s="425"/>
      <c r="BA120" s="425"/>
      <c r="BB120" s="425"/>
      <c r="BC120" s="425"/>
      <c r="BD120" s="425"/>
      <c r="BE120" s="425"/>
      <c r="BF120" s="425"/>
      <c r="BG120" s="463"/>
      <c r="BH120" s="463"/>
      <c r="BI120" s="463"/>
      <c r="BJ120" s="463"/>
      <c r="BK120" s="463"/>
      <c r="BL120" s="463"/>
      <c r="BM120" s="463"/>
      <c r="BN120" s="463"/>
    </row>
    <row r="121" spans="1:66" ht="15.75" customHeight="1" x14ac:dyDescent="0.2">
      <c r="A121" s="424"/>
      <c r="B121" s="424"/>
      <c r="C121" s="424"/>
      <c r="D121" s="424"/>
      <c r="E121" s="424"/>
      <c r="F121" s="425"/>
      <c r="G121" s="425"/>
      <c r="H121" s="424"/>
      <c r="I121" s="424"/>
      <c r="J121" s="425"/>
      <c r="K121" s="425"/>
      <c r="L121" s="425"/>
      <c r="M121" s="425"/>
      <c r="N121" s="425"/>
      <c r="O121" s="424"/>
      <c r="P121" s="426"/>
      <c r="Q121" s="426"/>
      <c r="R121" s="426"/>
      <c r="S121" s="426"/>
      <c r="T121" s="326"/>
      <c r="U121" s="326"/>
      <c r="V121" s="426"/>
      <c r="W121" s="426"/>
      <c r="X121" s="426"/>
      <c r="Y121" s="426"/>
      <c r="Z121" s="426"/>
      <c r="AA121" s="426"/>
      <c r="AB121" s="426"/>
      <c r="AC121" s="426"/>
      <c r="AD121" s="426"/>
      <c r="AE121" s="326"/>
      <c r="AF121" s="326"/>
      <c r="AG121" s="424"/>
      <c r="AH121" s="424"/>
      <c r="AI121" s="424"/>
      <c r="AJ121" s="424"/>
      <c r="AK121" s="424"/>
      <c r="AL121" s="424"/>
      <c r="AM121" s="425"/>
      <c r="AN121" s="425"/>
      <c r="AO121" s="425"/>
      <c r="AP121" s="425"/>
      <c r="AQ121" s="425"/>
      <c r="AR121" s="425"/>
      <c r="AS121" s="425"/>
      <c r="AT121" s="425"/>
      <c r="AU121" s="425"/>
      <c r="AV121" s="425"/>
      <c r="AW121" s="425"/>
      <c r="AX121" s="425"/>
      <c r="AY121" s="425"/>
      <c r="AZ121" s="425"/>
      <c r="BA121" s="425"/>
      <c r="BB121" s="425"/>
      <c r="BC121" s="425"/>
      <c r="BD121" s="425"/>
      <c r="BE121" s="425"/>
      <c r="BF121" s="425"/>
      <c r="BG121" s="463"/>
      <c r="BH121" s="463"/>
      <c r="BI121" s="463"/>
      <c r="BJ121" s="463"/>
      <c r="BK121" s="463"/>
      <c r="BL121" s="463"/>
      <c r="BM121" s="463"/>
      <c r="BN121" s="463"/>
    </row>
    <row r="122" spans="1:66" ht="15.75" customHeight="1" x14ac:dyDescent="0.2">
      <c r="A122" s="424"/>
      <c r="B122" s="424"/>
      <c r="C122" s="424"/>
      <c r="D122" s="424"/>
      <c r="E122" s="424"/>
      <c r="F122" s="425"/>
      <c r="G122" s="425"/>
      <c r="H122" s="424"/>
      <c r="I122" s="424"/>
      <c r="J122" s="425"/>
      <c r="K122" s="425"/>
      <c r="L122" s="425"/>
      <c r="M122" s="425"/>
      <c r="N122" s="425"/>
      <c r="O122" s="424"/>
      <c r="P122" s="426"/>
      <c r="Q122" s="426"/>
      <c r="R122" s="426"/>
      <c r="S122" s="426"/>
      <c r="T122" s="326"/>
      <c r="U122" s="326"/>
      <c r="V122" s="426"/>
      <c r="W122" s="426"/>
      <c r="X122" s="426"/>
      <c r="Y122" s="426"/>
      <c r="Z122" s="426"/>
      <c r="AA122" s="426"/>
      <c r="AB122" s="426"/>
      <c r="AC122" s="426"/>
      <c r="AD122" s="426"/>
      <c r="AE122" s="326"/>
      <c r="AF122" s="326"/>
      <c r="AG122" s="424"/>
      <c r="AH122" s="424"/>
      <c r="AI122" s="424"/>
      <c r="AJ122" s="424"/>
      <c r="AK122" s="424"/>
      <c r="AL122" s="424"/>
      <c r="AM122" s="425"/>
      <c r="AN122" s="425"/>
      <c r="AO122" s="425"/>
      <c r="AP122" s="425"/>
      <c r="AQ122" s="425"/>
      <c r="AR122" s="425"/>
      <c r="AS122" s="425"/>
      <c r="AT122" s="425"/>
      <c r="AU122" s="425"/>
      <c r="AV122" s="425"/>
      <c r="AW122" s="425"/>
      <c r="AX122" s="425"/>
      <c r="AY122" s="425"/>
      <c r="AZ122" s="425"/>
      <c r="BA122" s="425"/>
      <c r="BB122" s="425"/>
      <c r="BC122" s="425"/>
      <c r="BD122" s="425"/>
      <c r="BE122" s="425"/>
      <c r="BF122" s="425"/>
      <c r="BG122" s="463"/>
      <c r="BH122" s="463"/>
      <c r="BI122" s="463"/>
      <c r="BJ122" s="463"/>
      <c r="BK122" s="463"/>
      <c r="BL122" s="463"/>
      <c r="BM122" s="463"/>
      <c r="BN122" s="463"/>
    </row>
    <row r="123" spans="1:66" ht="15.75" customHeight="1" x14ac:dyDescent="0.2">
      <c r="A123" s="424"/>
      <c r="B123" s="424"/>
      <c r="C123" s="424"/>
      <c r="D123" s="424"/>
      <c r="E123" s="424"/>
      <c r="F123" s="425"/>
      <c r="G123" s="425"/>
      <c r="H123" s="424"/>
      <c r="I123" s="424"/>
      <c r="J123" s="425"/>
      <c r="K123" s="425"/>
      <c r="L123" s="425"/>
      <c r="M123" s="425"/>
      <c r="N123" s="425"/>
      <c r="O123" s="424"/>
      <c r="P123" s="426"/>
      <c r="Q123" s="426"/>
      <c r="R123" s="426"/>
      <c r="S123" s="426"/>
      <c r="T123" s="326"/>
      <c r="U123" s="326"/>
      <c r="V123" s="426"/>
      <c r="W123" s="426"/>
      <c r="X123" s="426"/>
      <c r="Y123" s="426"/>
      <c r="Z123" s="426"/>
      <c r="AA123" s="426"/>
      <c r="AB123" s="426"/>
      <c r="AC123" s="426"/>
      <c r="AD123" s="426"/>
      <c r="AE123" s="326"/>
      <c r="AF123" s="326"/>
      <c r="AG123" s="424"/>
      <c r="AH123" s="424"/>
      <c r="AI123" s="424"/>
      <c r="AJ123" s="424"/>
      <c r="AK123" s="424"/>
      <c r="AL123" s="424"/>
      <c r="AM123" s="425"/>
      <c r="AN123" s="425"/>
      <c r="AO123" s="425"/>
      <c r="AP123" s="425"/>
      <c r="AQ123" s="425"/>
      <c r="AR123" s="425"/>
      <c r="AS123" s="425"/>
      <c r="AT123" s="425"/>
      <c r="AU123" s="425"/>
      <c r="AV123" s="425"/>
      <c r="AW123" s="425"/>
      <c r="AX123" s="425"/>
      <c r="AY123" s="425"/>
      <c r="AZ123" s="425"/>
      <c r="BA123" s="425"/>
      <c r="BB123" s="425"/>
      <c r="BC123" s="425"/>
      <c r="BD123" s="425"/>
      <c r="BE123" s="425"/>
      <c r="BF123" s="425"/>
      <c r="BG123" s="463"/>
      <c r="BH123" s="463"/>
      <c r="BI123" s="463"/>
      <c r="BJ123" s="463"/>
      <c r="BK123" s="463"/>
      <c r="BL123" s="463"/>
      <c r="BM123" s="463"/>
      <c r="BN123" s="463"/>
    </row>
    <row r="124" spans="1:66" ht="15.75" customHeight="1" x14ac:dyDescent="0.2">
      <c r="A124" s="424"/>
      <c r="B124" s="424"/>
      <c r="C124" s="424"/>
      <c r="D124" s="424"/>
      <c r="E124" s="424"/>
      <c r="F124" s="425"/>
      <c r="G124" s="425"/>
      <c r="H124" s="424"/>
      <c r="I124" s="424"/>
      <c r="J124" s="425"/>
      <c r="K124" s="425"/>
      <c r="L124" s="425"/>
      <c r="M124" s="425"/>
      <c r="N124" s="425"/>
      <c r="O124" s="424"/>
      <c r="P124" s="426"/>
      <c r="Q124" s="426"/>
      <c r="R124" s="426"/>
      <c r="S124" s="426"/>
      <c r="T124" s="326"/>
      <c r="U124" s="326"/>
      <c r="V124" s="426"/>
      <c r="W124" s="426"/>
      <c r="X124" s="426"/>
      <c r="Y124" s="426"/>
      <c r="Z124" s="426"/>
      <c r="AA124" s="426"/>
      <c r="AB124" s="426"/>
      <c r="AC124" s="426"/>
      <c r="AD124" s="426"/>
      <c r="AE124" s="326"/>
      <c r="AF124" s="326"/>
      <c r="AG124" s="424"/>
      <c r="AH124" s="424"/>
      <c r="AI124" s="424"/>
      <c r="AJ124" s="424"/>
      <c r="AK124" s="424"/>
      <c r="AL124" s="424"/>
      <c r="AM124" s="425"/>
      <c r="AN124" s="425"/>
      <c r="AO124" s="425"/>
      <c r="AP124" s="425"/>
      <c r="AQ124" s="425"/>
      <c r="AR124" s="425"/>
      <c r="AS124" s="425"/>
      <c r="AT124" s="425"/>
      <c r="AU124" s="425"/>
      <c r="AV124" s="425"/>
      <c r="AW124" s="425"/>
      <c r="AX124" s="425"/>
      <c r="AY124" s="425"/>
      <c r="AZ124" s="425"/>
      <c r="BA124" s="425"/>
      <c r="BB124" s="425"/>
      <c r="BC124" s="425"/>
      <c r="BD124" s="425"/>
      <c r="BE124" s="425"/>
      <c r="BF124" s="425"/>
      <c r="BG124" s="463"/>
      <c r="BH124" s="463"/>
      <c r="BI124" s="463"/>
      <c r="BJ124" s="463"/>
      <c r="BK124" s="463"/>
      <c r="BL124" s="463"/>
      <c r="BM124" s="463"/>
      <c r="BN124" s="463"/>
    </row>
    <row r="125" spans="1:66" ht="15.75" customHeight="1" x14ac:dyDescent="0.2">
      <c r="A125" s="424"/>
      <c r="B125" s="424"/>
      <c r="C125" s="424"/>
      <c r="D125" s="424"/>
      <c r="E125" s="424"/>
      <c r="F125" s="425"/>
      <c r="G125" s="425"/>
      <c r="H125" s="424"/>
      <c r="I125" s="424"/>
      <c r="J125" s="425"/>
      <c r="K125" s="425"/>
      <c r="L125" s="425"/>
      <c r="M125" s="425"/>
      <c r="N125" s="425"/>
      <c r="O125" s="424"/>
      <c r="P125" s="426"/>
      <c r="Q125" s="426"/>
      <c r="R125" s="426"/>
      <c r="S125" s="426"/>
      <c r="T125" s="326"/>
      <c r="U125" s="326"/>
      <c r="V125" s="426"/>
      <c r="W125" s="426"/>
      <c r="X125" s="426"/>
      <c r="Y125" s="426"/>
      <c r="Z125" s="426"/>
      <c r="AA125" s="426"/>
      <c r="AB125" s="426"/>
      <c r="AC125" s="426"/>
      <c r="AD125" s="426"/>
      <c r="AE125" s="326"/>
      <c r="AF125" s="326"/>
      <c r="AG125" s="424"/>
      <c r="AH125" s="424"/>
      <c r="AI125" s="424"/>
      <c r="AJ125" s="424"/>
      <c r="AK125" s="424"/>
      <c r="AL125" s="424"/>
      <c r="AM125" s="425"/>
      <c r="AN125" s="425"/>
      <c r="AO125" s="425"/>
      <c r="AP125" s="425"/>
      <c r="AQ125" s="425"/>
      <c r="AR125" s="425"/>
      <c r="AS125" s="425"/>
      <c r="AT125" s="425"/>
      <c r="AU125" s="425"/>
      <c r="AV125" s="425"/>
      <c r="AW125" s="425"/>
      <c r="AX125" s="425"/>
      <c r="AY125" s="425"/>
      <c r="AZ125" s="425"/>
      <c r="BA125" s="425"/>
      <c r="BB125" s="425"/>
      <c r="BC125" s="425"/>
      <c r="BD125" s="425"/>
      <c r="BE125" s="425"/>
      <c r="BF125" s="425"/>
      <c r="BG125" s="463"/>
      <c r="BH125" s="463"/>
      <c r="BI125" s="463"/>
      <c r="BJ125" s="463"/>
      <c r="BK125" s="463"/>
      <c r="BL125" s="463"/>
      <c r="BM125" s="463"/>
      <c r="BN125" s="463"/>
    </row>
    <row r="126" spans="1:66" ht="15.75" customHeight="1" x14ac:dyDescent="0.2">
      <c r="A126" s="424"/>
      <c r="B126" s="424"/>
      <c r="C126" s="424"/>
      <c r="D126" s="424"/>
      <c r="E126" s="424"/>
      <c r="F126" s="425"/>
      <c r="G126" s="425"/>
      <c r="H126" s="424"/>
      <c r="I126" s="424"/>
      <c r="J126" s="425"/>
      <c r="K126" s="425"/>
      <c r="L126" s="425"/>
      <c r="M126" s="425"/>
      <c r="N126" s="425"/>
      <c r="O126" s="424"/>
      <c r="P126" s="426"/>
      <c r="Q126" s="426"/>
      <c r="R126" s="426"/>
      <c r="S126" s="426"/>
      <c r="T126" s="326"/>
      <c r="U126" s="326"/>
      <c r="V126" s="426"/>
      <c r="W126" s="426"/>
      <c r="X126" s="426"/>
      <c r="Y126" s="426"/>
      <c r="Z126" s="426"/>
      <c r="AA126" s="426"/>
      <c r="AB126" s="426"/>
      <c r="AC126" s="426"/>
      <c r="AD126" s="426"/>
      <c r="AE126" s="326"/>
      <c r="AF126" s="326"/>
      <c r="AG126" s="424"/>
      <c r="AH126" s="424"/>
      <c r="AI126" s="424"/>
      <c r="AJ126" s="424"/>
      <c r="AK126" s="424"/>
      <c r="AL126" s="424"/>
      <c r="AM126" s="425"/>
      <c r="AN126" s="425"/>
      <c r="AO126" s="425"/>
      <c r="AP126" s="425"/>
      <c r="AQ126" s="425"/>
      <c r="AR126" s="425"/>
      <c r="AS126" s="425"/>
      <c r="AT126" s="425"/>
      <c r="AU126" s="425"/>
      <c r="AV126" s="425"/>
      <c r="AW126" s="425"/>
      <c r="AX126" s="425"/>
      <c r="AY126" s="425"/>
      <c r="AZ126" s="425"/>
      <c r="BA126" s="425"/>
      <c r="BB126" s="425"/>
      <c r="BC126" s="425"/>
      <c r="BD126" s="425"/>
      <c r="BE126" s="425"/>
      <c r="BF126" s="425"/>
      <c r="BG126" s="463"/>
      <c r="BH126" s="463"/>
      <c r="BI126" s="463"/>
      <c r="BJ126" s="463"/>
      <c r="BK126" s="463"/>
      <c r="BL126" s="463"/>
      <c r="BM126" s="463"/>
      <c r="BN126" s="463"/>
    </row>
    <row r="127" spans="1:66" ht="15.75" customHeight="1" x14ac:dyDescent="0.2">
      <c r="A127" s="424"/>
      <c r="B127" s="424"/>
      <c r="C127" s="424"/>
      <c r="D127" s="424"/>
      <c r="E127" s="424"/>
      <c r="F127" s="425"/>
      <c r="G127" s="425"/>
      <c r="H127" s="424"/>
      <c r="I127" s="424"/>
      <c r="J127" s="425"/>
      <c r="K127" s="425"/>
      <c r="L127" s="425"/>
      <c r="M127" s="425"/>
      <c r="N127" s="425"/>
      <c r="O127" s="424"/>
      <c r="P127" s="426"/>
      <c r="Q127" s="426"/>
      <c r="R127" s="426"/>
      <c r="S127" s="426"/>
      <c r="T127" s="326"/>
      <c r="U127" s="326"/>
      <c r="V127" s="426"/>
      <c r="W127" s="426"/>
      <c r="X127" s="426"/>
      <c r="Y127" s="426"/>
      <c r="Z127" s="426"/>
      <c r="AA127" s="426"/>
      <c r="AB127" s="426"/>
      <c r="AC127" s="426"/>
      <c r="AD127" s="426"/>
      <c r="AE127" s="326"/>
      <c r="AF127" s="326"/>
      <c r="AG127" s="424"/>
      <c r="AH127" s="424"/>
      <c r="AI127" s="424"/>
      <c r="AJ127" s="424"/>
      <c r="AK127" s="424"/>
      <c r="AL127" s="424"/>
      <c r="AM127" s="425"/>
      <c r="AN127" s="425"/>
      <c r="AO127" s="425"/>
      <c r="AP127" s="425"/>
      <c r="AQ127" s="425"/>
      <c r="AR127" s="425"/>
      <c r="AS127" s="425"/>
      <c r="AT127" s="425"/>
      <c r="AU127" s="425"/>
      <c r="AV127" s="425"/>
      <c r="AW127" s="425"/>
      <c r="AX127" s="425"/>
      <c r="AY127" s="425"/>
      <c r="AZ127" s="425"/>
      <c r="BA127" s="425"/>
      <c r="BB127" s="425"/>
      <c r="BC127" s="425"/>
      <c r="BD127" s="425"/>
      <c r="BE127" s="425"/>
      <c r="BF127" s="425"/>
      <c r="BG127" s="463"/>
      <c r="BH127" s="463"/>
      <c r="BI127" s="463"/>
      <c r="BJ127" s="463"/>
      <c r="BK127" s="463"/>
      <c r="BL127" s="463"/>
      <c r="BM127" s="463"/>
      <c r="BN127" s="463"/>
    </row>
    <row r="128" spans="1:66" ht="15.75" customHeight="1" x14ac:dyDescent="0.2">
      <c r="A128" s="424"/>
      <c r="B128" s="424"/>
      <c r="C128" s="424"/>
      <c r="D128" s="424"/>
      <c r="E128" s="424"/>
      <c r="F128" s="425"/>
      <c r="G128" s="425"/>
      <c r="H128" s="424"/>
      <c r="I128" s="424"/>
      <c r="J128" s="425"/>
      <c r="K128" s="425"/>
      <c r="L128" s="425"/>
      <c r="M128" s="425"/>
      <c r="N128" s="425"/>
      <c r="O128" s="424"/>
      <c r="P128" s="426"/>
      <c r="Q128" s="426"/>
      <c r="R128" s="426"/>
      <c r="S128" s="426"/>
      <c r="T128" s="326"/>
      <c r="U128" s="326"/>
      <c r="V128" s="426"/>
      <c r="W128" s="426"/>
      <c r="X128" s="426"/>
      <c r="Y128" s="426"/>
      <c r="Z128" s="426"/>
      <c r="AA128" s="426"/>
      <c r="AB128" s="426"/>
      <c r="AC128" s="426"/>
      <c r="AD128" s="426"/>
      <c r="AE128" s="326"/>
      <c r="AF128" s="326"/>
      <c r="AG128" s="424"/>
      <c r="AH128" s="424"/>
      <c r="AI128" s="424"/>
      <c r="AJ128" s="424"/>
      <c r="AK128" s="424"/>
      <c r="AL128" s="424"/>
      <c r="AM128" s="425"/>
      <c r="AN128" s="425"/>
      <c r="AO128" s="425"/>
      <c r="AP128" s="425"/>
      <c r="AQ128" s="425"/>
      <c r="AR128" s="425"/>
      <c r="AS128" s="425"/>
      <c r="AT128" s="425"/>
      <c r="AU128" s="425"/>
      <c r="AV128" s="425"/>
      <c r="AW128" s="425"/>
      <c r="AX128" s="425"/>
      <c r="AY128" s="425"/>
      <c r="AZ128" s="425"/>
      <c r="BA128" s="425"/>
      <c r="BB128" s="425"/>
      <c r="BC128" s="425"/>
      <c r="BD128" s="425"/>
      <c r="BE128" s="425"/>
      <c r="BF128" s="425"/>
      <c r="BG128" s="463"/>
      <c r="BH128" s="463"/>
      <c r="BI128" s="463"/>
      <c r="BJ128" s="463"/>
      <c r="BK128" s="463"/>
      <c r="BL128" s="463"/>
      <c r="BM128" s="463"/>
      <c r="BN128" s="463"/>
    </row>
    <row r="129" spans="1:66" ht="15.75" customHeight="1" x14ac:dyDescent="0.2">
      <c r="A129" s="424"/>
      <c r="B129" s="424"/>
      <c r="C129" s="424"/>
      <c r="D129" s="424"/>
      <c r="E129" s="424"/>
      <c r="F129" s="425"/>
      <c r="G129" s="425"/>
      <c r="H129" s="424"/>
      <c r="I129" s="424"/>
      <c r="J129" s="425"/>
      <c r="K129" s="425"/>
      <c r="L129" s="425"/>
      <c r="M129" s="425"/>
      <c r="N129" s="425"/>
      <c r="O129" s="424"/>
      <c r="P129" s="426"/>
      <c r="Q129" s="426"/>
      <c r="R129" s="426"/>
      <c r="S129" s="426"/>
      <c r="T129" s="326"/>
      <c r="U129" s="326"/>
      <c r="V129" s="426"/>
      <c r="W129" s="426"/>
      <c r="X129" s="426"/>
      <c r="Y129" s="426"/>
      <c r="Z129" s="426"/>
      <c r="AA129" s="426"/>
      <c r="AB129" s="426"/>
      <c r="AC129" s="426"/>
      <c r="AD129" s="426"/>
      <c r="AE129" s="326"/>
      <c r="AF129" s="326"/>
      <c r="AG129" s="424"/>
      <c r="AH129" s="424"/>
      <c r="AI129" s="424"/>
      <c r="AJ129" s="424"/>
      <c r="AK129" s="424"/>
      <c r="AL129" s="424"/>
      <c r="AM129" s="425"/>
      <c r="AN129" s="425"/>
      <c r="AO129" s="425"/>
      <c r="AP129" s="425"/>
      <c r="AQ129" s="425"/>
      <c r="AR129" s="425"/>
      <c r="AS129" s="425"/>
      <c r="AT129" s="425"/>
      <c r="AU129" s="425"/>
      <c r="AV129" s="425"/>
      <c r="AW129" s="425"/>
      <c r="AX129" s="425"/>
      <c r="AY129" s="425"/>
      <c r="AZ129" s="425"/>
      <c r="BA129" s="425"/>
      <c r="BB129" s="425"/>
      <c r="BC129" s="425"/>
      <c r="BD129" s="425"/>
      <c r="BE129" s="425"/>
      <c r="BF129" s="425"/>
      <c r="BG129" s="463"/>
      <c r="BH129" s="463"/>
      <c r="BI129" s="463"/>
      <c r="BJ129" s="463"/>
      <c r="BK129" s="463"/>
      <c r="BL129" s="463"/>
      <c r="BM129" s="463"/>
      <c r="BN129" s="463"/>
    </row>
    <row r="130" spans="1:66" ht="15.75" customHeight="1" x14ac:dyDescent="0.2">
      <c r="A130" s="424"/>
      <c r="B130" s="424"/>
      <c r="C130" s="424"/>
      <c r="D130" s="424"/>
      <c r="E130" s="424"/>
      <c r="F130" s="425"/>
      <c r="G130" s="425"/>
      <c r="H130" s="424"/>
      <c r="I130" s="424"/>
      <c r="J130" s="425"/>
      <c r="K130" s="425"/>
      <c r="L130" s="425"/>
      <c r="M130" s="425"/>
      <c r="N130" s="425"/>
      <c r="O130" s="424"/>
      <c r="P130" s="426"/>
      <c r="Q130" s="426"/>
      <c r="R130" s="426"/>
      <c r="S130" s="426"/>
      <c r="T130" s="326"/>
      <c r="U130" s="326"/>
      <c r="V130" s="426"/>
      <c r="W130" s="426"/>
      <c r="X130" s="426"/>
      <c r="Y130" s="426"/>
      <c r="Z130" s="426"/>
      <c r="AA130" s="426"/>
      <c r="AB130" s="426"/>
      <c r="AC130" s="426"/>
      <c r="AD130" s="426"/>
      <c r="AE130" s="326"/>
      <c r="AF130" s="326"/>
      <c r="AG130" s="424"/>
      <c r="AH130" s="424"/>
      <c r="AI130" s="424"/>
      <c r="AJ130" s="424"/>
      <c r="AK130" s="424"/>
      <c r="AL130" s="424"/>
      <c r="AM130" s="425"/>
      <c r="AN130" s="425"/>
      <c r="AO130" s="425"/>
      <c r="AP130" s="425"/>
      <c r="AQ130" s="425"/>
      <c r="AR130" s="425"/>
      <c r="AS130" s="425"/>
      <c r="AT130" s="425"/>
      <c r="AU130" s="425"/>
      <c r="AV130" s="425"/>
      <c r="AW130" s="425"/>
      <c r="AX130" s="425"/>
      <c r="AY130" s="425"/>
      <c r="AZ130" s="425"/>
      <c r="BA130" s="425"/>
      <c r="BB130" s="425"/>
      <c r="BC130" s="425"/>
      <c r="BD130" s="425"/>
      <c r="BE130" s="425"/>
      <c r="BF130" s="425"/>
      <c r="BG130" s="463"/>
      <c r="BH130" s="463"/>
      <c r="BI130" s="463"/>
      <c r="BJ130" s="463"/>
      <c r="BK130" s="463"/>
      <c r="BL130" s="463"/>
      <c r="BM130" s="463"/>
      <c r="BN130" s="463"/>
    </row>
    <row r="131" spans="1:66" ht="15.75" customHeight="1" x14ac:dyDescent="0.2">
      <c r="A131" s="424"/>
      <c r="B131" s="424"/>
      <c r="C131" s="424"/>
      <c r="D131" s="424"/>
      <c r="E131" s="424"/>
      <c r="F131" s="425"/>
      <c r="G131" s="425"/>
      <c r="H131" s="424"/>
      <c r="I131" s="424"/>
      <c r="J131" s="425"/>
      <c r="K131" s="425"/>
      <c r="L131" s="425"/>
      <c r="M131" s="425"/>
      <c r="N131" s="425"/>
      <c r="O131" s="424"/>
      <c r="P131" s="426"/>
      <c r="Q131" s="426"/>
      <c r="R131" s="426"/>
      <c r="S131" s="426"/>
      <c r="T131" s="326"/>
      <c r="U131" s="326"/>
      <c r="V131" s="426"/>
      <c r="W131" s="426"/>
      <c r="X131" s="426"/>
      <c r="Y131" s="426"/>
      <c r="Z131" s="426"/>
      <c r="AA131" s="426"/>
      <c r="AB131" s="426"/>
      <c r="AC131" s="426"/>
      <c r="AD131" s="426"/>
      <c r="AE131" s="326"/>
      <c r="AF131" s="326"/>
      <c r="AG131" s="424"/>
      <c r="AH131" s="424"/>
      <c r="AI131" s="424"/>
      <c r="AJ131" s="424"/>
      <c r="AK131" s="424"/>
      <c r="AL131" s="424"/>
      <c r="AM131" s="425"/>
      <c r="AN131" s="425"/>
      <c r="AO131" s="425"/>
      <c r="AP131" s="425"/>
      <c r="AQ131" s="425"/>
      <c r="AR131" s="425"/>
      <c r="AS131" s="425"/>
      <c r="AT131" s="425"/>
      <c r="AU131" s="425"/>
      <c r="AV131" s="425"/>
      <c r="AW131" s="425"/>
      <c r="AX131" s="425"/>
      <c r="AY131" s="425"/>
      <c r="AZ131" s="425"/>
      <c r="BA131" s="425"/>
      <c r="BB131" s="425"/>
      <c r="BC131" s="425"/>
      <c r="BD131" s="425"/>
      <c r="BE131" s="425"/>
      <c r="BF131" s="425"/>
      <c r="BG131" s="463"/>
      <c r="BH131" s="463"/>
      <c r="BI131" s="463"/>
      <c r="BJ131" s="463"/>
      <c r="BK131" s="463"/>
      <c r="BL131" s="463"/>
      <c r="BM131" s="463"/>
      <c r="BN131" s="463"/>
    </row>
    <row r="132" spans="1:66" ht="15.75" customHeight="1" x14ac:dyDescent="0.2">
      <c r="A132" s="424"/>
      <c r="B132" s="424"/>
      <c r="C132" s="424"/>
      <c r="D132" s="424"/>
      <c r="E132" s="424"/>
      <c r="F132" s="425"/>
      <c r="G132" s="425"/>
      <c r="H132" s="424"/>
      <c r="I132" s="424"/>
      <c r="J132" s="425"/>
      <c r="K132" s="425"/>
      <c r="L132" s="425"/>
      <c r="M132" s="425"/>
      <c r="N132" s="425"/>
      <c r="O132" s="424"/>
      <c r="P132" s="426"/>
      <c r="Q132" s="426"/>
      <c r="R132" s="426"/>
      <c r="S132" s="426"/>
      <c r="T132" s="326"/>
      <c r="U132" s="326"/>
      <c r="V132" s="426"/>
      <c r="W132" s="426"/>
      <c r="X132" s="426"/>
      <c r="Y132" s="426"/>
      <c r="Z132" s="426"/>
      <c r="AA132" s="426"/>
      <c r="AB132" s="426"/>
      <c r="AC132" s="426"/>
      <c r="AD132" s="426"/>
      <c r="AE132" s="326"/>
      <c r="AF132" s="326"/>
      <c r="AG132" s="424"/>
      <c r="AH132" s="424"/>
      <c r="AI132" s="424"/>
      <c r="AJ132" s="424"/>
      <c r="AK132" s="424"/>
      <c r="AL132" s="424"/>
      <c r="AM132" s="425"/>
      <c r="AN132" s="425"/>
      <c r="AO132" s="425"/>
      <c r="AP132" s="425"/>
      <c r="AQ132" s="425"/>
      <c r="AR132" s="425"/>
      <c r="AS132" s="425"/>
      <c r="AT132" s="425"/>
      <c r="AU132" s="425"/>
      <c r="AV132" s="425"/>
      <c r="AW132" s="425"/>
      <c r="AX132" s="425"/>
      <c r="AY132" s="425"/>
      <c r="AZ132" s="425"/>
      <c r="BA132" s="425"/>
      <c r="BB132" s="425"/>
      <c r="BC132" s="425"/>
      <c r="BD132" s="425"/>
      <c r="BE132" s="425"/>
      <c r="BF132" s="425"/>
      <c r="BG132" s="463"/>
      <c r="BH132" s="463"/>
      <c r="BI132" s="463"/>
      <c r="BJ132" s="463"/>
      <c r="BK132" s="463"/>
      <c r="BL132" s="463"/>
      <c r="BM132" s="463"/>
      <c r="BN132" s="463"/>
    </row>
    <row r="133" spans="1:66" ht="15.75" customHeight="1" x14ac:dyDescent="0.2">
      <c r="A133" s="424"/>
      <c r="B133" s="424"/>
      <c r="C133" s="424"/>
      <c r="D133" s="424"/>
      <c r="E133" s="424"/>
      <c r="F133" s="425"/>
      <c r="G133" s="425"/>
      <c r="H133" s="424"/>
      <c r="I133" s="424"/>
      <c r="J133" s="425"/>
      <c r="K133" s="425"/>
      <c r="L133" s="425"/>
      <c r="M133" s="425"/>
      <c r="N133" s="425"/>
      <c r="O133" s="424"/>
      <c r="P133" s="426"/>
      <c r="Q133" s="426"/>
      <c r="R133" s="426"/>
      <c r="S133" s="426"/>
      <c r="T133" s="326"/>
      <c r="U133" s="326"/>
      <c r="V133" s="426"/>
      <c r="W133" s="426"/>
      <c r="X133" s="426"/>
      <c r="Y133" s="426"/>
      <c r="Z133" s="426"/>
      <c r="AA133" s="426"/>
      <c r="AB133" s="426"/>
      <c r="AC133" s="426"/>
      <c r="AD133" s="426"/>
      <c r="AE133" s="326"/>
      <c r="AF133" s="326"/>
      <c r="AG133" s="424"/>
      <c r="AH133" s="424"/>
      <c r="AI133" s="424"/>
      <c r="AJ133" s="424"/>
      <c r="AK133" s="424"/>
      <c r="AL133" s="424"/>
      <c r="AM133" s="425"/>
      <c r="AN133" s="425"/>
      <c r="AO133" s="425"/>
      <c r="AP133" s="425"/>
      <c r="AQ133" s="425"/>
      <c r="AR133" s="425"/>
      <c r="AS133" s="425"/>
      <c r="AT133" s="425"/>
      <c r="AU133" s="425"/>
      <c r="AV133" s="425"/>
      <c r="AW133" s="425"/>
      <c r="AX133" s="425"/>
      <c r="AY133" s="425"/>
      <c r="AZ133" s="425"/>
      <c r="BA133" s="425"/>
      <c r="BB133" s="425"/>
      <c r="BC133" s="425"/>
      <c r="BD133" s="425"/>
      <c r="BE133" s="425"/>
      <c r="BF133" s="425"/>
      <c r="BG133" s="463"/>
      <c r="BH133" s="463"/>
      <c r="BI133" s="463"/>
      <c r="BJ133" s="463"/>
      <c r="BK133" s="463"/>
      <c r="BL133" s="463"/>
      <c r="BM133" s="463"/>
      <c r="BN133" s="463"/>
    </row>
    <row r="134" spans="1:66" ht="15.75" customHeight="1" x14ac:dyDescent="0.2">
      <c r="A134" s="424"/>
      <c r="B134" s="424"/>
      <c r="C134" s="424"/>
      <c r="D134" s="424"/>
      <c r="E134" s="424"/>
      <c r="F134" s="425"/>
      <c r="G134" s="425"/>
      <c r="H134" s="424"/>
      <c r="I134" s="424"/>
      <c r="J134" s="425"/>
      <c r="K134" s="425"/>
      <c r="L134" s="425"/>
      <c r="M134" s="425"/>
      <c r="N134" s="425"/>
      <c r="O134" s="424"/>
      <c r="P134" s="426"/>
      <c r="Q134" s="426"/>
      <c r="R134" s="426"/>
      <c r="S134" s="426"/>
      <c r="T134" s="326"/>
      <c r="U134" s="326"/>
      <c r="V134" s="426"/>
      <c r="W134" s="426"/>
      <c r="X134" s="426"/>
      <c r="Y134" s="426"/>
      <c r="Z134" s="426"/>
      <c r="AA134" s="426"/>
      <c r="AB134" s="426"/>
      <c r="AC134" s="426"/>
      <c r="AD134" s="426"/>
      <c r="AE134" s="326"/>
      <c r="AF134" s="326"/>
      <c r="AG134" s="424"/>
      <c r="AH134" s="424"/>
      <c r="AI134" s="424"/>
      <c r="AJ134" s="424"/>
      <c r="AK134" s="424"/>
      <c r="AL134" s="424"/>
      <c r="AM134" s="425"/>
      <c r="AN134" s="425"/>
      <c r="AO134" s="425"/>
      <c r="AP134" s="425"/>
      <c r="AQ134" s="425"/>
      <c r="AR134" s="425"/>
      <c r="AS134" s="425"/>
      <c r="AT134" s="425"/>
      <c r="AU134" s="425"/>
      <c r="AV134" s="425"/>
      <c r="AW134" s="425"/>
      <c r="AX134" s="425"/>
      <c r="AY134" s="425"/>
      <c r="AZ134" s="425"/>
      <c r="BA134" s="425"/>
      <c r="BB134" s="425"/>
      <c r="BC134" s="425"/>
      <c r="BD134" s="425"/>
      <c r="BE134" s="425"/>
      <c r="BF134" s="425"/>
      <c r="BG134" s="463"/>
      <c r="BH134" s="463"/>
      <c r="BI134" s="463"/>
      <c r="BJ134" s="463"/>
      <c r="BK134" s="463"/>
      <c r="BL134" s="463"/>
      <c r="BM134" s="463"/>
      <c r="BN134" s="463"/>
    </row>
    <row r="135" spans="1:66" ht="15.75" customHeight="1" x14ac:dyDescent="0.2">
      <c r="A135" s="424"/>
      <c r="B135" s="424"/>
      <c r="C135" s="424"/>
      <c r="D135" s="424"/>
      <c r="E135" s="424"/>
      <c r="F135" s="425"/>
      <c r="G135" s="425"/>
      <c r="H135" s="424"/>
      <c r="I135" s="424"/>
      <c r="J135" s="425"/>
      <c r="K135" s="425"/>
      <c r="L135" s="425"/>
      <c r="M135" s="425"/>
      <c r="N135" s="425"/>
      <c r="O135" s="424"/>
      <c r="P135" s="426"/>
      <c r="Q135" s="426"/>
      <c r="R135" s="426"/>
      <c r="S135" s="426"/>
      <c r="T135" s="326"/>
      <c r="U135" s="326"/>
      <c r="V135" s="426"/>
      <c r="W135" s="426"/>
      <c r="X135" s="426"/>
      <c r="Y135" s="426"/>
      <c r="Z135" s="426"/>
      <c r="AA135" s="426"/>
      <c r="AB135" s="426"/>
      <c r="AC135" s="426"/>
      <c r="AD135" s="426"/>
      <c r="AE135" s="326"/>
      <c r="AF135" s="326"/>
      <c r="AG135" s="424"/>
      <c r="AH135" s="424"/>
      <c r="AI135" s="424"/>
      <c r="AJ135" s="424"/>
      <c r="AK135" s="424"/>
      <c r="AL135" s="424"/>
      <c r="AM135" s="425"/>
      <c r="AN135" s="425"/>
      <c r="AO135" s="425"/>
      <c r="AP135" s="425"/>
      <c r="AQ135" s="425"/>
      <c r="AR135" s="425"/>
      <c r="AS135" s="425"/>
      <c r="AT135" s="425"/>
      <c r="AU135" s="425"/>
      <c r="AV135" s="425"/>
      <c r="AW135" s="425"/>
      <c r="AX135" s="425"/>
      <c r="AY135" s="425"/>
      <c r="AZ135" s="425"/>
      <c r="BA135" s="425"/>
      <c r="BB135" s="425"/>
      <c r="BC135" s="425"/>
      <c r="BD135" s="425"/>
      <c r="BE135" s="425"/>
      <c r="BF135" s="425"/>
      <c r="BG135" s="463"/>
      <c r="BH135" s="463"/>
      <c r="BI135" s="463"/>
      <c r="BJ135" s="463"/>
      <c r="BK135" s="463"/>
      <c r="BL135" s="463"/>
      <c r="BM135" s="463"/>
      <c r="BN135" s="463"/>
    </row>
    <row r="136" spans="1:66" ht="15.75" customHeight="1" x14ac:dyDescent="0.2">
      <c r="A136" s="424"/>
      <c r="B136" s="424"/>
      <c r="C136" s="424"/>
      <c r="D136" s="424"/>
      <c r="E136" s="424"/>
      <c r="F136" s="425"/>
      <c r="G136" s="425"/>
      <c r="H136" s="424"/>
      <c r="I136" s="424"/>
      <c r="J136" s="425"/>
      <c r="K136" s="425"/>
      <c r="L136" s="425"/>
      <c r="M136" s="425"/>
      <c r="N136" s="425"/>
      <c r="O136" s="424"/>
      <c r="P136" s="426"/>
      <c r="Q136" s="426"/>
      <c r="R136" s="426"/>
      <c r="S136" s="426"/>
      <c r="T136" s="326"/>
      <c r="U136" s="326"/>
      <c r="V136" s="426"/>
      <c r="W136" s="426"/>
      <c r="X136" s="426"/>
      <c r="Y136" s="426"/>
      <c r="Z136" s="426"/>
      <c r="AA136" s="426"/>
      <c r="AB136" s="426"/>
      <c r="AC136" s="426"/>
      <c r="AD136" s="426"/>
      <c r="AE136" s="326"/>
      <c r="AF136" s="326"/>
      <c r="AG136" s="424"/>
      <c r="AH136" s="424"/>
      <c r="AI136" s="424"/>
      <c r="AJ136" s="424"/>
      <c r="AK136" s="424"/>
      <c r="AL136" s="424"/>
      <c r="AM136" s="425"/>
      <c r="AN136" s="425"/>
      <c r="AO136" s="425"/>
      <c r="AP136" s="425"/>
      <c r="AQ136" s="425"/>
      <c r="AR136" s="425"/>
      <c r="AS136" s="425"/>
      <c r="AT136" s="425"/>
      <c r="AU136" s="425"/>
      <c r="AV136" s="425"/>
      <c r="AW136" s="425"/>
      <c r="AX136" s="425"/>
      <c r="AY136" s="425"/>
      <c r="AZ136" s="425"/>
      <c r="BA136" s="425"/>
      <c r="BB136" s="425"/>
      <c r="BC136" s="425"/>
      <c r="BD136" s="425"/>
      <c r="BE136" s="425"/>
      <c r="BF136" s="425"/>
      <c r="BG136" s="463"/>
      <c r="BH136" s="463"/>
      <c r="BI136" s="463"/>
      <c r="BJ136" s="463"/>
      <c r="BK136" s="463"/>
      <c r="BL136" s="463"/>
      <c r="BM136" s="463"/>
      <c r="BN136" s="463"/>
    </row>
    <row r="137" spans="1:66" ht="15.75" customHeight="1" x14ac:dyDescent="0.2">
      <c r="A137" s="424"/>
      <c r="B137" s="424"/>
      <c r="C137" s="424"/>
      <c r="D137" s="424"/>
      <c r="E137" s="424"/>
      <c r="F137" s="425"/>
      <c r="G137" s="425"/>
      <c r="H137" s="424"/>
      <c r="I137" s="424"/>
      <c r="J137" s="425"/>
      <c r="K137" s="425"/>
      <c r="L137" s="425"/>
      <c r="M137" s="425"/>
      <c r="N137" s="425"/>
      <c r="O137" s="424"/>
      <c r="P137" s="426"/>
      <c r="Q137" s="426"/>
      <c r="R137" s="426"/>
      <c r="S137" s="426"/>
      <c r="T137" s="326"/>
      <c r="U137" s="326"/>
      <c r="V137" s="426"/>
      <c r="W137" s="426"/>
      <c r="X137" s="426"/>
      <c r="Y137" s="426"/>
      <c r="Z137" s="426"/>
      <c r="AA137" s="426"/>
      <c r="AB137" s="426"/>
      <c r="AC137" s="426"/>
      <c r="AD137" s="426"/>
      <c r="AE137" s="326"/>
      <c r="AF137" s="326"/>
      <c r="AG137" s="424"/>
      <c r="AH137" s="424"/>
      <c r="AI137" s="424"/>
      <c r="AJ137" s="424"/>
      <c r="AK137" s="424"/>
      <c r="AL137" s="424"/>
      <c r="AM137" s="425"/>
      <c r="AN137" s="425"/>
      <c r="AO137" s="425"/>
      <c r="AP137" s="425"/>
      <c r="AQ137" s="425"/>
      <c r="AR137" s="425"/>
      <c r="AS137" s="425"/>
      <c r="AT137" s="425"/>
      <c r="AU137" s="425"/>
      <c r="AV137" s="425"/>
      <c r="AW137" s="425"/>
      <c r="AX137" s="425"/>
      <c r="AY137" s="425"/>
      <c r="AZ137" s="425"/>
      <c r="BA137" s="425"/>
      <c r="BB137" s="425"/>
      <c r="BC137" s="425"/>
      <c r="BD137" s="425"/>
      <c r="BE137" s="425"/>
      <c r="BF137" s="425"/>
      <c r="BG137" s="463"/>
      <c r="BH137" s="463"/>
      <c r="BI137" s="463"/>
      <c r="BJ137" s="463"/>
      <c r="BK137" s="463"/>
      <c r="BL137" s="463"/>
      <c r="BM137" s="463"/>
      <c r="BN137" s="463"/>
    </row>
    <row r="138" spans="1:66" ht="15.75" customHeight="1" x14ac:dyDescent="0.2">
      <c r="A138" s="424"/>
      <c r="B138" s="424"/>
      <c r="C138" s="424"/>
      <c r="D138" s="424"/>
      <c r="E138" s="424"/>
      <c r="F138" s="425"/>
      <c r="G138" s="425"/>
      <c r="H138" s="424"/>
      <c r="I138" s="424"/>
      <c r="J138" s="425"/>
      <c r="K138" s="425"/>
      <c r="L138" s="425"/>
      <c r="M138" s="425"/>
      <c r="N138" s="425"/>
      <c r="O138" s="424"/>
      <c r="P138" s="426"/>
      <c r="Q138" s="426"/>
      <c r="R138" s="426"/>
      <c r="S138" s="426"/>
      <c r="T138" s="326"/>
      <c r="U138" s="326"/>
      <c r="V138" s="426"/>
      <c r="W138" s="426"/>
      <c r="X138" s="426"/>
      <c r="Y138" s="426"/>
      <c r="Z138" s="426"/>
      <c r="AA138" s="426"/>
      <c r="AB138" s="426"/>
      <c r="AC138" s="426"/>
      <c r="AD138" s="426"/>
      <c r="AE138" s="326"/>
      <c r="AF138" s="326"/>
      <c r="AG138" s="424"/>
      <c r="AH138" s="424"/>
      <c r="AI138" s="424"/>
      <c r="AJ138" s="424"/>
      <c r="AK138" s="424"/>
      <c r="AL138" s="424"/>
      <c r="AM138" s="425"/>
      <c r="AN138" s="425"/>
      <c r="AO138" s="425"/>
      <c r="AP138" s="425"/>
      <c r="AQ138" s="425"/>
      <c r="AR138" s="425"/>
      <c r="AS138" s="425"/>
      <c r="AT138" s="425"/>
      <c r="AU138" s="425"/>
      <c r="AV138" s="425"/>
      <c r="AW138" s="425"/>
      <c r="AX138" s="425"/>
      <c r="AY138" s="425"/>
      <c r="AZ138" s="425"/>
      <c r="BA138" s="425"/>
      <c r="BB138" s="425"/>
      <c r="BC138" s="425"/>
      <c r="BD138" s="425"/>
      <c r="BE138" s="425"/>
      <c r="BF138" s="425"/>
      <c r="BG138" s="463"/>
      <c r="BH138" s="463"/>
      <c r="BI138" s="463"/>
      <c r="BJ138" s="463"/>
      <c r="BK138" s="463"/>
      <c r="BL138" s="463"/>
      <c r="BM138" s="463"/>
      <c r="BN138" s="463"/>
    </row>
    <row r="139" spans="1:66" ht="15.75" customHeight="1" x14ac:dyDescent="0.2">
      <c r="A139" s="424"/>
      <c r="B139" s="424"/>
      <c r="C139" s="424"/>
      <c r="D139" s="424"/>
      <c r="E139" s="424"/>
      <c r="F139" s="425"/>
      <c r="G139" s="425"/>
      <c r="H139" s="424"/>
      <c r="I139" s="424"/>
      <c r="J139" s="425"/>
      <c r="K139" s="425"/>
      <c r="L139" s="425"/>
      <c r="M139" s="425"/>
      <c r="N139" s="425"/>
      <c r="O139" s="424"/>
      <c r="P139" s="426"/>
      <c r="Q139" s="426"/>
      <c r="R139" s="426"/>
      <c r="S139" s="426"/>
      <c r="T139" s="326"/>
      <c r="U139" s="326"/>
      <c r="V139" s="426"/>
      <c r="W139" s="426"/>
      <c r="X139" s="426"/>
      <c r="Y139" s="426"/>
      <c r="Z139" s="426"/>
      <c r="AA139" s="426"/>
      <c r="AB139" s="426"/>
      <c r="AC139" s="426"/>
      <c r="AD139" s="426"/>
      <c r="AE139" s="326"/>
      <c r="AF139" s="326"/>
      <c r="AG139" s="424"/>
      <c r="AH139" s="424"/>
      <c r="AI139" s="424"/>
      <c r="AJ139" s="424"/>
      <c r="AK139" s="424"/>
      <c r="AL139" s="424"/>
      <c r="AM139" s="425"/>
      <c r="AN139" s="425"/>
      <c r="AO139" s="425"/>
      <c r="AP139" s="425"/>
      <c r="AQ139" s="425"/>
      <c r="AR139" s="425"/>
      <c r="AS139" s="425"/>
      <c r="AT139" s="425"/>
      <c r="AU139" s="425"/>
      <c r="AV139" s="425"/>
      <c r="AW139" s="425"/>
      <c r="AX139" s="425"/>
      <c r="AY139" s="425"/>
      <c r="AZ139" s="425"/>
      <c r="BA139" s="425"/>
      <c r="BB139" s="425"/>
      <c r="BC139" s="425"/>
      <c r="BD139" s="425"/>
      <c r="BE139" s="425"/>
      <c r="BF139" s="425"/>
      <c r="BG139" s="463"/>
      <c r="BH139" s="463"/>
      <c r="BI139" s="463"/>
      <c r="BJ139" s="463"/>
      <c r="BK139" s="463"/>
      <c r="BL139" s="463"/>
      <c r="BM139" s="463"/>
      <c r="BN139" s="463"/>
    </row>
    <row r="140" spans="1:66" ht="15.75" customHeight="1" x14ac:dyDescent="0.2">
      <c r="A140" s="424"/>
      <c r="B140" s="424"/>
      <c r="C140" s="424"/>
      <c r="D140" s="424"/>
      <c r="E140" s="424"/>
      <c r="F140" s="425"/>
      <c r="G140" s="425"/>
      <c r="H140" s="424"/>
      <c r="I140" s="424"/>
      <c r="J140" s="425"/>
      <c r="K140" s="425"/>
      <c r="L140" s="425"/>
      <c r="M140" s="425"/>
      <c r="N140" s="425"/>
      <c r="O140" s="424"/>
      <c r="P140" s="426"/>
      <c r="Q140" s="426"/>
      <c r="R140" s="426"/>
      <c r="S140" s="426"/>
      <c r="T140" s="326"/>
      <c r="U140" s="326"/>
      <c r="V140" s="426"/>
      <c r="W140" s="426"/>
      <c r="X140" s="426"/>
      <c r="Y140" s="426"/>
      <c r="Z140" s="426"/>
      <c r="AA140" s="426"/>
      <c r="AB140" s="426"/>
      <c r="AC140" s="426"/>
      <c r="AD140" s="426"/>
      <c r="AE140" s="326"/>
      <c r="AF140" s="326"/>
      <c r="AG140" s="424"/>
      <c r="AH140" s="424"/>
      <c r="AI140" s="424"/>
      <c r="AJ140" s="424"/>
      <c r="AK140" s="424"/>
      <c r="AL140" s="424"/>
      <c r="AM140" s="425"/>
      <c r="AN140" s="425"/>
      <c r="AO140" s="425"/>
      <c r="AP140" s="425"/>
      <c r="AQ140" s="425"/>
      <c r="AR140" s="425"/>
      <c r="AS140" s="425"/>
      <c r="AT140" s="425"/>
      <c r="AU140" s="425"/>
      <c r="AV140" s="425"/>
      <c r="AW140" s="425"/>
      <c r="AX140" s="425"/>
      <c r="AY140" s="425"/>
      <c r="AZ140" s="425"/>
      <c r="BA140" s="425"/>
      <c r="BB140" s="425"/>
      <c r="BC140" s="425"/>
      <c r="BD140" s="425"/>
      <c r="BE140" s="425"/>
      <c r="BF140" s="425"/>
      <c r="BG140" s="463"/>
      <c r="BH140" s="463"/>
      <c r="BI140" s="463"/>
      <c r="BJ140" s="463"/>
      <c r="BK140" s="463"/>
      <c r="BL140" s="463"/>
      <c r="BM140" s="463"/>
      <c r="BN140" s="463"/>
    </row>
    <row r="141" spans="1:66" ht="15.75" customHeight="1" x14ac:dyDescent="0.2">
      <c r="A141" s="424"/>
      <c r="B141" s="424"/>
      <c r="C141" s="424"/>
      <c r="D141" s="424"/>
      <c r="E141" s="424"/>
      <c r="F141" s="425"/>
      <c r="G141" s="425"/>
      <c r="H141" s="424"/>
      <c r="I141" s="424"/>
      <c r="J141" s="425"/>
      <c r="K141" s="425"/>
      <c r="L141" s="425"/>
      <c r="M141" s="425"/>
      <c r="N141" s="425"/>
      <c r="O141" s="424"/>
      <c r="P141" s="426"/>
      <c r="Q141" s="426"/>
      <c r="R141" s="426"/>
      <c r="S141" s="426"/>
      <c r="T141" s="326"/>
      <c r="U141" s="326"/>
      <c r="V141" s="426"/>
      <c r="W141" s="426"/>
      <c r="X141" s="426"/>
      <c r="Y141" s="426"/>
      <c r="Z141" s="426"/>
      <c r="AA141" s="426"/>
      <c r="AB141" s="426"/>
      <c r="AC141" s="426"/>
      <c r="AD141" s="426"/>
      <c r="AE141" s="326"/>
      <c r="AF141" s="326"/>
      <c r="AG141" s="424"/>
      <c r="AH141" s="424"/>
      <c r="AI141" s="424"/>
      <c r="AJ141" s="424"/>
      <c r="AK141" s="424"/>
      <c r="AL141" s="424"/>
      <c r="AM141" s="425"/>
      <c r="AN141" s="425"/>
      <c r="AO141" s="425"/>
      <c r="AP141" s="425"/>
      <c r="AQ141" s="425"/>
      <c r="AR141" s="425"/>
      <c r="AS141" s="425"/>
      <c r="AT141" s="425"/>
      <c r="AU141" s="425"/>
      <c r="AV141" s="425"/>
      <c r="AW141" s="425"/>
      <c r="AX141" s="425"/>
      <c r="AY141" s="425"/>
      <c r="AZ141" s="425"/>
      <c r="BA141" s="425"/>
      <c r="BB141" s="425"/>
      <c r="BC141" s="425"/>
      <c r="BD141" s="425"/>
      <c r="BE141" s="425"/>
      <c r="BF141" s="425"/>
      <c r="BG141" s="463"/>
      <c r="BH141" s="463"/>
      <c r="BI141" s="463"/>
      <c r="BJ141" s="463"/>
      <c r="BK141" s="463"/>
      <c r="BL141" s="463"/>
      <c r="BM141" s="463"/>
      <c r="BN141" s="463"/>
    </row>
    <row r="142" spans="1:66" ht="15.75" customHeight="1" x14ac:dyDescent="0.2">
      <c r="A142" s="424"/>
      <c r="B142" s="424"/>
      <c r="C142" s="424"/>
      <c r="D142" s="424"/>
      <c r="E142" s="424"/>
      <c r="F142" s="425"/>
      <c r="G142" s="425"/>
      <c r="H142" s="424"/>
      <c r="I142" s="424"/>
      <c r="J142" s="425"/>
      <c r="K142" s="425"/>
      <c r="L142" s="425"/>
      <c r="M142" s="425"/>
      <c r="N142" s="425"/>
      <c r="O142" s="424"/>
      <c r="P142" s="426"/>
      <c r="Q142" s="426"/>
      <c r="R142" s="426"/>
      <c r="S142" s="426"/>
      <c r="T142" s="326"/>
      <c r="U142" s="326"/>
      <c r="V142" s="426"/>
      <c r="W142" s="426"/>
      <c r="X142" s="426"/>
      <c r="Y142" s="426"/>
      <c r="Z142" s="426"/>
      <c r="AA142" s="426"/>
      <c r="AB142" s="426"/>
      <c r="AC142" s="426"/>
      <c r="AD142" s="426"/>
      <c r="AE142" s="326"/>
      <c r="AF142" s="326"/>
      <c r="AG142" s="424"/>
      <c r="AH142" s="424"/>
      <c r="AI142" s="424"/>
      <c r="AJ142" s="424"/>
      <c r="AK142" s="424"/>
      <c r="AL142" s="424"/>
      <c r="AM142" s="425"/>
      <c r="AN142" s="425"/>
      <c r="AO142" s="425"/>
      <c r="AP142" s="425"/>
      <c r="AQ142" s="425"/>
      <c r="AR142" s="425"/>
      <c r="AS142" s="425"/>
      <c r="AT142" s="425"/>
      <c r="AU142" s="425"/>
      <c r="AV142" s="425"/>
      <c r="AW142" s="425"/>
      <c r="AX142" s="425"/>
      <c r="AY142" s="425"/>
      <c r="AZ142" s="425"/>
      <c r="BA142" s="425"/>
      <c r="BB142" s="425"/>
      <c r="BC142" s="425"/>
      <c r="BD142" s="425"/>
      <c r="BE142" s="425"/>
      <c r="BF142" s="425"/>
      <c r="BG142" s="463"/>
      <c r="BH142" s="463"/>
      <c r="BI142" s="463"/>
      <c r="BJ142" s="463"/>
      <c r="BK142" s="463"/>
      <c r="BL142" s="463"/>
      <c r="BM142" s="463"/>
      <c r="BN142" s="463"/>
    </row>
    <row r="143" spans="1:66" ht="15.75" customHeight="1" x14ac:dyDescent="0.2">
      <c r="A143" s="424"/>
      <c r="B143" s="424"/>
      <c r="C143" s="424"/>
      <c r="D143" s="424"/>
      <c r="E143" s="424"/>
      <c r="F143" s="425"/>
      <c r="G143" s="425"/>
      <c r="H143" s="424"/>
      <c r="I143" s="424"/>
      <c r="J143" s="425"/>
      <c r="K143" s="425"/>
      <c r="L143" s="425"/>
      <c r="M143" s="425"/>
      <c r="N143" s="425"/>
      <c r="O143" s="424"/>
      <c r="P143" s="426"/>
      <c r="Q143" s="426"/>
      <c r="R143" s="426"/>
      <c r="S143" s="426"/>
      <c r="T143" s="326"/>
      <c r="U143" s="326"/>
      <c r="V143" s="426"/>
      <c r="W143" s="426"/>
      <c r="X143" s="426"/>
      <c r="Y143" s="426"/>
      <c r="Z143" s="426"/>
      <c r="AA143" s="426"/>
      <c r="AB143" s="426"/>
      <c r="AC143" s="426"/>
      <c r="AD143" s="426"/>
      <c r="AE143" s="326"/>
      <c r="AF143" s="326"/>
      <c r="AG143" s="424"/>
      <c r="AH143" s="424"/>
      <c r="AI143" s="424"/>
      <c r="AJ143" s="424"/>
      <c r="AK143" s="424"/>
      <c r="AL143" s="424"/>
      <c r="AM143" s="425"/>
      <c r="AN143" s="425"/>
      <c r="AO143" s="425"/>
      <c r="AP143" s="425"/>
      <c r="AQ143" s="425"/>
      <c r="AR143" s="425"/>
      <c r="AS143" s="425"/>
      <c r="AT143" s="425"/>
      <c r="AU143" s="425"/>
      <c r="AV143" s="425"/>
      <c r="AW143" s="425"/>
      <c r="AX143" s="425"/>
      <c r="AY143" s="425"/>
      <c r="AZ143" s="425"/>
      <c r="BA143" s="425"/>
      <c r="BB143" s="425"/>
      <c r="BC143" s="425"/>
      <c r="BD143" s="425"/>
      <c r="BE143" s="425"/>
      <c r="BF143" s="425"/>
      <c r="BG143" s="463"/>
      <c r="BH143" s="463"/>
      <c r="BI143" s="463"/>
      <c r="BJ143" s="463"/>
      <c r="BK143" s="463"/>
      <c r="BL143" s="463"/>
      <c r="BM143" s="463"/>
      <c r="BN143" s="463"/>
    </row>
    <row r="144" spans="1:66" ht="15.75" customHeight="1" x14ac:dyDescent="0.2">
      <c r="A144" s="424"/>
      <c r="B144" s="424"/>
      <c r="C144" s="424"/>
      <c r="D144" s="424"/>
      <c r="E144" s="424"/>
      <c r="F144" s="425"/>
      <c r="G144" s="425"/>
      <c r="H144" s="424"/>
      <c r="I144" s="424"/>
      <c r="J144" s="425"/>
      <c r="K144" s="425"/>
      <c r="L144" s="425"/>
      <c r="M144" s="425"/>
      <c r="N144" s="425"/>
      <c r="O144" s="424"/>
      <c r="P144" s="426"/>
      <c r="Q144" s="426"/>
      <c r="R144" s="426"/>
      <c r="S144" s="426"/>
      <c r="T144" s="326"/>
      <c r="U144" s="326"/>
      <c r="V144" s="426"/>
      <c r="W144" s="426"/>
      <c r="X144" s="426"/>
      <c r="Y144" s="426"/>
      <c r="Z144" s="426"/>
      <c r="AA144" s="426"/>
      <c r="AB144" s="426"/>
      <c r="AC144" s="426"/>
      <c r="AD144" s="426"/>
      <c r="AE144" s="326"/>
      <c r="AF144" s="326"/>
      <c r="AG144" s="424"/>
      <c r="AH144" s="424"/>
      <c r="AI144" s="424"/>
      <c r="AJ144" s="424"/>
      <c r="AK144" s="424"/>
      <c r="AL144" s="424"/>
      <c r="AM144" s="425"/>
      <c r="AN144" s="425"/>
      <c r="AO144" s="425"/>
      <c r="AP144" s="425"/>
      <c r="AQ144" s="425"/>
      <c r="AR144" s="425"/>
      <c r="AS144" s="425"/>
      <c r="AT144" s="425"/>
      <c r="AU144" s="425"/>
      <c r="AV144" s="425"/>
      <c r="AW144" s="425"/>
      <c r="AX144" s="425"/>
      <c r="AY144" s="425"/>
      <c r="AZ144" s="425"/>
      <c r="BA144" s="425"/>
      <c r="BB144" s="425"/>
      <c r="BC144" s="425"/>
      <c r="BD144" s="425"/>
      <c r="BE144" s="425"/>
      <c r="BF144" s="425"/>
      <c r="BG144" s="463"/>
      <c r="BH144" s="463"/>
      <c r="BI144" s="463"/>
      <c r="BJ144" s="463"/>
      <c r="BK144" s="463"/>
      <c r="BL144" s="463"/>
      <c r="BM144" s="463"/>
      <c r="BN144" s="463"/>
    </row>
    <row r="145" spans="1:66" ht="15.75" customHeight="1" x14ac:dyDescent="0.2">
      <c r="A145" s="424"/>
      <c r="B145" s="424"/>
      <c r="C145" s="424"/>
      <c r="D145" s="424"/>
      <c r="E145" s="424"/>
      <c r="F145" s="425"/>
      <c r="G145" s="425"/>
      <c r="H145" s="424"/>
      <c r="I145" s="424"/>
      <c r="J145" s="425"/>
      <c r="K145" s="425"/>
      <c r="L145" s="425"/>
      <c r="M145" s="425"/>
      <c r="N145" s="425"/>
      <c r="O145" s="424"/>
      <c r="P145" s="426"/>
      <c r="Q145" s="426"/>
      <c r="R145" s="426"/>
      <c r="S145" s="426"/>
      <c r="T145" s="326"/>
      <c r="U145" s="326"/>
      <c r="V145" s="426"/>
      <c r="W145" s="426"/>
      <c r="X145" s="426"/>
      <c r="Y145" s="426"/>
      <c r="Z145" s="426"/>
      <c r="AA145" s="426"/>
      <c r="AB145" s="426"/>
      <c r="AC145" s="426"/>
      <c r="AD145" s="426"/>
      <c r="AE145" s="326"/>
      <c r="AF145" s="326"/>
      <c r="AG145" s="424"/>
      <c r="AH145" s="424"/>
      <c r="AI145" s="424"/>
      <c r="AJ145" s="424"/>
      <c r="AK145" s="424"/>
      <c r="AL145" s="424"/>
      <c r="AM145" s="425"/>
      <c r="AN145" s="425"/>
      <c r="AO145" s="425"/>
      <c r="AP145" s="425"/>
      <c r="AQ145" s="425"/>
      <c r="AR145" s="425"/>
      <c r="AS145" s="425"/>
      <c r="AT145" s="425"/>
      <c r="AU145" s="425"/>
      <c r="AV145" s="425"/>
      <c r="AW145" s="425"/>
      <c r="AX145" s="425"/>
      <c r="AY145" s="425"/>
      <c r="AZ145" s="425"/>
      <c r="BA145" s="425"/>
      <c r="BB145" s="425"/>
      <c r="BC145" s="425"/>
      <c r="BD145" s="425"/>
      <c r="BE145" s="425"/>
      <c r="BF145" s="425"/>
      <c r="BG145" s="463"/>
      <c r="BH145" s="463"/>
      <c r="BI145" s="463"/>
      <c r="BJ145" s="463"/>
      <c r="BK145" s="463"/>
      <c r="BL145" s="463"/>
      <c r="BM145" s="463"/>
      <c r="BN145" s="463"/>
    </row>
    <row r="146" spans="1:66" ht="15.75" customHeight="1" x14ac:dyDescent="0.2">
      <c r="A146" s="424"/>
      <c r="B146" s="424"/>
      <c r="C146" s="424"/>
      <c r="D146" s="424"/>
      <c r="E146" s="424"/>
      <c r="F146" s="425"/>
      <c r="G146" s="425"/>
      <c r="H146" s="424"/>
      <c r="I146" s="424"/>
      <c r="J146" s="425"/>
      <c r="K146" s="425"/>
      <c r="L146" s="425"/>
      <c r="M146" s="425"/>
      <c r="N146" s="425"/>
      <c r="O146" s="424"/>
      <c r="P146" s="426"/>
      <c r="Q146" s="426"/>
      <c r="R146" s="426"/>
      <c r="S146" s="426"/>
      <c r="T146" s="326"/>
      <c r="U146" s="326"/>
      <c r="V146" s="426"/>
      <c r="W146" s="426"/>
      <c r="X146" s="426"/>
      <c r="Y146" s="426"/>
      <c r="Z146" s="426"/>
      <c r="AA146" s="426"/>
      <c r="AB146" s="426"/>
      <c r="AC146" s="426"/>
      <c r="AD146" s="426"/>
      <c r="AE146" s="326"/>
      <c r="AF146" s="326"/>
      <c r="AG146" s="424"/>
      <c r="AH146" s="424"/>
      <c r="AI146" s="424"/>
      <c r="AJ146" s="424"/>
      <c r="AK146" s="424"/>
      <c r="AL146" s="424"/>
      <c r="AM146" s="425"/>
      <c r="AN146" s="425"/>
      <c r="AO146" s="425"/>
      <c r="AP146" s="425"/>
      <c r="AQ146" s="425"/>
      <c r="AR146" s="425"/>
      <c r="AS146" s="425"/>
      <c r="AT146" s="425"/>
      <c r="AU146" s="425"/>
      <c r="AV146" s="425"/>
      <c r="AW146" s="425"/>
      <c r="AX146" s="425"/>
      <c r="AY146" s="425"/>
      <c r="AZ146" s="425"/>
      <c r="BA146" s="425"/>
      <c r="BB146" s="425"/>
      <c r="BC146" s="425"/>
      <c r="BD146" s="425"/>
      <c r="BE146" s="425"/>
      <c r="BF146" s="425"/>
      <c r="BG146" s="463"/>
      <c r="BH146" s="463"/>
      <c r="BI146" s="463"/>
      <c r="BJ146" s="463"/>
      <c r="BK146" s="463"/>
      <c r="BL146" s="463"/>
      <c r="BM146" s="463"/>
      <c r="BN146" s="463"/>
    </row>
    <row r="147" spans="1:66" ht="15.75" customHeight="1" x14ac:dyDescent="0.2">
      <c r="A147" s="424"/>
      <c r="B147" s="424"/>
      <c r="C147" s="424"/>
      <c r="D147" s="424"/>
      <c r="E147" s="424"/>
      <c r="F147" s="425"/>
      <c r="G147" s="425"/>
      <c r="H147" s="424"/>
      <c r="I147" s="424"/>
      <c r="J147" s="425"/>
      <c r="K147" s="425"/>
      <c r="L147" s="425"/>
      <c r="M147" s="425"/>
      <c r="N147" s="425"/>
      <c r="O147" s="424"/>
      <c r="P147" s="426"/>
      <c r="Q147" s="426"/>
      <c r="R147" s="426"/>
      <c r="S147" s="426"/>
      <c r="T147" s="326"/>
      <c r="U147" s="326"/>
      <c r="V147" s="426"/>
      <c r="W147" s="426"/>
      <c r="X147" s="426"/>
      <c r="Y147" s="426"/>
      <c r="Z147" s="426"/>
      <c r="AA147" s="426"/>
      <c r="AB147" s="426"/>
      <c r="AC147" s="426"/>
      <c r="AD147" s="426"/>
      <c r="AE147" s="326"/>
      <c r="AF147" s="326"/>
      <c r="AG147" s="424"/>
      <c r="AH147" s="424"/>
      <c r="AI147" s="424"/>
      <c r="AJ147" s="424"/>
      <c r="AK147" s="424"/>
      <c r="AL147" s="424"/>
      <c r="AM147" s="425"/>
      <c r="AN147" s="425"/>
      <c r="AO147" s="425"/>
      <c r="AP147" s="425"/>
      <c r="AQ147" s="425"/>
      <c r="AR147" s="425"/>
      <c r="AS147" s="425"/>
      <c r="AT147" s="425"/>
      <c r="AU147" s="425"/>
      <c r="AV147" s="425"/>
      <c r="AW147" s="425"/>
      <c r="AX147" s="425"/>
      <c r="AY147" s="425"/>
      <c r="AZ147" s="425"/>
      <c r="BA147" s="425"/>
      <c r="BB147" s="425"/>
      <c r="BC147" s="425"/>
      <c r="BD147" s="425"/>
      <c r="BE147" s="425"/>
      <c r="BF147" s="425"/>
      <c r="BG147" s="463"/>
      <c r="BH147" s="463"/>
      <c r="BI147" s="463"/>
      <c r="BJ147" s="463"/>
      <c r="BK147" s="463"/>
      <c r="BL147" s="463"/>
      <c r="BM147" s="463"/>
      <c r="BN147" s="463"/>
    </row>
    <row r="148" spans="1:66" ht="15.75" customHeight="1" x14ac:dyDescent="0.2">
      <c r="A148" s="424"/>
      <c r="B148" s="424"/>
      <c r="C148" s="424"/>
      <c r="D148" s="424"/>
      <c r="E148" s="424"/>
      <c r="F148" s="425"/>
      <c r="G148" s="425"/>
      <c r="H148" s="424"/>
      <c r="I148" s="424"/>
      <c r="J148" s="425"/>
      <c r="K148" s="425"/>
      <c r="L148" s="425"/>
      <c r="M148" s="425"/>
      <c r="N148" s="425"/>
      <c r="O148" s="424"/>
      <c r="P148" s="426"/>
      <c r="Q148" s="426"/>
      <c r="R148" s="426"/>
      <c r="S148" s="426"/>
      <c r="T148" s="326"/>
      <c r="U148" s="326"/>
      <c r="V148" s="426"/>
      <c r="W148" s="426"/>
      <c r="X148" s="426"/>
      <c r="Y148" s="426"/>
      <c r="Z148" s="426"/>
      <c r="AA148" s="426"/>
      <c r="AB148" s="426"/>
      <c r="AC148" s="426"/>
      <c r="AD148" s="426"/>
      <c r="AE148" s="326"/>
      <c r="AF148" s="326"/>
      <c r="AG148" s="424"/>
      <c r="AH148" s="424"/>
      <c r="AI148" s="424"/>
      <c r="AJ148" s="424"/>
      <c r="AK148" s="424"/>
      <c r="AL148" s="424"/>
      <c r="AM148" s="425"/>
      <c r="AN148" s="425"/>
      <c r="AO148" s="425"/>
      <c r="AP148" s="425"/>
      <c r="AQ148" s="425"/>
      <c r="AR148" s="425"/>
      <c r="AS148" s="425"/>
      <c r="AT148" s="425"/>
      <c r="AU148" s="425"/>
      <c r="AV148" s="425"/>
      <c r="AW148" s="425"/>
      <c r="AX148" s="425"/>
      <c r="AY148" s="425"/>
      <c r="AZ148" s="425"/>
      <c r="BA148" s="425"/>
      <c r="BB148" s="425"/>
      <c r="BC148" s="425"/>
      <c r="BD148" s="425"/>
      <c r="BE148" s="425"/>
      <c r="BF148" s="425"/>
      <c r="BG148" s="463"/>
      <c r="BH148" s="463"/>
      <c r="BI148" s="463"/>
      <c r="BJ148" s="463"/>
      <c r="BK148" s="463"/>
      <c r="BL148" s="463"/>
      <c r="BM148" s="463"/>
      <c r="BN148" s="463"/>
    </row>
    <row r="149" spans="1:66" ht="15.75" customHeight="1" x14ac:dyDescent="0.2">
      <c r="A149" s="424"/>
      <c r="B149" s="424"/>
      <c r="C149" s="424"/>
      <c r="D149" s="424"/>
      <c r="E149" s="424"/>
      <c r="F149" s="425"/>
      <c r="G149" s="425"/>
      <c r="H149" s="424"/>
      <c r="I149" s="424"/>
      <c r="J149" s="425"/>
      <c r="K149" s="425"/>
      <c r="L149" s="425"/>
      <c r="M149" s="425"/>
      <c r="N149" s="425"/>
      <c r="O149" s="424"/>
      <c r="P149" s="426"/>
      <c r="Q149" s="426"/>
      <c r="R149" s="426"/>
      <c r="S149" s="426"/>
      <c r="T149" s="326"/>
      <c r="U149" s="326"/>
      <c r="V149" s="426"/>
      <c r="W149" s="426"/>
      <c r="X149" s="426"/>
      <c r="Y149" s="426"/>
      <c r="Z149" s="426"/>
      <c r="AA149" s="426"/>
      <c r="AB149" s="426"/>
      <c r="AC149" s="426"/>
      <c r="AD149" s="426"/>
      <c r="AE149" s="326"/>
      <c r="AF149" s="326"/>
      <c r="AG149" s="424"/>
      <c r="AH149" s="424"/>
      <c r="AI149" s="424"/>
      <c r="AJ149" s="424"/>
      <c r="AK149" s="424"/>
      <c r="AL149" s="424"/>
      <c r="AM149" s="425"/>
      <c r="AN149" s="425"/>
      <c r="AO149" s="425"/>
      <c r="AP149" s="425"/>
      <c r="AQ149" s="425"/>
      <c r="AR149" s="425"/>
      <c r="AS149" s="425"/>
      <c r="AT149" s="425"/>
      <c r="AU149" s="425"/>
      <c r="AV149" s="425"/>
      <c r="AW149" s="425"/>
      <c r="AX149" s="425"/>
      <c r="AY149" s="425"/>
      <c r="AZ149" s="425"/>
      <c r="BA149" s="425"/>
      <c r="BB149" s="425"/>
      <c r="BC149" s="425"/>
      <c r="BD149" s="425"/>
      <c r="BE149" s="425"/>
      <c r="BF149" s="425"/>
      <c r="BG149" s="463"/>
      <c r="BH149" s="463"/>
      <c r="BI149" s="463"/>
      <c r="BJ149" s="463"/>
      <c r="BK149" s="463"/>
      <c r="BL149" s="463"/>
      <c r="BM149" s="463"/>
      <c r="BN149" s="463"/>
    </row>
    <row r="150" spans="1:66" ht="15.75" customHeight="1" x14ac:dyDescent="0.2">
      <c r="A150" s="424"/>
      <c r="B150" s="424"/>
      <c r="C150" s="424"/>
      <c r="D150" s="424"/>
      <c r="E150" s="424"/>
      <c r="F150" s="425"/>
      <c r="G150" s="425"/>
      <c r="H150" s="424"/>
      <c r="I150" s="424"/>
      <c r="J150" s="425"/>
      <c r="K150" s="425"/>
      <c r="L150" s="425"/>
      <c r="M150" s="425"/>
      <c r="N150" s="425"/>
      <c r="O150" s="424"/>
      <c r="P150" s="426"/>
      <c r="Q150" s="426"/>
      <c r="R150" s="426"/>
      <c r="S150" s="426"/>
      <c r="T150" s="326"/>
      <c r="U150" s="326"/>
      <c r="V150" s="426"/>
      <c r="W150" s="426"/>
      <c r="X150" s="426"/>
      <c r="Y150" s="426"/>
      <c r="Z150" s="426"/>
      <c r="AA150" s="426"/>
      <c r="AB150" s="426"/>
      <c r="AC150" s="426"/>
      <c r="AD150" s="426"/>
      <c r="AE150" s="326"/>
      <c r="AF150" s="326"/>
      <c r="AG150" s="424"/>
      <c r="AH150" s="424"/>
      <c r="AI150" s="424"/>
      <c r="AJ150" s="424"/>
      <c r="AK150" s="424"/>
      <c r="AL150" s="424"/>
      <c r="AM150" s="425"/>
      <c r="AN150" s="425"/>
      <c r="AO150" s="425"/>
      <c r="AP150" s="425"/>
      <c r="AQ150" s="425"/>
      <c r="AR150" s="425"/>
      <c r="AS150" s="425"/>
      <c r="AT150" s="425"/>
      <c r="AU150" s="425"/>
      <c r="AV150" s="425"/>
      <c r="AW150" s="425"/>
      <c r="AX150" s="425"/>
      <c r="AY150" s="425"/>
      <c r="AZ150" s="425"/>
      <c r="BA150" s="425"/>
      <c r="BB150" s="425"/>
      <c r="BC150" s="425"/>
      <c r="BD150" s="425"/>
      <c r="BE150" s="425"/>
      <c r="BF150" s="425"/>
      <c r="BG150" s="463"/>
      <c r="BH150" s="463"/>
      <c r="BI150" s="463"/>
      <c r="BJ150" s="463"/>
      <c r="BK150" s="463"/>
      <c r="BL150" s="463"/>
      <c r="BM150" s="463"/>
      <c r="BN150" s="463"/>
    </row>
    <row r="151" spans="1:66" ht="15.75" customHeight="1" x14ac:dyDescent="0.2">
      <c r="A151" s="424"/>
      <c r="B151" s="424"/>
      <c r="C151" s="424"/>
      <c r="D151" s="424"/>
      <c r="E151" s="424"/>
      <c r="F151" s="425"/>
      <c r="G151" s="425"/>
      <c r="H151" s="424"/>
      <c r="I151" s="424"/>
      <c r="J151" s="425"/>
      <c r="K151" s="425"/>
      <c r="L151" s="425"/>
      <c r="M151" s="425"/>
      <c r="N151" s="425"/>
      <c r="O151" s="424"/>
      <c r="P151" s="426"/>
      <c r="Q151" s="426"/>
      <c r="R151" s="426"/>
      <c r="S151" s="426"/>
      <c r="T151" s="326"/>
      <c r="U151" s="326"/>
      <c r="V151" s="426"/>
      <c r="W151" s="426"/>
      <c r="X151" s="426"/>
      <c r="Y151" s="426"/>
      <c r="Z151" s="426"/>
      <c r="AA151" s="426"/>
      <c r="AB151" s="426"/>
      <c r="AC151" s="426"/>
      <c r="AD151" s="426"/>
      <c r="AE151" s="326"/>
      <c r="AF151" s="326"/>
      <c r="AG151" s="424"/>
      <c r="AH151" s="424"/>
      <c r="AI151" s="424"/>
      <c r="AJ151" s="424"/>
      <c r="AK151" s="424"/>
      <c r="AL151" s="424"/>
      <c r="AM151" s="425"/>
      <c r="AN151" s="425"/>
      <c r="AO151" s="425"/>
      <c r="AP151" s="425"/>
      <c r="AQ151" s="425"/>
      <c r="AR151" s="425"/>
      <c r="AS151" s="425"/>
      <c r="AT151" s="425"/>
      <c r="AU151" s="425"/>
      <c r="AV151" s="425"/>
      <c r="AW151" s="425"/>
      <c r="AX151" s="425"/>
      <c r="AY151" s="425"/>
      <c r="AZ151" s="425"/>
      <c r="BA151" s="425"/>
      <c r="BB151" s="425"/>
      <c r="BC151" s="425"/>
      <c r="BD151" s="425"/>
      <c r="BE151" s="425"/>
      <c r="BF151" s="425"/>
      <c r="BG151" s="463"/>
      <c r="BH151" s="463"/>
      <c r="BI151" s="463"/>
      <c r="BJ151" s="463"/>
      <c r="BK151" s="463"/>
      <c r="BL151" s="463"/>
      <c r="BM151" s="463"/>
      <c r="BN151" s="463"/>
    </row>
    <row r="152" spans="1:66" ht="15.75" customHeight="1" x14ac:dyDescent="0.2">
      <c r="A152" s="424"/>
      <c r="B152" s="424"/>
      <c r="C152" s="424"/>
      <c r="D152" s="424"/>
      <c r="E152" s="424"/>
      <c r="F152" s="425"/>
      <c r="G152" s="425"/>
      <c r="H152" s="424"/>
      <c r="I152" s="424"/>
      <c r="J152" s="425"/>
      <c r="K152" s="425"/>
      <c r="L152" s="425"/>
      <c r="M152" s="425"/>
      <c r="N152" s="425"/>
      <c r="O152" s="424"/>
      <c r="P152" s="426"/>
      <c r="Q152" s="426"/>
      <c r="R152" s="426"/>
      <c r="S152" s="426"/>
      <c r="T152" s="326"/>
      <c r="U152" s="326"/>
      <c r="V152" s="426"/>
      <c r="W152" s="426"/>
      <c r="X152" s="426"/>
      <c r="Y152" s="426"/>
      <c r="Z152" s="426"/>
      <c r="AA152" s="426"/>
      <c r="AB152" s="426"/>
      <c r="AC152" s="426"/>
      <c r="AD152" s="426"/>
      <c r="AE152" s="326"/>
      <c r="AF152" s="326"/>
      <c r="AG152" s="424"/>
      <c r="AH152" s="424"/>
      <c r="AI152" s="424"/>
      <c r="AJ152" s="424"/>
      <c r="AK152" s="424"/>
      <c r="AL152" s="424"/>
      <c r="AM152" s="425"/>
      <c r="AN152" s="425"/>
      <c r="AO152" s="425"/>
      <c r="AP152" s="425"/>
      <c r="AQ152" s="425"/>
      <c r="AR152" s="425"/>
      <c r="AS152" s="425"/>
      <c r="AT152" s="425"/>
      <c r="AU152" s="425"/>
      <c r="AV152" s="425"/>
      <c r="AW152" s="425"/>
      <c r="AX152" s="425"/>
      <c r="AY152" s="425"/>
      <c r="AZ152" s="425"/>
      <c r="BA152" s="425"/>
      <c r="BB152" s="425"/>
      <c r="BC152" s="425"/>
      <c r="BD152" s="425"/>
      <c r="BE152" s="425"/>
      <c r="BF152" s="425"/>
      <c r="BG152" s="463"/>
      <c r="BH152" s="463"/>
      <c r="BI152" s="463"/>
      <c r="BJ152" s="463"/>
      <c r="BK152" s="463"/>
      <c r="BL152" s="463"/>
      <c r="BM152" s="463"/>
      <c r="BN152" s="463"/>
    </row>
    <row r="153" spans="1:66" ht="15.75" customHeight="1" x14ac:dyDescent="0.2">
      <c r="A153" s="424"/>
      <c r="B153" s="424"/>
      <c r="C153" s="424"/>
      <c r="D153" s="424"/>
      <c r="E153" s="424"/>
      <c r="F153" s="425"/>
      <c r="G153" s="425"/>
      <c r="H153" s="424"/>
      <c r="I153" s="424"/>
      <c r="J153" s="425"/>
      <c r="K153" s="425"/>
      <c r="L153" s="425"/>
      <c r="M153" s="425"/>
      <c r="N153" s="425"/>
      <c r="O153" s="424"/>
      <c r="P153" s="426"/>
      <c r="Q153" s="426"/>
      <c r="R153" s="426"/>
      <c r="S153" s="426"/>
      <c r="T153" s="326"/>
      <c r="U153" s="326"/>
      <c r="V153" s="426"/>
      <c r="W153" s="426"/>
      <c r="X153" s="426"/>
      <c r="Y153" s="426"/>
      <c r="Z153" s="426"/>
      <c r="AA153" s="426"/>
      <c r="AB153" s="426"/>
      <c r="AC153" s="426"/>
      <c r="AD153" s="426"/>
      <c r="AE153" s="326"/>
      <c r="AF153" s="326"/>
      <c r="AG153" s="424"/>
      <c r="AH153" s="424"/>
      <c r="AI153" s="424"/>
      <c r="AJ153" s="424"/>
      <c r="AK153" s="424"/>
      <c r="AL153" s="424"/>
      <c r="AM153" s="425"/>
      <c r="AN153" s="425"/>
      <c r="AO153" s="425"/>
      <c r="AP153" s="425"/>
      <c r="AQ153" s="425"/>
      <c r="AR153" s="425"/>
      <c r="AS153" s="425"/>
      <c r="AT153" s="425"/>
      <c r="AU153" s="425"/>
      <c r="AV153" s="425"/>
      <c r="AW153" s="425"/>
      <c r="AX153" s="425"/>
      <c r="AY153" s="425"/>
      <c r="AZ153" s="425"/>
      <c r="BA153" s="425"/>
      <c r="BB153" s="425"/>
      <c r="BC153" s="425"/>
      <c r="BD153" s="425"/>
      <c r="BE153" s="425"/>
      <c r="BF153" s="425"/>
      <c r="BG153" s="463"/>
      <c r="BH153" s="463"/>
      <c r="BI153" s="463"/>
      <c r="BJ153" s="463"/>
      <c r="BK153" s="463"/>
      <c r="BL153" s="463"/>
      <c r="BM153" s="463"/>
      <c r="BN153" s="463"/>
    </row>
    <row r="154" spans="1:66" ht="15.75" customHeight="1" x14ac:dyDescent="0.2">
      <c r="A154" s="424"/>
      <c r="B154" s="424"/>
      <c r="C154" s="424"/>
      <c r="D154" s="424"/>
      <c r="E154" s="424"/>
      <c r="F154" s="425"/>
      <c r="G154" s="425"/>
      <c r="H154" s="424"/>
      <c r="I154" s="424"/>
      <c r="J154" s="425"/>
      <c r="K154" s="425"/>
      <c r="L154" s="425"/>
      <c r="M154" s="425"/>
      <c r="N154" s="425"/>
      <c r="O154" s="424"/>
      <c r="P154" s="426"/>
      <c r="Q154" s="426"/>
      <c r="R154" s="426"/>
      <c r="S154" s="426"/>
      <c r="T154" s="326"/>
      <c r="U154" s="326"/>
      <c r="V154" s="426"/>
      <c r="W154" s="426"/>
      <c r="X154" s="426"/>
      <c r="Y154" s="426"/>
      <c r="Z154" s="426"/>
      <c r="AA154" s="426"/>
      <c r="AB154" s="426"/>
      <c r="AC154" s="426"/>
      <c r="AD154" s="426"/>
      <c r="AE154" s="326"/>
      <c r="AF154" s="326"/>
      <c r="AG154" s="424"/>
      <c r="AH154" s="424"/>
      <c r="AI154" s="424"/>
      <c r="AJ154" s="424"/>
      <c r="AK154" s="424"/>
      <c r="AL154" s="424"/>
      <c r="AM154" s="425"/>
      <c r="AN154" s="425"/>
      <c r="AO154" s="425"/>
      <c r="AP154" s="425"/>
      <c r="AQ154" s="425"/>
      <c r="AR154" s="425"/>
      <c r="AS154" s="425"/>
      <c r="AT154" s="425"/>
      <c r="AU154" s="425"/>
      <c r="AV154" s="425"/>
      <c r="AW154" s="425"/>
      <c r="AX154" s="425"/>
      <c r="AY154" s="425"/>
      <c r="AZ154" s="425"/>
      <c r="BA154" s="425"/>
      <c r="BB154" s="425"/>
      <c r="BC154" s="425"/>
      <c r="BD154" s="425"/>
      <c r="BE154" s="425"/>
      <c r="BF154" s="425"/>
      <c r="BG154" s="463"/>
      <c r="BH154" s="463"/>
      <c r="BI154" s="463"/>
      <c r="BJ154" s="463"/>
      <c r="BK154" s="463"/>
      <c r="BL154" s="463"/>
      <c r="BM154" s="463"/>
      <c r="BN154" s="463"/>
    </row>
    <row r="155" spans="1:66" ht="15.75" customHeight="1" x14ac:dyDescent="0.2">
      <c r="A155" s="424"/>
      <c r="B155" s="424"/>
      <c r="C155" s="424"/>
      <c r="D155" s="424"/>
      <c r="E155" s="424"/>
      <c r="F155" s="425"/>
      <c r="G155" s="425"/>
      <c r="H155" s="424"/>
      <c r="I155" s="424"/>
      <c r="J155" s="425"/>
      <c r="K155" s="425"/>
      <c r="L155" s="425"/>
      <c r="M155" s="425"/>
      <c r="N155" s="425"/>
      <c r="O155" s="424"/>
      <c r="P155" s="426"/>
      <c r="Q155" s="426"/>
      <c r="R155" s="426"/>
      <c r="S155" s="426"/>
      <c r="T155" s="326"/>
      <c r="U155" s="326"/>
      <c r="V155" s="426"/>
      <c r="W155" s="426"/>
      <c r="X155" s="426"/>
      <c r="Y155" s="426"/>
      <c r="Z155" s="426"/>
      <c r="AA155" s="426"/>
      <c r="AB155" s="426"/>
      <c r="AC155" s="426"/>
      <c r="AD155" s="426"/>
      <c r="AE155" s="326"/>
      <c r="AF155" s="326"/>
      <c r="AG155" s="424"/>
      <c r="AH155" s="424"/>
      <c r="AI155" s="424"/>
      <c r="AJ155" s="424"/>
      <c r="AK155" s="424"/>
      <c r="AL155" s="424"/>
      <c r="AM155" s="425"/>
      <c r="AN155" s="425"/>
      <c r="AO155" s="425"/>
      <c r="AP155" s="425"/>
      <c r="AQ155" s="425"/>
      <c r="AR155" s="425"/>
      <c r="AS155" s="425"/>
      <c r="AT155" s="425"/>
      <c r="AU155" s="425"/>
      <c r="AV155" s="425"/>
      <c r="AW155" s="425"/>
      <c r="AX155" s="425"/>
      <c r="AY155" s="425"/>
      <c r="AZ155" s="425"/>
      <c r="BA155" s="425"/>
      <c r="BB155" s="425"/>
      <c r="BC155" s="425"/>
      <c r="BD155" s="425"/>
      <c r="BE155" s="425"/>
      <c r="BF155" s="425"/>
      <c r="BG155" s="463"/>
      <c r="BH155" s="463"/>
      <c r="BI155" s="463"/>
      <c r="BJ155" s="463"/>
      <c r="BK155" s="463"/>
      <c r="BL155" s="463"/>
      <c r="BM155" s="463"/>
      <c r="BN155" s="463"/>
    </row>
    <row r="156" spans="1:66" ht="15.75" customHeight="1" x14ac:dyDescent="0.2">
      <c r="A156" s="424"/>
      <c r="B156" s="424"/>
      <c r="C156" s="424"/>
      <c r="D156" s="424"/>
      <c r="E156" s="424"/>
      <c r="F156" s="425"/>
      <c r="G156" s="425"/>
      <c r="H156" s="424"/>
      <c r="I156" s="424"/>
      <c r="J156" s="425"/>
      <c r="K156" s="425"/>
      <c r="L156" s="425"/>
      <c r="M156" s="425"/>
      <c r="N156" s="425"/>
      <c r="O156" s="424"/>
      <c r="P156" s="426"/>
      <c r="Q156" s="426"/>
      <c r="R156" s="426"/>
      <c r="S156" s="426"/>
      <c r="T156" s="326"/>
      <c r="U156" s="326"/>
      <c r="V156" s="426"/>
      <c r="W156" s="426"/>
      <c r="X156" s="426"/>
      <c r="Y156" s="426"/>
      <c r="Z156" s="426"/>
      <c r="AA156" s="426"/>
      <c r="AB156" s="426"/>
      <c r="AC156" s="426"/>
      <c r="AD156" s="426"/>
      <c r="AE156" s="326"/>
      <c r="AF156" s="326"/>
      <c r="AG156" s="424"/>
      <c r="AH156" s="424"/>
      <c r="AI156" s="424"/>
      <c r="AJ156" s="424"/>
      <c r="AK156" s="424"/>
      <c r="AL156" s="424"/>
      <c r="AM156" s="425"/>
      <c r="AN156" s="425"/>
      <c r="AO156" s="425"/>
      <c r="AP156" s="425"/>
      <c r="AQ156" s="425"/>
      <c r="AR156" s="425"/>
      <c r="AS156" s="425"/>
      <c r="AT156" s="425"/>
      <c r="AU156" s="425"/>
      <c r="AV156" s="425"/>
      <c r="AW156" s="425"/>
      <c r="AX156" s="425"/>
      <c r="AY156" s="425"/>
      <c r="AZ156" s="425"/>
      <c r="BA156" s="425"/>
      <c r="BB156" s="425"/>
      <c r="BC156" s="425"/>
      <c r="BD156" s="425"/>
      <c r="BE156" s="425"/>
      <c r="BF156" s="425"/>
      <c r="BG156" s="463"/>
      <c r="BH156" s="463"/>
      <c r="BI156" s="463"/>
      <c r="BJ156" s="463"/>
      <c r="BK156" s="463"/>
      <c r="BL156" s="463"/>
      <c r="BM156" s="463"/>
      <c r="BN156" s="463"/>
    </row>
    <row r="157" spans="1:66" ht="15.75" customHeight="1" x14ac:dyDescent="0.2">
      <c r="A157" s="424"/>
      <c r="B157" s="424"/>
      <c r="C157" s="424"/>
      <c r="D157" s="424"/>
      <c r="E157" s="424"/>
      <c r="F157" s="425"/>
      <c r="G157" s="425"/>
      <c r="H157" s="424"/>
      <c r="I157" s="424"/>
      <c r="J157" s="425"/>
      <c r="K157" s="425"/>
      <c r="L157" s="425"/>
      <c r="M157" s="425"/>
      <c r="N157" s="425"/>
      <c r="O157" s="424"/>
      <c r="P157" s="426"/>
      <c r="Q157" s="426"/>
      <c r="R157" s="426"/>
      <c r="S157" s="426"/>
      <c r="T157" s="326"/>
      <c r="U157" s="326"/>
      <c r="V157" s="426"/>
      <c r="W157" s="426"/>
      <c r="X157" s="426"/>
      <c r="Y157" s="426"/>
      <c r="Z157" s="426"/>
      <c r="AA157" s="426"/>
      <c r="AB157" s="426"/>
      <c r="AC157" s="426"/>
      <c r="AD157" s="426"/>
      <c r="AE157" s="326"/>
      <c r="AF157" s="326"/>
      <c r="AG157" s="424"/>
      <c r="AH157" s="424"/>
      <c r="AI157" s="424"/>
      <c r="AJ157" s="424"/>
      <c r="AK157" s="424"/>
      <c r="AL157" s="424"/>
      <c r="AM157" s="425"/>
      <c r="AN157" s="425"/>
      <c r="AO157" s="425"/>
      <c r="AP157" s="425"/>
      <c r="AQ157" s="425"/>
      <c r="AR157" s="425"/>
      <c r="AS157" s="425"/>
      <c r="AT157" s="425"/>
      <c r="AU157" s="425"/>
      <c r="AV157" s="425"/>
      <c r="AW157" s="425"/>
      <c r="AX157" s="425"/>
      <c r="AY157" s="425"/>
      <c r="AZ157" s="425"/>
      <c r="BA157" s="425"/>
      <c r="BB157" s="425"/>
      <c r="BC157" s="425"/>
      <c r="BD157" s="425"/>
      <c r="BE157" s="425"/>
      <c r="BF157" s="425"/>
      <c r="BG157" s="463"/>
      <c r="BH157" s="463"/>
      <c r="BI157" s="463"/>
      <c r="BJ157" s="463"/>
      <c r="BK157" s="463"/>
      <c r="BL157" s="463"/>
      <c r="BM157" s="463"/>
      <c r="BN157" s="463"/>
    </row>
    <row r="158" spans="1:66" ht="15.75" customHeight="1" x14ac:dyDescent="0.2">
      <c r="A158" s="424"/>
      <c r="B158" s="424"/>
      <c r="C158" s="424"/>
      <c r="D158" s="424"/>
      <c r="E158" s="424"/>
      <c r="F158" s="425"/>
      <c r="G158" s="425"/>
      <c r="H158" s="424"/>
      <c r="I158" s="424"/>
      <c r="J158" s="425"/>
      <c r="K158" s="425"/>
      <c r="L158" s="425"/>
      <c r="M158" s="425"/>
      <c r="N158" s="425"/>
      <c r="O158" s="424"/>
      <c r="P158" s="426"/>
      <c r="Q158" s="426"/>
      <c r="R158" s="426"/>
      <c r="S158" s="426"/>
      <c r="T158" s="326"/>
      <c r="U158" s="326"/>
      <c r="V158" s="426"/>
      <c r="W158" s="426"/>
      <c r="X158" s="426"/>
      <c r="Y158" s="426"/>
      <c r="Z158" s="426"/>
      <c r="AA158" s="426"/>
      <c r="AB158" s="426"/>
      <c r="AC158" s="426"/>
      <c r="AD158" s="426"/>
      <c r="AE158" s="326"/>
      <c r="AF158" s="326"/>
      <c r="AG158" s="424"/>
      <c r="AH158" s="424"/>
      <c r="AI158" s="424"/>
      <c r="AJ158" s="424"/>
      <c r="AK158" s="424"/>
      <c r="AL158" s="424"/>
      <c r="AM158" s="425"/>
      <c r="AN158" s="425"/>
      <c r="AO158" s="425"/>
      <c r="AP158" s="425"/>
      <c r="AQ158" s="425"/>
      <c r="AR158" s="425"/>
      <c r="AS158" s="425"/>
      <c r="AT158" s="425"/>
      <c r="AU158" s="425"/>
      <c r="AV158" s="425"/>
      <c r="AW158" s="425"/>
      <c r="AX158" s="425"/>
      <c r="AY158" s="425"/>
      <c r="AZ158" s="425"/>
      <c r="BA158" s="425"/>
      <c r="BB158" s="425"/>
      <c r="BC158" s="425"/>
      <c r="BD158" s="425"/>
      <c r="BE158" s="425"/>
      <c r="BF158" s="425"/>
      <c r="BG158" s="463"/>
      <c r="BH158" s="463"/>
      <c r="BI158" s="463"/>
      <c r="BJ158" s="463"/>
      <c r="BK158" s="463"/>
      <c r="BL158" s="463"/>
      <c r="BM158" s="463"/>
      <c r="BN158" s="463"/>
    </row>
    <row r="159" spans="1:66" ht="15.75" customHeight="1" x14ac:dyDescent="0.2">
      <c r="A159" s="424"/>
      <c r="B159" s="424"/>
      <c r="C159" s="424"/>
      <c r="D159" s="424"/>
      <c r="E159" s="424"/>
      <c r="F159" s="425"/>
      <c r="G159" s="425"/>
      <c r="H159" s="424"/>
      <c r="I159" s="424"/>
      <c r="J159" s="425"/>
      <c r="K159" s="425"/>
      <c r="L159" s="425"/>
      <c r="M159" s="425"/>
      <c r="N159" s="425"/>
      <c r="O159" s="424"/>
      <c r="P159" s="426"/>
      <c r="Q159" s="426"/>
      <c r="R159" s="426"/>
      <c r="S159" s="426"/>
      <c r="T159" s="326"/>
      <c r="U159" s="326"/>
      <c r="V159" s="426"/>
      <c r="W159" s="426"/>
      <c r="X159" s="426"/>
      <c r="Y159" s="426"/>
      <c r="Z159" s="426"/>
      <c r="AA159" s="426"/>
      <c r="AB159" s="426"/>
      <c r="AC159" s="426"/>
      <c r="AD159" s="426"/>
      <c r="AE159" s="326"/>
      <c r="AF159" s="326"/>
      <c r="AG159" s="424"/>
      <c r="AH159" s="424"/>
      <c r="AI159" s="424"/>
      <c r="AJ159" s="424"/>
      <c r="AK159" s="424"/>
      <c r="AL159" s="424"/>
      <c r="AM159" s="425"/>
      <c r="AN159" s="425"/>
      <c r="AO159" s="425"/>
      <c r="AP159" s="425"/>
      <c r="AQ159" s="425"/>
      <c r="AR159" s="425"/>
      <c r="AS159" s="425"/>
      <c r="AT159" s="425"/>
      <c r="AU159" s="425"/>
      <c r="AV159" s="425"/>
      <c r="AW159" s="425"/>
      <c r="AX159" s="425"/>
      <c r="AY159" s="425"/>
      <c r="AZ159" s="425"/>
      <c r="BA159" s="425"/>
      <c r="BB159" s="425"/>
      <c r="BC159" s="425"/>
      <c r="BD159" s="425"/>
      <c r="BE159" s="425"/>
      <c r="BF159" s="425"/>
      <c r="BG159" s="463"/>
      <c r="BH159" s="463"/>
      <c r="BI159" s="463"/>
      <c r="BJ159" s="463"/>
      <c r="BK159" s="463"/>
      <c r="BL159" s="463"/>
      <c r="BM159" s="463"/>
      <c r="BN159" s="463"/>
    </row>
    <row r="160" spans="1:66" ht="15.75" customHeight="1" x14ac:dyDescent="0.2">
      <c r="A160" s="424"/>
      <c r="B160" s="424"/>
      <c r="C160" s="424"/>
      <c r="D160" s="424"/>
      <c r="E160" s="424"/>
      <c r="F160" s="425"/>
      <c r="G160" s="425"/>
      <c r="H160" s="424"/>
      <c r="I160" s="424"/>
      <c r="J160" s="425"/>
      <c r="K160" s="425"/>
      <c r="L160" s="425"/>
      <c r="M160" s="425"/>
      <c r="N160" s="425"/>
      <c r="O160" s="424"/>
      <c r="P160" s="426"/>
      <c r="Q160" s="426"/>
      <c r="R160" s="426"/>
      <c r="S160" s="426"/>
      <c r="T160" s="326"/>
      <c r="U160" s="326"/>
      <c r="V160" s="426"/>
      <c r="W160" s="426"/>
      <c r="X160" s="426"/>
      <c r="Y160" s="426"/>
      <c r="Z160" s="426"/>
      <c r="AA160" s="426"/>
      <c r="AB160" s="426"/>
      <c r="AC160" s="426"/>
      <c r="AD160" s="426"/>
      <c r="AE160" s="326"/>
      <c r="AF160" s="326"/>
      <c r="AG160" s="424"/>
      <c r="AH160" s="424"/>
      <c r="AI160" s="424"/>
      <c r="AJ160" s="424"/>
      <c r="AK160" s="424"/>
      <c r="AL160" s="424"/>
      <c r="AM160" s="425"/>
      <c r="AN160" s="425"/>
      <c r="AO160" s="425"/>
      <c r="AP160" s="425"/>
      <c r="AQ160" s="425"/>
      <c r="AR160" s="425"/>
      <c r="AS160" s="425"/>
      <c r="AT160" s="425"/>
      <c r="AU160" s="425"/>
      <c r="AV160" s="425"/>
      <c r="AW160" s="425"/>
      <c r="AX160" s="425"/>
      <c r="AY160" s="425"/>
      <c r="AZ160" s="425"/>
      <c r="BA160" s="425"/>
      <c r="BB160" s="425"/>
      <c r="BC160" s="425"/>
      <c r="BD160" s="425"/>
      <c r="BE160" s="425"/>
      <c r="BF160" s="425"/>
      <c r="BG160" s="463"/>
      <c r="BH160" s="463"/>
      <c r="BI160" s="463"/>
      <c r="BJ160" s="463"/>
      <c r="BK160" s="463"/>
      <c r="BL160" s="463"/>
      <c r="BM160" s="463"/>
      <c r="BN160" s="463"/>
    </row>
    <row r="161" spans="1:66" ht="15.75" customHeight="1" x14ac:dyDescent="0.2">
      <c r="A161" s="424"/>
      <c r="B161" s="424"/>
      <c r="C161" s="424"/>
      <c r="D161" s="424"/>
      <c r="E161" s="424"/>
      <c r="F161" s="425"/>
      <c r="G161" s="425"/>
      <c r="H161" s="424"/>
      <c r="I161" s="424"/>
      <c r="J161" s="425"/>
      <c r="K161" s="425"/>
      <c r="L161" s="425"/>
      <c r="M161" s="425"/>
      <c r="N161" s="425"/>
      <c r="O161" s="424"/>
      <c r="P161" s="426"/>
      <c r="Q161" s="426"/>
      <c r="R161" s="426"/>
      <c r="S161" s="426"/>
      <c r="T161" s="326"/>
      <c r="U161" s="326"/>
      <c r="V161" s="426"/>
      <c r="W161" s="426"/>
      <c r="X161" s="426"/>
      <c r="Y161" s="426"/>
      <c r="Z161" s="426"/>
      <c r="AA161" s="426"/>
      <c r="AB161" s="426"/>
      <c r="AC161" s="426"/>
      <c r="AD161" s="426"/>
      <c r="AE161" s="326"/>
      <c r="AF161" s="326"/>
      <c r="AG161" s="424"/>
      <c r="AH161" s="424"/>
      <c r="AI161" s="424"/>
      <c r="AJ161" s="424"/>
      <c r="AK161" s="424"/>
      <c r="AL161" s="424"/>
      <c r="AM161" s="425"/>
      <c r="AN161" s="425"/>
      <c r="AO161" s="425"/>
      <c r="AP161" s="425"/>
      <c r="AQ161" s="425"/>
      <c r="AR161" s="425"/>
      <c r="AS161" s="425"/>
      <c r="AT161" s="425"/>
      <c r="AU161" s="425"/>
      <c r="AV161" s="425"/>
      <c r="AW161" s="425"/>
      <c r="AX161" s="425"/>
      <c r="AY161" s="425"/>
      <c r="AZ161" s="425"/>
      <c r="BA161" s="425"/>
      <c r="BB161" s="425"/>
      <c r="BC161" s="425"/>
      <c r="BD161" s="425"/>
      <c r="BE161" s="425"/>
      <c r="BF161" s="425"/>
      <c r="BG161" s="463"/>
      <c r="BH161" s="463"/>
      <c r="BI161" s="463"/>
      <c r="BJ161" s="463"/>
      <c r="BK161" s="463"/>
      <c r="BL161" s="463"/>
      <c r="BM161" s="463"/>
      <c r="BN161" s="463"/>
    </row>
    <row r="162" spans="1:66" ht="15.75" customHeight="1" x14ac:dyDescent="0.2">
      <c r="A162" s="424"/>
      <c r="B162" s="424"/>
      <c r="C162" s="424"/>
      <c r="D162" s="424"/>
      <c r="E162" s="424"/>
      <c r="F162" s="425"/>
      <c r="G162" s="425"/>
      <c r="H162" s="424"/>
      <c r="I162" s="424"/>
      <c r="J162" s="425"/>
      <c r="K162" s="425"/>
      <c r="L162" s="425"/>
      <c r="M162" s="425"/>
      <c r="N162" s="425"/>
      <c r="O162" s="424"/>
      <c r="P162" s="426"/>
      <c r="Q162" s="426"/>
      <c r="R162" s="426"/>
      <c r="S162" s="426"/>
      <c r="T162" s="326"/>
      <c r="U162" s="326"/>
      <c r="V162" s="426"/>
      <c r="W162" s="426"/>
      <c r="X162" s="426"/>
      <c r="Y162" s="426"/>
      <c r="Z162" s="426"/>
      <c r="AA162" s="426"/>
      <c r="AB162" s="426"/>
      <c r="AC162" s="426"/>
      <c r="AD162" s="426"/>
      <c r="AE162" s="326"/>
      <c r="AF162" s="326"/>
      <c r="AG162" s="424"/>
      <c r="AH162" s="424"/>
      <c r="AI162" s="424"/>
      <c r="AJ162" s="424"/>
      <c r="AK162" s="424"/>
      <c r="AL162" s="424"/>
      <c r="AM162" s="425"/>
      <c r="AN162" s="425"/>
      <c r="AO162" s="425"/>
      <c r="AP162" s="425"/>
      <c r="AQ162" s="425"/>
      <c r="AR162" s="425"/>
      <c r="AS162" s="425"/>
      <c r="AT162" s="425"/>
      <c r="AU162" s="425"/>
      <c r="AV162" s="425"/>
      <c r="AW162" s="425"/>
      <c r="AX162" s="425"/>
      <c r="AY162" s="425"/>
      <c r="AZ162" s="425"/>
      <c r="BA162" s="425"/>
      <c r="BB162" s="425"/>
      <c r="BC162" s="425"/>
      <c r="BD162" s="425"/>
      <c r="BE162" s="425"/>
      <c r="BF162" s="425"/>
      <c r="BG162" s="463"/>
      <c r="BH162" s="463"/>
      <c r="BI162" s="463"/>
      <c r="BJ162" s="463"/>
      <c r="BK162" s="463"/>
      <c r="BL162" s="463"/>
      <c r="BM162" s="463"/>
      <c r="BN162" s="463"/>
    </row>
    <row r="163" spans="1:66" ht="15.75" customHeight="1" x14ac:dyDescent="0.2">
      <c r="A163" s="424"/>
      <c r="B163" s="424"/>
      <c r="C163" s="424"/>
      <c r="D163" s="424"/>
      <c r="E163" s="424"/>
      <c r="F163" s="425"/>
      <c r="G163" s="425"/>
      <c r="H163" s="424"/>
      <c r="I163" s="424"/>
      <c r="J163" s="425"/>
      <c r="K163" s="425"/>
      <c r="L163" s="425"/>
      <c r="M163" s="425"/>
      <c r="N163" s="425"/>
      <c r="O163" s="424"/>
      <c r="P163" s="426"/>
      <c r="Q163" s="426"/>
      <c r="R163" s="426"/>
      <c r="S163" s="426"/>
      <c r="T163" s="326"/>
      <c r="U163" s="326"/>
      <c r="V163" s="426"/>
      <c r="W163" s="426"/>
      <c r="X163" s="426"/>
      <c r="Y163" s="426"/>
      <c r="Z163" s="426"/>
      <c r="AA163" s="426"/>
      <c r="AB163" s="426"/>
      <c r="AC163" s="426"/>
      <c r="AD163" s="426"/>
      <c r="AE163" s="326"/>
      <c r="AF163" s="326"/>
      <c r="AG163" s="424"/>
      <c r="AH163" s="424"/>
      <c r="AI163" s="424"/>
      <c r="AJ163" s="424"/>
      <c r="AK163" s="424"/>
      <c r="AL163" s="424"/>
      <c r="AM163" s="425"/>
      <c r="AN163" s="425"/>
      <c r="AO163" s="425"/>
      <c r="AP163" s="425"/>
      <c r="AQ163" s="425"/>
      <c r="AR163" s="425"/>
      <c r="AS163" s="425"/>
      <c r="AT163" s="425"/>
      <c r="AU163" s="425"/>
      <c r="AV163" s="425"/>
      <c r="AW163" s="425"/>
      <c r="AX163" s="425"/>
      <c r="AY163" s="425"/>
      <c r="AZ163" s="425"/>
      <c r="BA163" s="425"/>
      <c r="BB163" s="425"/>
      <c r="BC163" s="425"/>
      <c r="BD163" s="425"/>
      <c r="BE163" s="425"/>
      <c r="BF163" s="425"/>
      <c r="BG163" s="463"/>
      <c r="BH163" s="463"/>
      <c r="BI163" s="463"/>
      <c r="BJ163" s="463"/>
      <c r="BK163" s="463"/>
      <c r="BL163" s="463"/>
      <c r="BM163" s="463"/>
      <c r="BN163" s="463"/>
    </row>
    <row r="164" spans="1:66" ht="15.75" customHeight="1" x14ac:dyDescent="0.2">
      <c r="A164" s="424"/>
      <c r="B164" s="424"/>
      <c r="C164" s="424"/>
      <c r="D164" s="424"/>
      <c r="E164" s="424"/>
      <c r="F164" s="425"/>
      <c r="G164" s="425"/>
      <c r="H164" s="424"/>
      <c r="I164" s="424"/>
      <c r="J164" s="425"/>
      <c r="K164" s="425"/>
      <c r="L164" s="425"/>
      <c r="M164" s="425"/>
      <c r="N164" s="425"/>
      <c r="O164" s="424"/>
      <c r="P164" s="426"/>
      <c r="Q164" s="426"/>
      <c r="R164" s="426"/>
      <c r="S164" s="426"/>
      <c r="T164" s="326"/>
      <c r="U164" s="326"/>
      <c r="V164" s="426"/>
      <c r="W164" s="426"/>
      <c r="X164" s="426"/>
      <c r="Y164" s="426"/>
      <c r="Z164" s="426"/>
      <c r="AA164" s="426"/>
      <c r="AB164" s="426"/>
      <c r="AC164" s="426"/>
      <c r="AD164" s="426"/>
      <c r="AE164" s="326"/>
      <c r="AF164" s="326"/>
      <c r="AG164" s="424"/>
      <c r="AH164" s="424"/>
      <c r="AI164" s="424"/>
      <c r="AJ164" s="424"/>
      <c r="AK164" s="424"/>
      <c r="AL164" s="424"/>
      <c r="AM164" s="425"/>
      <c r="AN164" s="425"/>
      <c r="AO164" s="425"/>
      <c r="AP164" s="425"/>
      <c r="AQ164" s="425"/>
      <c r="AR164" s="425"/>
      <c r="AS164" s="425"/>
      <c r="AT164" s="425"/>
      <c r="AU164" s="425"/>
      <c r="AV164" s="425"/>
      <c r="AW164" s="425"/>
      <c r="AX164" s="425"/>
      <c r="AY164" s="425"/>
      <c r="AZ164" s="425"/>
      <c r="BA164" s="425"/>
      <c r="BB164" s="425"/>
      <c r="BC164" s="425"/>
      <c r="BD164" s="425"/>
      <c r="BE164" s="425"/>
      <c r="BF164" s="425"/>
      <c r="BG164" s="463"/>
      <c r="BH164" s="463"/>
      <c r="BI164" s="463"/>
      <c r="BJ164" s="463"/>
      <c r="BK164" s="463"/>
      <c r="BL164" s="463"/>
      <c r="BM164" s="463"/>
      <c r="BN164" s="463"/>
    </row>
    <row r="165" spans="1:66" ht="15.75" customHeight="1" x14ac:dyDescent="0.2">
      <c r="A165" s="424"/>
      <c r="B165" s="424"/>
      <c r="C165" s="424"/>
      <c r="D165" s="424"/>
      <c r="E165" s="424"/>
      <c r="F165" s="425"/>
      <c r="G165" s="425"/>
      <c r="H165" s="424"/>
      <c r="I165" s="424"/>
      <c r="J165" s="425"/>
      <c r="K165" s="425"/>
      <c r="L165" s="425"/>
      <c r="M165" s="425"/>
      <c r="N165" s="425"/>
      <c r="O165" s="424"/>
      <c r="P165" s="426"/>
      <c r="Q165" s="426"/>
      <c r="R165" s="426"/>
      <c r="S165" s="426"/>
      <c r="T165" s="326"/>
      <c r="U165" s="326"/>
      <c r="V165" s="426"/>
      <c r="W165" s="426"/>
      <c r="X165" s="426"/>
      <c r="Y165" s="426"/>
      <c r="Z165" s="426"/>
      <c r="AA165" s="426"/>
      <c r="AB165" s="426"/>
      <c r="AC165" s="426"/>
      <c r="AD165" s="426"/>
      <c r="AE165" s="326"/>
      <c r="AF165" s="326"/>
      <c r="AG165" s="424"/>
      <c r="AH165" s="424"/>
      <c r="AI165" s="424"/>
      <c r="AJ165" s="424"/>
      <c r="AK165" s="424"/>
      <c r="AL165" s="424"/>
      <c r="AM165" s="425"/>
      <c r="AN165" s="425"/>
      <c r="AO165" s="425"/>
      <c r="AP165" s="425"/>
      <c r="AQ165" s="425"/>
      <c r="AR165" s="425"/>
      <c r="AS165" s="425"/>
      <c r="AT165" s="425"/>
      <c r="AU165" s="425"/>
      <c r="AV165" s="425"/>
      <c r="AW165" s="425"/>
      <c r="AX165" s="425"/>
      <c r="AY165" s="425"/>
      <c r="AZ165" s="425"/>
      <c r="BA165" s="425"/>
      <c r="BB165" s="425"/>
      <c r="BC165" s="425"/>
      <c r="BD165" s="425"/>
      <c r="BE165" s="425"/>
      <c r="BF165" s="425"/>
      <c r="BG165" s="463"/>
      <c r="BH165" s="463"/>
      <c r="BI165" s="463"/>
      <c r="BJ165" s="463"/>
      <c r="BK165" s="463"/>
      <c r="BL165" s="463"/>
      <c r="BM165" s="463"/>
      <c r="BN165" s="463"/>
    </row>
    <row r="166" spans="1:66" ht="15.75" customHeight="1" x14ac:dyDescent="0.2">
      <c r="A166" s="424"/>
      <c r="B166" s="424"/>
      <c r="C166" s="424"/>
      <c r="D166" s="424"/>
      <c r="E166" s="424"/>
      <c r="F166" s="425"/>
      <c r="G166" s="425"/>
      <c r="H166" s="424"/>
      <c r="I166" s="424"/>
      <c r="J166" s="425"/>
      <c r="K166" s="425"/>
      <c r="L166" s="425"/>
      <c r="M166" s="425"/>
      <c r="N166" s="425"/>
      <c r="O166" s="424"/>
      <c r="P166" s="426"/>
      <c r="Q166" s="426"/>
      <c r="R166" s="426"/>
      <c r="S166" s="426"/>
      <c r="T166" s="326"/>
      <c r="U166" s="326"/>
      <c r="V166" s="426"/>
      <c r="W166" s="426"/>
      <c r="X166" s="426"/>
      <c r="Y166" s="426"/>
      <c r="Z166" s="426"/>
      <c r="AA166" s="426"/>
      <c r="AB166" s="426"/>
      <c r="AC166" s="426"/>
      <c r="AD166" s="426"/>
      <c r="AE166" s="326"/>
      <c r="AF166" s="326"/>
      <c r="AG166" s="424"/>
      <c r="AH166" s="424"/>
      <c r="AI166" s="424"/>
      <c r="AJ166" s="424"/>
      <c r="AK166" s="424"/>
      <c r="AL166" s="424"/>
      <c r="AM166" s="425"/>
      <c r="AN166" s="425"/>
      <c r="AO166" s="425"/>
      <c r="AP166" s="425"/>
      <c r="AQ166" s="425"/>
      <c r="AR166" s="425"/>
      <c r="AS166" s="425"/>
      <c r="AT166" s="425"/>
      <c r="AU166" s="425"/>
      <c r="AV166" s="425"/>
      <c r="AW166" s="425"/>
      <c r="AX166" s="425"/>
      <c r="AY166" s="425"/>
      <c r="AZ166" s="425"/>
      <c r="BA166" s="425"/>
      <c r="BB166" s="425"/>
      <c r="BC166" s="425"/>
      <c r="BD166" s="425"/>
      <c r="BE166" s="425"/>
      <c r="BF166" s="425"/>
      <c r="BG166" s="463"/>
      <c r="BH166" s="463"/>
      <c r="BI166" s="463"/>
      <c r="BJ166" s="463"/>
      <c r="BK166" s="463"/>
      <c r="BL166" s="463"/>
      <c r="BM166" s="463"/>
      <c r="BN166" s="463"/>
    </row>
    <row r="167" spans="1:66" ht="15.75" customHeight="1" x14ac:dyDescent="0.2">
      <c r="A167" s="424"/>
      <c r="B167" s="424"/>
      <c r="C167" s="424"/>
      <c r="D167" s="424"/>
      <c r="E167" s="424"/>
      <c r="F167" s="425"/>
      <c r="G167" s="425"/>
      <c r="H167" s="424"/>
      <c r="I167" s="424"/>
      <c r="J167" s="425"/>
      <c r="K167" s="425"/>
      <c r="L167" s="425"/>
      <c r="M167" s="425"/>
      <c r="N167" s="425"/>
      <c r="O167" s="424"/>
      <c r="P167" s="426"/>
      <c r="Q167" s="426"/>
      <c r="R167" s="426"/>
      <c r="S167" s="426"/>
      <c r="T167" s="326"/>
      <c r="U167" s="326"/>
      <c r="V167" s="426"/>
      <c r="W167" s="426"/>
      <c r="X167" s="426"/>
      <c r="Y167" s="426"/>
      <c r="Z167" s="426"/>
      <c r="AA167" s="426"/>
      <c r="AB167" s="426"/>
      <c r="AC167" s="426"/>
      <c r="AD167" s="426"/>
      <c r="AE167" s="326"/>
      <c r="AF167" s="326"/>
      <c r="AG167" s="424"/>
      <c r="AH167" s="424"/>
      <c r="AI167" s="424"/>
      <c r="AJ167" s="424"/>
      <c r="AK167" s="424"/>
      <c r="AL167" s="424"/>
      <c r="AM167" s="425"/>
      <c r="AN167" s="425"/>
      <c r="AO167" s="425"/>
      <c r="AP167" s="425"/>
      <c r="AQ167" s="425"/>
      <c r="AR167" s="425"/>
      <c r="AS167" s="425"/>
      <c r="AT167" s="425"/>
      <c r="AU167" s="425"/>
      <c r="AV167" s="425"/>
      <c r="AW167" s="425"/>
      <c r="AX167" s="425"/>
      <c r="AY167" s="425"/>
      <c r="AZ167" s="425"/>
      <c r="BA167" s="425"/>
      <c r="BB167" s="425"/>
      <c r="BC167" s="425"/>
      <c r="BD167" s="425"/>
      <c r="BE167" s="425"/>
      <c r="BF167" s="425"/>
      <c r="BG167" s="463"/>
      <c r="BH167" s="463"/>
      <c r="BI167" s="463"/>
      <c r="BJ167" s="463"/>
      <c r="BK167" s="463"/>
      <c r="BL167" s="463"/>
      <c r="BM167" s="463"/>
      <c r="BN167" s="463"/>
    </row>
    <row r="168" spans="1:66" ht="15.75" customHeight="1" x14ac:dyDescent="0.2">
      <c r="A168" s="424"/>
      <c r="B168" s="424"/>
      <c r="C168" s="424"/>
      <c r="D168" s="424"/>
      <c r="E168" s="424"/>
      <c r="F168" s="425"/>
      <c r="G168" s="425"/>
      <c r="H168" s="424"/>
      <c r="I168" s="424"/>
      <c r="J168" s="425"/>
      <c r="K168" s="425"/>
      <c r="L168" s="425"/>
      <c r="M168" s="425"/>
      <c r="N168" s="425"/>
      <c r="O168" s="424"/>
      <c r="P168" s="426"/>
      <c r="Q168" s="426"/>
      <c r="R168" s="426"/>
      <c r="S168" s="426"/>
      <c r="T168" s="326"/>
      <c r="U168" s="326"/>
      <c r="V168" s="426"/>
      <c r="W168" s="426"/>
      <c r="X168" s="426"/>
      <c r="Y168" s="426"/>
      <c r="Z168" s="426"/>
      <c r="AA168" s="426"/>
      <c r="AB168" s="426"/>
      <c r="AC168" s="426"/>
      <c r="AD168" s="426"/>
      <c r="AE168" s="326"/>
      <c r="AF168" s="326"/>
      <c r="AG168" s="424"/>
      <c r="AH168" s="424"/>
      <c r="AI168" s="424"/>
      <c r="AJ168" s="424"/>
      <c r="AK168" s="424"/>
      <c r="AL168" s="424"/>
      <c r="AM168" s="425"/>
      <c r="AN168" s="425"/>
      <c r="AO168" s="425"/>
      <c r="AP168" s="425"/>
      <c r="AQ168" s="425"/>
      <c r="AR168" s="425"/>
      <c r="AS168" s="425"/>
      <c r="AT168" s="425"/>
      <c r="AU168" s="425"/>
      <c r="AV168" s="425"/>
      <c r="AW168" s="425"/>
      <c r="AX168" s="425"/>
      <c r="AY168" s="425"/>
      <c r="AZ168" s="425"/>
      <c r="BA168" s="425"/>
      <c r="BB168" s="425"/>
      <c r="BC168" s="425"/>
      <c r="BD168" s="425"/>
      <c r="BE168" s="425"/>
      <c r="BF168" s="425"/>
      <c r="BG168" s="463"/>
      <c r="BH168" s="463"/>
      <c r="BI168" s="463"/>
      <c r="BJ168" s="463"/>
      <c r="BK168" s="463"/>
      <c r="BL168" s="463"/>
      <c r="BM168" s="463"/>
      <c r="BN168" s="463"/>
    </row>
    <row r="169" spans="1:66" ht="15.75" customHeight="1" x14ac:dyDescent="0.2">
      <c r="A169" s="424"/>
      <c r="B169" s="424"/>
      <c r="C169" s="424"/>
      <c r="D169" s="424"/>
      <c r="E169" s="424"/>
      <c r="F169" s="425"/>
      <c r="G169" s="425"/>
      <c r="H169" s="424"/>
      <c r="I169" s="424"/>
      <c r="J169" s="425"/>
      <c r="K169" s="425"/>
      <c r="L169" s="425"/>
      <c r="M169" s="425"/>
      <c r="N169" s="425"/>
      <c r="O169" s="424"/>
      <c r="P169" s="426"/>
      <c r="Q169" s="426"/>
      <c r="R169" s="426"/>
      <c r="S169" s="426"/>
      <c r="T169" s="326"/>
      <c r="U169" s="326"/>
      <c r="V169" s="426"/>
      <c r="W169" s="426"/>
      <c r="X169" s="426"/>
      <c r="Y169" s="426"/>
      <c r="Z169" s="426"/>
      <c r="AA169" s="426"/>
      <c r="AB169" s="426"/>
      <c r="AC169" s="426"/>
      <c r="AD169" s="426"/>
      <c r="AE169" s="326"/>
      <c r="AF169" s="326"/>
      <c r="AG169" s="424"/>
      <c r="AH169" s="424"/>
      <c r="AI169" s="424"/>
      <c r="AJ169" s="424"/>
      <c r="AK169" s="424"/>
      <c r="AL169" s="424"/>
      <c r="AM169" s="425"/>
      <c r="AN169" s="425"/>
      <c r="AO169" s="425"/>
      <c r="AP169" s="425"/>
      <c r="AQ169" s="425"/>
      <c r="AR169" s="425"/>
      <c r="AS169" s="425"/>
      <c r="AT169" s="425"/>
      <c r="AU169" s="425"/>
      <c r="AV169" s="425"/>
      <c r="AW169" s="425"/>
      <c r="AX169" s="425"/>
      <c r="AY169" s="425"/>
      <c r="AZ169" s="425"/>
      <c r="BA169" s="425"/>
      <c r="BB169" s="425"/>
      <c r="BC169" s="425"/>
      <c r="BD169" s="425"/>
      <c r="BE169" s="425"/>
      <c r="BF169" s="425"/>
      <c r="BG169" s="463"/>
      <c r="BH169" s="463"/>
      <c r="BI169" s="463"/>
      <c r="BJ169" s="463"/>
      <c r="BK169" s="463"/>
      <c r="BL169" s="463"/>
      <c r="BM169" s="463"/>
      <c r="BN169" s="463"/>
    </row>
    <row r="170" spans="1:66" ht="15.75" customHeight="1" x14ac:dyDescent="0.2">
      <c r="A170" s="424"/>
      <c r="B170" s="424"/>
      <c r="C170" s="424"/>
      <c r="D170" s="424"/>
      <c r="E170" s="424"/>
      <c r="F170" s="425"/>
      <c r="G170" s="425"/>
      <c r="H170" s="424"/>
      <c r="I170" s="424"/>
      <c r="J170" s="425"/>
      <c r="K170" s="425"/>
      <c r="L170" s="425"/>
      <c r="M170" s="425"/>
      <c r="N170" s="425"/>
      <c r="O170" s="424"/>
      <c r="P170" s="426"/>
      <c r="Q170" s="426"/>
      <c r="R170" s="426"/>
      <c r="S170" s="426"/>
      <c r="T170" s="326"/>
      <c r="U170" s="326"/>
      <c r="V170" s="426"/>
      <c r="W170" s="426"/>
      <c r="X170" s="426"/>
      <c r="Y170" s="426"/>
      <c r="Z170" s="426"/>
      <c r="AA170" s="426"/>
      <c r="AB170" s="426"/>
      <c r="AC170" s="426"/>
      <c r="AD170" s="426"/>
      <c r="AE170" s="326"/>
      <c r="AF170" s="326"/>
      <c r="AG170" s="424"/>
      <c r="AH170" s="424"/>
      <c r="AI170" s="424"/>
      <c r="AJ170" s="424"/>
      <c r="AK170" s="424"/>
      <c r="AL170" s="424"/>
      <c r="AM170" s="425"/>
      <c r="AN170" s="425"/>
      <c r="AO170" s="425"/>
      <c r="AP170" s="425"/>
      <c r="AQ170" s="425"/>
      <c r="AR170" s="425"/>
      <c r="AS170" s="425"/>
      <c r="AT170" s="425"/>
      <c r="AU170" s="425"/>
      <c r="AV170" s="425"/>
      <c r="AW170" s="425"/>
      <c r="AX170" s="425"/>
      <c r="AY170" s="425"/>
      <c r="AZ170" s="425"/>
      <c r="BA170" s="425"/>
      <c r="BB170" s="425"/>
      <c r="BC170" s="425"/>
      <c r="BD170" s="425"/>
      <c r="BE170" s="425"/>
      <c r="BF170" s="425"/>
      <c r="BG170" s="463"/>
      <c r="BH170" s="463"/>
      <c r="BI170" s="463"/>
      <c r="BJ170" s="463"/>
      <c r="BK170" s="463"/>
      <c r="BL170" s="463"/>
      <c r="BM170" s="463"/>
      <c r="BN170" s="463"/>
    </row>
    <row r="171" spans="1:66" ht="15.75" customHeight="1" x14ac:dyDescent="0.2">
      <c r="A171" s="424"/>
      <c r="B171" s="424"/>
      <c r="C171" s="424"/>
      <c r="D171" s="424"/>
      <c r="E171" s="424"/>
      <c r="F171" s="425"/>
      <c r="G171" s="425"/>
      <c r="H171" s="424"/>
      <c r="I171" s="424"/>
      <c r="J171" s="425"/>
      <c r="K171" s="425"/>
      <c r="L171" s="425"/>
      <c r="M171" s="425"/>
      <c r="N171" s="425"/>
      <c r="O171" s="424"/>
      <c r="P171" s="426"/>
      <c r="Q171" s="426"/>
      <c r="R171" s="426"/>
      <c r="S171" s="426"/>
      <c r="T171" s="326"/>
      <c r="U171" s="326"/>
      <c r="V171" s="426"/>
      <c r="W171" s="426"/>
      <c r="X171" s="426"/>
      <c r="Y171" s="426"/>
      <c r="Z171" s="426"/>
      <c r="AA171" s="426"/>
      <c r="AB171" s="426"/>
      <c r="AC171" s="426"/>
      <c r="AD171" s="426"/>
      <c r="AE171" s="326"/>
      <c r="AF171" s="326"/>
      <c r="AG171" s="424"/>
      <c r="AH171" s="424"/>
      <c r="AI171" s="424"/>
      <c r="AJ171" s="424"/>
      <c r="AK171" s="424"/>
      <c r="AL171" s="424"/>
      <c r="AM171" s="425"/>
      <c r="AN171" s="425"/>
      <c r="AO171" s="425"/>
      <c r="AP171" s="425"/>
      <c r="AQ171" s="425"/>
      <c r="AR171" s="425"/>
      <c r="AS171" s="425"/>
      <c r="AT171" s="425"/>
      <c r="AU171" s="425"/>
      <c r="AV171" s="425"/>
      <c r="AW171" s="425"/>
      <c r="AX171" s="425"/>
      <c r="AY171" s="425"/>
      <c r="AZ171" s="425"/>
      <c r="BA171" s="425"/>
      <c r="BB171" s="425"/>
      <c r="BC171" s="425"/>
      <c r="BD171" s="425"/>
      <c r="BE171" s="425"/>
      <c r="BF171" s="425"/>
      <c r="BG171" s="463"/>
      <c r="BH171" s="463"/>
      <c r="BI171" s="463"/>
      <c r="BJ171" s="463"/>
      <c r="BK171" s="463"/>
      <c r="BL171" s="463"/>
      <c r="BM171" s="463"/>
      <c r="BN171" s="463"/>
    </row>
    <row r="172" spans="1:66" ht="15.75" customHeight="1" x14ac:dyDescent="0.2">
      <c r="A172" s="424"/>
      <c r="B172" s="424"/>
      <c r="C172" s="424"/>
      <c r="D172" s="424"/>
      <c r="E172" s="424"/>
      <c r="F172" s="425"/>
      <c r="G172" s="425"/>
      <c r="H172" s="424"/>
      <c r="I172" s="424"/>
      <c r="J172" s="425"/>
      <c r="K172" s="425"/>
      <c r="L172" s="425"/>
      <c r="M172" s="425"/>
      <c r="N172" s="425"/>
      <c r="O172" s="424"/>
      <c r="P172" s="426"/>
      <c r="Q172" s="426"/>
      <c r="R172" s="426"/>
      <c r="S172" s="426"/>
      <c r="T172" s="326"/>
      <c r="U172" s="326"/>
      <c r="V172" s="426"/>
      <c r="W172" s="426"/>
      <c r="X172" s="426"/>
      <c r="Y172" s="426"/>
      <c r="Z172" s="426"/>
      <c r="AA172" s="426"/>
      <c r="AB172" s="426"/>
      <c r="AC172" s="426"/>
      <c r="AD172" s="426"/>
      <c r="AE172" s="326"/>
      <c r="AF172" s="326"/>
      <c r="AG172" s="424"/>
      <c r="AH172" s="424"/>
      <c r="AI172" s="424"/>
      <c r="AJ172" s="424"/>
      <c r="AK172" s="424"/>
      <c r="AL172" s="424"/>
      <c r="AM172" s="425"/>
      <c r="AN172" s="425"/>
      <c r="AO172" s="425"/>
      <c r="AP172" s="425"/>
      <c r="AQ172" s="425"/>
      <c r="AR172" s="425"/>
      <c r="AS172" s="425"/>
      <c r="AT172" s="425"/>
      <c r="AU172" s="425"/>
      <c r="AV172" s="425"/>
      <c r="AW172" s="425"/>
      <c r="AX172" s="425"/>
      <c r="AY172" s="425"/>
      <c r="AZ172" s="425"/>
      <c r="BA172" s="425"/>
      <c r="BB172" s="425"/>
      <c r="BC172" s="425"/>
      <c r="BD172" s="425"/>
      <c r="BE172" s="425"/>
      <c r="BF172" s="425"/>
      <c r="BG172" s="463"/>
      <c r="BH172" s="463"/>
      <c r="BI172" s="463"/>
      <c r="BJ172" s="463"/>
      <c r="BK172" s="463"/>
      <c r="BL172" s="463"/>
      <c r="BM172" s="463"/>
      <c r="BN172" s="463"/>
    </row>
    <row r="173" spans="1:66" ht="15.75" customHeight="1" x14ac:dyDescent="0.2">
      <c r="A173" s="424"/>
      <c r="B173" s="424"/>
      <c r="C173" s="424"/>
      <c r="D173" s="424"/>
      <c r="E173" s="424"/>
      <c r="F173" s="425"/>
      <c r="G173" s="425"/>
      <c r="H173" s="424"/>
      <c r="I173" s="424"/>
      <c r="J173" s="425"/>
      <c r="K173" s="425"/>
      <c r="L173" s="425"/>
      <c r="M173" s="425"/>
      <c r="N173" s="425"/>
      <c r="O173" s="424"/>
      <c r="P173" s="426"/>
      <c r="Q173" s="426"/>
      <c r="R173" s="426"/>
      <c r="S173" s="426"/>
      <c r="T173" s="326"/>
      <c r="U173" s="326"/>
      <c r="V173" s="426"/>
      <c r="W173" s="426"/>
      <c r="X173" s="426"/>
      <c r="Y173" s="426"/>
      <c r="Z173" s="426"/>
      <c r="AA173" s="426"/>
      <c r="AB173" s="426"/>
      <c r="AC173" s="426"/>
      <c r="AD173" s="426"/>
      <c r="AE173" s="326"/>
      <c r="AF173" s="326"/>
      <c r="AG173" s="424"/>
      <c r="AH173" s="424"/>
      <c r="AI173" s="424"/>
      <c r="AJ173" s="424"/>
      <c r="AK173" s="424"/>
      <c r="AL173" s="424"/>
      <c r="AM173" s="425"/>
      <c r="AN173" s="425"/>
      <c r="AO173" s="425"/>
      <c r="AP173" s="425"/>
      <c r="AQ173" s="425"/>
      <c r="AR173" s="425"/>
      <c r="AS173" s="425"/>
      <c r="AT173" s="425"/>
      <c r="AU173" s="425"/>
      <c r="AV173" s="425"/>
      <c r="AW173" s="425"/>
      <c r="AX173" s="425"/>
      <c r="AY173" s="425"/>
      <c r="AZ173" s="425"/>
      <c r="BA173" s="425"/>
      <c r="BB173" s="425"/>
      <c r="BC173" s="425"/>
      <c r="BD173" s="425"/>
      <c r="BE173" s="425"/>
      <c r="BF173" s="425"/>
      <c r="BG173" s="463"/>
      <c r="BH173" s="463"/>
      <c r="BI173" s="463"/>
      <c r="BJ173" s="463"/>
      <c r="BK173" s="463"/>
      <c r="BL173" s="463"/>
      <c r="BM173" s="463"/>
      <c r="BN173" s="463"/>
    </row>
    <row r="174" spans="1:66" ht="15.75" customHeight="1" x14ac:dyDescent="0.2">
      <c r="A174" s="424"/>
      <c r="B174" s="424"/>
      <c r="C174" s="424"/>
      <c r="D174" s="424"/>
      <c r="E174" s="424"/>
      <c r="F174" s="425"/>
      <c r="G174" s="425"/>
      <c r="H174" s="424"/>
      <c r="I174" s="424"/>
      <c r="J174" s="425"/>
      <c r="K174" s="425"/>
      <c r="L174" s="425"/>
      <c r="M174" s="425"/>
      <c r="N174" s="425"/>
      <c r="O174" s="424"/>
      <c r="P174" s="426"/>
      <c r="Q174" s="426"/>
      <c r="R174" s="426"/>
      <c r="S174" s="426"/>
      <c r="T174" s="326"/>
      <c r="U174" s="326"/>
      <c r="V174" s="426"/>
      <c r="W174" s="426"/>
      <c r="X174" s="426"/>
      <c r="Y174" s="426"/>
      <c r="Z174" s="426"/>
      <c r="AA174" s="426"/>
      <c r="AB174" s="426"/>
      <c r="AC174" s="426"/>
      <c r="AD174" s="426"/>
      <c r="AE174" s="326"/>
      <c r="AF174" s="326"/>
      <c r="AG174" s="424"/>
      <c r="AH174" s="424"/>
      <c r="AI174" s="424"/>
      <c r="AJ174" s="424"/>
      <c r="AK174" s="424"/>
      <c r="AL174" s="424"/>
      <c r="AM174" s="425"/>
      <c r="AN174" s="425"/>
      <c r="AO174" s="425"/>
      <c r="AP174" s="425"/>
      <c r="AQ174" s="425"/>
      <c r="AR174" s="425"/>
      <c r="AS174" s="425"/>
      <c r="AT174" s="425"/>
      <c r="AU174" s="425"/>
      <c r="AV174" s="425"/>
      <c r="AW174" s="425"/>
      <c r="AX174" s="425"/>
      <c r="AY174" s="425"/>
      <c r="AZ174" s="425"/>
      <c r="BA174" s="425"/>
      <c r="BB174" s="425"/>
      <c r="BC174" s="425"/>
      <c r="BD174" s="425"/>
      <c r="BE174" s="425"/>
      <c r="BF174" s="425"/>
      <c r="BG174" s="463"/>
      <c r="BH174" s="463"/>
      <c r="BI174" s="463"/>
      <c r="BJ174" s="463"/>
      <c r="BK174" s="463"/>
      <c r="BL174" s="463"/>
      <c r="BM174" s="463"/>
      <c r="BN174" s="463"/>
    </row>
    <row r="175" spans="1:66" ht="15.75" customHeight="1" x14ac:dyDescent="0.2">
      <c r="A175" s="424"/>
      <c r="B175" s="424"/>
      <c r="C175" s="424"/>
      <c r="D175" s="424"/>
      <c r="E175" s="424"/>
      <c r="F175" s="425"/>
      <c r="G175" s="425"/>
      <c r="H175" s="424"/>
      <c r="I175" s="424"/>
      <c r="J175" s="425"/>
      <c r="K175" s="425"/>
      <c r="L175" s="425"/>
      <c r="M175" s="425"/>
      <c r="N175" s="425"/>
      <c r="O175" s="424"/>
      <c r="P175" s="426"/>
      <c r="Q175" s="426"/>
      <c r="R175" s="426"/>
      <c r="S175" s="426"/>
      <c r="T175" s="326"/>
      <c r="U175" s="326"/>
      <c r="V175" s="426"/>
      <c r="W175" s="426"/>
      <c r="X175" s="426"/>
      <c r="Y175" s="426"/>
      <c r="Z175" s="426"/>
      <c r="AA175" s="426"/>
      <c r="AB175" s="426"/>
      <c r="AC175" s="426"/>
      <c r="AD175" s="426"/>
      <c r="AE175" s="326"/>
      <c r="AF175" s="326"/>
      <c r="AG175" s="424"/>
      <c r="AH175" s="424"/>
      <c r="AI175" s="424"/>
      <c r="AJ175" s="424"/>
      <c r="AK175" s="424"/>
      <c r="AL175" s="424"/>
      <c r="AM175" s="425"/>
      <c r="AN175" s="425"/>
      <c r="AO175" s="425"/>
      <c r="AP175" s="425"/>
      <c r="AQ175" s="425"/>
      <c r="AR175" s="425"/>
      <c r="AS175" s="425"/>
      <c r="AT175" s="425"/>
      <c r="AU175" s="425"/>
      <c r="AV175" s="425"/>
      <c r="AW175" s="425"/>
      <c r="AX175" s="425"/>
      <c r="AY175" s="425"/>
      <c r="AZ175" s="425"/>
      <c r="BA175" s="425"/>
      <c r="BB175" s="425"/>
      <c r="BC175" s="425"/>
      <c r="BD175" s="425"/>
      <c r="BE175" s="425"/>
      <c r="BF175" s="425"/>
      <c r="BG175" s="463"/>
      <c r="BH175" s="463"/>
      <c r="BI175" s="463"/>
      <c r="BJ175" s="463"/>
      <c r="BK175" s="463"/>
      <c r="BL175" s="463"/>
      <c r="BM175" s="463"/>
      <c r="BN175" s="463"/>
    </row>
    <row r="176" spans="1:66" ht="15.75" customHeight="1" x14ac:dyDescent="0.2">
      <c r="A176" s="424"/>
      <c r="B176" s="424"/>
      <c r="C176" s="424"/>
      <c r="D176" s="424"/>
      <c r="E176" s="424"/>
      <c r="F176" s="425"/>
      <c r="G176" s="425"/>
      <c r="H176" s="424"/>
      <c r="I176" s="424"/>
      <c r="J176" s="425"/>
      <c r="K176" s="425"/>
      <c r="L176" s="425"/>
      <c r="M176" s="425"/>
      <c r="N176" s="425"/>
      <c r="O176" s="424"/>
      <c r="P176" s="426"/>
      <c r="Q176" s="426"/>
      <c r="R176" s="426"/>
      <c r="S176" s="426"/>
      <c r="T176" s="326"/>
      <c r="U176" s="326"/>
      <c r="V176" s="426"/>
      <c r="W176" s="426"/>
      <c r="X176" s="426"/>
      <c r="Y176" s="426"/>
      <c r="Z176" s="426"/>
      <c r="AA176" s="426"/>
      <c r="AB176" s="426"/>
      <c r="AC176" s="426"/>
      <c r="AD176" s="426"/>
      <c r="AE176" s="326"/>
      <c r="AF176" s="326"/>
      <c r="AG176" s="424"/>
      <c r="AH176" s="424"/>
      <c r="AI176" s="424"/>
      <c r="AJ176" s="424"/>
      <c r="AK176" s="424"/>
      <c r="AL176" s="424"/>
      <c r="AM176" s="425"/>
      <c r="AN176" s="425"/>
      <c r="AO176" s="425"/>
      <c r="AP176" s="425"/>
      <c r="AQ176" s="425"/>
      <c r="AR176" s="425"/>
      <c r="AS176" s="425"/>
      <c r="AT176" s="425"/>
      <c r="AU176" s="425"/>
      <c r="AV176" s="425"/>
      <c r="AW176" s="425"/>
      <c r="AX176" s="425"/>
      <c r="AY176" s="425"/>
      <c r="AZ176" s="425"/>
      <c r="BA176" s="425"/>
      <c r="BB176" s="425"/>
      <c r="BC176" s="425"/>
      <c r="BD176" s="425"/>
      <c r="BE176" s="425"/>
      <c r="BF176" s="425"/>
      <c r="BG176" s="463"/>
      <c r="BH176" s="463"/>
      <c r="BI176" s="463"/>
      <c r="BJ176" s="463"/>
      <c r="BK176" s="463"/>
      <c r="BL176" s="463"/>
      <c r="BM176" s="463"/>
      <c r="BN176" s="463"/>
    </row>
    <row r="177" spans="1:66" ht="15.75" customHeight="1" x14ac:dyDescent="0.2">
      <c r="A177" s="424"/>
      <c r="B177" s="424"/>
      <c r="C177" s="424"/>
      <c r="D177" s="424"/>
      <c r="E177" s="424"/>
      <c r="F177" s="425"/>
      <c r="G177" s="425"/>
      <c r="H177" s="424"/>
      <c r="I177" s="424"/>
      <c r="J177" s="425"/>
      <c r="K177" s="425"/>
      <c r="L177" s="425"/>
      <c r="M177" s="425"/>
      <c r="N177" s="425"/>
      <c r="O177" s="424"/>
      <c r="P177" s="426"/>
      <c r="Q177" s="426"/>
      <c r="R177" s="426"/>
      <c r="S177" s="426"/>
      <c r="T177" s="326"/>
      <c r="U177" s="326"/>
      <c r="V177" s="426"/>
      <c r="W177" s="426"/>
      <c r="X177" s="426"/>
      <c r="Y177" s="426"/>
      <c r="Z177" s="426"/>
      <c r="AA177" s="426"/>
      <c r="AB177" s="426"/>
      <c r="AC177" s="426"/>
      <c r="AD177" s="426"/>
      <c r="AE177" s="326"/>
      <c r="AF177" s="326"/>
      <c r="AG177" s="424"/>
      <c r="AH177" s="424"/>
      <c r="AI177" s="424"/>
      <c r="AJ177" s="424"/>
      <c r="AK177" s="424"/>
      <c r="AL177" s="424"/>
      <c r="AM177" s="425"/>
      <c r="AN177" s="425"/>
      <c r="AO177" s="425"/>
      <c r="AP177" s="425"/>
      <c r="AQ177" s="425"/>
      <c r="AR177" s="425"/>
      <c r="AS177" s="425"/>
      <c r="AT177" s="425"/>
      <c r="AU177" s="425"/>
      <c r="AV177" s="425"/>
      <c r="AW177" s="425"/>
      <c r="AX177" s="425"/>
      <c r="AY177" s="425"/>
      <c r="AZ177" s="425"/>
      <c r="BA177" s="425"/>
      <c r="BB177" s="425"/>
      <c r="BC177" s="425"/>
      <c r="BD177" s="425"/>
      <c r="BE177" s="425"/>
      <c r="BF177" s="425"/>
      <c r="BG177" s="463"/>
      <c r="BH177" s="463"/>
      <c r="BI177" s="463"/>
      <c r="BJ177" s="463"/>
      <c r="BK177" s="463"/>
      <c r="BL177" s="463"/>
      <c r="BM177" s="463"/>
      <c r="BN177" s="463"/>
    </row>
    <row r="178" spans="1:66" ht="15.75" customHeight="1" x14ac:dyDescent="0.2">
      <c r="A178" s="424"/>
      <c r="B178" s="424"/>
      <c r="C178" s="424"/>
      <c r="D178" s="424"/>
      <c r="E178" s="424"/>
      <c r="F178" s="425"/>
      <c r="G178" s="425"/>
      <c r="H178" s="424"/>
      <c r="I178" s="424"/>
      <c r="J178" s="425"/>
      <c r="K178" s="425"/>
      <c r="L178" s="425"/>
      <c r="M178" s="425"/>
      <c r="N178" s="425"/>
      <c r="O178" s="424"/>
      <c r="P178" s="426"/>
      <c r="Q178" s="426"/>
      <c r="R178" s="426"/>
      <c r="S178" s="426"/>
      <c r="T178" s="326"/>
      <c r="U178" s="326"/>
      <c r="V178" s="426"/>
      <c r="W178" s="426"/>
      <c r="X178" s="426"/>
      <c r="Y178" s="426"/>
      <c r="Z178" s="426"/>
      <c r="AA178" s="426"/>
      <c r="AB178" s="426"/>
      <c r="AC178" s="426"/>
      <c r="AD178" s="426"/>
      <c r="AE178" s="326"/>
      <c r="AF178" s="326"/>
      <c r="AG178" s="424"/>
      <c r="AH178" s="424"/>
      <c r="AI178" s="424"/>
      <c r="AJ178" s="424"/>
      <c r="AK178" s="424"/>
      <c r="AL178" s="424"/>
      <c r="AM178" s="425"/>
      <c r="AN178" s="425"/>
      <c r="AO178" s="425"/>
      <c r="AP178" s="425"/>
      <c r="AQ178" s="425"/>
      <c r="AR178" s="425"/>
      <c r="AS178" s="425"/>
      <c r="AT178" s="425"/>
      <c r="AU178" s="425"/>
      <c r="AV178" s="425"/>
      <c r="AW178" s="425"/>
      <c r="AX178" s="425"/>
      <c r="AY178" s="425"/>
      <c r="AZ178" s="425"/>
      <c r="BA178" s="425"/>
      <c r="BB178" s="425"/>
      <c r="BC178" s="425"/>
      <c r="BD178" s="425"/>
      <c r="BE178" s="425"/>
      <c r="BF178" s="425"/>
      <c r="BG178" s="463"/>
      <c r="BH178" s="463"/>
      <c r="BI178" s="463"/>
      <c r="BJ178" s="463"/>
      <c r="BK178" s="463"/>
      <c r="BL178" s="463"/>
      <c r="BM178" s="463"/>
      <c r="BN178" s="463"/>
    </row>
    <row r="179" spans="1:66" ht="15.75" customHeight="1" x14ac:dyDescent="0.2">
      <c r="A179" s="424"/>
      <c r="B179" s="424"/>
      <c r="C179" s="424"/>
      <c r="D179" s="424"/>
      <c r="E179" s="424"/>
      <c r="F179" s="425"/>
      <c r="G179" s="425"/>
      <c r="H179" s="424"/>
      <c r="I179" s="424"/>
      <c r="J179" s="425"/>
      <c r="K179" s="425"/>
      <c r="L179" s="425"/>
      <c r="M179" s="425"/>
      <c r="N179" s="425"/>
      <c r="O179" s="424"/>
      <c r="P179" s="426"/>
      <c r="Q179" s="426"/>
      <c r="R179" s="426"/>
      <c r="S179" s="426"/>
      <c r="T179" s="326"/>
      <c r="U179" s="326"/>
      <c r="V179" s="426"/>
      <c r="W179" s="426"/>
      <c r="X179" s="426"/>
      <c r="Y179" s="426"/>
      <c r="Z179" s="426"/>
      <c r="AA179" s="426"/>
      <c r="AB179" s="426"/>
      <c r="AC179" s="426"/>
      <c r="AD179" s="426"/>
      <c r="AE179" s="326"/>
      <c r="AF179" s="326"/>
      <c r="AG179" s="424"/>
      <c r="AH179" s="424"/>
      <c r="AI179" s="424"/>
      <c r="AJ179" s="424"/>
      <c r="AK179" s="424"/>
      <c r="AL179" s="424"/>
      <c r="AM179" s="425"/>
      <c r="AN179" s="425"/>
      <c r="AO179" s="425"/>
      <c r="AP179" s="425"/>
      <c r="AQ179" s="425"/>
      <c r="AR179" s="425"/>
      <c r="AS179" s="425"/>
      <c r="AT179" s="425"/>
      <c r="AU179" s="425"/>
      <c r="AV179" s="425"/>
      <c r="AW179" s="425"/>
      <c r="AX179" s="425"/>
      <c r="AY179" s="425"/>
      <c r="AZ179" s="425"/>
      <c r="BA179" s="425"/>
      <c r="BB179" s="425"/>
      <c r="BC179" s="425"/>
      <c r="BD179" s="425"/>
      <c r="BE179" s="425"/>
      <c r="BF179" s="425"/>
      <c r="BG179" s="463"/>
      <c r="BH179" s="463"/>
      <c r="BI179" s="463"/>
      <c r="BJ179" s="463"/>
      <c r="BK179" s="463"/>
      <c r="BL179" s="463"/>
      <c r="BM179" s="463"/>
      <c r="BN179" s="463"/>
    </row>
    <row r="180" spans="1:66" ht="15.75" customHeight="1" x14ac:dyDescent="0.2">
      <c r="A180" s="424"/>
      <c r="B180" s="424"/>
      <c r="C180" s="424"/>
      <c r="D180" s="424"/>
      <c r="E180" s="424"/>
      <c r="F180" s="425"/>
      <c r="G180" s="425"/>
      <c r="H180" s="424"/>
      <c r="I180" s="424"/>
      <c r="J180" s="425"/>
      <c r="K180" s="425"/>
      <c r="L180" s="425"/>
      <c r="M180" s="425"/>
      <c r="N180" s="425"/>
      <c r="O180" s="424"/>
      <c r="P180" s="426"/>
      <c r="Q180" s="426"/>
      <c r="R180" s="426"/>
      <c r="S180" s="426"/>
      <c r="T180" s="326"/>
      <c r="U180" s="326"/>
      <c r="V180" s="426"/>
      <c r="W180" s="426"/>
      <c r="X180" s="426"/>
      <c r="Y180" s="426"/>
      <c r="Z180" s="426"/>
      <c r="AA180" s="426"/>
      <c r="AB180" s="426"/>
      <c r="AC180" s="426"/>
      <c r="AD180" s="426"/>
      <c r="AE180" s="326"/>
      <c r="AF180" s="326"/>
      <c r="AG180" s="424"/>
      <c r="AH180" s="424"/>
      <c r="AI180" s="424"/>
      <c r="AJ180" s="424"/>
      <c r="AK180" s="424"/>
      <c r="AL180" s="424"/>
      <c r="AM180" s="425"/>
      <c r="AN180" s="425"/>
      <c r="AO180" s="425"/>
      <c r="AP180" s="425"/>
      <c r="AQ180" s="425"/>
      <c r="AR180" s="425"/>
      <c r="AS180" s="425"/>
      <c r="AT180" s="425"/>
      <c r="AU180" s="425"/>
      <c r="AV180" s="425"/>
      <c r="AW180" s="425"/>
      <c r="AX180" s="425"/>
      <c r="AY180" s="425"/>
      <c r="AZ180" s="425"/>
      <c r="BA180" s="425"/>
      <c r="BB180" s="425"/>
      <c r="BC180" s="425"/>
      <c r="BD180" s="425"/>
      <c r="BE180" s="425"/>
      <c r="BF180" s="425"/>
      <c r="BG180" s="463"/>
      <c r="BH180" s="463"/>
      <c r="BI180" s="463"/>
      <c r="BJ180" s="463"/>
      <c r="BK180" s="463"/>
      <c r="BL180" s="463"/>
      <c r="BM180" s="463"/>
      <c r="BN180" s="463"/>
    </row>
    <row r="181" spans="1:66" ht="15.75" customHeight="1" x14ac:dyDescent="0.2">
      <c r="A181" s="424"/>
      <c r="B181" s="424"/>
      <c r="C181" s="424"/>
      <c r="D181" s="424"/>
      <c r="E181" s="424"/>
      <c r="F181" s="425"/>
      <c r="G181" s="425"/>
      <c r="H181" s="424"/>
      <c r="I181" s="424"/>
      <c r="J181" s="425"/>
      <c r="K181" s="425"/>
      <c r="L181" s="425"/>
      <c r="M181" s="425"/>
      <c r="N181" s="425"/>
      <c r="O181" s="424"/>
      <c r="P181" s="426"/>
      <c r="Q181" s="426"/>
      <c r="R181" s="426"/>
      <c r="S181" s="426"/>
      <c r="T181" s="326"/>
      <c r="U181" s="326"/>
      <c r="V181" s="426"/>
      <c r="W181" s="426"/>
      <c r="X181" s="426"/>
      <c r="Y181" s="426"/>
      <c r="Z181" s="426"/>
      <c r="AA181" s="426"/>
      <c r="AB181" s="426"/>
      <c r="AC181" s="426"/>
      <c r="AD181" s="426"/>
      <c r="AE181" s="326"/>
      <c r="AF181" s="326"/>
      <c r="AG181" s="424"/>
      <c r="AH181" s="424"/>
      <c r="AI181" s="424"/>
      <c r="AJ181" s="424"/>
      <c r="AK181" s="424"/>
      <c r="AL181" s="424"/>
      <c r="AM181" s="425"/>
      <c r="AN181" s="425"/>
      <c r="AO181" s="425"/>
      <c r="AP181" s="425"/>
      <c r="AQ181" s="425"/>
      <c r="AR181" s="425"/>
      <c r="AS181" s="425"/>
      <c r="AT181" s="425"/>
      <c r="AU181" s="425"/>
      <c r="AV181" s="425"/>
      <c r="AW181" s="425"/>
      <c r="AX181" s="425"/>
      <c r="AY181" s="425"/>
      <c r="AZ181" s="425"/>
      <c r="BA181" s="425"/>
      <c r="BB181" s="425"/>
      <c r="BC181" s="425"/>
      <c r="BD181" s="425"/>
      <c r="BE181" s="425"/>
      <c r="BF181" s="425"/>
      <c r="BG181" s="463"/>
      <c r="BH181" s="463"/>
      <c r="BI181" s="463"/>
      <c r="BJ181" s="463"/>
      <c r="BK181" s="463"/>
      <c r="BL181" s="463"/>
      <c r="BM181" s="463"/>
      <c r="BN181" s="463"/>
    </row>
    <row r="182" spans="1:66" ht="15.75" customHeight="1" x14ac:dyDescent="0.2">
      <c r="A182" s="424"/>
      <c r="B182" s="424"/>
      <c r="C182" s="424"/>
      <c r="D182" s="424"/>
      <c r="E182" s="424"/>
      <c r="F182" s="425"/>
      <c r="G182" s="425"/>
      <c r="H182" s="424"/>
      <c r="I182" s="424"/>
      <c r="J182" s="425"/>
      <c r="K182" s="425"/>
      <c r="L182" s="425"/>
      <c r="M182" s="425"/>
      <c r="N182" s="425"/>
      <c r="O182" s="424"/>
      <c r="P182" s="426"/>
      <c r="Q182" s="426"/>
      <c r="R182" s="426"/>
      <c r="S182" s="426"/>
      <c r="T182" s="326"/>
      <c r="U182" s="326"/>
      <c r="V182" s="426"/>
      <c r="W182" s="426"/>
      <c r="X182" s="426"/>
      <c r="Y182" s="426"/>
      <c r="Z182" s="426"/>
      <c r="AA182" s="426"/>
      <c r="AB182" s="426"/>
      <c r="AC182" s="426"/>
      <c r="AD182" s="426"/>
      <c r="AE182" s="326"/>
      <c r="AF182" s="326"/>
      <c r="AG182" s="424"/>
      <c r="AH182" s="424"/>
      <c r="AI182" s="424"/>
      <c r="AJ182" s="424"/>
      <c r="AK182" s="424"/>
      <c r="AL182" s="424"/>
      <c r="AM182" s="425"/>
      <c r="AN182" s="425"/>
      <c r="AO182" s="425"/>
      <c r="AP182" s="425"/>
      <c r="AQ182" s="425"/>
      <c r="AR182" s="425"/>
      <c r="AS182" s="425"/>
      <c r="AT182" s="425"/>
      <c r="AU182" s="425"/>
      <c r="AV182" s="425"/>
      <c r="AW182" s="425"/>
      <c r="AX182" s="425"/>
      <c r="AY182" s="425"/>
      <c r="AZ182" s="425"/>
      <c r="BA182" s="425"/>
      <c r="BB182" s="425"/>
      <c r="BC182" s="425"/>
      <c r="BD182" s="425"/>
      <c r="BE182" s="425"/>
      <c r="BF182" s="425"/>
      <c r="BG182" s="463"/>
      <c r="BH182" s="463"/>
      <c r="BI182" s="463"/>
      <c r="BJ182" s="463"/>
      <c r="BK182" s="463"/>
      <c r="BL182" s="463"/>
      <c r="BM182" s="463"/>
      <c r="BN182" s="463"/>
    </row>
    <row r="183" spans="1:66" ht="15.75" customHeight="1" x14ac:dyDescent="0.2">
      <c r="A183" s="424"/>
      <c r="B183" s="424"/>
      <c r="C183" s="424"/>
      <c r="D183" s="424"/>
      <c r="E183" s="424"/>
      <c r="F183" s="425"/>
      <c r="G183" s="425"/>
      <c r="H183" s="424"/>
      <c r="I183" s="424"/>
      <c r="J183" s="425"/>
      <c r="K183" s="425"/>
      <c r="L183" s="425"/>
      <c r="M183" s="425"/>
      <c r="N183" s="425"/>
      <c r="O183" s="424"/>
      <c r="P183" s="426"/>
      <c r="Q183" s="426"/>
      <c r="R183" s="426"/>
      <c r="S183" s="426"/>
      <c r="T183" s="326"/>
      <c r="U183" s="326"/>
      <c r="V183" s="426"/>
      <c r="W183" s="426"/>
      <c r="X183" s="426"/>
      <c r="Y183" s="426"/>
      <c r="Z183" s="426"/>
      <c r="AA183" s="426"/>
      <c r="AB183" s="426"/>
      <c r="AC183" s="426"/>
      <c r="AD183" s="426"/>
      <c r="AE183" s="326"/>
      <c r="AF183" s="326"/>
      <c r="AG183" s="424"/>
      <c r="AH183" s="424"/>
      <c r="AI183" s="424"/>
      <c r="AJ183" s="424"/>
      <c r="AK183" s="424"/>
      <c r="AL183" s="424"/>
      <c r="AM183" s="425"/>
      <c r="AN183" s="425"/>
      <c r="AO183" s="425"/>
      <c r="AP183" s="425"/>
      <c r="AQ183" s="425"/>
      <c r="AR183" s="425"/>
      <c r="AS183" s="425"/>
      <c r="AT183" s="425"/>
      <c r="AU183" s="425"/>
      <c r="AV183" s="425"/>
      <c r="AW183" s="425"/>
      <c r="AX183" s="425"/>
      <c r="AY183" s="425"/>
      <c r="AZ183" s="425"/>
      <c r="BA183" s="425"/>
      <c r="BB183" s="425"/>
      <c r="BC183" s="425"/>
      <c r="BD183" s="425"/>
      <c r="BE183" s="425"/>
      <c r="BF183" s="425"/>
      <c r="BG183" s="463"/>
      <c r="BH183" s="463"/>
      <c r="BI183" s="463"/>
      <c r="BJ183" s="463"/>
      <c r="BK183" s="463"/>
      <c r="BL183" s="463"/>
      <c r="BM183" s="463"/>
      <c r="BN183" s="463"/>
    </row>
    <row r="184" spans="1:66" ht="15.75" customHeight="1" x14ac:dyDescent="0.2">
      <c r="A184" s="424"/>
      <c r="B184" s="424"/>
      <c r="C184" s="424"/>
      <c r="D184" s="424"/>
      <c r="E184" s="424"/>
      <c r="F184" s="425"/>
      <c r="G184" s="425"/>
      <c r="H184" s="424"/>
      <c r="I184" s="424"/>
      <c r="J184" s="425"/>
      <c r="K184" s="425"/>
      <c r="L184" s="425"/>
      <c r="M184" s="425"/>
      <c r="N184" s="425"/>
      <c r="O184" s="424"/>
      <c r="P184" s="426"/>
      <c r="Q184" s="426"/>
      <c r="R184" s="426"/>
      <c r="S184" s="426"/>
      <c r="T184" s="326"/>
      <c r="U184" s="326"/>
      <c r="V184" s="426"/>
      <c r="W184" s="426"/>
      <c r="X184" s="426"/>
      <c r="Y184" s="426"/>
      <c r="Z184" s="426"/>
      <c r="AA184" s="426"/>
      <c r="AB184" s="426"/>
      <c r="AC184" s="426"/>
      <c r="AD184" s="426"/>
      <c r="AE184" s="326"/>
      <c r="AF184" s="326"/>
      <c r="AG184" s="424"/>
      <c r="AH184" s="424"/>
      <c r="AI184" s="424"/>
      <c r="AJ184" s="424"/>
      <c r="AK184" s="424"/>
      <c r="AL184" s="424"/>
      <c r="AM184" s="425"/>
      <c r="AN184" s="425"/>
      <c r="AO184" s="425"/>
      <c r="AP184" s="425"/>
      <c r="AQ184" s="425"/>
      <c r="AR184" s="425"/>
      <c r="AS184" s="425"/>
      <c r="AT184" s="425"/>
      <c r="AU184" s="425"/>
      <c r="AV184" s="425"/>
      <c r="AW184" s="425"/>
      <c r="AX184" s="425"/>
      <c r="AY184" s="425"/>
      <c r="AZ184" s="425"/>
      <c r="BA184" s="425"/>
      <c r="BB184" s="425"/>
      <c r="BC184" s="425"/>
      <c r="BD184" s="425"/>
      <c r="BE184" s="425"/>
      <c r="BF184" s="425"/>
      <c r="BG184" s="463"/>
      <c r="BH184" s="463"/>
      <c r="BI184" s="463"/>
      <c r="BJ184" s="463"/>
      <c r="BK184" s="463"/>
      <c r="BL184" s="463"/>
      <c r="BM184" s="463"/>
      <c r="BN184" s="463"/>
    </row>
    <row r="185" spans="1:66" ht="15.75" customHeight="1" x14ac:dyDescent="0.2">
      <c r="A185" s="424"/>
      <c r="B185" s="424"/>
      <c r="C185" s="424"/>
      <c r="D185" s="424"/>
      <c r="E185" s="424"/>
      <c r="F185" s="425"/>
      <c r="G185" s="425"/>
      <c r="H185" s="424"/>
      <c r="I185" s="424"/>
      <c r="J185" s="425"/>
      <c r="K185" s="425"/>
      <c r="L185" s="425"/>
      <c r="M185" s="425"/>
      <c r="N185" s="425"/>
      <c r="O185" s="424"/>
      <c r="P185" s="426"/>
      <c r="Q185" s="426"/>
      <c r="R185" s="426"/>
      <c r="S185" s="426"/>
      <c r="T185" s="326"/>
      <c r="U185" s="326"/>
      <c r="V185" s="426"/>
      <c r="W185" s="426"/>
      <c r="X185" s="426"/>
      <c r="Y185" s="426"/>
      <c r="Z185" s="426"/>
      <c r="AA185" s="426"/>
      <c r="AB185" s="426"/>
      <c r="AC185" s="426"/>
      <c r="AD185" s="426"/>
      <c r="AE185" s="326"/>
      <c r="AF185" s="326"/>
      <c r="AG185" s="424"/>
      <c r="AH185" s="424"/>
      <c r="AI185" s="424"/>
      <c r="AJ185" s="424"/>
      <c r="AK185" s="424"/>
      <c r="AL185" s="424"/>
      <c r="AM185" s="425"/>
      <c r="AN185" s="425"/>
      <c r="AO185" s="425"/>
      <c r="AP185" s="425"/>
      <c r="AQ185" s="425"/>
      <c r="AR185" s="425"/>
      <c r="AS185" s="425"/>
      <c r="AT185" s="425"/>
      <c r="AU185" s="425"/>
      <c r="AV185" s="425"/>
      <c r="AW185" s="425"/>
      <c r="AX185" s="425"/>
      <c r="AY185" s="425"/>
      <c r="AZ185" s="425"/>
      <c r="BA185" s="425"/>
      <c r="BB185" s="425"/>
      <c r="BC185" s="425"/>
      <c r="BD185" s="425"/>
      <c r="BE185" s="425"/>
      <c r="BF185" s="425"/>
      <c r="BG185" s="463"/>
      <c r="BH185" s="463"/>
      <c r="BI185" s="463"/>
      <c r="BJ185" s="463"/>
      <c r="BK185" s="463"/>
      <c r="BL185" s="463"/>
      <c r="BM185" s="463"/>
      <c r="BN185" s="463"/>
    </row>
    <row r="186" spans="1:66" ht="15.75" customHeight="1" x14ac:dyDescent="0.2">
      <c r="A186" s="424"/>
      <c r="B186" s="424"/>
      <c r="C186" s="424"/>
      <c r="D186" s="424"/>
      <c r="E186" s="424"/>
      <c r="F186" s="425"/>
      <c r="G186" s="425"/>
      <c r="H186" s="424"/>
      <c r="I186" s="424"/>
      <c r="J186" s="425"/>
      <c r="K186" s="425"/>
      <c r="L186" s="425"/>
      <c r="M186" s="425"/>
      <c r="N186" s="425"/>
      <c r="O186" s="424"/>
      <c r="P186" s="426"/>
      <c r="Q186" s="426"/>
      <c r="R186" s="426"/>
      <c r="S186" s="426"/>
      <c r="T186" s="326"/>
      <c r="U186" s="326"/>
      <c r="V186" s="426"/>
      <c r="W186" s="426"/>
      <c r="X186" s="426"/>
      <c r="Y186" s="426"/>
      <c r="Z186" s="426"/>
      <c r="AA186" s="426"/>
      <c r="AB186" s="426"/>
      <c r="AC186" s="426"/>
      <c r="AD186" s="426"/>
      <c r="AE186" s="326"/>
      <c r="AF186" s="326"/>
      <c r="AG186" s="424"/>
      <c r="AH186" s="424"/>
      <c r="AI186" s="424"/>
      <c r="AJ186" s="424"/>
      <c r="AK186" s="424"/>
      <c r="AL186" s="424"/>
      <c r="AM186" s="425"/>
      <c r="AN186" s="425"/>
      <c r="AO186" s="425"/>
      <c r="AP186" s="425"/>
      <c r="AQ186" s="425"/>
      <c r="AR186" s="425"/>
      <c r="AS186" s="425"/>
      <c r="AT186" s="425"/>
      <c r="AU186" s="425"/>
      <c r="AV186" s="425"/>
      <c r="AW186" s="425"/>
      <c r="AX186" s="425"/>
      <c r="AY186" s="425"/>
      <c r="AZ186" s="425"/>
      <c r="BA186" s="425"/>
      <c r="BB186" s="425"/>
      <c r="BC186" s="425"/>
      <c r="BD186" s="425"/>
      <c r="BE186" s="425"/>
      <c r="BF186" s="425"/>
      <c r="BG186" s="463"/>
      <c r="BH186" s="463"/>
      <c r="BI186" s="463"/>
      <c r="BJ186" s="463"/>
      <c r="BK186" s="463"/>
      <c r="BL186" s="463"/>
      <c r="BM186" s="463"/>
      <c r="BN186" s="463"/>
    </row>
    <row r="187" spans="1:66" ht="15.75" customHeight="1" x14ac:dyDescent="0.2">
      <c r="A187" s="424"/>
      <c r="B187" s="424"/>
      <c r="C187" s="424"/>
      <c r="D187" s="424"/>
      <c r="E187" s="424"/>
      <c r="F187" s="425"/>
      <c r="G187" s="425"/>
      <c r="H187" s="424"/>
      <c r="I187" s="424"/>
      <c r="J187" s="425"/>
      <c r="K187" s="425"/>
      <c r="L187" s="425"/>
      <c r="M187" s="425"/>
      <c r="N187" s="425"/>
      <c r="O187" s="424"/>
      <c r="P187" s="426"/>
      <c r="Q187" s="426"/>
      <c r="R187" s="426"/>
      <c r="S187" s="426"/>
      <c r="T187" s="326"/>
      <c r="U187" s="326"/>
      <c r="V187" s="426"/>
      <c r="W187" s="426"/>
      <c r="X187" s="426"/>
      <c r="Y187" s="426"/>
      <c r="Z187" s="426"/>
      <c r="AA187" s="426"/>
      <c r="AB187" s="426"/>
      <c r="AC187" s="426"/>
      <c r="AD187" s="426"/>
      <c r="AE187" s="326"/>
      <c r="AF187" s="326"/>
      <c r="AG187" s="424"/>
      <c r="AH187" s="424"/>
      <c r="AI187" s="424"/>
      <c r="AJ187" s="424"/>
      <c r="AK187" s="424"/>
      <c r="AL187" s="424"/>
      <c r="AM187" s="425"/>
      <c r="AN187" s="425"/>
      <c r="AO187" s="425"/>
      <c r="AP187" s="425"/>
      <c r="AQ187" s="425"/>
      <c r="AR187" s="425"/>
      <c r="AS187" s="425"/>
      <c r="AT187" s="425"/>
      <c r="AU187" s="425"/>
      <c r="AV187" s="425"/>
      <c r="AW187" s="425"/>
      <c r="AX187" s="425"/>
      <c r="AY187" s="425"/>
      <c r="AZ187" s="425"/>
      <c r="BA187" s="425"/>
      <c r="BB187" s="425"/>
      <c r="BC187" s="425"/>
      <c r="BD187" s="425"/>
      <c r="BE187" s="425"/>
      <c r="BF187" s="425"/>
      <c r="BG187" s="463"/>
      <c r="BH187" s="463"/>
      <c r="BI187" s="463"/>
      <c r="BJ187" s="463"/>
      <c r="BK187" s="463"/>
      <c r="BL187" s="463"/>
      <c r="BM187" s="463"/>
      <c r="BN187" s="463"/>
    </row>
    <row r="188" spans="1:66" ht="15.75" customHeight="1" x14ac:dyDescent="0.2">
      <c r="A188" s="424"/>
      <c r="B188" s="424"/>
      <c r="C188" s="424"/>
      <c r="D188" s="424"/>
      <c r="E188" s="424"/>
      <c r="F188" s="425"/>
      <c r="G188" s="425"/>
      <c r="H188" s="424"/>
      <c r="I188" s="424"/>
      <c r="J188" s="425"/>
      <c r="K188" s="425"/>
      <c r="L188" s="425"/>
      <c r="M188" s="425"/>
      <c r="N188" s="425"/>
      <c r="O188" s="424"/>
      <c r="P188" s="426"/>
      <c r="Q188" s="426"/>
      <c r="R188" s="426"/>
      <c r="S188" s="426"/>
      <c r="T188" s="326"/>
      <c r="U188" s="326"/>
      <c r="V188" s="426"/>
      <c r="W188" s="426"/>
      <c r="X188" s="426"/>
      <c r="Y188" s="426"/>
      <c r="Z188" s="426"/>
      <c r="AA188" s="426"/>
      <c r="AB188" s="426"/>
      <c r="AC188" s="426"/>
      <c r="AD188" s="426"/>
      <c r="AE188" s="326"/>
      <c r="AF188" s="326"/>
      <c r="AG188" s="424"/>
      <c r="AH188" s="424"/>
      <c r="AI188" s="424"/>
      <c r="AJ188" s="424"/>
      <c r="AK188" s="424"/>
      <c r="AL188" s="424"/>
      <c r="AM188" s="425"/>
      <c r="AN188" s="425"/>
      <c r="AO188" s="425"/>
      <c r="AP188" s="425"/>
      <c r="AQ188" s="425"/>
      <c r="AR188" s="425"/>
      <c r="AS188" s="425"/>
      <c r="AT188" s="425"/>
      <c r="AU188" s="425"/>
      <c r="AV188" s="425"/>
      <c r="AW188" s="425"/>
      <c r="AX188" s="425"/>
      <c r="AY188" s="425"/>
      <c r="AZ188" s="425"/>
      <c r="BA188" s="425"/>
      <c r="BB188" s="425"/>
      <c r="BC188" s="425"/>
      <c r="BD188" s="425"/>
      <c r="BE188" s="425"/>
      <c r="BF188" s="425"/>
      <c r="BG188" s="463"/>
      <c r="BH188" s="463"/>
      <c r="BI188" s="463"/>
      <c r="BJ188" s="463"/>
      <c r="BK188" s="463"/>
      <c r="BL188" s="463"/>
      <c r="BM188" s="463"/>
      <c r="BN188" s="463"/>
    </row>
    <row r="189" spans="1:66" ht="15.75" customHeight="1" x14ac:dyDescent="0.2">
      <c r="A189" s="424"/>
      <c r="B189" s="424"/>
      <c r="C189" s="424"/>
      <c r="D189" s="424"/>
      <c r="E189" s="424"/>
      <c r="F189" s="425"/>
      <c r="G189" s="425"/>
      <c r="H189" s="424"/>
      <c r="I189" s="424"/>
      <c r="J189" s="425"/>
      <c r="K189" s="425"/>
      <c r="L189" s="425"/>
      <c r="M189" s="425"/>
      <c r="N189" s="425"/>
      <c r="O189" s="424"/>
      <c r="P189" s="426"/>
      <c r="Q189" s="426"/>
      <c r="R189" s="426"/>
      <c r="S189" s="426"/>
      <c r="T189" s="326"/>
      <c r="U189" s="326"/>
      <c r="V189" s="426"/>
      <c r="W189" s="426"/>
      <c r="X189" s="426"/>
      <c r="Y189" s="426"/>
      <c r="Z189" s="426"/>
      <c r="AA189" s="426"/>
      <c r="AB189" s="426"/>
      <c r="AC189" s="426"/>
      <c r="AD189" s="426"/>
      <c r="AE189" s="326"/>
      <c r="AF189" s="326"/>
      <c r="AG189" s="424"/>
      <c r="AH189" s="424"/>
      <c r="AI189" s="424"/>
      <c r="AJ189" s="424"/>
      <c r="AK189" s="424"/>
      <c r="AL189" s="424"/>
      <c r="AM189" s="425"/>
      <c r="AN189" s="425"/>
      <c r="AO189" s="425"/>
      <c r="AP189" s="425"/>
      <c r="AQ189" s="425"/>
      <c r="AR189" s="425"/>
      <c r="AS189" s="425"/>
      <c r="AT189" s="425"/>
      <c r="AU189" s="425"/>
      <c r="AV189" s="425"/>
      <c r="AW189" s="425"/>
      <c r="AX189" s="425"/>
      <c r="AY189" s="425"/>
      <c r="AZ189" s="425"/>
      <c r="BA189" s="425"/>
      <c r="BB189" s="425"/>
      <c r="BC189" s="425"/>
      <c r="BD189" s="425"/>
      <c r="BE189" s="425"/>
      <c r="BF189" s="425"/>
      <c r="BG189" s="463"/>
      <c r="BH189" s="463"/>
      <c r="BI189" s="463"/>
      <c r="BJ189" s="463"/>
      <c r="BK189" s="463"/>
      <c r="BL189" s="463"/>
      <c r="BM189" s="463"/>
      <c r="BN189" s="463"/>
    </row>
    <row r="190" spans="1:66" ht="15.75" customHeight="1" x14ac:dyDescent="0.2">
      <c r="A190" s="424"/>
      <c r="B190" s="424"/>
      <c r="C190" s="424"/>
      <c r="D190" s="424"/>
      <c r="E190" s="424"/>
      <c r="F190" s="425"/>
      <c r="G190" s="425"/>
      <c r="H190" s="424"/>
      <c r="I190" s="424"/>
      <c r="J190" s="425"/>
      <c r="K190" s="425"/>
      <c r="L190" s="425"/>
      <c r="M190" s="425"/>
      <c r="N190" s="425"/>
      <c r="O190" s="424"/>
      <c r="P190" s="426"/>
      <c r="Q190" s="426"/>
      <c r="R190" s="426"/>
      <c r="S190" s="426"/>
      <c r="T190" s="326"/>
      <c r="U190" s="326"/>
      <c r="V190" s="426"/>
      <c r="W190" s="426"/>
      <c r="X190" s="426"/>
      <c r="Y190" s="426"/>
      <c r="Z190" s="426"/>
      <c r="AA190" s="426"/>
      <c r="AB190" s="426"/>
      <c r="AC190" s="426"/>
      <c r="AD190" s="426"/>
      <c r="AE190" s="326"/>
      <c r="AF190" s="326"/>
      <c r="AG190" s="424"/>
      <c r="AH190" s="424"/>
      <c r="AI190" s="424"/>
      <c r="AJ190" s="424"/>
      <c r="AK190" s="424"/>
      <c r="AL190" s="424"/>
      <c r="AM190" s="425"/>
      <c r="AN190" s="425"/>
      <c r="AO190" s="425"/>
      <c r="AP190" s="425"/>
      <c r="AQ190" s="425"/>
      <c r="AR190" s="425"/>
      <c r="AS190" s="425"/>
      <c r="AT190" s="425"/>
      <c r="AU190" s="425"/>
      <c r="AV190" s="425"/>
      <c r="AW190" s="425"/>
      <c r="AX190" s="425"/>
      <c r="AY190" s="425"/>
      <c r="AZ190" s="425"/>
      <c r="BA190" s="425"/>
      <c r="BB190" s="425"/>
      <c r="BC190" s="425"/>
      <c r="BD190" s="425"/>
      <c r="BE190" s="425"/>
      <c r="BF190" s="425"/>
      <c r="BG190" s="463"/>
      <c r="BH190" s="463"/>
      <c r="BI190" s="463"/>
      <c r="BJ190" s="463"/>
      <c r="BK190" s="463"/>
      <c r="BL190" s="463"/>
      <c r="BM190" s="463"/>
      <c r="BN190" s="463"/>
    </row>
    <row r="191" spans="1:66" ht="15.75" customHeight="1" x14ac:dyDescent="0.2">
      <c r="A191" s="424"/>
      <c r="B191" s="424"/>
      <c r="C191" s="424"/>
      <c r="D191" s="424"/>
      <c r="E191" s="424"/>
      <c r="F191" s="425"/>
      <c r="G191" s="425"/>
      <c r="H191" s="424"/>
      <c r="I191" s="424"/>
      <c r="J191" s="425"/>
      <c r="K191" s="425"/>
      <c r="L191" s="425"/>
      <c r="M191" s="425"/>
      <c r="N191" s="425"/>
      <c r="O191" s="424"/>
      <c r="P191" s="426"/>
      <c r="Q191" s="426"/>
      <c r="R191" s="426"/>
      <c r="S191" s="426"/>
      <c r="T191" s="326"/>
      <c r="U191" s="326"/>
      <c r="V191" s="426"/>
      <c r="W191" s="426"/>
      <c r="X191" s="426"/>
      <c r="Y191" s="426"/>
      <c r="Z191" s="426"/>
      <c r="AA191" s="426"/>
      <c r="AB191" s="426"/>
      <c r="AC191" s="426"/>
      <c r="AD191" s="426"/>
      <c r="AE191" s="326"/>
      <c r="AF191" s="326"/>
      <c r="AG191" s="424"/>
      <c r="AH191" s="424"/>
      <c r="AI191" s="424"/>
      <c r="AJ191" s="424"/>
      <c r="AK191" s="424"/>
      <c r="AL191" s="424"/>
      <c r="AM191" s="425"/>
      <c r="AN191" s="425"/>
      <c r="AO191" s="425"/>
      <c r="AP191" s="425"/>
      <c r="AQ191" s="425"/>
      <c r="AR191" s="425"/>
      <c r="AS191" s="425"/>
      <c r="AT191" s="425"/>
      <c r="AU191" s="425"/>
      <c r="AV191" s="425"/>
      <c r="AW191" s="425"/>
      <c r="AX191" s="425"/>
      <c r="AY191" s="425"/>
      <c r="AZ191" s="425"/>
      <c r="BA191" s="425"/>
      <c r="BB191" s="425"/>
      <c r="BC191" s="425"/>
      <c r="BD191" s="425"/>
      <c r="BE191" s="425"/>
      <c r="BF191" s="425"/>
      <c r="BG191" s="463"/>
      <c r="BH191" s="463"/>
      <c r="BI191" s="463"/>
      <c r="BJ191" s="463"/>
      <c r="BK191" s="463"/>
      <c r="BL191" s="463"/>
      <c r="BM191" s="463"/>
      <c r="BN191" s="463"/>
    </row>
    <row r="192" spans="1:66" ht="15.75" customHeight="1" x14ac:dyDescent="0.2">
      <c r="A192" s="424"/>
      <c r="B192" s="424"/>
      <c r="C192" s="424"/>
      <c r="D192" s="424"/>
      <c r="E192" s="424"/>
      <c r="F192" s="425"/>
      <c r="G192" s="425"/>
      <c r="H192" s="424"/>
      <c r="I192" s="424"/>
      <c r="J192" s="425"/>
      <c r="K192" s="425"/>
      <c r="L192" s="425"/>
      <c r="M192" s="425"/>
      <c r="N192" s="425"/>
      <c r="O192" s="424"/>
      <c r="P192" s="426"/>
      <c r="Q192" s="426"/>
      <c r="R192" s="426"/>
      <c r="S192" s="426"/>
      <c r="T192" s="326"/>
      <c r="U192" s="326"/>
      <c r="V192" s="426"/>
      <c r="W192" s="426"/>
      <c r="X192" s="426"/>
      <c r="Y192" s="426"/>
      <c r="Z192" s="426"/>
      <c r="AA192" s="426"/>
      <c r="AB192" s="426"/>
      <c r="AC192" s="426"/>
      <c r="AD192" s="426"/>
      <c r="AE192" s="326"/>
      <c r="AF192" s="326"/>
      <c r="AG192" s="424"/>
      <c r="AH192" s="424"/>
      <c r="AI192" s="424"/>
      <c r="AJ192" s="424"/>
      <c r="AK192" s="424"/>
      <c r="AL192" s="424"/>
      <c r="AM192" s="425"/>
      <c r="AN192" s="425"/>
      <c r="AO192" s="425"/>
      <c r="AP192" s="425"/>
      <c r="AQ192" s="425"/>
      <c r="AR192" s="425"/>
      <c r="AS192" s="425"/>
      <c r="AT192" s="425"/>
      <c r="AU192" s="425"/>
      <c r="AV192" s="425"/>
      <c r="AW192" s="425"/>
      <c r="AX192" s="425"/>
      <c r="AY192" s="425"/>
      <c r="AZ192" s="425"/>
      <c r="BA192" s="425"/>
      <c r="BB192" s="425"/>
      <c r="BC192" s="425"/>
      <c r="BD192" s="425"/>
      <c r="BE192" s="425"/>
      <c r="BF192" s="425"/>
      <c r="BG192" s="463"/>
      <c r="BH192" s="463"/>
      <c r="BI192" s="463"/>
      <c r="BJ192" s="463"/>
      <c r="BK192" s="463"/>
      <c r="BL192" s="463"/>
      <c r="BM192" s="463"/>
      <c r="BN192" s="463"/>
    </row>
    <row r="193" spans="1:66" ht="15.75" customHeight="1" x14ac:dyDescent="0.2">
      <c r="A193" s="424"/>
      <c r="B193" s="424"/>
      <c r="C193" s="424"/>
      <c r="D193" s="424"/>
      <c r="E193" s="424"/>
      <c r="F193" s="425"/>
      <c r="G193" s="425"/>
      <c r="H193" s="424"/>
      <c r="I193" s="424"/>
      <c r="J193" s="425"/>
      <c r="K193" s="425"/>
      <c r="L193" s="425"/>
      <c r="M193" s="425"/>
      <c r="N193" s="425"/>
      <c r="O193" s="424"/>
      <c r="P193" s="426"/>
      <c r="Q193" s="426"/>
      <c r="R193" s="426"/>
      <c r="S193" s="426"/>
      <c r="T193" s="326"/>
      <c r="U193" s="326"/>
      <c r="V193" s="426"/>
      <c r="W193" s="426"/>
      <c r="X193" s="426"/>
      <c r="Y193" s="426"/>
      <c r="Z193" s="426"/>
      <c r="AA193" s="426"/>
      <c r="AB193" s="426"/>
      <c r="AC193" s="426"/>
      <c r="AD193" s="426"/>
      <c r="AE193" s="326"/>
      <c r="AF193" s="326"/>
      <c r="AG193" s="424"/>
      <c r="AH193" s="424"/>
      <c r="AI193" s="424"/>
      <c r="AJ193" s="424"/>
      <c r="AK193" s="424"/>
      <c r="AL193" s="424"/>
      <c r="AM193" s="425"/>
      <c r="AN193" s="425"/>
      <c r="AO193" s="425"/>
      <c r="AP193" s="425"/>
      <c r="AQ193" s="425"/>
      <c r="AR193" s="425"/>
      <c r="AS193" s="425"/>
      <c r="AT193" s="425"/>
      <c r="AU193" s="425"/>
      <c r="AV193" s="425"/>
      <c r="AW193" s="425"/>
      <c r="AX193" s="425"/>
      <c r="AY193" s="425"/>
      <c r="AZ193" s="425"/>
      <c r="BA193" s="425"/>
      <c r="BB193" s="425"/>
      <c r="BC193" s="425"/>
      <c r="BD193" s="425"/>
      <c r="BE193" s="425"/>
      <c r="BF193" s="425"/>
      <c r="BG193" s="463"/>
      <c r="BH193" s="463"/>
      <c r="BI193" s="463"/>
      <c r="BJ193" s="463"/>
      <c r="BK193" s="463"/>
      <c r="BL193" s="463"/>
      <c r="BM193" s="463"/>
      <c r="BN193" s="463"/>
    </row>
    <row r="194" spans="1:66" ht="15.75" customHeight="1" x14ac:dyDescent="0.2">
      <c r="A194" s="424"/>
      <c r="B194" s="424"/>
      <c r="C194" s="424"/>
      <c r="D194" s="424"/>
      <c r="E194" s="424"/>
      <c r="F194" s="425"/>
      <c r="G194" s="425"/>
      <c r="H194" s="424"/>
      <c r="I194" s="424"/>
      <c r="J194" s="425"/>
      <c r="K194" s="425"/>
      <c r="L194" s="425"/>
      <c r="M194" s="425"/>
      <c r="N194" s="425"/>
      <c r="O194" s="424"/>
      <c r="P194" s="426"/>
      <c r="Q194" s="426"/>
      <c r="R194" s="426"/>
      <c r="S194" s="426"/>
      <c r="T194" s="326"/>
      <c r="U194" s="326"/>
      <c r="V194" s="426"/>
      <c r="W194" s="426"/>
      <c r="X194" s="426"/>
      <c r="Y194" s="426"/>
      <c r="Z194" s="426"/>
      <c r="AA194" s="426"/>
      <c r="AB194" s="426"/>
      <c r="AC194" s="426"/>
      <c r="AD194" s="426"/>
      <c r="AE194" s="326"/>
      <c r="AF194" s="326"/>
      <c r="AG194" s="424"/>
      <c r="AH194" s="424"/>
      <c r="AI194" s="424"/>
      <c r="AJ194" s="424"/>
      <c r="AK194" s="424"/>
      <c r="AL194" s="424"/>
      <c r="AM194" s="425"/>
      <c r="AN194" s="425"/>
      <c r="AO194" s="425"/>
      <c r="AP194" s="425"/>
      <c r="AQ194" s="425"/>
      <c r="AR194" s="425"/>
      <c r="AS194" s="425"/>
      <c r="AT194" s="425"/>
      <c r="AU194" s="425"/>
      <c r="AV194" s="425"/>
      <c r="AW194" s="425"/>
      <c r="AX194" s="425"/>
      <c r="AY194" s="425"/>
      <c r="AZ194" s="425"/>
      <c r="BA194" s="425"/>
      <c r="BB194" s="425"/>
      <c r="BC194" s="425"/>
      <c r="BD194" s="425"/>
      <c r="BE194" s="425"/>
      <c r="BF194" s="425"/>
      <c r="BG194" s="463"/>
      <c r="BH194" s="463"/>
      <c r="BI194" s="463"/>
      <c r="BJ194" s="463"/>
      <c r="BK194" s="463"/>
      <c r="BL194" s="463"/>
      <c r="BM194" s="463"/>
      <c r="BN194" s="463"/>
    </row>
    <row r="195" spans="1:66" ht="15.75" customHeight="1" x14ac:dyDescent="0.2">
      <c r="A195" s="424"/>
      <c r="B195" s="424"/>
      <c r="C195" s="424"/>
      <c r="D195" s="424"/>
      <c r="E195" s="424"/>
      <c r="F195" s="425"/>
      <c r="G195" s="425"/>
      <c r="H195" s="424"/>
      <c r="I195" s="424"/>
      <c r="J195" s="425"/>
      <c r="K195" s="425"/>
      <c r="L195" s="425"/>
      <c r="M195" s="425"/>
      <c r="N195" s="425"/>
      <c r="O195" s="424"/>
      <c r="P195" s="426"/>
      <c r="Q195" s="426"/>
      <c r="R195" s="426"/>
      <c r="S195" s="426"/>
      <c r="T195" s="326"/>
      <c r="U195" s="326"/>
      <c r="V195" s="426"/>
      <c r="W195" s="426"/>
      <c r="X195" s="426"/>
      <c r="Y195" s="426"/>
      <c r="Z195" s="426"/>
      <c r="AA195" s="426"/>
      <c r="AB195" s="426"/>
      <c r="AC195" s="426"/>
      <c r="AD195" s="426"/>
      <c r="AE195" s="326"/>
      <c r="AF195" s="326"/>
      <c r="AG195" s="424"/>
      <c r="AH195" s="424"/>
      <c r="AI195" s="424"/>
      <c r="AJ195" s="424"/>
      <c r="AK195" s="424"/>
      <c r="AL195" s="424"/>
      <c r="AM195" s="425"/>
      <c r="AN195" s="425"/>
      <c r="AO195" s="425"/>
      <c r="AP195" s="425"/>
      <c r="AQ195" s="425"/>
      <c r="AR195" s="425"/>
      <c r="AS195" s="425"/>
      <c r="AT195" s="425"/>
      <c r="AU195" s="425"/>
      <c r="AV195" s="425"/>
      <c r="AW195" s="425"/>
      <c r="AX195" s="425"/>
      <c r="AY195" s="425"/>
      <c r="AZ195" s="425"/>
      <c r="BA195" s="425"/>
      <c r="BB195" s="425"/>
      <c r="BC195" s="425"/>
      <c r="BD195" s="425"/>
      <c r="BE195" s="425"/>
      <c r="BF195" s="425"/>
      <c r="BG195" s="463"/>
      <c r="BH195" s="463"/>
      <c r="BI195" s="463"/>
      <c r="BJ195" s="463"/>
      <c r="BK195" s="463"/>
      <c r="BL195" s="463"/>
      <c r="BM195" s="463"/>
      <c r="BN195" s="463"/>
    </row>
    <row r="196" spans="1:66" ht="15.75" customHeight="1" x14ac:dyDescent="0.2">
      <c r="A196" s="424"/>
      <c r="B196" s="424"/>
      <c r="C196" s="424"/>
      <c r="D196" s="424"/>
      <c r="E196" s="424"/>
      <c r="F196" s="425"/>
      <c r="G196" s="425"/>
      <c r="H196" s="424"/>
      <c r="I196" s="424"/>
      <c r="J196" s="425"/>
      <c r="K196" s="425"/>
      <c r="L196" s="425"/>
      <c r="M196" s="425"/>
      <c r="N196" s="425"/>
      <c r="O196" s="424"/>
      <c r="P196" s="426"/>
      <c r="Q196" s="426"/>
      <c r="R196" s="426"/>
      <c r="S196" s="426"/>
      <c r="T196" s="326"/>
      <c r="U196" s="326"/>
      <c r="V196" s="426"/>
      <c r="W196" s="426"/>
      <c r="X196" s="426"/>
      <c r="Y196" s="426"/>
      <c r="Z196" s="426"/>
      <c r="AA196" s="426"/>
      <c r="AB196" s="426"/>
      <c r="AC196" s="426"/>
      <c r="AD196" s="426"/>
      <c r="AE196" s="326"/>
      <c r="AF196" s="326"/>
      <c r="AG196" s="424"/>
      <c r="AH196" s="424"/>
      <c r="AI196" s="424"/>
      <c r="AJ196" s="424"/>
      <c r="AK196" s="424"/>
      <c r="AL196" s="424"/>
      <c r="AM196" s="425"/>
      <c r="AN196" s="425"/>
      <c r="AO196" s="425"/>
      <c r="AP196" s="425"/>
      <c r="AQ196" s="425"/>
      <c r="AR196" s="425"/>
      <c r="AS196" s="425"/>
      <c r="AT196" s="425"/>
      <c r="AU196" s="425"/>
      <c r="AV196" s="425"/>
      <c r="AW196" s="425"/>
      <c r="AX196" s="425"/>
      <c r="AY196" s="425"/>
      <c r="AZ196" s="425"/>
      <c r="BA196" s="425"/>
      <c r="BB196" s="425"/>
      <c r="BC196" s="425"/>
      <c r="BD196" s="425"/>
      <c r="BE196" s="425"/>
      <c r="BF196" s="425"/>
      <c r="BG196" s="463"/>
      <c r="BH196" s="463"/>
      <c r="BI196" s="463"/>
      <c r="BJ196" s="463"/>
      <c r="BK196" s="463"/>
      <c r="BL196" s="463"/>
      <c r="BM196" s="463"/>
      <c r="BN196" s="463"/>
    </row>
    <row r="197" spans="1:66" ht="15.75" customHeight="1" x14ac:dyDescent="0.2">
      <c r="A197" s="424"/>
      <c r="B197" s="424"/>
      <c r="C197" s="424"/>
      <c r="D197" s="424"/>
      <c r="E197" s="424"/>
      <c r="F197" s="425"/>
      <c r="G197" s="425"/>
      <c r="H197" s="424"/>
      <c r="I197" s="424"/>
      <c r="J197" s="425"/>
      <c r="K197" s="425"/>
      <c r="L197" s="425"/>
      <c r="M197" s="425"/>
      <c r="N197" s="425"/>
      <c r="O197" s="424"/>
      <c r="P197" s="426"/>
      <c r="Q197" s="426"/>
      <c r="R197" s="426"/>
      <c r="S197" s="426"/>
      <c r="T197" s="326"/>
      <c r="U197" s="326"/>
      <c r="V197" s="426"/>
      <c r="W197" s="426"/>
      <c r="X197" s="426"/>
      <c r="Y197" s="426"/>
      <c r="Z197" s="426"/>
      <c r="AA197" s="426"/>
      <c r="AB197" s="426"/>
      <c r="AC197" s="426"/>
      <c r="AD197" s="426"/>
      <c r="AE197" s="326"/>
      <c r="AF197" s="326"/>
      <c r="AG197" s="424"/>
      <c r="AH197" s="424"/>
      <c r="AI197" s="424"/>
      <c r="AJ197" s="424"/>
      <c r="AK197" s="424"/>
      <c r="AL197" s="424"/>
      <c r="AM197" s="425"/>
      <c r="AN197" s="425"/>
      <c r="AO197" s="425"/>
      <c r="AP197" s="425"/>
      <c r="AQ197" s="425"/>
      <c r="AR197" s="425"/>
      <c r="AS197" s="425"/>
      <c r="AT197" s="425"/>
      <c r="AU197" s="425"/>
      <c r="AV197" s="425"/>
      <c r="AW197" s="425"/>
      <c r="AX197" s="425"/>
      <c r="AY197" s="425"/>
      <c r="AZ197" s="425"/>
      <c r="BA197" s="425"/>
      <c r="BB197" s="425"/>
      <c r="BC197" s="425"/>
      <c r="BD197" s="425"/>
      <c r="BE197" s="425"/>
      <c r="BF197" s="425"/>
      <c r="BG197" s="463"/>
      <c r="BH197" s="463"/>
      <c r="BI197" s="463"/>
      <c r="BJ197" s="463"/>
      <c r="BK197" s="463"/>
      <c r="BL197" s="463"/>
      <c r="BM197" s="463"/>
      <c r="BN197" s="463"/>
    </row>
    <row r="198" spans="1:66" ht="15.75" customHeight="1" x14ac:dyDescent="0.2">
      <c r="A198" s="424"/>
      <c r="B198" s="424"/>
      <c r="C198" s="424"/>
      <c r="D198" s="424"/>
      <c r="E198" s="424"/>
      <c r="F198" s="425"/>
      <c r="G198" s="425"/>
      <c r="H198" s="424"/>
      <c r="I198" s="424"/>
      <c r="J198" s="425"/>
      <c r="K198" s="425"/>
      <c r="L198" s="425"/>
      <c r="M198" s="425"/>
      <c r="N198" s="425"/>
      <c r="O198" s="424"/>
      <c r="P198" s="426"/>
      <c r="Q198" s="426"/>
      <c r="R198" s="426"/>
      <c r="S198" s="426"/>
      <c r="T198" s="326"/>
      <c r="U198" s="326"/>
      <c r="V198" s="426"/>
      <c r="W198" s="426"/>
      <c r="X198" s="426"/>
      <c r="Y198" s="426"/>
      <c r="Z198" s="426"/>
      <c r="AA198" s="426"/>
      <c r="AB198" s="426"/>
      <c r="AC198" s="426"/>
      <c r="AD198" s="426"/>
      <c r="AE198" s="326"/>
      <c r="AF198" s="326"/>
      <c r="AG198" s="424"/>
      <c r="AH198" s="424"/>
      <c r="AI198" s="424"/>
      <c r="AJ198" s="424"/>
      <c r="AK198" s="424"/>
      <c r="AL198" s="424"/>
      <c r="AM198" s="425"/>
      <c r="AN198" s="425"/>
      <c r="AO198" s="425"/>
      <c r="AP198" s="425"/>
      <c r="AQ198" s="425"/>
      <c r="AR198" s="425"/>
      <c r="AS198" s="425"/>
      <c r="AT198" s="425"/>
      <c r="AU198" s="425"/>
      <c r="AV198" s="425"/>
      <c r="AW198" s="425"/>
      <c r="AX198" s="425"/>
      <c r="AY198" s="425"/>
      <c r="AZ198" s="425"/>
      <c r="BA198" s="425"/>
      <c r="BB198" s="425"/>
      <c r="BC198" s="425"/>
      <c r="BD198" s="425"/>
      <c r="BE198" s="425"/>
      <c r="BF198" s="425"/>
      <c r="BG198" s="463"/>
      <c r="BH198" s="463"/>
      <c r="BI198" s="463"/>
      <c r="BJ198" s="463"/>
      <c r="BK198" s="463"/>
      <c r="BL198" s="463"/>
      <c r="BM198" s="463"/>
      <c r="BN198" s="463"/>
    </row>
    <row r="199" spans="1:66" ht="15.75" customHeight="1" x14ac:dyDescent="0.2">
      <c r="A199" s="424"/>
      <c r="B199" s="424"/>
      <c r="C199" s="424"/>
      <c r="D199" s="424"/>
      <c r="E199" s="424"/>
      <c r="F199" s="425"/>
      <c r="G199" s="425"/>
      <c r="H199" s="424"/>
      <c r="I199" s="424"/>
      <c r="J199" s="425"/>
      <c r="K199" s="425"/>
      <c r="L199" s="425"/>
      <c r="M199" s="425"/>
      <c r="N199" s="425"/>
      <c r="O199" s="424"/>
      <c r="P199" s="426"/>
      <c r="Q199" s="426"/>
      <c r="R199" s="426"/>
      <c r="S199" s="426"/>
      <c r="T199" s="326"/>
      <c r="U199" s="326"/>
      <c r="V199" s="426"/>
      <c r="W199" s="426"/>
      <c r="X199" s="426"/>
      <c r="Y199" s="426"/>
      <c r="Z199" s="426"/>
      <c r="AA199" s="426"/>
      <c r="AB199" s="426"/>
      <c r="AC199" s="426"/>
      <c r="AD199" s="426"/>
      <c r="AE199" s="326"/>
      <c r="AF199" s="326"/>
      <c r="AG199" s="424"/>
      <c r="AH199" s="424"/>
      <c r="AI199" s="424"/>
      <c r="AJ199" s="424"/>
      <c r="AK199" s="424"/>
      <c r="AL199" s="424"/>
      <c r="AM199" s="425"/>
      <c r="AN199" s="425"/>
      <c r="AO199" s="425"/>
      <c r="AP199" s="425"/>
      <c r="AQ199" s="425"/>
      <c r="AR199" s="425"/>
      <c r="AS199" s="425"/>
      <c r="AT199" s="425"/>
      <c r="AU199" s="425"/>
      <c r="AV199" s="425"/>
      <c r="AW199" s="425"/>
      <c r="AX199" s="425"/>
      <c r="AY199" s="425"/>
      <c r="AZ199" s="425"/>
      <c r="BA199" s="425"/>
      <c r="BB199" s="425"/>
      <c r="BC199" s="425"/>
      <c r="BD199" s="425"/>
      <c r="BE199" s="425"/>
      <c r="BF199" s="425"/>
      <c r="BG199" s="463"/>
      <c r="BH199" s="463"/>
      <c r="BI199" s="463"/>
      <c r="BJ199" s="463"/>
      <c r="BK199" s="463"/>
      <c r="BL199" s="463"/>
      <c r="BM199" s="463"/>
      <c r="BN199" s="463"/>
    </row>
    <row r="200" spans="1:66" ht="15.75" customHeight="1" x14ac:dyDescent="0.2">
      <c r="A200" s="424"/>
      <c r="B200" s="424"/>
      <c r="C200" s="424"/>
      <c r="D200" s="424"/>
      <c r="E200" s="424"/>
      <c r="F200" s="425"/>
      <c r="G200" s="425"/>
      <c r="H200" s="424"/>
      <c r="I200" s="424"/>
      <c r="J200" s="425"/>
      <c r="K200" s="425"/>
      <c r="L200" s="425"/>
      <c r="M200" s="425"/>
      <c r="N200" s="425"/>
      <c r="O200" s="424"/>
      <c r="P200" s="426"/>
      <c r="Q200" s="426"/>
      <c r="R200" s="426"/>
      <c r="S200" s="426"/>
      <c r="T200" s="326"/>
      <c r="U200" s="326"/>
      <c r="V200" s="426"/>
      <c r="W200" s="426"/>
      <c r="X200" s="426"/>
      <c r="Y200" s="426"/>
      <c r="Z200" s="426"/>
      <c r="AA200" s="426"/>
      <c r="AB200" s="426"/>
      <c r="AC200" s="426"/>
      <c r="AD200" s="426"/>
      <c r="AE200" s="326"/>
      <c r="AF200" s="326"/>
      <c r="AG200" s="424"/>
      <c r="AH200" s="424"/>
      <c r="AI200" s="424"/>
      <c r="AJ200" s="424"/>
      <c r="AK200" s="424"/>
      <c r="AL200" s="424"/>
      <c r="AM200" s="425"/>
      <c r="AN200" s="425"/>
      <c r="AO200" s="425"/>
      <c r="AP200" s="425"/>
      <c r="AQ200" s="425"/>
      <c r="AR200" s="425"/>
      <c r="AS200" s="425"/>
      <c r="AT200" s="425"/>
      <c r="AU200" s="425"/>
      <c r="AV200" s="425"/>
      <c r="AW200" s="425"/>
      <c r="AX200" s="425"/>
      <c r="AY200" s="425"/>
      <c r="AZ200" s="425"/>
      <c r="BA200" s="425"/>
      <c r="BB200" s="425"/>
      <c r="BC200" s="425"/>
      <c r="BD200" s="425"/>
      <c r="BE200" s="425"/>
      <c r="BF200" s="425"/>
      <c r="BG200" s="463"/>
      <c r="BH200" s="463"/>
      <c r="BI200" s="463"/>
      <c r="BJ200" s="463"/>
      <c r="BK200" s="463"/>
      <c r="BL200" s="463"/>
      <c r="BM200" s="463"/>
      <c r="BN200" s="463"/>
    </row>
    <row r="201" spans="1:66" ht="15.75" customHeight="1" x14ac:dyDescent="0.2">
      <c r="A201" s="424"/>
      <c r="B201" s="424"/>
      <c r="C201" s="424"/>
      <c r="D201" s="424"/>
      <c r="E201" s="424"/>
      <c r="F201" s="425"/>
      <c r="G201" s="425"/>
      <c r="H201" s="424"/>
      <c r="I201" s="424"/>
      <c r="J201" s="425"/>
      <c r="K201" s="425"/>
      <c r="L201" s="425"/>
      <c r="M201" s="425"/>
      <c r="N201" s="425"/>
      <c r="O201" s="424"/>
      <c r="P201" s="426"/>
      <c r="Q201" s="426"/>
      <c r="R201" s="426"/>
      <c r="S201" s="426"/>
      <c r="T201" s="326"/>
      <c r="U201" s="326"/>
      <c r="V201" s="426"/>
      <c r="W201" s="426"/>
      <c r="X201" s="426"/>
      <c r="Y201" s="426"/>
      <c r="Z201" s="426"/>
      <c r="AA201" s="426"/>
      <c r="AB201" s="426"/>
      <c r="AC201" s="426"/>
      <c r="AD201" s="426"/>
      <c r="AE201" s="326"/>
      <c r="AF201" s="326"/>
      <c r="AG201" s="424"/>
      <c r="AH201" s="424"/>
      <c r="AI201" s="424"/>
      <c r="AJ201" s="424"/>
      <c r="AK201" s="424"/>
      <c r="AL201" s="424"/>
      <c r="AM201" s="425"/>
      <c r="AN201" s="425"/>
      <c r="AO201" s="425"/>
      <c r="AP201" s="425"/>
      <c r="AQ201" s="425"/>
      <c r="AR201" s="425"/>
      <c r="AS201" s="425"/>
      <c r="AT201" s="425"/>
      <c r="AU201" s="425"/>
      <c r="AV201" s="425"/>
      <c r="AW201" s="425"/>
      <c r="AX201" s="425"/>
      <c r="AY201" s="425"/>
      <c r="AZ201" s="425"/>
      <c r="BA201" s="425"/>
      <c r="BB201" s="425"/>
      <c r="BC201" s="425"/>
      <c r="BD201" s="425"/>
      <c r="BE201" s="425"/>
      <c r="BF201" s="425"/>
      <c r="BG201" s="463"/>
      <c r="BH201" s="463"/>
      <c r="BI201" s="463"/>
      <c r="BJ201" s="463"/>
      <c r="BK201" s="463"/>
      <c r="BL201" s="463"/>
      <c r="BM201" s="463"/>
      <c r="BN201" s="463"/>
    </row>
    <row r="202" spans="1:66" ht="15.75" customHeight="1" x14ac:dyDescent="0.2">
      <c r="A202" s="424"/>
      <c r="B202" s="424"/>
      <c r="C202" s="424"/>
      <c r="D202" s="424"/>
      <c r="E202" s="424"/>
      <c r="F202" s="425"/>
      <c r="G202" s="425"/>
      <c r="H202" s="424"/>
      <c r="I202" s="424"/>
      <c r="J202" s="425"/>
      <c r="K202" s="425"/>
      <c r="L202" s="425"/>
      <c r="M202" s="425"/>
      <c r="N202" s="425"/>
      <c r="O202" s="424"/>
      <c r="P202" s="426"/>
      <c r="Q202" s="426"/>
      <c r="R202" s="426"/>
      <c r="S202" s="426"/>
      <c r="T202" s="326"/>
      <c r="U202" s="326"/>
      <c r="V202" s="426"/>
      <c r="W202" s="426"/>
      <c r="X202" s="426"/>
      <c r="Y202" s="426"/>
      <c r="Z202" s="426"/>
      <c r="AA202" s="426"/>
      <c r="AB202" s="426"/>
      <c r="AC202" s="426"/>
      <c r="AD202" s="426"/>
      <c r="AE202" s="326"/>
      <c r="AF202" s="326"/>
      <c r="AG202" s="424"/>
      <c r="AH202" s="424"/>
      <c r="AI202" s="424"/>
      <c r="AJ202" s="424"/>
      <c r="AK202" s="424"/>
      <c r="AL202" s="424"/>
      <c r="AM202" s="425"/>
      <c r="AN202" s="425"/>
      <c r="AO202" s="425"/>
      <c r="AP202" s="425"/>
      <c r="AQ202" s="425"/>
      <c r="AR202" s="425"/>
      <c r="AS202" s="425"/>
      <c r="AT202" s="425"/>
      <c r="AU202" s="425"/>
      <c r="AV202" s="425"/>
      <c r="AW202" s="425"/>
      <c r="AX202" s="425"/>
      <c r="AY202" s="425"/>
      <c r="AZ202" s="425"/>
      <c r="BA202" s="425"/>
      <c r="BB202" s="425"/>
      <c r="BC202" s="425"/>
      <c r="BD202" s="425"/>
      <c r="BE202" s="425"/>
      <c r="BF202" s="425"/>
      <c r="BG202" s="463"/>
      <c r="BH202" s="463"/>
      <c r="BI202" s="463"/>
      <c r="BJ202" s="463"/>
      <c r="BK202" s="463"/>
      <c r="BL202" s="463"/>
      <c r="BM202" s="463"/>
      <c r="BN202" s="463"/>
    </row>
    <row r="203" spans="1:66" ht="15.75" customHeight="1" x14ac:dyDescent="0.2">
      <c r="A203" s="424"/>
      <c r="B203" s="424"/>
      <c r="C203" s="424"/>
      <c r="D203" s="424"/>
      <c r="E203" s="424"/>
      <c r="F203" s="425"/>
      <c r="G203" s="425"/>
      <c r="H203" s="424"/>
      <c r="I203" s="424"/>
      <c r="J203" s="425"/>
      <c r="K203" s="425"/>
      <c r="L203" s="425"/>
      <c r="M203" s="425"/>
      <c r="N203" s="425"/>
      <c r="O203" s="424"/>
      <c r="P203" s="426"/>
      <c r="Q203" s="426"/>
      <c r="R203" s="426"/>
      <c r="S203" s="426"/>
      <c r="T203" s="326"/>
      <c r="U203" s="326"/>
      <c r="V203" s="426"/>
      <c r="W203" s="426"/>
      <c r="X203" s="426"/>
      <c r="Y203" s="426"/>
      <c r="Z203" s="426"/>
      <c r="AA203" s="426"/>
      <c r="AB203" s="426"/>
      <c r="AC203" s="426"/>
      <c r="AD203" s="426"/>
      <c r="AE203" s="326"/>
      <c r="AF203" s="326"/>
      <c r="AG203" s="424"/>
      <c r="AH203" s="424"/>
      <c r="AI203" s="424"/>
      <c r="AJ203" s="424"/>
      <c r="AK203" s="424"/>
      <c r="AL203" s="424"/>
      <c r="AM203" s="425"/>
      <c r="AN203" s="425"/>
      <c r="AO203" s="425"/>
      <c r="AP203" s="425"/>
      <c r="AQ203" s="425"/>
      <c r="AR203" s="425"/>
      <c r="AS203" s="425"/>
      <c r="AT203" s="425"/>
      <c r="AU203" s="425"/>
      <c r="AV203" s="425"/>
      <c r="AW203" s="425"/>
      <c r="AX203" s="425"/>
      <c r="AY203" s="425"/>
      <c r="AZ203" s="425"/>
      <c r="BA203" s="425"/>
      <c r="BB203" s="425"/>
      <c r="BC203" s="425"/>
      <c r="BD203" s="425"/>
      <c r="BE203" s="425"/>
      <c r="BF203" s="425"/>
      <c r="BG203" s="463"/>
      <c r="BH203" s="463"/>
      <c r="BI203" s="463"/>
      <c r="BJ203" s="463"/>
      <c r="BK203" s="463"/>
      <c r="BL203" s="463"/>
      <c r="BM203" s="463"/>
      <c r="BN203" s="463"/>
    </row>
    <row r="204" spans="1:66" ht="15.75" customHeight="1" x14ac:dyDescent="0.2">
      <c r="A204" s="424"/>
      <c r="B204" s="424"/>
      <c r="C204" s="424"/>
      <c r="D204" s="424"/>
      <c r="E204" s="424"/>
      <c r="F204" s="425"/>
      <c r="G204" s="425"/>
      <c r="H204" s="424"/>
      <c r="I204" s="424"/>
      <c r="J204" s="425"/>
      <c r="K204" s="425"/>
      <c r="L204" s="425"/>
      <c r="M204" s="425"/>
      <c r="N204" s="425"/>
      <c r="O204" s="424"/>
      <c r="P204" s="426"/>
      <c r="Q204" s="426"/>
      <c r="R204" s="426"/>
      <c r="S204" s="426"/>
      <c r="T204" s="326"/>
      <c r="U204" s="326"/>
      <c r="V204" s="426"/>
      <c r="W204" s="426"/>
      <c r="X204" s="426"/>
      <c r="Y204" s="426"/>
      <c r="Z204" s="426"/>
      <c r="AA204" s="426"/>
      <c r="AB204" s="426"/>
      <c r="AC204" s="426"/>
      <c r="AD204" s="426"/>
      <c r="AE204" s="326"/>
      <c r="AF204" s="326"/>
      <c r="AG204" s="424"/>
      <c r="AH204" s="424"/>
      <c r="AI204" s="424"/>
      <c r="AJ204" s="424"/>
      <c r="AK204" s="424"/>
      <c r="AL204" s="424"/>
      <c r="AM204" s="425"/>
      <c r="AN204" s="425"/>
      <c r="AO204" s="425"/>
      <c r="AP204" s="425"/>
      <c r="AQ204" s="425"/>
      <c r="AR204" s="425"/>
      <c r="AS204" s="425"/>
      <c r="AT204" s="425"/>
      <c r="AU204" s="425"/>
      <c r="AV204" s="425"/>
      <c r="AW204" s="425"/>
      <c r="AX204" s="425"/>
      <c r="AY204" s="425"/>
      <c r="AZ204" s="425"/>
      <c r="BA204" s="425"/>
      <c r="BB204" s="425"/>
      <c r="BC204" s="425"/>
      <c r="BD204" s="425"/>
      <c r="BE204" s="425"/>
      <c r="BF204" s="425"/>
      <c r="BG204" s="463"/>
      <c r="BH204" s="463"/>
      <c r="BI204" s="463"/>
      <c r="BJ204" s="463"/>
      <c r="BK204" s="463"/>
      <c r="BL204" s="463"/>
      <c r="BM204" s="463"/>
      <c r="BN204" s="463"/>
    </row>
    <row r="205" spans="1:66" ht="15.75" customHeight="1" x14ac:dyDescent="0.2">
      <c r="A205" s="424"/>
      <c r="B205" s="424"/>
      <c r="C205" s="424"/>
      <c r="D205" s="424"/>
      <c r="E205" s="424"/>
      <c r="F205" s="425"/>
      <c r="G205" s="425"/>
      <c r="H205" s="424"/>
      <c r="I205" s="424"/>
      <c r="J205" s="425"/>
      <c r="K205" s="425"/>
      <c r="L205" s="425"/>
      <c r="M205" s="425"/>
      <c r="N205" s="425"/>
      <c r="O205" s="424"/>
      <c r="P205" s="426"/>
      <c r="Q205" s="426"/>
      <c r="R205" s="426"/>
      <c r="S205" s="426"/>
      <c r="T205" s="326"/>
      <c r="U205" s="326"/>
      <c r="V205" s="426"/>
      <c r="W205" s="426"/>
      <c r="X205" s="426"/>
      <c r="Y205" s="426"/>
      <c r="Z205" s="426"/>
      <c r="AA205" s="426"/>
      <c r="AB205" s="426"/>
      <c r="AC205" s="426"/>
      <c r="AD205" s="426"/>
      <c r="AE205" s="326"/>
      <c r="AF205" s="326"/>
      <c r="AG205" s="424"/>
      <c r="AH205" s="424"/>
      <c r="AI205" s="424"/>
      <c r="AJ205" s="424"/>
      <c r="AK205" s="424"/>
      <c r="AL205" s="424"/>
      <c r="AM205" s="425"/>
      <c r="AN205" s="425"/>
      <c r="AO205" s="425"/>
      <c r="AP205" s="425"/>
      <c r="AQ205" s="425"/>
      <c r="AR205" s="425"/>
      <c r="AS205" s="425"/>
      <c r="AT205" s="425"/>
      <c r="AU205" s="425"/>
      <c r="AV205" s="425"/>
      <c r="AW205" s="425"/>
      <c r="AX205" s="425"/>
      <c r="AY205" s="425"/>
      <c r="AZ205" s="425"/>
      <c r="BA205" s="425"/>
      <c r="BB205" s="425"/>
      <c r="BC205" s="425"/>
      <c r="BD205" s="425"/>
      <c r="BE205" s="425"/>
      <c r="BF205" s="425"/>
      <c r="BG205" s="463"/>
      <c r="BH205" s="463"/>
      <c r="BI205" s="463"/>
      <c r="BJ205" s="463"/>
      <c r="BK205" s="463"/>
      <c r="BL205" s="463"/>
      <c r="BM205" s="463"/>
      <c r="BN205" s="463"/>
    </row>
    <row r="206" spans="1:66" ht="15.75" customHeight="1" x14ac:dyDescent="0.2">
      <c r="A206" s="424"/>
      <c r="B206" s="424"/>
      <c r="C206" s="424"/>
      <c r="D206" s="424"/>
      <c r="E206" s="424"/>
      <c r="F206" s="425"/>
      <c r="G206" s="425"/>
      <c r="H206" s="424"/>
      <c r="I206" s="424"/>
      <c r="J206" s="425"/>
      <c r="K206" s="425"/>
      <c r="L206" s="425"/>
      <c r="M206" s="425"/>
      <c r="N206" s="425"/>
      <c r="O206" s="424"/>
      <c r="P206" s="426"/>
      <c r="Q206" s="426"/>
      <c r="R206" s="426"/>
      <c r="S206" s="426"/>
      <c r="T206" s="326"/>
      <c r="U206" s="326"/>
      <c r="V206" s="426"/>
      <c r="W206" s="426"/>
      <c r="X206" s="426"/>
      <c r="Y206" s="426"/>
      <c r="Z206" s="426"/>
      <c r="AA206" s="426"/>
      <c r="AB206" s="426"/>
      <c r="AC206" s="426"/>
      <c r="AD206" s="426"/>
      <c r="AE206" s="326"/>
      <c r="AF206" s="326"/>
      <c r="AG206" s="424"/>
      <c r="AH206" s="424"/>
      <c r="AI206" s="424"/>
      <c r="AJ206" s="424"/>
      <c r="AK206" s="424"/>
      <c r="AL206" s="424"/>
      <c r="AM206" s="425"/>
      <c r="AN206" s="425"/>
      <c r="AO206" s="425"/>
      <c r="AP206" s="425"/>
      <c r="AQ206" s="425"/>
      <c r="AR206" s="425"/>
      <c r="AS206" s="425"/>
      <c r="AT206" s="425"/>
      <c r="AU206" s="425"/>
      <c r="AV206" s="425"/>
      <c r="AW206" s="425"/>
      <c r="AX206" s="425"/>
      <c r="AY206" s="425"/>
      <c r="AZ206" s="425"/>
      <c r="BA206" s="425"/>
      <c r="BB206" s="425"/>
      <c r="BC206" s="425"/>
      <c r="BD206" s="425"/>
      <c r="BE206" s="425"/>
      <c r="BF206" s="425"/>
      <c r="BG206" s="463"/>
      <c r="BH206" s="463"/>
      <c r="BI206" s="463"/>
      <c r="BJ206" s="463"/>
      <c r="BK206" s="463"/>
      <c r="BL206" s="463"/>
      <c r="BM206" s="463"/>
      <c r="BN206" s="463"/>
    </row>
    <row r="207" spans="1:66" ht="15.75" customHeight="1" x14ac:dyDescent="0.2">
      <c r="A207" s="424"/>
      <c r="B207" s="424"/>
      <c r="C207" s="424"/>
      <c r="D207" s="424"/>
      <c r="E207" s="424"/>
      <c r="F207" s="425"/>
      <c r="G207" s="425"/>
      <c r="H207" s="424"/>
      <c r="I207" s="424"/>
      <c r="J207" s="425"/>
      <c r="K207" s="425"/>
      <c r="L207" s="425"/>
      <c r="M207" s="425"/>
      <c r="N207" s="425"/>
      <c r="O207" s="424"/>
      <c r="P207" s="426"/>
      <c r="Q207" s="426"/>
      <c r="R207" s="426"/>
      <c r="S207" s="426"/>
      <c r="T207" s="326"/>
      <c r="U207" s="326"/>
      <c r="V207" s="426"/>
      <c r="W207" s="426"/>
      <c r="X207" s="426"/>
      <c r="Y207" s="426"/>
      <c r="Z207" s="426"/>
      <c r="AA207" s="426"/>
      <c r="AB207" s="426"/>
      <c r="AC207" s="426"/>
      <c r="AD207" s="426"/>
      <c r="AE207" s="326"/>
      <c r="AF207" s="326"/>
      <c r="AG207" s="424"/>
      <c r="AH207" s="424"/>
      <c r="AI207" s="424"/>
      <c r="AJ207" s="424"/>
      <c r="AK207" s="424"/>
      <c r="AL207" s="424"/>
      <c r="AM207" s="425"/>
      <c r="AN207" s="425"/>
      <c r="AO207" s="425"/>
      <c r="AP207" s="425"/>
      <c r="AQ207" s="425"/>
      <c r="AR207" s="425"/>
      <c r="AS207" s="425"/>
      <c r="AT207" s="425"/>
      <c r="AU207" s="425"/>
      <c r="AV207" s="425"/>
      <c r="AW207" s="425"/>
      <c r="AX207" s="425"/>
      <c r="AY207" s="425"/>
      <c r="AZ207" s="425"/>
      <c r="BA207" s="425"/>
      <c r="BB207" s="425"/>
      <c r="BC207" s="425"/>
      <c r="BD207" s="425"/>
      <c r="BE207" s="425"/>
      <c r="BF207" s="425"/>
      <c r="BG207" s="463"/>
      <c r="BH207" s="463"/>
      <c r="BI207" s="463"/>
      <c r="BJ207" s="463"/>
      <c r="BK207" s="463"/>
      <c r="BL207" s="463"/>
      <c r="BM207" s="463"/>
      <c r="BN207" s="463"/>
    </row>
    <row r="208" spans="1:66" ht="15.75" customHeight="1" x14ac:dyDescent="0.2">
      <c r="A208" s="424"/>
      <c r="B208" s="424"/>
      <c r="C208" s="424"/>
      <c r="D208" s="424"/>
      <c r="E208" s="424"/>
      <c r="F208" s="425"/>
      <c r="G208" s="425"/>
      <c r="H208" s="424"/>
      <c r="I208" s="424"/>
      <c r="J208" s="425"/>
      <c r="K208" s="425"/>
      <c r="L208" s="425"/>
      <c r="M208" s="425"/>
      <c r="N208" s="425"/>
      <c r="O208" s="424"/>
      <c r="P208" s="426"/>
      <c r="Q208" s="426"/>
      <c r="R208" s="426"/>
      <c r="S208" s="426"/>
      <c r="T208" s="326"/>
      <c r="U208" s="326"/>
      <c r="V208" s="426"/>
      <c r="W208" s="426"/>
      <c r="X208" s="426"/>
      <c r="Y208" s="426"/>
      <c r="Z208" s="426"/>
      <c r="AA208" s="426"/>
      <c r="AB208" s="426"/>
      <c r="AC208" s="426"/>
      <c r="AD208" s="426"/>
      <c r="AE208" s="326"/>
      <c r="AF208" s="326"/>
      <c r="AG208" s="424"/>
      <c r="AH208" s="424"/>
      <c r="AI208" s="424"/>
      <c r="AJ208" s="424"/>
      <c r="AK208" s="424"/>
      <c r="AL208" s="424"/>
      <c r="AM208" s="425"/>
      <c r="AN208" s="425"/>
      <c r="AO208" s="425"/>
      <c r="AP208" s="425"/>
      <c r="AQ208" s="425"/>
      <c r="AR208" s="425"/>
      <c r="AS208" s="425"/>
      <c r="AT208" s="425"/>
      <c r="AU208" s="425"/>
      <c r="AV208" s="425"/>
      <c r="AW208" s="425"/>
      <c r="AX208" s="425"/>
      <c r="AY208" s="425"/>
      <c r="AZ208" s="425"/>
      <c r="BA208" s="425"/>
      <c r="BB208" s="425"/>
      <c r="BC208" s="425"/>
      <c r="BD208" s="425"/>
      <c r="BE208" s="425"/>
      <c r="BF208" s="425"/>
      <c r="BG208" s="463"/>
      <c r="BH208" s="463"/>
      <c r="BI208" s="463"/>
      <c r="BJ208" s="463"/>
      <c r="BK208" s="463"/>
      <c r="BL208" s="463"/>
      <c r="BM208" s="463"/>
      <c r="BN208" s="463"/>
    </row>
    <row r="209" spans="1:66" ht="15.75" customHeight="1" x14ac:dyDescent="0.2">
      <c r="A209" s="424"/>
      <c r="B209" s="424"/>
      <c r="C209" s="424"/>
      <c r="D209" s="424"/>
      <c r="E209" s="424"/>
      <c r="F209" s="425"/>
      <c r="G209" s="425"/>
      <c r="H209" s="424"/>
      <c r="I209" s="424"/>
      <c r="J209" s="425"/>
      <c r="K209" s="425"/>
      <c r="L209" s="425"/>
      <c r="M209" s="425"/>
      <c r="N209" s="425"/>
      <c r="O209" s="424"/>
      <c r="P209" s="426"/>
      <c r="Q209" s="426"/>
      <c r="R209" s="426"/>
      <c r="S209" s="426"/>
      <c r="T209" s="326"/>
      <c r="U209" s="326"/>
      <c r="V209" s="426"/>
      <c r="W209" s="426"/>
      <c r="X209" s="426"/>
      <c r="Y209" s="426"/>
      <c r="Z209" s="426"/>
      <c r="AA209" s="426"/>
      <c r="AB209" s="426"/>
      <c r="AC209" s="426"/>
      <c r="AD209" s="426"/>
      <c r="AE209" s="326"/>
      <c r="AF209" s="326"/>
      <c r="AG209" s="424"/>
      <c r="AH209" s="424"/>
      <c r="AI209" s="424"/>
      <c r="AJ209" s="424"/>
      <c r="AK209" s="424"/>
      <c r="AL209" s="424"/>
      <c r="AM209" s="425"/>
      <c r="AN209" s="425"/>
      <c r="AO209" s="425"/>
      <c r="AP209" s="425"/>
      <c r="AQ209" s="425"/>
      <c r="AR209" s="425"/>
      <c r="AS209" s="425"/>
      <c r="AT209" s="425"/>
      <c r="AU209" s="425"/>
      <c r="AV209" s="425"/>
      <c r="AW209" s="425"/>
      <c r="AX209" s="425"/>
      <c r="AY209" s="425"/>
      <c r="AZ209" s="425"/>
      <c r="BA209" s="425"/>
      <c r="BB209" s="425"/>
      <c r="BC209" s="425"/>
      <c r="BD209" s="425"/>
      <c r="BE209" s="425"/>
      <c r="BF209" s="425"/>
      <c r="BG209" s="463"/>
      <c r="BH209" s="463"/>
      <c r="BI209" s="463"/>
      <c r="BJ209" s="463"/>
      <c r="BK209" s="463"/>
      <c r="BL209" s="463"/>
      <c r="BM209" s="463"/>
      <c r="BN209" s="463"/>
    </row>
    <row r="210" spans="1:66" ht="15.75" customHeight="1" x14ac:dyDescent="0.2">
      <c r="A210" s="424"/>
      <c r="B210" s="424"/>
      <c r="C210" s="424"/>
      <c r="D210" s="424"/>
      <c r="E210" s="424"/>
      <c r="F210" s="425"/>
      <c r="G210" s="425"/>
      <c r="H210" s="424"/>
      <c r="I210" s="424"/>
      <c r="J210" s="425"/>
      <c r="K210" s="425"/>
      <c r="L210" s="425"/>
      <c r="M210" s="425"/>
      <c r="N210" s="425"/>
      <c r="O210" s="424"/>
      <c r="P210" s="426"/>
      <c r="Q210" s="426"/>
      <c r="R210" s="426"/>
      <c r="S210" s="426"/>
      <c r="T210" s="326"/>
      <c r="U210" s="326"/>
      <c r="V210" s="426"/>
      <c r="W210" s="426"/>
      <c r="X210" s="426"/>
      <c r="Y210" s="426"/>
      <c r="Z210" s="426"/>
      <c r="AA210" s="426"/>
      <c r="AB210" s="426"/>
      <c r="AC210" s="426"/>
      <c r="AD210" s="426"/>
      <c r="AE210" s="326"/>
      <c r="AF210" s="326"/>
      <c r="AG210" s="424"/>
      <c r="AH210" s="424"/>
      <c r="AI210" s="424"/>
      <c r="AJ210" s="424"/>
      <c r="AK210" s="424"/>
      <c r="AL210" s="424"/>
      <c r="AM210" s="425"/>
      <c r="AN210" s="425"/>
      <c r="AO210" s="425"/>
      <c r="AP210" s="425"/>
      <c r="AQ210" s="425"/>
      <c r="AR210" s="425"/>
      <c r="AS210" s="425"/>
      <c r="AT210" s="425"/>
      <c r="AU210" s="425"/>
      <c r="AV210" s="425"/>
      <c r="AW210" s="425"/>
      <c r="AX210" s="425"/>
      <c r="AY210" s="425"/>
      <c r="AZ210" s="425"/>
      <c r="BA210" s="425"/>
      <c r="BB210" s="425"/>
      <c r="BC210" s="425"/>
      <c r="BD210" s="425"/>
      <c r="BE210" s="425"/>
      <c r="BF210" s="425"/>
      <c r="BG210" s="463"/>
      <c r="BH210" s="463"/>
      <c r="BI210" s="463"/>
      <c r="BJ210" s="463"/>
      <c r="BK210" s="463"/>
      <c r="BL210" s="463"/>
      <c r="BM210" s="463"/>
      <c r="BN210" s="463"/>
    </row>
    <row r="211" spans="1:66" ht="15.75" customHeight="1" x14ac:dyDescent="0.2">
      <c r="A211" s="424"/>
      <c r="B211" s="424"/>
      <c r="C211" s="424"/>
      <c r="D211" s="424"/>
      <c r="E211" s="424"/>
      <c r="F211" s="425"/>
      <c r="G211" s="425"/>
      <c r="H211" s="424"/>
      <c r="I211" s="424"/>
      <c r="J211" s="425"/>
      <c r="K211" s="425"/>
      <c r="L211" s="425"/>
      <c r="M211" s="425"/>
      <c r="N211" s="425"/>
      <c r="O211" s="424"/>
      <c r="P211" s="426"/>
      <c r="Q211" s="426"/>
      <c r="R211" s="426"/>
      <c r="S211" s="426"/>
      <c r="T211" s="326"/>
      <c r="U211" s="326"/>
      <c r="V211" s="426"/>
      <c r="W211" s="426"/>
      <c r="X211" s="426"/>
      <c r="Y211" s="426"/>
      <c r="Z211" s="426"/>
      <c r="AA211" s="426"/>
      <c r="AB211" s="426"/>
      <c r="AC211" s="426"/>
      <c r="AD211" s="426"/>
      <c r="AE211" s="326"/>
      <c r="AF211" s="326"/>
      <c r="AG211" s="424"/>
      <c r="AH211" s="424"/>
      <c r="AI211" s="424"/>
      <c r="AJ211" s="424"/>
      <c r="AK211" s="424"/>
      <c r="AL211" s="424"/>
      <c r="AM211" s="425"/>
      <c r="AN211" s="425"/>
      <c r="AO211" s="425"/>
      <c r="AP211" s="425"/>
      <c r="AQ211" s="425"/>
      <c r="AR211" s="425"/>
      <c r="AS211" s="425"/>
      <c r="AT211" s="425"/>
      <c r="AU211" s="425"/>
      <c r="AV211" s="425"/>
      <c r="AW211" s="425"/>
      <c r="AX211" s="425"/>
      <c r="AY211" s="425"/>
      <c r="AZ211" s="425"/>
      <c r="BA211" s="425"/>
      <c r="BB211" s="425"/>
      <c r="BC211" s="425"/>
      <c r="BD211" s="425"/>
      <c r="BE211" s="425"/>
      <c r="BF211" s="425"/>
      <c r="BG211" s="463"/>
      <c r="BH211" s="463"/>
      <c r="BI211" s="463"/>
      <c r="BJ211" s="463"/>
      <c r="BK211" s="463"/>
      <c r="BL211" s="463"/>
      <c r="BM211" s="463"/>
      <c r="BN211" s="463"/>
    </row>
    <row r="212" spans="1:66" ht="15.75" customHeight="1" x14ac:dyDescent="0.2">
      <c r="A212" s="424"/>
      <c r="B212" s="424"/>
      <c r="C212" s="424"/>
      <c r="D212" s="424"/>
      <c r="E212" s="424"/>
      <c r="F212" s="425"/>
      <c r="G212" s="425"/>
      <c r="H212" s="424"/>
      <c r="I212" s="424"/>
      <c r="J212" s="425"/>
      <c r="K212" s="425"/>
      <c r="L212" s="425"/>
      <c r="M212" s="425"/>
      <c r="N212" s="425"/>
      <c r="O212" s="424"/>
      <c r="P212" s="426"/>
      <c r="Q212" s="426"/>
      <c r="R212" s="426"/>
      <c r="S212" s="426"/>
      <c r="T212" s="326"/>
      <c r="U212" s="326"/>
      <c r="V212" s="426"/>
      <c r="W212" s="426"/>
      <c r="X212" s="426"/>
      <c r="Y212" s="426"/>
      <c r="Z212" s="426"/>
      <c r="AA212" s="426"/>
      <c r="AB212" s="426"/>
      <c r="AC212" s="426"/>
      <c r="AD212" s="426"/>
      <c r="AE212" s="326"/>
      <c r="AF212" s="326"/>
      <c r="AG212" s="424"/>
      <c r="AH212" s="424"/>
      <c r="AI212" s="424"/>
      <c r="AJ212" s="424"/>
      <c r="AK212" s="424"/>
      <c r="AL212" s="424"/>
      <c r="AM212" s="425"/>
      <c r="AN212" s="425"/>
      <c r="AO212" s="425"/>
      <c r="AP212" s="425"/>
      <c r="AQ212" s="425"/>
      <c r="AR212" s="425"/>
      <c r="AS212" s="425"/>
      <c r="AT212" s="425"/>
      <c r="AU212" s="425"/>
      <c r="AV212" s="425"/>
      <c r="AW212" s="425"/>
      <c r="AX212" s="425"/>
      <c r="AY212" s="425"/>
      <c r="AZ212" s="425"/>
      <c r="BA212" s="425"/>
      <c r="BB212" s="425"/>
      <c r="BC212" s="425"/>
      <c r="BD212" s="425"/>
      <c r="BE212" s="425"/>
      <c r="BF212" s="425"/>
      <c r="BG212" s="463"/>
      <c r="BH212" s="463"/>
      <c r="BI212" s="463"/>
      <c r="BJ212" s="463"/>
      <c r="BK212" s="463"/>
      <c r="BL212" s="463"/>
      <c r="BM212" s="463"/>
      <c r="BN212" s="463"/>
    </row>
    <row r="213" spans="1:66" ht="15.75" customHeight="1" x14ac:dyDescent="0.2">
      <c r="A213" s="424"/>
      <c r="B213" s="424"/>
      <c r="C213" s="424"/>
      <c r="D213" s="424"/>
      <c r="E213" s="424"/>
      <c r="F213" s="425"/>
      <c r="G213" s="425"/>
      <c r="H213" s="424"/>
      <c r="I213" s="424"/>
      <c r="J213" s="425"/>
      <c r="K213" s="425"/>
      <c r="L213" s="425"/>
      <c r="M213" s="425"/>
      <c r="N213" s="425"/>
      <c r="O213" s="424"/>
      <c r="P213" s="426"/>
      <c r="Q213" s="426"/>
      <c r="R213" s="426"/>
      <c r="S213" s="426"/>
      <c r="T213" s="326"/>
      <c r="U213" s="326"/>
      <c r="V213" s="426"/>
      <c r="W213" s="426"/>
      <c r="X213" s="426"/>
      <c r="Y213" s="426"/>
      <c r="Z213" s="426"/>
      <c r="AA213" s="426"/>
      <c r="AB213" s="426"/>
      <c r="AC213" s="426"/>
      <c r="AD213" s="426"/>
      <c r="AE213" s="326"/>
      <c r="AF213" s="326"/>
      <c r="AG213" s="424"/>
      <c r="AH213" s="424"/>
      <c r="AI213" s="424"/>
      <c r="AJ213" s="424"/>
      <c r="AK213" s="424"/>
      <c r="AL213" s="424"/>
      <c r="AM213" s="425"/>
      <c r="AN213" s="425"/>
      <c r="AO213" s="425"/>
      <c r="AP213" s="425"/>
      <c r="AQ213" s="425"/>
      <c r="AR213" s="425"/>
      <c r="AS213" s="425"/>
      <c r="AT213" s="425"/>
      <c r="AU213" s="425"/>
      <c r="AV213" s="425"/>
      <c r="AW213" s="425"/>
      <c r="AX213" s="425"/>
      <c r="AY213" s="425"/>
      <c r="AZ213" s="425"/>
      <c r="BA213" s="425"/>
      <c r="BB213" s="425"/>
      <c r="BC213" s="425"/>
      <c r="BD213" s="425"/>
      <c r="BE213" s="425"/>
      <c r="BF213" s="425"/>
      <c r="BG213" s="463"/>
      <c r="BH213" s="463"/>
      <c r="BI213" s="463"/>
      <c r="BJ213" s="463"/>
      <c r="BK213" s="463"/>
      <c r="BL213" s="463"/>
      <c r="BM213" s="463"/>
      <c r="BN213" s="463"/>
    </row>
    <row r="214" spans="1:66" ht="15.75" customHeight="1" x14ac:dyDescent="0.2">
      <c r="A214" s="424"/>
      <c r="B214" s="424"/>
      <c r="C214" s="424"/>
      <c r="D214" s="424"/>
      <c r="E214" s="424"/>
      <c r="F214" s="425"/>
      <c r="G214" s="425"/>
      <c r="H214" s="424"/>
      <c r="I214" s="424"/>
      <c r="J214" s="425"/>
      <c r="K214" s="425"/>
      <c r="L214" s="425"/>
      <c r="M214" s="425"/>
      <c r="N214" s="425"/>
      <c r="O214" s="424"/>
      <c r="P214" s="426"/>
      <c r="Q214" s="426"/>
      <c r="R214" s="426"/>
      <c r="S214" s="426"/>
      <c r="T214" s="326"/>
      <c r="U214" s="326"/>
      <c r="V214" s="426"/>
      <c r="W214" s="426"/>
      <c r="X214" s="426"/>
      <c r="Y214" s="426"/>
      <c r="Z214" s="426"/>
      <c r="AA214" s="426"/>
      <c r="AB214" s="426"/>
      <c r="AC214" s="426"/>
      <c r="AD214" s="426"/>
      <c r="AE214" s="326"/>
      <c r="AF214" s="326"/>
      <c r="AG214" s="424"/>
      <c r="AH214" s="424"/>
      <c r="AI214" s="424"/>
      <c r="AJ214" s="424"/>
      <c r="AK214" s="424"/>
      <c r="AL214" s="424"/>
      <c r="AM214" s="425"/>
      <c r="AN214" s="425"/>
      <c r="AO214" s="425"/>
      <c r="AP214" s="425"/>
      <c r="AQ214" s="425"/>
      <c r="AR214" s="425"/>
      <c r="AS214" s="425"/>
      <c r="AT214" s="425"/>
      <c r="AU214" s="425"/>
      <c r="AV214" s="425"/>
      <c r="AW214" s="425"/>
      <c r="AX214" s="425"/>
      <c r="AY214" s="425"/>
      <c r="AZ214" s="425"/>
      <c r="BA214" s="425"/>
      <c r="BB214" s="425"/>
      <c r="BC214" s="425"/>
      <c r="BD214" s="425"/>
      <c r="BE214" s="425"/>
      <c r="BF214" s="425"/>
      <c r="BG214" s="463"/>
      <c r="BH214" s="463"/>
      <c r="BI214" s="463"/>
      <c r="BJ214" s="463"/>
      <c r="BK214" s="463"/>
      <c r="BL214" s="463"/>
      <c r="BM214" s="463"/>
      <c r="BN214" s="463"/>
    </row>
    <row r="215" spans="1:66" ht="15.75" customHeight="1" x14ac:dyDescent="0.2">
      <c r="A215" s="424"/>
      <c r="B215" s="424"/>
      <c r="C215" s="424"/>
      <c r="D215" s="424"/>
      <c r="E215" s="424"/>
      <c r="F215" s="425"/>
      <c r="G215" s="425"/>
      <c r="H215" s="424"/>
      <c r="I215" s="424"/>
      <c r="J215" s="425"/>
      <c r="K215" s="425"/>
      <c r="L215" s="425"/>
      <c r="M215" s="425"/>
      <c r="N215" s="425"/>
      <c r="O215" s="424"/>
      <c r="P215" s="426"/>
      <c r="Q215" s="426"/>
      <c r="R215" s="426"/>
      <c r="S215" s="426"/>
      <c r="T215" s="326"/>
      <c r="U215" s="326"/>
      <c r="V215" s="426"/>
      <c r="W215" s="426"/>
      <c r="X215" s="426"/>
      <c r="Y215" s="426"/>
      <c r="Z215" s="426"/>
      <c r="AA215" s="426"/>
      <c r="AB215" s="426"/>
      <c r="AC215" s="426"/>
      <c r="AD215" s="426"/>
      <c r="AE215" s="326"/>
      <c r="AF215" s="326"/>
      <c r="AG215" s="424"/>
      <c r="AH215" s="424"/>
      <c r="AI215" s="424"/>
      <c r="AJ215" s="424"/>
      <c r="AK215" s="424"/>
      <c r="AL215" s="424"/>
      <c r="AM215" s="425"/>
      <c r="AN215" s="425"/>
      <c r="AO215" s="425"/>
      <c r="AP215" s="425"/>
      <c r="AQ215" s="425"/>
      <c r="AR215" s="425"/>
      <c r="AS215" s="425"/>
      <c r="AT215" s="425"/>
      <c r="AU215" s="425"/>
      <c r="AV215" s="425"/>
      <c r="AW215" s="425"/>
      <c r="AX215" s="425"/>
      <c r="AY215" s="425"/>
      <c r="AZ215" s="425"/>
      <c r="BA215" s="425"/>
      <c r="BB215" s="425"/>
      <c r="BC215" s="425"/>
      <c r="BD215" s="425"/>
      <c r="BE215" s="425"/>
      <c r="BF215" s="425"/>
      <c r="BG215" s="463"/>
      <c r="BH215" s="463"/>
      <c r="BI215" s="463"/>
      <c r="BJ215" s="463"/>
      <c r="BK215" s="463"/>
      <c r="BL215" s="463"/>
      <c r="BM215" s="463"/>
      <c r="BN215" s="463"/>
    </row>
    <row r="216" spans="1:66" ht="15.75" customHeight="1" x14ac:dyDescent="0.2">
      <c r="A216" s="424"/>
      <c r="B216" s="424"/>
      <c r="C216" s="424"/>
      <c r="D216" s="424"/>
      <c r="E216" s="424"/>
      <c r="F216" s="425"/>
      <c r="G216" s="425"/>
      <c r="H216" s="424"/>
      <c r="I216" s="424"/>
      <c r="J216" s="425"/>
      <c r="K216" s="425"/>
      <c r="L216" s="425"/>
      <c r="M216" s="425"/>
      <c r="N216" s="425"/>
      <c r="O216" s="424"/>
      <c r="P216" s="426"/>
      <c r="Q216" s="426"/>
      <c r="R216" s="426"/>
      <c r="S216" s="426"/>
      <c r="T216" s="326"/>
      <c r="U216" s="326"/>
      <c r="V216" s="426"/>
      <c r="W216" s="426"/>
      <c r="X216" s="426"/>
      <c r="Y216" s="426"/>
      <c r="Z216" s="426"/>
      <c r="AA216" s="426"/>
      <c r="AB216" s="426"/>
      <c r="AC216" s="426"/>
      <c r="AD216" s="426"/>
      <c r="AE216" s="326"/>
      <c r="AF216" s="326"/>
      <c r="AG216" s="424"/>
      <c r="AH216" s="424"/>
      <c r="AI216" s="424"/>
      <c r="AJ216" s="424"/>
      <c r="AK216" s="424"/>
      <c r="AL216" s="424"/>
      <c r="AM216" s="425"/>
      <c r="AN216" s="425"/>
      <c r="AO216" s="425"/>
      <c r="AP216" s="425"/>
      <c r="AQ216" s="425"/>
      <c r="AR216" s="425"/>
      <c r="AS216" s="425"/>
      <c r="AT216" s="425"/>
      <c r="AU216" s="425"/>
      <c r="AV216" s="425"/>
      <c r="AW216" s="425"/>
      <c r="AX216" s="425"/>
      <c r="AY216" s="425"/>
      <c r="AZ216" s="425"/>
      <c r="BA216" s="425"/>
      <c r="BB216" s="425"/>
      <c r="BC216" s="425"/>
      <c r="BD216" s="425"/>
      <c r="BE216" s="425"/>
      <c r="BF216" s="425"/>
      <c r="BG216" s="463"/>
      <c r="BH216" s="463"/>
      <c r="BI216" s="463"/>
      <c r="BJ216" s="463"/>
      <c r="BK216" s="463"/>
      <c r="BL216" s="463"/>
      <c r="BM216" s="463"/>
      <c r="BN216" s="463"/>
    </row>
    <row r="217" spans="1:66" ht="15.75" customHeight="1" x14ac:dyDescent="0.2">
      <c r="A217" s="424"/>
      <c r="B217" s="424"/>
      <c r="C217" s="424"/>
      <c r="D217" s="424"/>
      <c r="E217" s="424"/>
      <c r="F217" s="425"/>
      <c r="G217" s="425"/>
      <c r="H217" s="424"/>
      <c r="I217" s="424"/>
      <c r="J217" s="425"/>
      <c r="K217" s="425"/>
      <c r="L217" s="425"/>
      <c r="M217" s="425"/>
      <c r="N217" s="425"/>
      <c r="O217" s="424"/>
      <c r="P217" s="426"/>
      <c r="Q217" s="426"/>
      <c r="R217" s="426"/>
      <c r="S217" s="426"/>
      <c r="T217" s="326"/>
      <c r="U217" s="326"/>
      <c r="V217" s="426"/>
      <c r="W217" s="426"/>
      <c r="X217" s="426"/>
      <c r="Y217" s="426"/>
      <c r="Z217" s="426"/>
      <c r="AA217" s="426"/>
      <c r="AB217" s="426"/>
      <c r="AC217" s="426"/>
      <c r="AD217" s="426"/>
      <c r="AE217" s="326"/>
      <c r="AF217" s="326"/>
      <c r="AG217" s="424"/>
      <c r="AH217" s="424"/>
      <c r="AI217" s="424"/>
      <c r="AJ217" s="424"/>
      <c r="AK217" s="424"/>
      <c r="AL217" s="424"/>
      <c r="AM217" s="425"/>
      <c r="AN217" s="425"/>
      <c r="AO217" s="425"/>
      <c r="AP217" s="425"/>
      <c r="AQ217" s="425"/>
      <c r="AR217" s="425"/>
      <c r="AS217" s="425"/>
      <c r="AT217" s="425"/>
      <c r="AU217" s="425"/>
      <c r="AV217" s="425"/>
      <c r="AW217" s="425"/>
      <c r="AX217" s="425"/>
      <c r="AY217" s="425"/>
      <c r="AZ217" s="425"/>
      <c r="BA217" s="425"/>
      <c r="BB217" s="425"/>
      <c r="BC217" s="425"/>
      <c r="BD217" s="425"/>
      <c r="BE217" s="425"/>
      <c r="BF217" s="425"/>
      <c r="BG217" s="463"/>
      <c r="BH217" s="463"/>
      <c r="BI217" s="463"/>
      <c r="BJ217" s="463"/>
      <c r="BK217" s="463"/>
      <c r="BL217" s="463"/>
      <c r="BM217" s="463"/>
      <c r="BN217" s="463"/>
    </row>
    <row r="218" spans="1:66" ht="15.75" customHeight="1" x14ac:dyDescent="0.2">
      <c r="A218" s="424"/>
      <c r="B218" s="424"/>
      <c r="C218" s="424"/>
      <c r="D218" s="424"/>
      <c r="E218" s="424"/>
      <c r="F218" s="425"/>
      <c r="G218" s="425"/>
      <c r="H218" s="424"/>
      <c r="I218" s="424"/>
      <c r="J218" s="425"/>
      <c r="K218" s="425"/>
      <c r="L218" s="425"/>
      <c r="M218" s="425"/>
      <c r="N218" s="425"/>
      <c r="O218" s="424"/>
      <c r="P218" s="426"/>
      <c r="Q218" s="426"/>
      <c r="R218" s="426"/>
      <c r="S218" s="426"/>
      <c r="T218" s="326"/>
      <c r="U218" s="326"/>
      <c r="V218" s="426"/>
      <c r="W218" s="426"/>
      <c r="X218" s="426"/>
      <c r="Y218" s="426"/>
      <c r="Z218" s="426"/>
      <c r="AA218" s="426"/>
      <c r="AB218" s="426"/>
      <c r="AC218" s="426"/>
      <c r="AD218" s="426"/>
      <c r="AE218" s="326"/>
      <c r="AF218" s="326"/>
      <c r="AG218" s="424"/>
      <c r="AH218" s="424"/>
      <c r="AI218" s="424"/>
      <c r="AJ218" s="424"/>
      <c r="AK218" s="424"/>
      <c r="AL218" s="424"/>
      <c r="AM218" s="425"/>
      <c r="AN218" s="425"/>
      <c r="AO218" s="425"/>
      <c r="AP218" s="425"/>
      <c r="AQ218" s="425"/>
      <c r="AR218" s="425"/>
      <c r="AS218" s="425"/>
      <c r="AT218" s="425"/>
      <c r="AU218" s="425"/>
      <c r="AV218" s="425"/>
      <c r="AW218" s="425"/>
      <c r="AX218" s="425"/>
      <c r="AY218" s="425"/>
      <c r="AZ218" s="425"/>
      <c r="BA218" s="425"/>
      <c r="BB218" s="425"/>
      <c r="BC218" s="425"/>
      <c r="BD218" s="425"/>
      <c r="BE218" s="425"/>
      <c r="BF218" s="425"/>
      <c r="BG218" s="463"/>
      <c r="BH218" s="463"/>
      <c r="BI218" s="463"/>
      <c r="BJ218" s="463"/>
      <c r="BK218" s="463"/>
      <c r="BL218" s="463"/>
      <c r="BM218" s="463"/>
      <c r="BN218" s="463"/>
    </row>
    <row r="219" spans="1:66" ht="15.75" customHeight="1" x14ac:dyDescent="0.2">
      <c r="A219" s="424"/>
      <c r="B219" s="424"/>
      <c r="C219" s="424"/>
      <c r="D219" s="424"/>
      <c r="E219" s="424"/>
      <c r="F219" s="425"/>
      <c r="G219" s="425"/>
      <c r="H219" s="424"/>
      <c r="I219" s="424"/>
      <c r="J219" s="425"/>
      <c r="K219" s="425"/>
      <c r="L219" s="425"/>
      <c r="M219" s="425"/>
      <c r="N219" s="425"/>
      <c r="O219" s="424"/>
      <c r="P219" s="426"/>
      <c r="Q219" s="426"/>
      <c r="R219" s="426"/>
      <c r="S219" s="426"/>
      <c r="T219" s="326"/>
      <c r="U219" s="326"/>
      <c r="V219" s="426"/>
      <c r="W219" s="426"/>
      <c r="X219" s="426"/>
      <c r="Y219" s="426"/>
      <c r="Z219" s="426"/>
      <c r="AA219" s="426"/>
      <c r="AB219" s="426"/>
      <c r="AC219" s="426"/>
      <c r="AD219" s="426"/>
      <c r="AE219" s="326"/>
      <c r="AF219" s="326"/>
      <c r="AG219" s="424"/>
      <c r="AH219" s="424"/>
      <c r="AI219" s="424"/>
      <c r="AJ219" s="424"/>
      <c r="AK219" s="424"/>
      <c r="AL219" s="424"/>
      <c r="AM219" s="425"/>
      <c r="AN219" s="425"/>
      <c r="AO219" s="425"/>
      <c r="AP219" s="425"/>
      <c r="AQ219" s="425"/>
      <c r="AR219" s="425"/>
      <c r="AS219" s="425"/>
      <c r="AT219" s="425"/>
      <c r="AU219" s="425"/>
      <c r="AV219" s="425"/>
      <c r="AW219" s="425"/>
      <c r="AX219" s="425"/>
      <c r="AY219" s="425"/>
      <c r="AZ219" s="425"/>
      <c r="BA219" s="425"/>
      <c r="BB219" s="425"/>
      <c r="BC219" s="425"/>
      <c r="BD219" s="425"/>
      <c r="BE219" s="425"/>
      <c r="BF219" s="425"/>
      <c r="BG219" s="463"/>
      <c r="BH219" s="463"/>
      <c r="BI219" s="463"/>
      <c r="BJ219" s="463"/>
      <c r="BK219" s="463"/>
      <c r="BL219" s="463"/>
      <c r="BM219" s="463"/>
      <c r="BN219" s="463"/>
    </row>
    <row r="220" spans="1:66" ht="15.75" customHeight="1" x14ac:dyDescent="0.2">
      <c r="A220" s="424"/>
      <c r="B220" s="424"/>
      <c r="C220" s="424"/>
      <c r="D220" s="424"/>
      <c r="E220" s="424"/>
      <c r="F220" s="425"/>
      <c r="G220" s="425"/>
      <c r="H220" s="424"/>
      <c r="I220" s="424"/>
      <c r="J220" s="425"/>
      <c r="K220" s="425"/>
      <c r="L220" s="425"/>
      <c r="M220" s="425"/>
      <c r="N220" s="425"/>
      <c r="O220" s="424"/>
      <c r="P220" s="426"/>
      <c r="Q220" s="426"/>
      <c r="R220" s="426"/>
      <c r="S220" s="426"/>
      <c r="T220" s="326"/>
      <c r="U220" s="326"/>
      <c r="V220" s="426"/>
      <c r="W220" s="426"/>
      <c r="X220" s="426"/>
      <c r="Y220" s="426"/>
      <c r="Z220" s="426"/>
      <c r="AA220" s="426"/>
      <c r="AB220" s="426"/>
      <c r="AC220" s="426"/>
      <c r="AD220" s="426"/>
      <c r="AE220" s="326"/>
      <c r="AF220" s="326"/>
      <c r="AG220" s="424"/>
      <c r="AH220" s="424"/>
      <c r="AI220" s="424"/>
      <c r="AJ220" s="424"/>
      <c r="AK220" s="424"/>
      <c r="AL220" s="424"/>
      <c r="AM220" s="425"/>
      <c r="AN220" s="425"/>
      <c r="AO220" s="425"/>
      <c r="AP220" s="425"/>
      <c r="AQ220" s="425"/>
      <c r="AR220" s="425"/>
      <c r="AS220" s="425"/>
      <c r="AT220" s="425"/>
      <c r="AU220" s="425"/>
      <c r="AV220" s="425"/>
      <c r="AW220" s="425"/>
      <c r="AX220" s="425"/>
      <c r="AY220" s="425"/>
      <c r="AZ220" s="425"/>
      <c r="BA220" s="425"/>
      <c r="BB220" s="425"/>
      <c r="BC220" s="425"/>
      <c r="BD220" s="425"/>
      <c r="BE220" s="425"/>
      <c r="BF220" s="425"/>
      <c r="BG220" s="463"/>
      <c r="BH220" s="463"/>
      <c r="BI220" s="463"/>
      <c r="BJ220" s="463"/>
      <c r="BK220" s="463"/>
      <c r="BL220" s="463"/>
      <c r="BM220" s="463"/>
      <c r="BN220" s="463"/>
    </row>
    <row r="221" spans="1:66" ht="15.75" customHeight="1" x14ac:dyDescent="0.2">
      <c r="A221" s="424"/>
      <c r="B221" s="424"/>
      <c r="C221" s="424"/>
      <c r="D221" s="424"/>
      <c r="E221" s="424"/>
      <c r="F221" s="425"/>
      <c r="G221" s="425"/>
      <c r="H221" s="424"/>
      <c r="I221" s="424"/>
      <c r="J221" s="425"/>
      <c r="K221" s="425"/>
      <c r="L221" s="425"/>
      <c r="M221" s="425"/>
      <c r="N221" s="425"/>
      <c r="O221" s="424"/>
      <c r="P221" s="426"/>
      <c r="Q221" s="426"/>
      <c r="R221" s="426"/>
      <c r="S221" s="426"/>
      <c r="T221" s="326"/>
      <c r="U221" s="326"/>
      <c r="V221" s="426"/>
      <c r="W221" s="426"/>
      <c r="X221" s="426"/>
      <c r="Y221" s="426"/>
      <c r="Z221" s="426"/>
      <c r="AA221" s="426"/>
      <c r="AB221" s="426"/>
      <c r="AC221" s="426"/>
      <c r="AD221" s="426"/>
      <c r="AE221" s="326"/>
      <c r="AF221" s="326"/>
      <c r="AG221" s="424"/>
      <c r="AH221" s="424"/>
      <c r="AI221" s="424"/>
      <c r="AJ221" s="424"/>
      <c r="AK221" s="424"/>
      <c r="AL221" s="424"/>
      <c r="AM221" s="425"/>
      <c r="AN221" s="425"/>
      <c r="AO221" s="425"/>
      <c r="AP221" s="425"/>
      <c r="AQ221" s="425"/>
      <c r="AR221" s="425"/>
      <c r="AS221" s="425"/>
      <c r="AT221" s="425"/>
      <c r="AU221" s="425"/>
      <c r="AV221" s="425"/>
      <c r="AW221" s="425"/>
      <c r="AX221" s="425"/>
      <c r="AY221" s="425"/>
      <c r="AZ221" s="425"/>
      <c r="BA221" s="425"/>
      <c r="BB221" s="425"/>
      <c r="BC221" s="425"/>
      <c r="BD221" s="425"/>
      <c r="BE221" s="425"/>
      <c r="BF221" s="425"/>
      <c r="BG221" s="463"/>
      <c r="BH221" s="463"/>
      <c r="BI221" s="463"/>
      <c r="BJ221" s="463"/>
      <c r="BK221" s="463"/>
      <c r="BL221" s="463"/>
      <c r="BM221" s="463"/>
      <c r="BN221" s="463"/>
    </row>
    <row r="222" spans="1:66" ht="15.75" customHeight="1" x14ac:dyDescent="0.2">
      <c r="A222" s="424"/>
      <c r="B222" s="424"/>
      <c r="C222" s="424"/>
      <c r="D222" s="424"/>
      <c r="E222" s="424"/>
      <c r="F222" s="425"/>
      <c r="G222" s="425"/>
      <c r="H222" s="424"/>
      <c r="I222" s="424"/>
      <c r="J222" s="425"/>
      <c r="K222" s="425"/>
      <c r="L222" s="425"/>
      <c r="M222" s="425"/>
      <c r="N222" s="425"/>
      <c r="O222" s="424"/>
      <c r="P222" s="426"/>
      <c r="Q222" s="426"/>
      <c r="R222" s="426"/>
      <c r="S222" s="426"/>
      <c r="T222" s="326"/>
      <c r="U222" s="326"/>
      <c r="V222" s="426"/>
      <c r="W222" s="426"/>
      <c r="X222" s="426"/>
      <c r="Y222" s="426"/>
      <c r="Z222" s="426"/>
      <c r="AA222" s="426"/>
      <c r="AB222" s="426"/>
      <c r="AC222" s="426"/>
      <c r="AD222" s="426"/>
      <c r="AE222" s="326"/>
      <c r="AF222" s="326"/>
      <c r="AG222" s="424"/>
      <c r="AH222" s="424"/>
      <c r="AI222" s="424"/>
      <c r="AJ222" s="424"/>
      <c r="AK222" s="424"/>
      <c r="AL222" s="424"/>
      <c r="AM222" s="425"/>
      <c r="AN222" s="425"/>
      <c r="AO222" s="425"/>
      <c r="AP222" s="425"/>
      <c r="AQ222" s="425"/>
      <c r="AR222" s="425"/>
      <c r="AS222" s="425"/>
      <c r="AT222" s="425"/>
      <c r="AU222" s="425"/>
      <c r="AV222" s="425"/>
      <c r="AW222" s="425"/>
      <c r="AX222" s="425"/>
      <c r="AY222" s="425"/>
      <c r="AZ222" s="425"/>
      <c r="BA222" s="425"/>
      <c r="BB222" s="425"/>
      <c r="BC222" s="425"/>
      <c r="BD222" s="425"/>
      <c r="BE222" s="425"/>
      <c r="BF222" s="425"/>
      <c r="BG222" s="463"/>
      <c r="BH222" s="463"/>
      <c r="BI222" s="463"/>
      <c r="BJ222" s="463"/>
      <c r="BK222" s="463"/>
      <c r="BL222" s="463"/>
      <c r="BM222" s="463"/>
      <c r="BN222" s="463"/>
    </row>
    <row r="223" spans="1:66" ht="15.75" customHeight="1" x14ac:dyDescent="0.2">
      <c r="A223" s="424"/>
      <c r="B223" s="424"/>
      <c r="C223" s="424"/>
      <c r="D223" s="424"/>
      <c r="E223" s="424"/>
      <c r="F223" s="425"/>
      <c r="G223" s="425"/>
      <c r="H223" s="424"/>
      <c r="I223" s="424"/>
      <c r="J223" s="425"/>
      <c r="K223" s="425"/>
      <c r="L223" s="425"/>
      <c r="M223" s="425"/>
      <c r="N223" s="425"/>
      <c r="O223" s="424"/>
      <c r="P223" s="426"/>
      <c r="Q223" s="426"/>
      <c r="R223" s="426"/>
      <c r="S223" s="426"/>
      <c r="T223" s="326"/>
      <c r="U223" s="326"/>
      <c r="V223" s="426"/>
      <c r="W223" s="426"/>
      <c r="X223" s="426"/>
      <c r="Y223" s="426"/>
      <c r="Z223" s="426"/>
      <c r="AA223" s="426"/>
      <c r="AB223" s="426"/>
      <c r="AC223" s="426"/>
      <c r="AD223" s="426"/>
      <c r="AE223" s="326"/>
      <c r="AF223" s="326"/>
      <c r="AG223" s="424"/>
      <c r="AH223" s="424"/>
      <c r="AI223" s="424"/>
      <c r="AJ223" s="424"/>
      <c r="AK223" s="424"/>
      <c r="AL223" s="424"/>
      <c r="AM223" s="425"/>
      <c r="AN223" s="425"/>
      <c r="AO223" s="425"/>
      <c r="AP223" s="425"/>
      <c r="AQ223" s="425"/>
      <c r="AR223" s="425"/>
      <c r="AS223" s="425"/>
      <c r="AT223" s="425"/>
      <c r="AU223" s="425"/>
      <c r="AV223" s="425"/>
      <c r="AW223" s="425"/>
      <c r="AX223" s="425"/>
      <c r="AY223" s="425"/>
      <c r="AZ223" s="425"/>
      <c r="BA223" s="425"/>
      <c r="BB223" s="425"/>
      <c r="BC223" s="425"/>
      <c r="BD223" s="425"/>
      <c r="BE223" s="425"/>
      <c r="BF223" s="425"/>
      <c r="BG223" s="463"/>
      <c r="BH223" s="463"/>
      <c r="BI223" s="463"/>
      <c r="BJ223" s="463"/>
      <c r="BK223" s="463"/>
      <c r="BL223" s="463"/>
      <c r="BM223" s="463"/>
      <c r="BN223" s="463"/>
    </row>
    <row r="224" spans="1:66" ht="15.75" customHeight="1" x14ac:dyDescent="0.2">
      <c r="A224" s="424"/>
      <c r="B224" s="424"/>
      <c r="C224" s="424"/>
      <c r="D224" s="424"/>
      <c r="E224" s="424"/>
      <c r="F224" s="425"/>
      <c r="G224" s="425"/>
      <c r="H224" s="424"/>
      <c r="I224" s="424"/>
      <c r="J224" s="425"/>
      <c r="K224" s="425"/>
      <c r="L224" s="425"/>
      <c r="M224" s="425"/>
      <c r="N224" s="425"/>
      <c r="O224" s="424"/>
      <c r="P224" s="426"/>
      <c r="Q224" s="426"/>
      <c r="R224" s="426"/>
      <c r="S224" s="426"/>
      <c r="T224" s="326"/>
      <c r="U224" s="326"/>
      <c r="V224" s="426"/>
      <c r="W224" s="426"/>
      <c r="X224" s="426"/>
      <c r="Y224" s="426"/>
      <c r="Z224" s="426"/>
      <c r="AA224" s="426"/>
      <c r="AB224" s="426"/>
      <c r="AC224" s="426"/>
      <c r="AD224" s="426"/>
      <c r="AE224" s="326"/>
      <c r="AF224" s="326"/>
      <c r="AG224" s="424"/>
      <c r="AH224" s="424"/>
      <c r="AI224" s="424"/>
      <c r="AJ224" s="424"/>
      <c r="AK224" s="424"/>
      <c r="AL224" s="424"/>
      <c r="AM224" s="425"/>
      <c r="AN224" s="425"/>
      <c r="AO224" s="425"/>
      <c r="AP224" s="425"/>
      <c r="AQ224" s="425"/>
      <c r="AR224" s="425"/>
      <c r="AS224" s="425"/>
      <c r="AT224" s="425"/>
      <c r="AU224" s="425"/>
      <c r="AV224" s="425"/>
      <c r="AW224" s="425"/>
      <c r="AX224" s="425"/>
      <c r="AY224" s="425"/>
      <c r="AZ224" s="425"/>
      <c r="BA224" s="425"/>
      <c r="BB224" s="425"/>
      <c r="BC224" s="425"/>
      <c r="BD224" s="425"/>
      <c r="BE224" s="425"/>
      <c r="BF224" s="425"/>
      <c r="BG224" s="463"/>
      <c r="BH224" s="463"/>
      <c r="BI224" s="463"/>
      <c r="BJ224" s="463"/>
      <c r="BK224" s="463"/>
      <c r="BL224" s="463"/>
      <c r="BM224" s="463"/>
      <c r="BN224" s="463"/>
    </row>
    <row r="225" spans="1:66" ht="15.75" customHeight="1" x14ac:dyDescent="0.2">
      <c r="A225" s="424"/>
      <c r="B225" s="424"/>
      <c r="C225" s="424"/>
      <c r="D225" s="424"/>
      <c r="E225" s="424"/>
      <c r="F225" s="425"/>
      <c r="G225" s="425"/>
      <c r="H225" s="424"/>
      <c r="I225" s="424"/>
      <c r="J225" s="425"/>
      <c r="K225" s="425"/>
      <c r="L225" s="425"/>
      <c r="M225" s="425"/>
      <c r="N225" s="425"/>
      <c r="O225" s="424"/>
      <c r="P225" s="426"/>
      <c r="Q225" s="426"/>
      <c r="R225" s="426"/>
      <c r="S225" s="426"/>
      <c r="T225" s="326"/>
      <c r="U225" s="326"/>
      <c r="V225" s="426"/>
      <c r="W225" s="426"/>
      <c r="X225" s="426"/>
      <c r="Y225" s="426"/>
      <c r="Z225" s="426"/>
      <c r="AA225" s="426"/>
      <c r="AB225" s="426"/>
      <c r="AC225" s="426"/>
      <c r="AD225" s="426"/>
      <c r="AE225" s="326"/>
      <c r="AF225" s="326"/>
      <c r="AG225" s="424"/>
      <c r="AH225" s="424"/>
      <c r="AI225" s="424"/>
      <c r="AJ225" s="424"/>
      <c r="AK225" s="424"/>
      <c r="AL225" s="424"/>
      <c r="AM225" s="425"/>
      <c r="AN225" s="425"/>
      <c r="AO225" s="425"/>
      <c r="AP225" s="425"/>
      <c r="AQ225" s="425"/>
      <c r="AR225" s="425"/>
      <c r="AS225" s="425"/>
      <c r="AT225" s="425"/>
      <c r="AU225" s="425"/>
      <c r="AV225" s="425"/>
      <c r="AW225" s="425"/>
      <c r="AX225" s="425"/>
      <c r="AY225" s="425"/>
      <c r="AZ225" s="425"/>
      <c r="BA225" s="425"/>
      <c r="BB225" s="425"/>
      <c r="BC225" s="425"/>
      <c r="BD225" s="425"/>
      <c r="BE225" s="425"/>
      <c r="BF225" s="425"/>
      <c r="BG225" s="463"/>
      <c r="BH225" s="463"/>
      <c r="BI225" s="463"/>
      <c r="BJ225" s="463"/>
      <c r="BK225" s="463"/>
      <c r="BL225" s="463"/>
      <c r="BM225" s="463"/>
      <c r="BN225" s="463"/>
    </row>
    <row r="226" spans="1:66" ht="15.75" customHeight="1" x14ac:dyDescent="0.2"/>
    <row r="227" spans="1:66" ht="15.75" customHeight="1" x14ac:dyDescent="0.2"/>
    <row r="228" spans="1:66" ht="15.75" customHeight="1" x14ac:dyDescent="0.2"/>
    <row r="229" spans="1:66" ht="15.75" customHeight="1" x14ac:dyDescent="0.2"/>
    <row r="230" spans="1:66" ht="15.75" customHeight="1" x14ac:dyDescent="0.2"/>
    <row r="231" spans="1:66" ht="15.75" customHeight="1" x14ac:dyDescent="0.2"/>
    <row r="232" spans="1:66" ht="15.75" customHeight="1" x14ac:dyDescent="0.2"/>
    <row r="233" spans="1:66" ht="15.75" customHeight="1" x14ac:dyDescent="0.2"/>
    <row r="234" spans="1:66" ht="15.75" customHeight="1" x14ac:dyDescent="0.2"/>
    <row r="235" spans="1:66" ht="15.75" customHeight="1" x14ac:dyDescent="0.2"/>
    <row r="236" spans="1:66" ht="15.75" customHeight="1" x14ac:dyDescent="0.2"/>
    <row r="237" spans="1:66" ht="15.75" customHeight="1" x14ac:dyDescent="0.2"/>
    <row r="238" spans="1:66" ht="15.75" customHeight="1" x14ac:dyDescent="0.2"/>
    <row r="239" spans="1:66" ht="15.75" customHeight="1" x14ac:dyDescent="0.2"/>
    <row r="240" spans="1:6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  <pageSetUpPr fitToPage="1"/>
  </sheetPr>
  <dimension ref="A1:W1000"/>
  <sheetViews>
    <sheetView topLeftCell="A34" workbookViewId="0"/>
  </sheetViews>
  <sheetFormatPr defaultColWidth="12.5703125" defaultRowHeight="15" customHeight="1" x14ac:dyDescent="0.2"/>
  <cols>
    <col min="1" max="1" width="12.5703125" customWidth="1"/>
    <col min="2" max="2" width="24" customWidth="1"/>
    <col min="3" max="3" width="63.42578125" customWidth="1"/>
    <col min="4" max="4" width="18.42578125" customWidth="1"/>
    <col min="5" max="5" width="15.85546875" customWidth="1"/>
    <col min="6" max="6" width="33.7109375" customWidth="1"/>
    <col min="7" max="7" width="47.28515625" customWidth="1"/>
    <col min="8" max="8" width="19.140625" customWidth="1"/>
    <col min="9" max="9" width="25.42578125" customWidth="1"/>
  </cols>
  <sheetData>
    <row r="1" spans="1:23" ht="15.75" customHeight="1" x14ac:dyDescent="0.25">
      <c r="A1" s="464"/>
      <c r="B1" s="464"/>
      <c r="C1" s="464"/>
      <c r="D1" s="465"/>
      <c r="E1" s="465"/>
      <c r="F1" s="465"/>
      <c r="G1" s="464"/>
      <c r="H1" s="464"/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464"/>
      <c r="T1" s="464"/>
      <c r="U1" s="464"/>
      <c r="V1" s="464"/>
      <c r="W1" s="464"/>
    </row>
    <row r="2" spans="1:23" ht="15.75" customHeight="1" x14ac:dyDescent="0.35">
      <c r="A2" s="520" t="s">
        <v>1056</v>
      </c>
      <c r="B2" s="514"/>
      <c r="C2" s="514"/>
      <c r="D2" s="514"/>
      <c r="E2" s="514"/>
      <c r="F2" s="515"/>
      <c r="G2" s="521" t="s">
        <v>1057</v>
      </c>
      <c r="H2" s="512"/>
      <c r="I2" s="512"/>
      <c r="J2" s="512"/>
      <c r="K2" s="512"/>
      <c r="L2" s="512"/>
      <c r="M2" s="512"/>
      <c r="N2" s="512"/>
      <c r="O2" s="512"/>
      <c r="P2" s="512"/>
      <c r="Q2" s="512"/>
      <c r="R2" s="512"/>
      <c r="S2" s="512"/>
      <c r="T2" s="512"/>
      <c r="U2" s="512"/>
      <c r="V2" s="512"/>
      <c r="W2" s="512"/>
    </row>
    <row r="3" spans="1:23" ht="15.75" customHeight="1" x14ac:dyDescent="0.35">
      <c r="A3" s="520" t="s">
        <v>1058</v>
      </c>
      <c r="B3" s="514"/>
      <c r="C3" s="514"/>
      <c r="D3" s="514"/>
      <c r="E3" s="514"/>
      <c r="F3" s="515"/>
      <c r="G3" s="512"/>
      <c r="H3" s="512"/>
      <c r="I3" s="512"/>
      <c r="J3" s="512"/>
      <c r="K3" s="512"/>
      <c r="L3" s="512"/>
      <c r="M3" s="512"/>
      <c r="N3" s="512"/>
      <c r="O3" s="512"/>
      <c r="P3" s="512"/>
      <c r="Q3" s="512"/>
      <c r="R3" s="512"/>
      <c r="S3" s="512"/>
      <c r="T3" s="512"/>
      <c r="U3" s="512"/>
      <c r="V3" s="512"/>
      <c r="W3" s="512"/>
    </row>
    <row r="4" spans="1:23" ht="15.75" customHeight="1" x14ac:dyDescent="0.2">
      <c r="A4" s="523"/>
      <c r="B4" s="512"/>
      <c r="C4" s="512"/>
      <c r="D4" s="512"/>
      <c r="E4" s="512"/>
      <c r="F4" s="512"/>
      <c r="G4" s="522"/>
      <c r="H4" s="522"/>
      <c r="I4" s="522"/>
      <c r="J4" s="522"/>
      <c r="K4" s="522"/>
      <c r="L4" s="522"/>
      <c r="M4" s="522"/>
      <c r="N4" s="522"/>
      <c r="O4" s="522"/>
      <c r="P4" s="522"/>
      <c r="Q4" s="522"/>
      <c r="R4" s="522"/>
      <c r="S4" s="522"/>
      <c r="T4" s="522"/>
      <c r="U4" s="522"/>
      <c r="V4" s="522"/>
      <c r="W4" s="522"/>
    </row>
    <row r="5" spans="1:23" ht="15.75" customHeight="1" x14ac:dyDescent="0.3">
      <c r="A5" s="524" t="s">
        <v>1059</v>
      </c>
      <c r="B5" s="512"/>
      <c r="C5" s="523"/>
      <c r="D5" s="512"/>
      <c r="E5" s="512"/>
      <c r="F5" s="512"/>
      <c r="G5" s="525" t="s">
        <v>1060</v>
      </c>
      <c r="H5" s="526"/>
      <c r="I5" s="526"/>
      <c r="J5" s="526"/>
      <c r="K5" s="526"/>
      <c r="L5" s="526"/>
      <c r="M5" s="526"/>
      <c r="N5" s="526"/>
      <c r="O5" s="526"/>
      <c r="P5" s="526"/>
      <c r="Q5" s="526"/>
      <c r="R5" s="526"/>
      <c r="S5" s="526"/>
      <c r="T5" s="526"/>
      <c r="U5" s="526"/>
      <c r="V5" s="526"/>
      <c r="W5" s="526"/>
    </row>
    <row r="6" spans="1:23" ht="15.75" customHeight="1" x14ac:dyDescent="0.3">
      <c r="A6" s="533" t="s">
        <v>1061</v>
      </c>
      <c r="B6" s="532"/>
      <c r="C6" s="534"/>
      <c r="D6" s="522"/>
      <c r="E6" s="466" t="s">
        <v>1062</v>
      </c>
      <c r="F6" s="467" t="s">
        <v>1063</v>
      </c>
      <c r="G6" s="527"/>
      <c r="H6" s="522"/>
      <c r="I6" s="522"/>
      <c r="J6" s="522"/>
      <c r="K6" s="522"/>
      <c r="L6" s="522"/>
      <c r="M6" s="522"/>
      <c r="N6" s="522"/>
      <c r="O6" s="522"/>
      <c r="P6" s="522"/>
      <c r="Q6" s="522"/>
      <c r="R6" s="522"/>
      <c r="S6" s="522"/>
      <c r="T6" s="522"/>
      <c r="U6" s="522"/>
      <c r="V6" s="522"/>
      <c r="W6" s="522"/>
    </row>
    <row r="7" spans="1:23" ht="15.75" customHeight="1" x14ac:dyDescent="0.3">
      <c r="A7" s="523"/>
      <c r="B7" s="512"/>
      <c r="C7" s="512"/>
      <c r="D7" s="512"/>
      <c r="E7" s="468" t="s">
        <v>1064</v>
      </c>
      <c r="F7" s="468" t="s">
        <v>1065</v>
      </c>
      <c r="G7" s="469" t="s">
        <v>1066</v>
      </c>
      <c r="H7" s="470" t="s">
        <v>1067</v>
      </c>
      <c r="I7" s="470" t="s">
        <v>1068</v>
      </c>
      <c r="J7" s="470" t="s">
        <v>1069</v>
      </c>
      <c r="K7" s="470" t="s">
        <v>1070</v>
      </c>
      <c r="L7" s="470" t="s">
        <v>1071</v>
      </c>
      <c r="M7" s="470" t="s">
        <v>1072</v>
      </c>
      <c r="N7" s="470" t="s">
        <v>1073</v>
      </c>
      <c r="O7" s="470" t="s">
        <v>1074</v>
      </c>
      <c r="P7" s="470" t="s">
        <v>1075</v>
      </c>
      <c r="Q7" s="470" t="s">
        <v>1076</v>
      </c>
      <c r="R7" s="470" t="s">
        <v>1077</v>
      </c>
      <c r="S7" s="470" t="s">
        <v>1078</v>
      </c>
      <c r="T7" s="470" t="s">
        <v>1079</v>
      </c>
      <c r="U7" s="470" t="s">
        <v>1080</v>
      </c>
      <c r="V7" s="470" t="s">
        <v>1081</v>
      </c>
      <c r="W7" s="470" t="s">
        <v>1082</v>
      </c>
    </row>
    <row r="8" spans="1:23" ht="15.75" customHeight="1" x14ac:dyDescent="0.3">
      <c r="A8" s="535" t="s">
        <v>1083</v>
      </c>
      <c r="B8" s="512"/>
      <c r="C8" s="511" t="s">
        <v>1084</v>
      </c>
      <c r="D8" s="512"/>
      <c r="E8" s="472"/>
      <c r="F8" s="471">
        <f>H31</f>
        <v>7383</v>
      </c>
      <c r="G8" s="473" t="s">
        <v>1085</v>
      </c>
      <c r="H8" s="474" t="s">
        <v>763</v>
      </c>
      <c r="I8" s="475">
        <v>68</v>
      </c>
      <c r="J8" s="475">
        <v>68</v>
      </c>
      <c r="K8" s="475">
        <v>68</v>
      </c>
      <c r="L8" s="475">
        <f>K8*1.15</f>
        <v>78.199999999999989</v>
      </c>
      <c r="M8" s="475">
        <f t="shared" ref="M8:N8" si="0">L8</f>
        <v>78.199999999999989</v>
      </c>
      <c r="N8" s="475">
        <f t="shared" si="0"/>
        <v>78.199999999999989</v>
      </c>
      <c r="O8" s="475">
        <f>N8*1.15</f>
        <v>89.929999999999978</v>
      </c>
      <c r="P8" s="475">
        <f t="shared" ref="P8:Q8" si="1">O8</f>
        <v>89.929999999999978</v>
      </c>
      <c r="Q8" s="475">
        <f t="shared" si="1"/>
        <v>89.929999999999978</v>
      </c>
      <c r="R8" s="475">
        <f>Q8*1.15</f>
        <v>103.41949999999997</v>
      </c>
      <c r="S8" s="475">
        <f t="shared" ref="S8:T8" si="2">R8</f>
        <v>103.41949999999997</v>
      </c>
      <c r="T8" s="475">
        <f t="shared" si="2"/>
        <v>103.41949999999997</v>
      </c>
      <c r="U8" s="475">
        <f>T8*1.15</f>
        <v>118.93242499999995</v>
      </c>
      <c r="V8" s="475">
        <f t="shared" ref="V8:W8" si="3">U8</f>
        <v>118.93242499999995</v>
      </c>
      <c r="W8" s="475">
        <f t="shared" si="3"/>
        <v>118.93242499999995</v>
      </c>
    </row>
    <row r="9" spans="1:23" ht="15.75" customHeight="1" x14ac:dyDescent="0.3">
      <c r="A9" s="512"/>
      <c r="B9" s="512"/>
      <c r="C9" s="511" t="s">
        <v>1086</v>
      </c>
      <c r="D9" s="512"/>
      <c r="E9" s="472">
        <v>0</v>
      </c>
      <c r="F9" s="471">
        <v>0</v>
      </c>
      <c r="G9" s="473" t="s">
        <v>1087</v>
      </c>
      <c r="H9" s="474" t="s">
        <v>763</v>
      </c>
      <c r="I9" s="475">
        <f t="shared" ref="I9:W9" si="4">I8*$F$8*12</f>
        <v>6024528</v>
      </c>
      <c r="J9" s="475">
        <f t="shared" si="4"/>
        <v>6024528</v>
      </c>
      <c r="K9" s="475">
        <f t="shared" si="4"/>
        <v>6024528</v>
      </c>
      <c r="L9" s="475">
        <f t="shared" si="4"/>
        <v>6928207.1999999983</v>
      </c>
      <c r="M9" s="475">
        <f t="shared" si="4"/>
        <v>6928207.1999999983</v>
      </c>
      <c r="N9" s="475">
        <f t="shared" si="4"/>
        <v>6928207.1999999983</v>
      </c>
      <c r="O9" s="475">
        <f t="shared" si="4"/>
        <v>7967438.2799999975</v>
      </c>
      <c r="P9" s="475">
        <f t="shared" si="4"/>
        <v>7967438.2799999975</v>
      </c>
      <c r="Q9" s="475">
        <f t="shared" si="4"/>
        <v>7967438.2799999975</v>
      </c>
      <c r="R9" s="475">
        <f t="shared" si="4"/>
        <v>9162554.021999998</v>
      </c>
      <c r="S9" s="475">
        <f t="shared" si="4"/>
        <v>9162554.021999998</v>
      </c>
      <c r="T9" s="475">
        <f t="shared" si="4"/>
        <v>9162554.021999998</v>
      </c>
      <c r="U9" s="475">
        <f t="shared" si="4"/>
        <v>10536937.125299996</v>
      </c>
      <c r="V9" s="475">
        <f t="shared" si="4"/>
        <v>10536937.125299996</v>
      </c>
      <c r="W9" s="475">
        <f t="shared" si="4"/>
        <v>10536937.125299996</v>
      </c>
    </row>
    <row r="10" spans="1:23" ht="15.75" customHeight="1" x14ac:dyDescent="0.3">
      <c r="A10" s="512"/>
      <c r="B10" s="512"/>
      <c r="C10" s="511" t="s">
        <v>1088</v>
      </c>
      <c r="D10" s="512"/>
      <c r="E10" s="472">
        <v>0</v>
      </c>
      <c r="F10" s="471">
        <v>0</v>
      </c>
      <c r="G10" s="476" t="s">
        <v>1089</v>
      </c>
      <c r="H10" s="477">
        <f>AVERAGE(I10:W10)</f>
        <v>3.2984469178552439E-2</v>
      </c>
      <c r="I10" s="478">
        <f t="shared" ref="I10:W10" si="5">I9/$F$31</f>
        <v>2.4460548844336301E-2</v>
      </c>
      <c r="J10" s="478">
        <f t="shared" si="5"/>
        <v>2.4460548844336301E-2</v>
      </c>
      <c r="K10" s="478">
        <f t="shared" si="5"/>
        <v>2.4460548844336301E-2</v>
      </c>
      <c r="L10" s="478">
        <f t="shared" si="5"/>
        <v>2.8129631170986737E-2</v>
      </c>
      <c r="M10" s="478">
        <f t="shared" si="5"/>
        <v>2.8129631170986737E-2</v>
      </c>
      <c r="N10" s="478">
        <f t="shared" si="5"/>
        <v>2.8129631170986737E-2</v>
      </c>
      <c r="O10" s="478">
        <f t="shared" si="5"/>
        <v>3.2349075846634746E-2</v>
      </c>
      <c r="P10" s="478">
        <f t="shared" si="5"/>
        <v>3.2349075846634746E-2</v>
      </c>
      <c r="Q10" s="478">
        <f t="shared" si="5"/>
        <v>3.2349075846634746E-2</v>
      </c>
      <c r="R10" s="478">
        <f t="shared" si="5"/>
        <v>3.7201437223629959E-2</v>
      </c>
      <c r="S10" s="478">
        <f t="shared" si="5"/>
        <v>3.7201437223629959E-2</v>
      </c>
      <c r="T10" s="478">
        <f t="shared" si="5"/>
        <v>3.7201437223629959E-2</v>
      </c>
      <c r="U10" s="478">
        <f t="shared" si="5"/>
        <v>4.2781652807174449E-2</v>
      </c>
      <c r="V10" s="478">
        <f t="shared" si="5"/>
        <v>4.2781652807174449E-2</v>
      </c>
      <c r="W10" s="478">
        <f t="shared" si="5"/>
        <v>4.2781652807174449E-2</v>
      </c>
    </row>
    <row r="11" spans="1:23" ht="15.75" customHeight="1" x14ac:dyDescent="0.3">
      <c r="A11" s="512"/>
      <c r="B11" s="512"/>
      <c r="C11" s="511" t="s">
        <v>1090</v>
      </c>
      <c r="D11" s="512"/>
      <c r="E11" s="472">
        <v>0</v>
      </c>
      <c r="F11" s="471">
        <v>0</v>
      </c>
      <c r="G11" s="473" t="s">
        <v>1091</v>
      </c>
      <c r="H11" s="474" t="s">
        <v>763</v>
      </c>
      <c r="I11" s="475">
        <f>40000000*12</f>
        <v>480000000</v>
      </c>
      <c r="J11" s="475">
        <f t="shared" ref="J11:W11" si="6">I11*1.05</f>
        <v>504000000</v>
      </c>
      <c r="K11" s="475">
        <f t="shared" si="6"/>
        <v>529200000</v>
      </c>
      <c r="L11" s="475">
        <f t="shared" si="6"/>
        <v>555660000</v>
      </c>
      <c r="M11" s="475">
        <f t="shared" si="6"/>
        <v>583443000</v>
      </c>
      <c r="N11" s="475">
        <f t="shared" si="6"/>
        <v>612615150</v>
      </c>
      <c r="O11" s="475">
        <f t="shared" si="6"/>
        <v>643245907.5</v>
      </c>
      <c r="P11" s="475">
        <f t="shared" si="6"/>
        <v>675408202.875</v>
      </c>
      <c r="Q11" s="475">
        <f t="shared" si="6"/>
        <v>709178613.01875007</v>
      </c>
      <c r="R11" s="475">
        <f t="shared" si="6"/>
        <v>744637543.66968763</v>
      </c>
      <c r="S11" s="475">
        <f t="shared" si="6"/>
        <v>781869420.85317206</v>
      </c>
      <c r="T11" s="475">
        <f t="shared" si="6"/>
        <v>820962891.89583075</v>
      </c>
      <c r="U11" s="475">
        <f t="shared" si="6"/>
        <v>862011036.49062228</v>
      </c>
      <c r="V11" s="475">
        <f t="shared" si="6"/>
        <v>905111588.31515348</v>
      </c>
      <c r="W11" s="475">
        <f t="shared" si="6"/>
        <v>950367167.73091114</v>
      </c>
    </row>
    <row r="12" spans="1:23" ht="15.75" customHeight="1" x14ac:dyDescent="0.3">
      <c r="A12" s="512"/>
      <c r="B12" s="512"/>
      <c r="C12" s="511" t="s">
        <v>1092</v>
      </c>
      <c r="D12" s="512"/>
      <c r="E12" s="472"/>
      <c r="F12" s="471">
        <f>F8</f>
        <v>7383</v>
      </c>
      <c r="G12" s="473" t="s">
        <v>1093</v>
      </c>
      <c r="H12" s="474" t="s">
        <v>763</v>
      </c>
      <c r="I12" s="475">
        <f t="shared" ref="I12:W12" si="7">I11*3%</f>
        <v>14400000</v>
      </c>
      <c r="J12" s="475">
        <f t="shared" si="7"/>
        <v>15120000</v>
      </c>
      <c r="K12" s="475">
        <f t="shared" si="7"/>
        <v>15876000</v>
      </c>
      <c r="L12" s="475">
        <f t="shared" si="7"/>
        <v>16669800</v>
      </c>
      <c r="M12" s="475">
        <f t="shared" si="7"/>
        <v>17503290</v>
      </c>
      <c r="N12" s="475">
        <f t="shared" si="7"/>
        <v>18378454.5</v>
      </c>
      <c r="O12" s="475">
        <f t="shared" si="7"/>
        <v>19297377.224999998</v>
      </c>
      <c r="P12" s="475">
        <f t="shared" si="7"/>
        <v>20262246.08625</v>
      </c>
      <c r="Q12" s="475">
        <f t="shared" si="7"/>
        <v>21275358.390562501</v>
      </c>
      <c r="R12" s="475">
        <f t="shared" si="7"/>
        <v>22339126.310090628</v>
      </c>
      <c r="S12" s="475">
        <f t="shared" si="7"/>
        <v>23456082.62559516</v>
      </c>
      <c r="T12" s="475">
        <f t="shared" si="7"/>
        <v>24628886.756874923</v>
      </c>
      <c r="U12" s="475">
        <f t="shared" si="7"/>
        <v>25860331.094718669</v>
      </c>
      <c r="V12" s="475">
        <f t="shared" si="7"/>
        <v>27153347.649454605</v>
      </c>
      <c r="W12" s="475">
        <f t="shared" si="7"/>
        <v>28511015.031927332</v>
      </c>
    </row>
    <row r="13" spans="1:23" ht="15.75" customHeight="1" x14ac:dyDescent="0.3">
      <c r="A13" s="512"/>
      <c r="B13" s="512"/>
      <c r="C13" s="528" t="s">
        <v>1094</v>
      </c>
      <c r="D13" s="512"/>
      <c r="E13" s="512"/>
      <c r="F13" s="468">
        <f>F8*1.5</f>
        <v>11074.5</v>
      </c>
      <c r="G13" s="479" t="s">
        <v>1095</v>
      </c>
      <c r="H13" s="477">
        <f>AVERAGE(I13:W13)</f>
        <v>8.4107928172104718E-2</v>
      </c>
      <c r="I13" s="480">
        <f t="shared" ref="I13:W13" si="8">I12/$F$31</f>
        <v>5.8466306963540167E-2</v>
      </c>
      <c r="J13" s="480">
        <f t="shared" si="8"/>
        <v>6.1389622311717178E-2</v>
      </c>
      <c r="K13" s="480">
        <f t="shared" si="8"/>
        <v>6.445910342730303E-2</v>
      </c>
      <c r="L13" s="480">
        <f t="shared" si="8"/>
        <v>6.7682058598668188E-2</v>
      </c>
      <c r="M13" s="480">
        <f t="shared" si="8"/>
        <v>7.1066161528601596E-2</v>
      </c>
      <c r="N13" s="480">
        <f t="shared" si="8"/>
        <v>7.4619469605031671E-2</v>
      </c>
      <c r="O13" s="480">
        <f t="shared" si="8"/>
        <v>7.8350443085283245E-2</v>
      </c>
      <c r="P13" s="480">
        <f t="shared" si="8"/>
        <v>8.2267965239547422E-2</v>
      </c>
      <c r="Q13" s="480">
        <f t="shared" si="8"/>
        <v>8.6381363501524797E-2</v>
      </c>
      <c r="R13" s="480">
        <f t="shared" si="8"/>
        <v>9.0700431676601037E-2</v>
      </c>
      <c r="S13" s="480">
        <f t="shared" si="8"/>
        <v>9.5235453260431105E-2</v>
      </c>
      <c r="T13" s="480">
        <f t="shared" si="8"/>
        <v>9.9997225923452671E-2</v>
      </c>
      <c r="U13" s="480">
        <f t="shared" si="8"/>
        <v>0.10499708721962531</v>
      </c>
      <c r="V13" s="480">
        <f t="shared" si="8"/>
        <v>0.11024694158060658</v>
      </c>
      <c r="W13" s="480">
        <f t="shared" si="8"/>
        <v>0.1157592886596369</v>
      </c>
    </row>
    <row r="14" spans="1:23" ht="15.75" customHeight="1" x14ac:dyDescent="0.3">
      <c r="A14" s="512"/>
      <c r="B14" s="512"/>
      <c r="C14" s="511" t="s">
        <v>1096</v>
      </c>
      <c r="D14" s="512"/>
      <c r="E14" s="512"/>
      <c r="F14" s="481">
        <v>20000</v>
      </c>
      <c r="G14" s="529" t="s">
        <v>1097</v>
      </c>
      <c r="H14" s="526"/>
      <c r="I14" s="526"/>
      <c r="J14" s="526"/>
      <c r="K14" s="526"/>
      <c r="L14" s="526"/>
      <c r="M14" s="526"/>
      <c r="N14" s="526"/>
      <c r="O14" s="526"/>
      <c r="P14" s="526"/>
      <c r="Q14" s="526"/>
      <c r="R14" s="526"/>
      <c r="S14" s="526"/>
      <c r="T14" s="526"/>
      <c r="U14" s="526"/>
      <c r="V14" s="526"/>
      <c r="W14" s="526"/>
    </row>
    <row r="15" spans="1:23" ht="15.75" customHeight="1" x14ac:dyDescent="0.3">
      <c r="A15" s="535" t="s">
        <v>1098</v>
      </c>
      <c r="B15" s="512"/>
      <c r="C15" s="511" t="s">
        <v>11</v>
      </c>
      <c r="D15" s="512"/>
      <c r="E15" s="512"/>
      <c r="F15" s="481">
        <f>F14*F13</f>
        <v>221490000</v>
      </c>
      <c r="G15" s="512"/>
      <c r="H15" s="512"/>
      <c r="I15" s="512"/>
      <c r="J15" s="512"/>
      <c r="K15" s="512"/>
      <c r="L15" s="512"/>
      <c r="M15" s="512"/>
      <c r="N15" s="512"/>
      <c r="O15" s="512"/>
      <c r="P15" s="512"/>
      <c r="Q15" s="512"/>
      <c r="R15" s="512"/>
      <c r="S15" s="512"/>
      <c r="T15" s="512"/>
      <c r="U15" s="512"/>
      <c r="V15" s="512"/>
      <c r="W15" s="512"/>
    </row>
    <row r="16" spans="1:23" ht="15.75" customHeight="1" x14ac:dyDescent="0.3">
      <c r="A16" s="512"/>
      <c r="B16" s="512"/>
      <c r="C16" s="511" t="s">
        <v>1099</v>
      </c>
      <c r="D16" s="512"/>
      <c r="E16" s="512"/>
      <c r="F16" s="482">
        <f>500000*5</f>
        <v>2500000</v>
      </c>
      <c r="G16" s="512"/>
      <c r="H16" s="512"/>
      <c r="I16" s="512"/>
      <c r="J16" s="512"/>
      <c r="K16" s="512"/>
      <c r="L16" s="512"/>
      <c r="M16" s="512"/>
      <c r="N16" s="512"/>
      <c r="O16" s="512"/>
      <c r="P16" s="512"/>
      <c r="Q16" s="512"/>
      <c r="R16" s="512"/>
      <c r="S16" s="512"/>
      <c r="T16" s="512"/>
      <c r="U16" s="512"/>
      <c r="V16" s="512"/>
      <c r="W16" s="512"/>
    </row>
    <row r="17" spans="1:23" ht="15.75" customHeight="1" x14ac:dyDescent="0.3">
      <c r="A17" s="512"/>
      <c r="B17" s="512"/>
      <c r="C17" s="511" t="s">
        <v>1100</v>
      </c>
      <c r="D17" s="512"/>
      <c r="E17" s="512"/>
      <c r="F17" s="482">
        <f>28*70000</f>
        <v>1960000</v>
      </c>
      <c r="G17" s="464"/>
      <c r="H17" s="464"/>
      <c r="I17" s="464"/>
      <c r="J17" s="464"/>
      <c r="K17" s="464"/>
      <c r="L17" s="464"/>
      <c r="M17" s="464"/>
      <c r="N17" s="464"/>
      <c r="O17" s="464"/>
      <c r="P17" s="464"/>
      <c r="Q17" s="464"/>
      <c r="R17" s="464"/>
      <c r="S17" s="464"/>
      <c r="T17" s="464"/>
      <c r="U17" s="464"/>
      <c r="V17" s="464"/>
      <c r="W17" s="464"/>
    </row>
    <row r="18" spans="1:23" ht="15.75" customHeight="1" x14ac:dyDescent="0.3">
      <c r="A18" s="512"/>
      <c r="B18" s="512"/>
      <c r="C18" s="536" t="s">
        <v>1101</v>
      </c>
      <c r="D18" s="531"/>
      <c r="E18" s="537"/>
      <c r="F18" s="483">
        <f>F15+F16+F17</f>
        <v>225950000</v>
      </c>
      <c r="G18" s="530" t="s">
        <v>1102</v>
      </c>
      <c r="H18" s="531"/>
      <c r="I18" s="531"/>
      <c r="J18" s="531"/>
      <c r="K18" s="531"/>
      <c r="L18" s="531"/>
      <c r="M18" s="531"/>
      <c r="N18" s="531"/>
      <c r="O18" s="531"/>
      <c r="P18" s="531"/>
      <c r="Q18" s="531"/>
      <c r="R18" s="531"/>
      <c r="S18" s="531"/>
      <c r="T18" s="531"/>
      <c r="U18" s="531"/>
      <c r="V18" s="531"/>
      <c r="W18" s="532"/>
    </row>
    <row r="19" spans="1:23" ht="15.75" customHeight="1" x14ac:dyDescent="0.3">
      <c r="A19" s="535" t="s">
        <v>1103</v>
      </c>
      <c r="B19" s="512"/>
      <c r="C19" s="511" t="s">
        <v>1104</v>
      </c>
      <c r="D19" s="512"/>
      <c r="E19" s="512"/>
      <c r="F19" s="482">
        <f>250*F13</f>
        <v>2768625</v>
      </c>
      <c r="G19" s="469" t="s">
        <v>1066</v>
      </c>
      <c r="H19" s="470" t="s">
        <v>1067</v>
      </c>
      <c r="I19" s="470" t="s">
        <v>1068</v>
      </c>
      <c r="J19" s="470" t="s">
        <v>1069</v>
      </c>
      <c r="K19" s="470" t="s">
        <v>1070</v>
      </c>
      <c r="L19" s="470" t="s">
        <v>1071</v>
      </c>
      <c r="M19" s="470" t="s">
        <v>1072</v>
      </c>
      <c r="N19" s="470" t="s">
        <v>1073</v>
      </c>
      <c r="O19" s="470" t="s">
        <v>1074</v>
      </c>
      <c r="P19" s="470" t="s">
        <v>1075</v>
      </c>
      <c r="Q19" s="470" t="s">
        <v>1076</v>
      </c>
      <c r="R19" s="470" t="s">
        <v>1077</v>
      </c>
      <c r="S19" s="470" t="s">
        <v>1078</v>
      </c>
      <c r="T19" s="470" t="s">
        <v>1079</v>
      </c>
      <c r="U19" s="470" t="s">
        <v>1080</v>
      </c>
      <c r="V19" s="470" t="s">
        <v>1081</v>
      </c>
      <c r="W19" s="470" t="s">
        <v>1082</v>
      </c>
    </row>
    <row r="20" spans="1:23" ht="15.75" customHeight="1" x14ac:dyDescent="0.3">
      <c r="A20" s="512"/>
      <c r="B20" s="512"/>
      <c r="C20" s="511" t="s">
        <v>1105</v>
      </c>
      <c r="D20" s="512"/>
      <c r="E20" s="512"/>
      <c r="F20" s="482">
        <f>200*F13</f>
        <v>2214900</v>
      </c>
      <c r="G20" s="473" t="s">
        <v>1085</v>
      </c>
      <c r="H20" s="474" t="s">
        <v>763</v>
      </c>
      <c r="I20" s="475">
        <v>68</v>
      </c>
      <c r="J20" s="475">
        <v>68</v>
      </c>
      <c r="K20" s="475">
        <v>68</v>
      </c>
      <c r="L20" s="475">
        <f>K20*1.15</f>
        <v>78.199999999999989</v>
      </c>
      <c r="M20" s="475">
        <f t="shared" ref="M20:N20" si="9">L20</f>
        <v>78.199999999999989</v>
      </c>
      <c r="N20" s="475">
        <f t="shared" si="9"/>
        <v>78.199999999999989</v>
      </c>
      <c r="O20" s="475">
        <f>N20*1.15</f>
        <v>89.929999999999978</v>
      </c>
      <c r="P20" s="475">
        <f t="shared" ref="P20:Q20" si="10">O20</f>
        <v>89.929999999999978</v>
      </c>
      <c r="Q20" s="475">
        <f t="shared" si="10"/>
        <v>89.929999999999978</v>
      </c>
      <c r="R20" s="475">
        <f>Q20*1.15</f>
        <v>103.41949999999997</v>
      </c>
      <c r="S20" s="475">
        <f t="shared" ref="S20:T20" si="11">R20</f>
        <v>103.41949999999997</v>
      </c>
      <c r="T20" s="475">
        <f t="shared" si="11"/>
        <v>103.41949999999997</v>
      </c>
      <c r="U20" s="475">
        <f>T20*1.15</f>
        <v>118.93242499999995</v>
      </c>
      <c r="V20" s="475">
        <f t="shared" ref="V20:W20" si="12">U20</f>
        <v>118.93242499999995</v>
      </c>
      <c r="W20" s="475">
        <f t="shared" si="12"/>
        <v>118.93242499999995</v>
      </c>
    </row>
    <row r="21" spans="1:23" ht="15.75" customHeight="1" x14ac:dyDescent="0.3">
      <c r="A21" s="512"/>
      <c r="B21" s="512"/>
      <c r="C21" s="511" t="s">
        <v>1106</v>
      </c>
      <c r="D21" s="512"/>
      <c r="E21" s="512"/>
      <c r="F21" s="482">
        <f>150*F13</f>
        <v>1661175</v>
      </c>
      <c r="G21" s="473" t="s">
        <v>1087</v>
      </c>
      <c r="H21" s="474" t="s">
        <v>763</v>
      </c>
      <c r="I21" s="475">
        <f t="shared" ref="I21:W21" si="13">I20*$F$8*12</f>
        <v>6024528</v>
      </c>
      <c r="J21" s="475">
        <f t="shared" si="13"/>
        <v>6024528</v>
      </c>
      <c r="K21" s="475">
        <f t="shared" si="13"/>
        <v>6024528</v>
      </c>
      <c r="L21" s="475">
        <f t="shared" si="13"/>
        <v>6928207.1999999983</v>
      </c>
      <c r="M21" s="475">
        <f t="shared" si="13"/>
        <v>6928207.1999999983</v>
      </c>
      <c r="N21" s="475">
        <f t="shared" si="13"/>
        <v>6928207.1999999983</v>
      </c>
      <c r="O21" s="475">
        <f t="shared" si="13"/>
        <v>7967438.2799999975</v>
      </c>
      <c r="P21" s="475">
        <f t="shared" si="13"/>
        <v>7967438.2799999975</v>
      </c>
      <c r="Q21" s="475">
        <f t="shared" si="13"/>
        <v>7967438.2799999975</v>
      </c>
      <c r="R21" s="475">
        <f t="shared" si="13"/>
        <v>9162554.021999998</v>
      </c>
      <c r="S21" s="475">
        <f t="shared" si="13"/>
        <v>9162554.021999998</v>
      </c>
      <c r="T21" s="475">
        <f t="shared" si="13"/>
        <v>9162554.021999998</v>
      </c>
      <c r="U21" s="475">
        <f t="shared" si="13"/>
        <v>10536937.125299996</v>
      </c>
      <c r="V21" s="475">
        <f t="shared" si="13"/>
        <v>10536937.125299996</v>
      </c>
      <c r="W21" s="475">
        <f t="shared" si="13"/>
        <v>10536937.125299996</v>
      </c>
    </row>
    <row r="22" spans="1:23" ht="15.75" customHeight="1" x14ac:dyDescent="0.3">
      <c r="A22" s="512"/>
      <c r="B22" s="512"/>
      <c r="C22" s="536" t="s">
        <v>1107</v>
      </c>
      <c r="D22" s="531"/>
      <c r="E22" s="537"/>
      <c r="F22" s="483">
        <f>SUM(F19:F21)</f>
        <v>6644700</v>
      </c>
      <c r="G22" s="476" t="s">
        <v>1089</v>
      </c>
      <c r="H22" s="477">
        <f>AVERAGE(I22:W22)</f>
        <v>3.4927420639679227E-2</v>
      </c>
      <c r="I22" s="478">
        <f t="shared" ref="I22:W22" si="14">I21/$F$23</f>
        <v>2.5901398441151066E-2</v>
      </c>
      <c r="J22" s="478">
        <f t="shared" si="14"/>
        <v>2.5901398441151066E-2</v>
      </c>
      <c r="K22" s="478">
        <f t="shared" si="14"/>
        <v>2.5901398441151066E-2</v>
      </c>
      <c r="L22" s="478">
        <f t="shared" si="14"/>
        <v>2.978660820732372E-2</v>
      </c>
      <c r="M22" s="478">
        <f t="shared" si="14"/>
        <v>2.978660820732372E-2</v>
      </c>
      <c r="N22" s="478">
        <f t="shared" si="14"/>
        <v>2.978660820732372E-2</v>
      </c>
      <c r="O22" s="478">
        <f t="shared" si="14"/>
        <v>3.4254599438422274E-2</v>
      </c>
      <c r="P22" s="478">
        <f t="shared" si="14"/>
        <v>3.4254599438422274E-2</v>
      </c>
      <c r="Q22" s="478">
        <f t="shared" si="14"/>
        <v>3.4254599438422274E-2</v>
      </c>
      <c r="R22" s="478">
        <f t="shared" si="14"/>
        <v>3.9392789354185623E-2</v>
      </c>
      <c r="S22" s="478">
        <f t="shared" si="14"/>
        <v>3.9392789354185623E-2</v>
      </c>
      <c r="T22" s="478">
        <f t="shared" si="14"/>
        <v>3.9392789354185623E-2</v>
      </c>
      <c r="U22" s="478">
        <f t="shared" si="14"/>
        <v>4.5301707757313452E-2</v>
      </c>
      <c r="V22" s="478">
        <f t="shared" si="14"/>
        <v>4.5301707757313452E-2</v>
      </c>
      <c r="W22" s="478">
        <f t="shared" si="14"/>
        <v>4.5301707757313452E-2</v>
      </c>
    </row>
    <row r="23" spans="1:23" ht="15.75" customHeight="1" x14ac:dyDescent="0.3">
      <c r="A23" s="523"/>
      <c r="B23" s="512"/>
      <c r="C23" s="536" t="s">
        <v>1108</v>
      </c>
      <c r="D23" s="531"/>
      <c r="E23" s="537"/>
      <c r="F23" s="484">
        <f>F18+F22</f>
        <v>232594700</v>
      </c>
      <c r="G23" s="473" t="s">
        <v>1091</v>
      </c>
      <c r="H23" s="474" t="s">
        <v>763</v>
      </c>
      <c r="I23" s="475">
        <f>40000000*12</f>
        <v>480000000</v>
      </c>
      <c r="J23" s="475">
        <f t="shared" ref="J23:W23" si="15">I23*1.05</f>
        <v>504000000</v>
      </c>
      <c r="K23" s="475">
        <f t="shared" si="15"/>
        <v>529200000</v>
      </c>
      <c r="L23" s="475">
        <f t="shared" si="15"/>
        <v>555660000</v>
      </c>
      <c r="M23" s="475">
        <f t="shared" si="15"/>
        <v>583443000</v>
      </c>
      <c r="N23" s="475">
        <f t="shared" si="15"/>
        <v>612615150</v>
      </c>
      <c r="O23" s="475">
        <f t="shared" si="15"/>
        <v>643245907.5</v>
      </c>
      <c r="P23" s="475">
        <f t="shared" si="15"/>
        <v>675408202.875</v>
      </c>
      <c r="Q23" s="475">
        <f t="shared" si="15"/>
        <v>709178613.01875007</v>
      </c>
      <c r="R23" s="475">
        <f t="shared" si="15"/>
        <v>744637543.66968763</v>
      </c>
      <c r="S23" s="475">
        <f t="shared" si="15"/>
        <v>781869420.85317206</v>
      </c>
      <c r="T23" s="475">
        <f t="shared" si="15"/>
        <v>820962891.89583075</v>
      </c>
      <c r="U23" s="475">
        <f t="shared" si="15"/>
        <v>862011036.49062228</v>
      </c>
      <c r="V23" s="475">
        <f t="shared" si="15"/>
        <v>905111588.31515348</v>
      </c>
      <c r="W23" s="475">
        <f t="shared" si="15"/>
        <v>950367167.73091114</v>
      </c>
    </row>
    <row r="24" spans="1:23" ht="15.75" customHeight="1" x14ac:dyDescent="0.3">
      <c r="A24" s="535" t="s">
        <v>1109</v>
      </c>
      <c r="B24" s="512"/>
      <c r="C24" s="511" t="s">
        <v>1110</v>
      </c>
      <c r="D24" s="512"/>
      <c r="E24" s="512"/>
      <c r="F24" s="482">
        <v>0</v>
      </c>
      <c r="G24" s="473" t="s">
        <v>1093</v>
      </c>
      <c r="H24" s="474" t="s">
        <v>763</v>
      </c>
      <c r="I24" s="475">
        <f t="shared" ref="I24:W24" si="16">I23*3%</f>
        <v>14400000</v>
      </c>
      <c r="J24" s="475">
        <f t="shared" si="16"/>
        <v>15120000</v>
      </c>
      <c r="K24" s="475">
        <f t="shared" si="16"/>
        <v>15876000</v>
      </c>
      <c r="L24" s="475">
        <f t="shared" si="16"/>
        <v>16669800</v>
      </c>
      <c r="M24" s="475">
        <f t="shared" si="16"/>
        <v>17503290</v>
      </c>
      <c r="N24" s="475">
        <f t="shared" si="16"/>
        <v>18378454.5</v>
      </c>
      <c r="O24" s="475">
        <f t="shared" si="16"/>
        <v>19297377.224999998</v>
      </c>
      <c r="P24" s="475">
        <f t="shared" si="16"/>
        <v>20262246.08625</v>
      </c>
      <c r="Q24" s="475">
        <f t="shared" si="16"/>
        <v>21275358.390562501</v>
      </c>
      <c r="R24" s="475">
        <f t="shared" si="16"/>
        <v>22339126.310090628</v>
      </c>
      <c r="S24" s="475">
        <f t="shared" si="16"/>
        <v>23456082.62559516</v>
      </c>
      <c r="T24" s="475">
        <f t="shared" si="16"/>
        <v>24628886.756874923</v>
      </c>
      <c r="U24" s="475">
        <f t="shared" si="16"/>
        <v>25860331.094718669</v>
      </c>
      <c r="V24" s="475">
        <f t="shared" si="16"/>
        <v>27153347.649454605</v>
      </c>
      <c r="W24" s="475">
        <f t="shared" si="16"/>
        <v>28511015.031927332</v>
      </c>
    </row>
    <row r="25" spans="1:23" ht="15.75" customHeight="1" x14ac:dyDescent="0.3">
      <c r="A25" s="512"/>
      <c r="B25" s="512"/>
      <c r="C25" s="511" t="s">
        <v>1111</v>
      </c>
      <c r="D25" s="512"/>
      <c r="E25" s="512"/>
      <c r="F25" s="482">
        <v>0</v>
      </c>
      <c r="G25" s="479" t="s">
        <v>1095</v>
      </c>
      <c r="H25" s="477">
        <f>AVERAGE(I25:W25)</f>
        <v>8.9062309006603557E-2</v>
      </c>
      <c r="I25" s="480">
        <f t="shared" ref="I25:W25" si="17">I24/$F$23</f>
        <v>6.1910267086911268E-2</v>
      </c>
      <c r="J25" s="480">
        <f t="shared" si="17"/>
        <v>6.5005780441256836E-2</v>
      </c>
      <c r="K25" s="480">
        <f t="shared" si="17"/>
        <v>6.8256069463319677E-2</v>
      </c>
      <c r="L25" s="480">
        <f t="shared" si="17"/>
        <v>7.1668872936485661E-2</v>
      </c>
      <c r="M25" s="480">
        <f t="shared" si="17"/>
        <v>7.5252316583309942E-2</v>
      </c>
      <c r="N25" s="480">
        <f t="shared" si="17"/>
        <v>7.9014932412475439E-2</v>
      </c>
      <c r="O25" s="480">
        <f t="shared" si="17"/>
        <v>8.2965679033099191E-2</v>
      </c>
      <c r="P25" s="480">
        <f t="shared" si="17"/>
        <v>8.711396298475417E-2</v>
      </c>
      <c r="Q25" s="480">
        <f t="shared" si="17"/>
        <v>9.1469661133991881E-2</v>
      </c>
      <c r="R25" s="480">
        <f t="shared" si="17"/>
        <v>9.6043144190691473E-2</v>
      </c>
      <c r="S25" s="480">
        <f t="shared" si="17"/>
        <v>0.10084530140022606</v>
      </c>
      <c r="T25" s="480">
        <f t="shared" si="17"/>
        <v>0.10588756647023738</v>
      </c>
      <c r="U25" s="480">
        <f t="shared" si="17"/>
        <v>0.11118194479374925</v>
      </c>
      <c r="V25" s="480">
        <f t="shared" si="17"/>
        <v>0.11674104203343673</v>
      </c>
      <c r="W25" s="480">
        <f t="shared" si="17"/>
        <v>0.12257809413510855</v>
      </c>
    </row>
    <row r="26" spans="1:23" ht="15.75" customHeight="1" x14ac:dyDescent="0.3">
      <c r="A26" s="512"/>
      <c r="B26" s="512"/>
      <c r="C26" s="538" t="s">
        <v>1112</v>
      </c>
      <c r="D26" s="514"/>
      <c r="E26" s="515"/>
      <c r="F26" s="485">
        <f>F25+F24</f>
        <v>0</v>
      </c>
      <c r="G26" s="525" t="s">
        <v>1097</v>
      </c>
      <c r="H26" s="526"/>
      <c r="I26" s="526"/>
      <c r="J26" s="526"/>
      <c r="K26" s="526"/>
      <c r="L26" s="526"/>
      <c r="M26" s="526"/>
      <c r="N26" s="526"/>
      <c r="O26" s="526"/>
      <c r="P26" s="526"/>
      <c r="Q26" s="526"/>
      <c r="R26" s="526"/>
      <c r="S26" s="526"/>
      <c r="T26" s="526"/>
      <c r="U26" s="526"/>
      <c r="V26" s="526"/>
      <c r="W26" s="539"/>
    </row>
    <row r="27" spans="1:23" ht="15.75" customHeight="1" x14ac:dyDescent="0.3">
      <c r="A27" s="535" t="s">
        <v>1113</v>
      </c>
      <c r="B27" s="512"/>
      <c r="C27" s="511" t="s">
        <v>1114</v>
      </c>
      <c r="D27" s="512"/>
      <c r="E27" s="512"/>
      <c r="F27" s="482">
        <f>6%*F18</f>
        <v>13557000</v>
      </c>
      <c r="G27" s="510"/>
      <c r="H27" s="512"/>
      <c r="I27" s="512"/>
      <c r="J27" s="512"/>
      <c r="K27" s="512"/>
      <c r="L27" s="512"/>
      <c r="M27" s="512"/>
      <c r="N27" s="512"/>
      <c r="O27" s="512"/>
      <c r="P27" s="512"/>
      <c r="Q27" s="512"/>
      <c r="R27" s="512"/>
      <c r="S27" s="512"/>
      <c r="T27" s="512"/>
      <c r="U27" s="512"/>
      <c r="V27" s="512"/>
      <c r="W27" s="540"/>
    </row>
    <row r="28" spans="1:23" ht="15.75" customHeight="1" x14ac:dyDescent="0.3">
      <c r="A28" s="512"/>
      <c r="B28" s="512"/>
      <c r="C28" s="511" t="s">
        <v>20</v>
      </c>
      <c r="D28" s="512"/>
      <c r="E28" s="512"/>
      <c r="F28" s="482">
        <f>30000*4</f>
        <v>120000</v>
      </c>
      <c r="G28" s="527"/>
      <c r="H28" s="522"/>
      <c r="I28" s="522"/>
      <c r="J28" s="522"/>
      <c r="K28" s="522"/>
      <c r="L28" s="522"/>
      <c r="M28" s="522"/>
      <c r="N28" s="522"/>
      <c r="O28" s="522"/>
      <c r="P28" s="522"/>
      <c r="Q28" s="522"/>
      <c r="R28" s="522"/>
      <c r="S28" s="522"/>
      <c r="T28" s="522"/>
      <c r="U28" s="522"/>
      <c r="V28" s="522"/>
      <c r="W28" s="541"/>
    </row>
    <row r="29" spans="1:23" ht="15.75" customHeight="1" x14ac:dyDescent="0.3">
      <c r="A29" s="512"/>
      <c r="B29" s="512"/>
      <c r="C29" s="542" t="s">
        <v>1115</v>
      </c>
      <c r="D29" s="514"/>
      <c r="E29" s="515"/>
      <c r="F29" s="486">
        <f>6000*4</f>
        <v>24000</v>
      </c>
      <c r="G29" s="464"/>
      <c r="H29" s="464"/>
      <c r="I29" s="464"/>
      <c r="J29" s="464"/>
      <c r="K29" s="464"/>
      <c r="L29" s="464"/>
      <c r="M29" s="464"/>
      <c r="N29" s="464"/>
      <c r="O29" s="464"/>
      <c r="P29" s="464"/>
      <c r="Q29" s="464"/>
      <c r="R29" s="464"/>
      <c r="S29" s="464"/>
      <c r="T29" s="464"/>
      <c r="U29" s="464"/>
      <c r="V29" s="464"/>
      <c r="W29" s="464"/>
    </row>
    <row r="30" spans="1:23" ht="15.75" customHeight="1" x14ac:dyDescent="0.3">
      <c r="A30" s="512"/>
      <c r="B30" s="512"/>
      <c r="C30" s="536" t="s">
        <v>1116</v>
      </c>
      <c r="D30" s="531"/>
      <c r="E30" s="537"/>
      <c r="F30" s="483">
        <f>F27+F28+F29</f>
        <v>13701000</v>
      </c>
      <c r="G30" s="487"/>
      <c r="H30" s="487" t="s">
        <v>1117</v>
      </c>
      <c r="I30" s="487" t="s">
        <v>1118</v>
      </c>
      <c r="J30" s="464"/>
      <c r="K30" s="464"/>
      <c r="L30" s="464"/>
      <c r="M30" s="464"/>
      <c r="N30" s="464"/>
      <c r="O30" s="464"/>
      <c r="P30" s="464"/>
      <c r="Q30" s="464"/>
      <c r="R30" s="464"/>
      <c r="S30" s="464"/>
      <c r="T30" s="464"/>
      <c r="U30" s="464"/>
      <c r="V30" s="464"/>
      <c r="W30" s="464"/>
    </row>
    <row r="31" spans="1:23" ht="15.75" customHeight="1" x14ac:dyDescent="0.3">
      <c r="A31" s="523"/>
      <c r="B31" s="512"/>
      <c r="C31" s="543" t="s">
        <v>1119</v>
      </c>
      <c r="D31" s="544"/>
      <c r="E31" s="545"/>
      <c r="F31" s="485">
        <f>F30+F26+F23</f>
        <v>246295700</v>
      </c>
      <c r="G31" s="487" t="s">
        <v>1120</v>
      </c>
      <c r="H31" s="488">
        <v>7383</v>
      </c>
      <c r="I31" s="489">
        <v>18000</v>
      </c>
      <c r="J31" s="464"/>
      <c r="K31" s="490">
        <f>H31/H33</f>
        <v>0.52754555198285102</v>
      </c>
      <c r="L31" s="464"/>
      <c r="M31" s="464"/>
      <c r="N31" s="464"/>
      <c r="O31" s="464"/>
      <c r="P31" s="464"/>
      <c r="Q31" s="464"/>
      <c r="R31" s="464"/>
      <c r="S31" s="464"/>
      <c r="T31" s="464"/>
      <c r="U31" s="464"/>
      <c r="V31" s="464"/>
      <c r="W31" s="464"/>
    </row>
    <row r="32" spans="1:23" ht="15.75" customHeight="1" x14ac:dyDescent="0.35">
      <c r="A32" s="546" t="s">
        <v>1121</v>
      </c>
      <c r="B32" s="531"/>
      <c r="C32" s="531"/>
      <c r="D32" s="531"/>
      <c r="E32" s="531"/>
      <c r="F32" s="532"/>
      <c r="G32" s="487" t="s">
        <v>1122</v>
      </c>
      <c r="H32" s="488">
        <v>6612</v>
      </c>
      <c r="I32" s="489">
        <v>12000</v>
      </c>
      <c r="J32" s="464"/>
      <c r="K32" s="490">
        <f>H32/H33</f>
        <v>0.47245444801714898</v>
      </c>
      <c r="L32" s="464"/>
      <c r="M32" s="464"/>
      <c r="N32" s="464"/>
      <c r="O32" s="464"/>
      <c r="P32" s="464"/>
      <c r="Q32" s="464"/>
      <c r="R32" s="464"/>
      <c r="S32" s="464"/>
      <c r="T32" s="464"/>
      <c r="U32" s="464"/>
      <c r="V32" s="464"/>
      <c r="W32" s="464"/>
    </row>
    <row r="33" spans="1:23" ht="15.75" customHeight="1" x14ac:dyDescent="0.3">
      <c r="A33" s="491" t="s">
        <v>1123</v>
      </c>
      <c r="B33" s="528" t="s">
        <v>1124</v>
      </c>
      <c r="C33" s="512"/>
      <c r="D33" s="468" t="s">
        <v>1125</v>
      </c>
      <c r="E33" s="468" t="s">
        <v>1126</v>
      </c>
      <c r="F33" s="468" t="s">
        <v>1127</v>
      </c>
      <c r="G33" s="487" t="s">
        <v>1128</v>
      </c>
      <c r="H33" s="489">
        <f>H31+H32</f>
        <v>13995</v>
      </c>
      <c r="I33" s="489"/>
      <c r="J33" s="464"/>
      <c r="K33" s="464"/>
      <c r="L33" s="464"/>
      <c r="M33" s="464"/>
      <c r="N33" s="464"/>
      <c r="O33" s="464"/>
      <c r="P33" s="464"/>
      <c r="Q33" s="464"/>
      <c r="R33" s="464"/>
      <c r="S33" s="464"/>
      <c r="T33" s="464"/>
      <c r="U33" s="464"/>
      <c r="V33" s="464"/>
      <c r="W33" s="464"/>
    </row>
    <row r="34" spans="1:23" ht="15.75" customHeight="1" x14ac:dyDescent="0.3">
      <c r="A34" s="472">
        <v>1</v>
      </c>
      <c r="B34" s="511" t="s">
        <v>1129</v>
      </c>
      <c r="C34" s="512"/>
      <c r="D34" s="492">
        <v>0.1</v>
      </c>
      <c r="E34" s="493">
        <f t="shared" ref="E34:E38" si="18">D34*$F$18</f>
        <v>22595000</v>
      </c>
      <c r="F34" s="493">
        <f t="shared" ref="F34:F38" si="19">E34*12%</f>
        <v>2711400</v>
      </c>
      <c r="G34" s="464"/>
      <c r="H34" s="464"/>
      <c r="I34" s="464"/>
      <c r="J34" s="464"/>
      <c r="K34" s="464"/>
      <c r="L34" s="464"/>
      <c r="M34" s="464"/>
      <c r="N34" s="464"/>
      <c r="O34" s="464"/>
      <c r="P34" s="464"/>
      <c r="Q34" s="464"/>
      <c r="R34" s="464"/>
      <c r="S34" s="464"/>
      <c r="T34" s="464"/>
      <c r="U34" s="464"/>
      <c r="V34" s="464"/>
      <c r="W34" s="464"/>
    </row>
    <row r="35" spans="1:23" ht="15.75" customHeight="1" x14ac:dyDescent="0.3">
      <c r="A35" s="472">
        <v>2</v>
      </c>
      <c r="B35" s="511" t="s">
        <v>1130</v>
      </c>
      <c r="C35" s="512"/>
      <c r="D35" s="492">
        <v>0.2</v>
      </c>
      <c r="E35" s="493">
        <f t="shared" si="18"/>
        <v>45190000</v>
      </c>
      <c r="F35" s="493">
        <f t="shared" si="19"/>
        <v>5422800</v>
      </c>
      <c r="G35" s="464"/>
      <c r="H35" s="464"/>
      <c r="I35" s="464"/>
      <c r="J35" s="464"/>
      <c r="K35" s="464"/>
      <c r="L35" s="464"/>
      <c r="M35" s="464"/>
      <c r="N35" s="464"/>
      <c r="O35" s="464"/>
      <c r="P35" s="464"/>
      <c r="Q35" s="464"/>
      <c r="R35" s="464"/>
      <c r="S35" s="464"/>
      <c r="T35" s="464"/>
      <c r="U35" s="464"/>
      <c r="V35" s="464"/>
      <c r="W35" s="464"/>
    </row>
    <row r="36" spans="1:23" ht="15.75" customHeight="1" x14ac:dyDescent="0.3">
      <c r="A36" s="472">
        <v>3</v>
      </c>
      <c r="B36" s="511" t="s">
        <v>1131</v>
      </c>
      <c r="C36" s="512"/>
      <c r="D36" s="492">
        <v>0.15</v>
      </c>
      <c r="E36" s="493">
        <f t="shared" si="18"/>
        <v>33892500</v>
      </c>
      <c r="F36" s="493">
        <f t="shared" si="19"/>
        <v>4067100</v>
      </c>
      <c r="G36" s="464"/>
      <c r="H36" s="464"/>
      <c r="I36" s="464"/>
      <c r="J36" s="464"/>
      <c r="K36" s="464"/>
      <c r="L36" s="464"/>
      <c r="M36" s="464"/>
      <c r="N36" s="464"/>
      <c r="O36" s="464"/>
      <c r="P36" s="464"/>
      <c r="Q36" s="464"/>
      <c r="R36" s="464"/>
      <c r="S36" s="464"/>
      <c r="T36" s="464"/>
      <c r="U36" s="464"/>
      <c r="V36" s="464"/>
      <c r="W36" s="464"/>
    </row>
    <row r="37" spans="1:23" ht="15.75" customHeight="1" x14ac:dyDescent="0.3">
      <c r="A37" s="472">
        <v>4</v>
      </c>
      <c r="B37" s="511" t="s">
        <v>1132</v>
      </c>
      <c r="C37" s="512"/>
      <c r="D37" s="492">
        <v>0.15</v>
      </c>
      <c r="E37" s="493">
        <f t="shared" si="18"/>
        <v>33892500</v>
      </c>
      <c r="F37" s="493">
        <f t="shared" si="19"/>
        <v>4067100</v>
      </c>
      <c r="G37" s="464"/>
      <c r="H37" s="464"/>
      <c r="I37" s="464"/>
      <c r="J37" s="464"/>
      <c r="K37" s="464"/>
      <c r="L37" s="464"/>
      <c r="M37" s="464"/>
      <c r="N37" s="464"/>
      <c r="O37" s="464"/>
      <c r="P37" s="464"/>
      <c r="Q37" s="464"/>
      <c r="R37" s="464"/>
      <c r="S37" s="464"/>
      <c r="T37" s="464"/>
      <c r="U37" s="464"/>
      <c r="V37" s="464"/>
      <c r="W37" s="464"/>
    </row>
    <row r="38" spans="1:23" ht="15.75" customHeight="1" x14ac:dyDescent="0.3">
      <c r="A38" s="472">
        <v>5</v>
      </c>
      <c r="B38" s="511" t="s">
        <v>1133</v>
      </c>
      <c r="C38" s="512"/>
      <c r="D38" s="492">
        <v>0.1</v>
      </c>
      <c r="E38" s="493">
        <f t="shared" si="18"/>
        <v>22595000</v>
      </c>
      <c r="F38" s="493">
        <f t="shared" si="19"/>
        <v>2711400</v>
      </c>
      <c r="G38" s="464"/>
      <c r="H38" s="464"/>
      <c r="I38" s="464"/>
      <c r="J38" s="464"/>
      <c r="K38" s="464"/>
      <c r="L38" s="464"/>
      <c r="M38" s="464"/>
      <c r="N38" s="464"/>
      <c r="O38" s="464"/>
      <c r="P38" s="464"/>
      <c r="Q38" s="464"/>
      <c r="R38" s="464"/>
      <c r="S38" s="464"/>
      <c r="T38" s="464"/>
      <c r="U38" s="464"/>
      <c r="V38" s="464"/>
      <c r="W38" s="464"/>
    </row>
    <row r="39" spans="1:23" ht="15.75" customHeight="1" x14ac:dyDescent="0.3">
      <c r="A39" s="472"/>
      <c r="B39" s="511"/>
      <c r="C39" s="512"/>
      <c r="D39" s="492"/>
      <c r="E39" s="494"/>
      <c r="F39" s="494"/>
      <c r="G39" s="464"/>
      <c r="H39" s="464"/>
      <c r="I39" s="464"/>
      <c r="J39" s="464"/>
      <c r="K39" s="464"/>
      <c r="L39" s="464"/>
      <c r="M39" s="464"/>
      <c r="N39" s="464"/>
      <c r="O39" s="464"/>
      <c r="P39" s="464"/>
      <c r="Q39" s="464"/>
      <c r="R39" s="464"/>
      <c r="S39" s="464"/>
      <c r="T39" s="464"/>
      <c r="U39" s="464"/>
      <c r="V39" s="464"/>
      <c r="W39" s="464"/>
    </row>
    <row r="40" spans="1:23" ht="15.75" customHeight="1" x14ac:dyDescent="0.3">
      <c r="A40" s="472">
        <f>A38+1</f>
        <v>6</v>
      </c>
      <c r="B40" s="511" t="s">
        <v>1134</v>
      </c>
      <c r="C40" s="512"/>
      <c r="D40" s="492">
        <v>0.05</v>
      </c>
      <c r="E40" s="493">
        <f t="shared" ref="E40:E44" si="20">D40*$F$18</f>
        <v>11297500</v>
      </c>
      <c r="F40" s="493">
        <f t="shared" ref="F40:F45" si="21">E40*12%</f>
        <v>1355700</v>
      </c>
      <c r="G40" s="464"/>
      <c r="H40" s="464"/>
      <c r="I40" s="464"/>
      <c r="J40" s="464"/>
      <c r="K40" s="464"/>
      <c r="L40" s="464"/>
      <c r="M40" s="464"/>
      <c r="N40" s="464"/>
      <c r="O40" s="464"/>
      <c r="P40" s="464"/>
      <c r="Q40" s="464"/>
      <c r="R40" s="464"/>
      <c r="S40" s="464"/>
      <c r="T40" s="464"/>
      <c r="U40" s="464"/>
      <c r="V40" s="464"/>
      <c r="W40" s="464"/>
    </row>
    <row r="41" spans="1:23" ht="15.75" customHeight="1" x14ac:dyDescent="0.3">
      <c r="A41" s="472">
        <f t="shared" ref="A41:A45" si="22">A40+1</f>
        <v>7</v>
      </c>
      <c r="B41" s="511" t="s">
        <v>1135</v>
      </c>
      <c r="C41" s="512"/>
      <c r="D41" s="492">
        <v>0.05</v>
      </c>
      <c r="E41" s="493">
        <f t="shared" si="20"/>
        <v>11297500</v>
      </c>
      <c r="F41" s="493">
        <f t="shared" si="21"/>
        <v>1355700</v>
      </c>
      <c r="G41" s="464"/>
      <c r="H41" s="464"/>
      <c r="I41" s="464"/>
      <c r="J41" s="464"/>
      <c r="K41" s="464"/>
      <c r="L41" s="464"/>
      <c r="M41" s="464"/>
      <c r="N41" s="464"/>
      <c r="O41" s="464"/>
      <c r="P41" s="464"/>
      <c r="Q41" s="464"/>
      <c r="R41" s="464"/>
      <c r="S41" s="464"/>
      <c r="T41" s="464"/>
      <c r="U41" s="464"/>
      <c r="V41" s="464"/>
      <c r="W41" s="464"/>
    </row>
    <row r="42" spans="1:23" ht="15.75" customHeight="1" x14ac:dyDescent="0.3">
      <c r="A42" s="472">
        <f t="shared" si="22"/>
        <v>8</v>
      </c>
      <c r="B42" s="511" t="s">
        <v>1136</v>
      </c>
      <c r="C42" s="512"/>
      <c r="D42" s="492">
        <v>0.05</v>
      </c>
      <c r="E42" s="493">
        <f t="shared" si="20"/>
        <v>11297500</v>
      </c>
      <c r="F42" s="493">
        <f t="shared" si="21"/>
        <v>1355700</v>
      </c>
      <c r="G42" s="464"/>
      <c r="H42" s="464"/>
      <c r="I42" s="464"/>
      <c r="J42" s="464"/>
      <c r="K42" s="464"/>
      <c r="L42" s="464"/>
      <c r="M42" s="464"/>
      <c r="N42" s="464"/>
      <c r="O42" s="464"/>
      <c r="P42" s="464"/>
      <c r="Q42" s="464"/>
      <c r="R42" s="464"/>
      <c r="S42" s="464"/>
      <c r="T42" s="464"/>
      <c r="U42" s="464"/>
      <c r="V42" s="464"/>
      <c r="W42" s="464"/>
    </row>
    <row r="43" spans="1:23" ht="15.75" customHeight="1" x14ac:dyDescent="0.3">
      <c r="A43" s="472">
        <f t="shared" si="22"/>
        <v>9</v>
      </c>
      <c r="B43" s="511" t="s">
        <v>1137</v>
      </c>
      <c r="C43" s="512"/>
      <c r="D43" s="492">
        <v>0.1</v>
      </c>
      <c r="E43" s="493">
        <f t="shared" si="20"/>
        <v>22595000</v>
      </c>
      <c r="F43" s="493">
        <f t="shared" si="21"/>
        <v>2711400</v>
      </c>
      <c r="G43" s="464"/>
      <c r="H43" s="464"/>
      <c r="I43" s="464"/>
      <c r="J43" s="464"/>
      <c r="K43" s="464"/>
      <c r="L43" s="464"/>
      <c r="M43" s="464"/>
      <c r="N43" s="464"/>
      <c r="O43" s="464"/>
      <c r="P43" s="464"/>
      <c r="Q43" s="464"/>
      <c r="R43" s="464"/>
      <c r="S43" s="464"/>
      <c r="T43" s="464"/>
      <c r="U43" s="464"/>
      <c r="V43" s="464"/>
      <c r="W43" s="464"/>
    </row>
    <row r="44" spans="1:23" ht="15.75" customHeight="1" x14ac:dyDescent="0.3">
      <c r="A44" s="472">
        <f t="shared" si="22"/>
        <v>10</v>
      </c>
      <c r="B44" s="511" t="s">
        <v>1138</v>
      </c>
      <c r="C44" s="512"/>
      <c r="D44" s="492">
        <v>0.05</v>
      </c>
      <c r="E44" s="493">
        <f t="shared" si="20"/>
        <v>11297500</v>
      </c>
      <c r="F44" s="493">
        <f t="shared" si="21"/>
        <v>1355700</v>
      </c>
      <c r="G44" s="464"/>
      <c r="H44" s="464"/>
      <c r="I44" s="464"/>
      <c r="J44" s="464"/>
      <c r="K44" s="464"/>
      <c r="L44" s="464"/>
      <c r="M44" s="464"/>
      <c r="N44" s="464"/>
      <c r="O44" s="464"/>
      <c r="P44" s="464"/>
      <c r="Q44" s="464"/>
      <c r="R44" s="464"/>
      <c r="S44" s="464"/>
      <c r="T44" s="464"/>
      <c r="U44" s="464"/>
      <c r="V44" s="464"/>
      <c r="W44" s="464"/>
    </row>
    <row r="45" spans="1:23" ht="15.75" customHeight="1" x14ac:dyDescent="0.3">
      <c r="A45" s="472">
        <f t="shared" si="22"/>
        <v>11</v>
      </c>
      <c r="B45" s="511" t="s">
        <v>1139</v>
      </c>
      <c r="C45" s="512"/>
      <c r="D45" s="495"/>
      <c r="E45" s="493">
        <f>F19+F20+F21</f>
        <v>6644700</v>
      </c>
      <c r="F45" s="493">
        <f t="shared" si="21"/>
        <v>797364</v>
      </c>
      <c r="G45" s="464"/>
      <c r="H45" s="464"/>
      <c r="I45" s="464"/>
      <c r="J45" s="464"/>
      <c r="K45" s="464"/>
      <c r="L45" s="464"/>
      <c r="M45" s="464"/>
      <c r="N45" s="464"/>
      <c r="O45" s="464"/>
      <c r="P45" s="464"/>
      <c r="Q45" s="464"/>
      <c r="R45" s="464"/>
      <c r="S45" s="464"/>
      <c r="T45" s="464"/>
      <c r="U45" s="464"/>
      <c r="V45" s="464"/>
      <c r="W45" s="464"/>
    </row>
    <row r="46" spans="1:23" ht="15.75" customHeight="1" x14ac:dyDescent="0.3">
      <c r="A46" s="513" t="s">
        <v>1140</v>
      </c>
      <c r="B46" s="514"/>
      <c r="C46" s="514"/>
      <c r="D46" s="515"/>
      <c r="E46" s="485">
        <f t="shared" ref="E46:F46" si="23">SUM(E34:E45)</f>
        <v>232594700</v>
      </c>
      <c r="F46" s="485">
        <f t="shared" si="23"/>
        <v>27911364</v>
      </c>
      <c r="G46" s="496">
        <f>F46+E46</f>
        <v>260506064</v>
      </c>
      <c r="H46" s="464"/>
      <c r="I46" s="464"/>
      <c r="J46" s="464"/>
      <c r="K46" s="464"/>
      <c r="L46" s="464"/>
      <c r="M46" s="464"/>
      <c r="N46" s="464"/>
      <c r="O46" s="464"/>
      <c r="P46" s="464"/>
      <c r="Q46" s="464"/>
      <c r="R46" s="464"/>
      <c r="S46" s="464"/>
      <c r="T46" s="464"/>
      <c r="U46" s="464"/>
      <c r="V46" s="464"/>
      <c r="W46" s="464"/>
    </row>
    <row r="47" spans="1:23" ht="15.75" customHeight="1" x14ac:dyDescent="0.3">
      <c r="A47" s="516" t="s">
        <v>1141</v>
      </c>
      <c r="B47" s="512"/>
      <c r="C47" s="512"/>
      <c r="D47" s="512"/>
      <c r="E47" s="512"/>
      <c r="F47" s="512"/>
      <c r="G47" s="496">
        <f>F27+F28+F29</f>
        <v>13701000</v>
      </c>
      <c r="H47" s="464"/>
      <c r="I47" s="464"/>
      <c r="J47" s="464"/>
      <c r="K47" s="464"/>
      <c r="L47" s="464"/>
      <c r="M47" s="464"/>
      <c r="N47" s="464"/>
      <c r="O47" s="464"/>
      <c r="P47" s="464"/>
      <c r="Q47" s="464"/>
      <c r="R47" s="464"/>
      <c r="S47" s="464"/>
      <c r="T47" s="464"/>
      <c r="U47" s="464"/>
      <c r="V47" s="464"/>
      <c r="W47" s="464"/>
    </row>
    <row r="48" spans="1:23" ht="15.75" customHeight="1" x14ac:dyDescent="0.3">
      <c r="A48" s="517" t="s">
        <v>1142</v>
      </c>
      <c r="B48" s="512"/>
      <c r="C48" s="512"/>
      <c r="D48" s="512"/>
      <c r="E48" s="512"/>
      <c r="F48" s="512"/>
      <c r="G48" s="464"/>
      <c r="H48" s="464"/>
      <c r="I48" s="464"/>
      <c r="J48" s="464"/>
      <c r="K48" s="464"/>
      <c r="L48" s="464"/>
      <c r="M48" s="464"/>
      <c r="N48" s="464"/>
      <c r="O48" s="464"/>
      <c r="P48" s="464"/>
      <c r="Q48" s="464"/>
      <c r="R48" s="464"/>
      <c r="S48" s="464"/>
      <c r="T48" s="464"/>
      <c r="U48" s="464"/>
      <c r="V48" s="464"/>
      <c r="W48" s="464"/>
    </row>
    <row r="49" spans="1:23" ht="15.75" customHeight="1" x14ac:dyDescent="0.3">
      <c r="A49" s="517" t="s">
        <v>1143</v>
      </c>
      <c r="B49" s="512"/>
      <c r="C49" s="512"/>
      <c r="D49" s="512"/>
      <c r="E49" s="512"/>
      <c r="F49" s="512"/>
      <c r="G49" s="464"/>
      <c r="H49" s="464"/>
      <c r="I49" s="464"/>
      <c r="J49" s="464"/>
      <c r="K49" s="464"/>
      <c r="L49" s="464"/>
      <c r="M49" s="464"/>
      <c r="N49" s="464"/>
      <c r="O49" s="464"/>
      <c r="P49" s="464"/>
      <c r="Q49" s="464"/>
      <c r="R49" s="464"/>
      <c r="S49" s="464"/>
      <c r="T49" s="464"/>
      <c r="U49" s="464"/>
      <c r="V49" s="464"/>
      <c r="W49" s="464"/>
    </row>
    <row r="50" spans="1:23" ht="15.75" customHeight="1" x14ac:dyDescent="0.3">
      <c r="A50" s="517" t="s">
        <v>1144</v>
      </c>
      <c r="B50" s="512"/>
      <c r="C50" s="512"/>
      <c r="D50" s="512"/>
      <c r="E50" s="512"/>
      <c r="F50" s="512"/>
      <c r="G50" s="464"/>
      <c r="H50" s="464"/>
      <c r="I50" s="464"/>
      <c r="J50" s="464"/>
      <c r="K50" s="464"/>
      <c r="L50" s="464"/>
      <c r="M50" s="464"/>
      <c r="N50" s="464"/>
      <c r="O50" s="464"/>
      <c r="P50" s="464"/>
      <c r="Q50" s="464"/>
      <c r="R50" s="464"/>
      <c r="S50" s="464"/>
      <c r="T50" s="464"/>
      <c r="U50" s="464"/>
      <c r="V50" s="464"/>
      <c r="W50" s="464"/>
    </row>
    <row r="51" spans="1:23" ht="15.75" customHeight="1" x14ac:dyDescent="0.3">
      <c r="A51" s="517" t="s">
        <v>1145</v>
      </c>
      <c r="B51" s="512"/>
      <c r="C51" s="512"/>
      <c r="D51" s="512"/>
      <c r="E51" s="512"/>
      <c r="F51" s="512"/>
      <c r="G51" s="464"/>
      <c r="H51" s="464"/>
      <c r="I51" s="464"/>
      <c r="J51" s="464"/>
      <c r="K51" s="464"/>
      <c r="L51" s="464"/>
      <c r="M51" s="464"/>
      <c r="N51" s="464"/>
      <c r="O51" s="464"/>
      <c r="P51" s="464"/>
      <c r="Q51" s="464"/>
      <c r="R51" s="464"/>
      <c r="S51" s="464"/>
      <c r="T51" s="464"/>
      <c r="U51" s="464"/>
      <c r="V51" s="464"/>
      <c r="W51" s="464"/>
    </row>
    <row r="52" spans="1:23" ht="15.75" customHeight="1" x14ac:dyDescent="0.3">
      <c r="A52" s="517" t="s">
        <v>1146</v>
      </c>
      <c r="B52" s="512"/>
      <c r="C52" s="512"/>
      <c r="D52" s="512"/>
      <c r="E52" s="512"/>
      <c r="F52" s="512"/>
      <c r="G52" s="464"/>
      <c r="H52" s="464"/>
      <c r="I52" s="464"/>
      <c r="J52" s="464"/>
      <c r="K52" s="464"/>
      <c r="L52" s="464"/>
      <c r="M52" s="464"/>
      <c r="N52" s="464"/>
      <c r="O52" s="464"/>
      <c r="P52" s="464"/>
      <c r="Q52" s="464"/>
      <c r="R52" s="464"/>
      <c r="S52" s="464"/>
      <c r="T52" s="464"/>
      <c r="U52" s="464"/>
      <c r="V52" s="464"/>
      <c r="W52" s="464"/>
    </row>
    <row r="53" spans="1:23" ht="15.75" customHeight="1" x14ac:dyDescent="0.3">
      <c r="A53" s="517" t="s">
        <v>1147</v>
      </c>
      <c r="B53" s="512"/>
      <c r="C53" s="512"/>
      <c r="D53" s="512"/>
      <c r="E53" s="512"/>
      <c r="F53" s="512"/>
      <c r="G53" s="464"/>
      <c r="H53" s="464"/>
      <c r="I53" s="464"/>
      <c r="J53" s="464"/>
      <c r="K53" s="464"/>
      <c r="L53" s="464"/>
      <c r="M53" s="464"/>
      <c r="N53" s="464"/>
      <c r="O53" s="464"/>
      <c r="P53" s="464"/>
      <c r="Q53" s="464"/>
      <c r="R53" s="464"/>
      <c r="S53" s="464"/>
      <c r="T53" s="464"/>
      <c r="U53" s="464"/>
      <c r="V53" s="464"/>
      <c r="W53" s="464"/>
    </row>
    <row r="54" spans="1:23" ht="15.75" customHeight="1" x14ac:dyDescent="0.3">
      <c r="A54" s="517" t="s">
        <v>1148</v>
      </c>
      <c r="B54" s="512"/>
      <c r="C54" s="512"/>
      <c r="D54" s="512"/>
      <c r="E54" s="512"/>
      <c r="F54" s="512"/>
      <c r="G54" s="464"/>
      <c r="H54" s="464"/>
      <c r="I54" s="464"/>
      <c r="J54" s="464"/>
      <c r="K54" s="464"/>
      <c r="L54" s="464"/>
      <c r="M54" s="464"/>
      <c r="N54" s="464"/>
      <c r="O54" s="464"/>
      <c r="P54" s="464"/>
      <c r="Q54" s="464"/>
      <c r="R54" s="464"/>
      <c r="S54" s="464"/>
      <c r="T54" s="464"/>
      <c r="U54" s="464"/>
      <c r="V54" s="464"/>
      <c r="W54" s="464"/>
    </row>
    <row r="55" spans="1:23" ht="15.75" customHeight="1" x14ac:dyDescent="0.3">
      <c r="A55" s="517" t="s">
        <v>1149</v>
      </c>
      <c r="B55" s="512"/>
      <c r="C55" s="512"/>
      <c r="D55" s="512"/>
      <c r="E55" s="512"/>
      <c r="F55" s="512"/>
      <c r="G55" s="464"/>
      <c r="H55" s="464"/>
      <c r="I55" s="464"/>
      <c r="J55" s="464"/>
      <c r="K55" s="464"/>
      <c r="L55" s="464"/>
      <c r="M55" s="464"/>
      <c r="N55" s="464"/>
      <c r="O55" s="464"/>
      <c r="P55" s="464"/>
      <c r="Q55" s="464"/>
      <c r="R55" s="464"/>
      <c r="S55" s="464"/>
      <c r="T55" s="464"/>
      <c r="U55" s="464"/>
      <c r="V55" s="464"/>
      <c r="W55" s="464"/>
    </row>
    <row r="56" spans="1:23" ht="15.75" customHeight="1" x14ac:dyDescent="0.3">
      <c r="A56" s="517" t="s">
        <v>1150</v>
      </c>
      <c r="B56" s="512"/>
      <c r="C56" s="512"/>
      <c r="D56" s="512"/>
      <c r="E56" s="512"/>
      <c r="F56" s="512"/>
      <c r="G56" s="464"/>
      <c r="H56" s="464"/>
      <c r="I56" s="464"/>
      <c r="J56" s="464"/>
      <c r="K56" s="464"/>
      <c r="L56" s="464"/>
      <c r="M56" s="464"/>
      <c r="N56" s="464"/>
      <c r="O56" s="464"/>
      <c r="P56" s="464"/>
      <c r="Q56" s="464"/>
      <c r="R56" s="464"/>
      <c r="S56" s="464"/>
      <c r="T56" s="464"/>
      <c r="U56" s="464"/>
      <c r="V56" s="464"/>
      <c r="W56" s="464"/>
    </row>
    <row r="57" spans="1:23" ht="15.75" customHeight="1" x14ac:dyDescent="0.3">
      <c r="A57" s="517" t="s">
        <v>1151</v>
      </c>
      <c r="B57" s="512"/>
      <c r="C57" s="512"/>
      <c r="D57" s="512"/>
      <c r="E57" s="512"/>
      <c r="F57" s="512"/>
      <c r="G57" s="464"/>
      <c r="H57" s="464"/>
      <c r="I57" s="464"/>
      <c r="J57" s="464"/>
      <c r="K57" s="464"/>
      <c r="L57" s="464"/>
      <c r="M57" s="464"/>
      <c r="N57" s="464"/>
      <c r="O57" s="464"/>
      <c r="P57" s="464"/>
      <c r="Q57" s="464"/>
      <c r="R57" s="464"/>
      <c r="S57" s="464"/>
      <c r="T57" s="464"/>
      <c r="U57" s="464"/>
      <c r="V57" s="464"/>
      <c r="W57" s="464"/>
    </row>
    <row r="58" spans="1:23" ht="15.75" customHeight="1" x14ac:dyDescent="0.3">
      <c r="A58" s="517" t="s">
        <v>1152</v>
      </c>
      <c r="B58" s="512"/>
      <c r="C58" s="512"/>
      <c r="D58" s="512"/>
      <c r="E58" s="512"/>
      <c r="F58" s="512"/>
      <c r="G58" s="464"/>
      <c r="H58" s="464"/>
      <c r="I58" s="464"/>
      <c r="J58" s="464"/>
      <c r="K58" s="464"/>
      <c r="L58" s="464"/>
      <c r="M58" s="464"/>
      <c r="N58" s="464"/>
      <c r="O58" s="464"/>
      <c r="P58" s="464"/>
      <c r="Q58" s="464"/>
      <c r="R58" s="464"/>
      <c r="S58" s="464"/>
      <c r="T58" s="464"/>
      <c r="U58" s="464"/>
      <c r="V58" s="464"/>
      <c r="W58" s="464"/>
    </row>
    <row r="59" spans="1:23" ht="15.75" customHeight="1" x14ac:dyDescent="0.3">
      <c r="A59" s="517" t="s">
        <v>1153</v>
      </c>
      <c r="B59" s="512"/>
      <c r="C59" s="512"/>
      <c r="D59" s="512"/>
      <c r="E59" s="512"/>
      <c r="F59" s="512"/>
      <c r="G59" s="464"/>
      <c r="H59" s="464"/>
      <c r="I59" s="464"/>
      <c r="J59" s="464"/>
      <c r="K59" s="464"/>
      <c r="L59" s="464"/>
      <c r="M59" s="464"/>
      <c r="N59" s="464"/>
      <c r="O59" s="464"/>
      <c r="P59" s="464"/>
      <c r="Q59" s="464"/>
      <c r="R59" s="464"/>
      <c r="S59" s="464"/>
      <c r="T59" s="464"/>
      <c r="U59" s="464"/>
      <c r="V59" s="464"/>
      <c r="W59" s="464"/>
    </row>
    <row r="60" spans="1:23" ht="15.75" customHeight="1" x14ac:dyDescent="0.25">
      <c r="A60" s="464"/>
      <c r="B60" s="464"/>
      <c r="C60" s="464"/>
      <c r="D60" s="465"/>
      <c r="E60" s="465"/>
      <c r="F60" s="465"/>
      <c r="G60" s="464"/>
      <c r="H60" s="464"/>
      <c r="I60" s="464"/>
      <c r="J60" s="464"/>
      <c r="K60" s="464"/>
      <c r="L60" s="464"/>
      <c r="M60" s="464"/>
      <c r="N60" s="464"/>
      <c r="O60" s="464"/>
      <c r="P60" s="464"/>
      <c r="Q60" s="464"/>
      <c r="R60" s="464"/>
      <c r="S60" s="464"/>
      <c r="T60" s="464"/>
      <c r="U60" s="464"/>
      <c r="V60" s="464"/>
      <c r="W60" s="464"/>
    </row>
    <row r="61" spans="1:23" ht="15.75" customHeight="1" x14ac:dyDescent="0.25">
      <c r="A61" s="464"/>
      <c r="B61" s="464"/>
      <c r="C61" s="464"/>
      <c r="D61" s="465"/>
      <c r="E61" s="465"/>
      <c r="F61" s="465"/>
      <c r="G61" s="464"/>
      <c r="H61" s="464"/>
      <c r="I61" s="464"/>
      <c r="J61" s="464"/>
      <c r="K61" s="464"/>
      <c r="L61" s="464"/>
      <c r="M61" s="464"/>
      <c r="N61" s="464"/>
      <c r="O61" s="464"/>
      <c r="P61" s="464"/>
      <c r="Q61" s="464"/>
      <c r="R61" s="464"/>
      <c r="S61" s="464"/>
      <c r="T61" s="464"/>
      <c r="U61" s="464"/>
      <c r="V61" s="464"/>
      <c r="W61" s="464"/>
    </row>
    <row r="62" spans="1:23" ht="15.75" customHeight="1" x14ac:dyDescent="0.25">
      <c r="A62" s="464"/>
      <c r="B62" s="464"/>
      <c r="C62" s="464"/>
      <c r="D62" s="465"/>
      <c r="E62" s="465"/>
      <c r="F62" s="465"/>
      <c r="G62" s="464"/>
      <c r="H62" s="464"/>
      <c r="I62" s="464"/>
      <c r="J62" s="464"/>
      <c r="K62" s="464"/>
      <c r="L62" s="464"/>
      <c r="M62" s="464"/>
      <c r="N62" s="464"/>
      <c r="O62" s="464"/>
      <c r="P62" s="464"/>
      <c r="Q62" s="464"/>
      <c r="R62" s="464"/>
      <c r="S62" s="464"/>
      <c r="T62" s="464"/>
      <c r="U62" s="464"/>
      <c r="V62" s="464"/>
      <c r="W62" s="464"/>
    </row>
    <row r="63" spans="1:23" ht="15.75" customHeight="1" x14ac:dyDescent="0.25">
      <c r="A63" s="464"/>
      <c r="B63" s="464"/>
      <c r="C63" s="464"/>
      <c r="D63" s="465"/>
      <c r="E63" s="465"/>
      <c r="F63" s="465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</row>
    <row r="64" spans="1:23" ht="15.75" customHeight="1" x14ac:dyDescent="0.25">
      <c r="A64" s="464"/>
      <c r="B64" s="464"/>
      <c r="C64" s="464"/>
      <c r="D64" s="465"/>
      <c r="E64" s="465"/>
      <c r="F64" s="465"/>
      <c r="G64" s="464"/>
      <c r="H64" s="464"/>
      <c r="I64" s="464"/>
      <c r="J64" s="464"/>
      <c r="K64" s="464"/>
      <c r="L64" s="464"/>
      <c r="M64" s="464"/>
      <c r="N64" s="464"/>
      <c r="O64" s="464"/>
      <c r="P64" s="464"/>
      <c r="Q64" s="464"/>
      <c r="R64" s="464"/>
      <c r="S64" s="464"/>
      <c r="T64" s="464"/>
      <c r="U64" s="464"/>
      <c r="V64" s="464"/>
      <c r="W64" s="464"/>
    </row>
    <row r="65" spans="1:23" ht="15.75" customHeight="1" x14ac:dyDescent="0.25">
      <c r="A65" s="464"/>
      <c r="B65" s="464"/>
      <c r="C65" s="464"/>
      <c r="D65" s="465"/>
      <c r="E65" s="465"/>
      <c r="F65" s="465"/>
      <c r="G65" s="464"/>
      <c r="H65" s="464"/>
      <c r="I65" s="464"/>
      <c r="J65" s="464"/>
      <c r="K65" s="464"/>
      <c r="L65" s="464"/>
      <c r="M65" s="464"/>
      <c r="N65" s="464"/>
      <c r="O65" s="464"/>
      <c r="P65" s="464"/>
      <c r="Q65" s="464"/>
      <c r="R65" s="464"/>
      <c r="S65" s="464"/>
      <c r="T65" s="464"/>
      <c r="U65" s="464"/>
      <c r="V65" s="464"/>
      <c r="W65" s="464"/>
    </row>
    <row r="66" spans="1:23" ht="15.75" customHeight="1" x14ac:dyDescent="0.25">
      <c r="A66" s="464"/>
      <c r="B66" s="464"/>
      <c r="C66" s="464"/>
      <c r="D66" s="465"/>
      <c r="E66" s="465"/>
      <c r="F66" s="465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</row>
    <row r="67" spans="1:23" ht="15.75" customHeight="1" x14ac:dyDescent="0.25">
      <c r="A67" s="498"/>
      <c r="B67" s="498"/>
      <c r="C67" s="464"/>
      <c r="D67" s="498"/>
      <c r="E67" s="498"/>
      <c r="F67" s="498"/>
      <c r="G67" s="464"/>
      <c r="H67" s="464"/>
      <c r="I67" s="464"/>
      <c r="J67" s="464"/>
      <c r="K67" s="464"/>
      <c r="L67" s="464"/>
      <c r="M67" s="464"/>
      <c r="N67" s="464"/>
      <c r="O67" s="464"/>
      <c r="P67" s="464"/>
      <c r="Q67" s="464"/>
      <c r="R67" s="464"/>
      <c r="S67" s="464"/>
      <c r="T67" s="464"/>
      <c r="U67" s="464"/>
      <c r="V67" s="464"/>
      <c r="W67" s="464"/>
    </row>
    <row r="68" spans="1:23" ht="15.75" customHeight="1" x14ac:dyDescent="0.3">
      <c r="A68" s="518" t="s">
        <v>1154</v>
      </c>
      <c r="B68" s="512"/>
      <c r="C68" s="499"/>
      <c r="D68" s="519" t="s">
        <v>1155</v>
      </c>
      <c r="E68" s="512"/>
      <c r="F68" s="512"/>
      <c r="G68" s="464"/>
      <c r="H68" s="464"/>
      <c r="I68" s="464"/>
      <c r="J68" s="464"/>
      <c r="K68" s="464"/>
      <c r="L68" s="464"/>
      <c r="M68" s="464"/>
      <c r="N68" s="464"/>
      <c r="O68" s="464"/>
      <c r="P68" s="464"/>
      <c r="Q68" s="464"/>
      <c r="R68" s="464"/>
      <c r="S68" s="464"/>
      <c r="T68" s="464"/>
      <c r="U68" s="464"/>
      <c r="V68" s="464"/>
      <c r="W68" s="464"/>
    </row>
    <row r="69" spans="1:23" ht="15.75" customHeight="1" x14ac:dyDescent="0.3">
      <c r="A69" s="464"/>
      <c r="B69" s="464"/>
      <c r="C69" s="464"/>
      <c r="D69" s="497"/>
      <c r="E69" s="471"/>
      <c r="F69" s="471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</row>
    <row r="70" spans="1:23" ht="15.75" customHeight="1" x14ac:dyDescent="0.2">
      <c r="F70" s="500"/>
    </row>
    <row r="71" spans="1:23" ht="15.75" customHeight="1" x14ac:dyDescent="0.2">
      <c r="F71" s="500"/>
    </row>
    <row r="72" spans="1:23" ht="15.75" customHeight="1" x14ac:dyDescent="0.2">
      <c r="F72" s="500"/>
    </row>
    <row r="73" spans="1:23" ht="15.75" customHeight="1" x14ac:dyDescent="0.2">
      <c r="F73" s="500"/>
    </row>
    <row r="74" spans="1:23" ht="15.75" customHeight="1" x14ac:dyDescent="0.2">
      <c r="F74" s="500"/>
    </row>
    <row r="75" spans="1:23" ht="15.75" customHeight="1" x14ac:dyDescent="0.2">
      <c r="F75" s="500"/>
    </row>
    <row r="76" spans="1:23" ht="15.75" customHeight="1" x14ac:dyDescent="0.2">
      <c r="F76" s="500"/>
    </row>
    <row r="77" spans="1:23" ht="15.75" customHeight="1" x14ac:dyDescent="0.2">
      <c r="F77" s="500"/>
    </row>
    <row r="78" spans="1:23" ht="15.75" customHeight="1" x14ac:dyDescent="0.2">
      <c r="F78" s="500"/>
    </row>
    <row r="79" spans="1:23" ht="15.75" customHeight="1" x14ac:dyDescent="0.2">
      <c r="F79" s="500"/>
    </row>
    <row r="80" spans="1:23" ht="15.75" customHeight="1" x14ac:dyDescent="0.2">
      <c r="F80" s="500"/>
    </row>
    <row r="81" spans="6:6" ht="15.75" customHeight="1" x14ac:dyDescent="0.2">
      <c r="F81" s="500"/>
    </row>
    <row r="82" spans="6:6" ht="15.75" customHeight="1" x14ac:dyDescent="0.2">
      <c r="F82" s="500"/>
    </row>
    <row r="83" spans="6:6" ht="15.75" customHeight="1" x14ac:dyDescent="0.2">
      <c r="F83" s="500"/>
    </row>
    <row r="84" spans="6:6" ht="15.75" customHeight="1" x14ac:dyDescent="0.2">
      <c r="F84" s="500"/>
    </row>
    <row r="85" spans="6:6" ht="15.75" customHeight="1" x14ac:dyDescent="0.2">
      <c r="F85" s="500"/>
    </row>
    <row r="86" spans="6:6" ht="15.75" customHeight="1" x14ac:dyDescent="0.2">
      <c r="F86" s="500"/>
    </row>
    <row r="87" spans="6:6" ht="15.75" customHeight="1" x14ac:dyDescent="0.2">
      <c r="F87" s="500"/>
    </row>
    <row r="88" spans="6:6" ht="15.75" customHeight="1" x14ac:dyDescent="0.2">
      <c r="F88" s="500"/>
    </row>
    <row r="89" spans="6:6" ht="15.75" customHeight="1" x14ac:dyDescent="0.2">
      <c r="F89" s="500"/>
    </row>
    <row r="90" spans="6:6" ht="15.75" customHeight="1" x14ac:dyDescent="0.2">
      <c r="F90" s="500"/>
    </row>
    <row r="91" spans="6:6" ht="15.75" customHeight="1" x14ac:dyDescent="0.2">
      <c r="F91" s="500"/>
    </row>
    <row r="92" spans="6:6" ht="15.75" customHeight="1" x14ac:dyDescent="0.2">
      <c r="F92" s="500"/>
    </row>
    <row r="93" spans="6:6" ht="15.75" customHeight="1" x14ac:dyDescent="0.2">
      <c r="F93" s="500"/>
    </row>
    <row r="94" spans="6:6" ht="15.75" customHeight="1" x14ac:dyDescent="0.2">
      <c r="F94" s="500"/>
    </row>
    <row r="95" spans="6:6" ht="15.75" customHeight="1" x14ac:dyDescent="0.2">
      <c r="F95" s="500"/>
    </row>
    <row r="96" spans="6:6" ht="15.75" customHeight="1" x14ac:dyDescent="0.2">
      <c r="F96" s="500"/>
    </row>
    <row r="97" spans="6:6" ht="15.75" customHeight="1" x14ac:dyDescent="0.2">
      <c r="F97" s="500"/>
    </row>
    <row r="98" spans="6:6" ht="15.75" customHeight="1" x14ac:dyDescent="0.2">
      <c r="F98" s="500"/>
    </row>
    <row r="99" spans="6:6" ht="15.75" customHeight="1" x14ac:dyDescent="0.2">
      <c r="F99" s="500"/>
    </row>
    <row r="100" spans="6:6" ht="15.75" customHeight="1" x14ac:dyDescent="0.2">
      <c r="F100" s="500"/>
    </row>
    <row r="101" spans="6:6" ht="15.75" customHeight="1" x14ac:dyDescent="0.2">
      <c r="F101" s="500"/>
    </row>
    <row r="102" spans="6:6" ht="15.75" customHeight="1" x14ac:dyDescent="0.2">
      <c r="F102" s="500"/>
    </row>
    <row r="103" spans="6:6" ht="15.75" customHeight="1" x14ac:dyDescent="0.2">
      <c r="F103" s="500"/>
    </row>
    <row r="104" spans="6:6" ht="15.75" customHeight="1" x14ac:dyDescent="0.2">
      <c r="F104" s="500"/>
    </row>
    <row r="105" spans="6:6" ht="15.75" customHeight="1" x14ac:dyDescent="0.2">
      <c r="F105" s="500"/>
    </row>
    <row r="106" spans="6:6" ht="15.75" customHeight="1" x14ac:dyDescent="0.2">
      <c r="F106" s="500"/>
    </row>
    <row r="107" spans="6:6" ht="15.75" customHeight="1" x14ac:dyDescent="0.2">
      <c r="F107" s="500"/>
    </row>
    <row r="108" spans="6:6" ht="15.75" customHeight="1" x14ac:dyDescent="0.2">
      <c r="F108" s="500"/>
    </row>
    <row r="109" spans="6:6" ht="15.75" customHeight="1" x14ac:dyDescent="0.2">
      <c r="F109" s="500"/>
    </row>
    <row r="110" spans="6:6" ht="15.75" customHeight="1" x14ac:dyDescent="0.2">
      <c r="F110" s="500"/>
    </row>
    <row r="111" spans="6:6" ht="15.75" customHeight="1" x14ac:dyDescent="0.2">
      <c r="F111" s="500"/>
    </row>
    <row r="112" spans="6:6" ht="15.75" customHeight="1" x14ac:dyDescent="0.2">
      <c r="F112" s="500"/>
    </row>
    <row r="113" spans="6:6" ht="15.75" customHeight="1" x14ac:dyDescent="0.2">
      <c r="F113" s="500"/>
    </row>
    <row r="114" spans="6:6" ht="15.75" customHeight="1" x14ac:dyDescent="0.2">
      <c r="F114" s="500"/>
    </row>
    <row r="115" spans="6:6" ht="15.75" customHeight="1" x14ac:dyDescent="0.2">
      <c r="F115" s="500"/>
    </row>
    <row r="116" spans="6:6" ht="15.75" customHeight="1" x14ac:dyDescent="0.2">
      <c r="F116" s="500"/>
    </row>
    <row r="117" spans="6:6" ht="15.75" customHeight="1" x14ac:dyDescent="0.2">
      <c r="F117" s="500"/>
    </row>
    <row r="118" spans="6:6" ht="15.75" customHeight="1" x14ac:dyDescent="0.2">
      <c r="F118" s="500"/>
    </row>
    <row r="119" spans="6:6" ht="15.75" customHeight="1" x14ac:dyDescent="0.2">
      <c r="F119" s="500"/>
    </row>
    <row r="120" spans="6:6" ht="15.75" customHeight="1" x14ac:dyDescent="0.2">
      <c r="F120" s="500"/>
    </row>
    <row r="121" spans="6:6" ht="15.75" customHeight="1" x14ac:dyDescent="0.2">
      <c r="F121" s="500"/>
    </row>
    <row r="122" spans="6:6" ht="15.75" customHeight="1" x14ac:dyDescent="0.2">
      <c r="F122" s="500"/>
    </row>
    <row r="123" spans="6:6" ht="15.75" customHeight="1" x14ac:dyDescent="0.2">
      <c r="F123" s="500"/>
    </row>
    <row r="124" spans="6:6" ht="15.75" customHeight="1" x14ac:dyDescent="0.2">
      <c r="F124" s="500"/>
    </row>
    <row r="125" spans="6:6" ht="15.75" customHeight="1" x14ac:dyDescent="0.2">
      <c r="F125" s="500"/>
    </row>
    <row r="126" spans="6:6" ht="15.75" customHeight="1" x14ac:dyDescent="0.2">
      <c r="F126" s="500"/>
    </row>
    <row r="127" spans="6:6" ht="15.75" customHeight="1" x14ac:dyDescent="0.2">
      <c r="F127" s="500"/>
    </row>
    <row r="128" spans="6:6" ht="15.75" customHeight="1" x14ac:dyDescent="0.2">
      <c r="F128" s="500"/>
    </row>
    <row r="129" spans="6:6" ht="15.75" customHeight="1" x14ac:dyDescent="0.2">
      <c r="F129" s="500"/>
    </row>
    <row r="130" spans="6:6" ht="15.75" customHeight="1" x14ac:dyDescent="0.2">
      <c r="F130" s="500"/>
    </row>
    <row r="131" spans="6:6" ht="15.75" customHeight="1" x14ac:dyDescent="0.2">
      <c r="F131" s="500"/>
    </row>
    <row r="132" spans="6:6" ht="15.75" customHeight="1" x14ac:dyDescent="0.2">
      <c r="F132" s="500"/>
    </row>
    <row r="133" spans="6:6" ht="15.75" customHeight="1" x14ac:dyDescent="0.2">
      <c r="F133" s="500"/>
    </row>
    <row r="134" spans="6:6" ht="15.75" customHeight="1" x14ac:dyDescent="0.2">
      <c r="F134" s="500"/>
    </row>
    <row r="135" spans="6:6" ht="15.75" customHeight="1" x14ac:dyDescent="0.2">
      <c r="F135" s="500"/>
    </row>
    <row r="136" spans="6:6" ht="15.75" customHeight="1" x14ac:dyDescent="0.2">
      <c r="F136" s="500"/>
    </row>
    <row r="137" spans="6:6" ht="15.75" customHeight="1" x14ac:dyDescent="0.2">
      <c r="F137" s="500"/>
    </row>
    <row r="138" spans="6:6" ht="15.75" customHeight="1" x14ac:dyDescent="0.2">
      <c r="F138" s="500"/>
    </row>
    <row r="139" spans="6:6" ht="15.75" customHeight="1" x14ac:dyDescent="0.2">
      <c r="F139" s="500"/>
    </row>
    <row r="140" spans="6:6" ht="15.75" customHeight="1" x14ac:dyDescent="0.2">
      <c r="F140" s="500"/>
    </row>
    <row r="141" spans="6:6" ht="15.75" customHeight="1" x14ac:dyDescent="0.2">
      <c r="F141" s="500"/>
    </row>
    <row r="142" spans="6:6" ht="15.75" customHeight="1" x14ac:dyDescent="0.2">
      <c r="F142" s="500"/>
    </row>
    <row r="143" spans="6:6" ht="15.75" customHeight="1" x14ac:dyDescent="0.2">
      <c r="F143" s="500"/>
    </row>
    <row r="144" spans="6:6" ht="15.75" customHeight="1" x14ac:dyDescent="0.2">
      <c r="F144" s="500"/>
    </row>
    <row r="145" spans="6:6" ht="15.75" customHeight="1" x14ac:dyDescent="0.2">
      <c r="F145" s="500"/>
    </row>
    <row r="146" spans="6:6" ht="15.75" customHeight="1" x14ac:dyDescent="0.2">
      <c r="F146" s="500"/>
    </row>
    <row r="147" spans="6:6" ht="15.75" customHeight="1" x14ac:dyDescent="0.2">
      <c r="F147" s="500"/>
    </row>
    <row r="148" spans="6:6" ht="15.75" customHeight="1" x14ac:dyDescent="0.2">
      <c r="F148" s="500"/>
    </row>
    <row r="149" spans="6:6" ht="15.75" customHeight="1" x14ac:dyDescent="0.2">
      <c r="F149" s="500"/>
    </row>
    <row r="150" spans="6:6" ht="15.75" customHeight="1" x14ac:dyDescent="0.2">
      <c r="F150" s="500"/>
    </row>
    <row r="151" spans="6:6" ht="15.75" customHeight="1" x14ac:dyDescent="0.2">
      <c r="F151" s="500"/>
    </row>
    <row r="152" spans="6:6" ht="15.75" customHeight="1" x14ac:dyDescent="0.2">
      <c r="F152" s="500"/>
    </row>
    <row r="153" spans="6:6" ht="15.75" customHeight="1" x14ac:dyDescent="0.2">
      <c r="F153" s="500"/>
    </row>
    <row r="154" spans="6:6" ht="15.75" customHeight="1" x14ac:dyDescent="0.2">
      <c r="F154" s="500"/>
    </row>
    <row r="155" spans="6:6" ht="15.75" customHeight="1" x14ac:dyDescent="0.2">
      <c r="F155" s="500"/>
    </row>
    <row r="156" spans="6:6" ht="15.75" customHeight="1" x14ac:dyDescent="0.2">
      <c r="F156" s="500"/>
    </row>
    <row r="157" spans="6:6" ht="15.75" customHeight="1" x14ac:dyDescent="0.2">
      <c r="F157" s="500"/>
    </row>
    <row r="158" spans="6:6" ht="15.75" customHeight="1" x14ac:dyDescent="0.2">
      <c r="F158" s="500"/>
    </row>
    <row r="159" spans="6:6" ht="15.75" customHeight="1" x14ac:dyDescent="0.2">
      <c r="F159" s="500"/>
    </row>
    <row r="160" spans="6:6" ht="15.75" customHeight="1" x14ac:dyDescent="0.2">
      <c r="F160" s="500"/>
    </row>
    <row r="161" spans="6:6" ht="15.75" customHeight="1" x14ac:dyDescent="0.2">
      <c r="F161" s="500"/>
    </row>
    <row r="162" spans="6:6" ht="15.75" customHeight="1" x14ac:dyDescent="0.2">
      <c r="F162" s="500"/>
    </row>
    <row r="163" spans="6:6" ht="15.75" customHeight="1" x14ac:dyDescent="0.2">
      <c r="F163" s="500"/>
    </row>
    <row r="164" spans="6:6" ht="15.75" customHeight="1" x14ac:dyDescent="0.2">
      <c r="F164" s="500"/>
    </row>
    <row r="165" spans="6:6" ht="15.75" customHeight="1" x14ac:dyDescent="0.2">
      <c r="F165" s="500"/>
    </row>
    <row r="166" spans="6:6" ht="15.75" customHeight="1" x14ac:dyDescent="0.2">
      <c r="F166" s="500"/>
    </row>
    <row r="167" spans="6:6" ht="15.75" customHeight="1" x14ac:dyDescent="0.2">
      <c r="F167" s="500"/>
    </row>
    <row r="168" spans="6:6" ht="15.75" customHeight="1" x14ac:dyDescent="0.2">
      <c r="F168" s="500"/>
    </row>
    <row r="169" spans="6:6" ht="15.75" customHeight="1" x14ac:dyDescent="0.2">
      <c r="F169" s="500"/>
    </row>
    <row r="170" spans="6:6" ht="15.75" customHeight="1" x14ac:dyDescent="0.2">
      <c r="F170" s="500"/>
    </row>
    <row r="171" spans="6:6" ht="15.75" customHeight="1" x14ac:dyDescent="0.2">
      <c r="F171" s="500"/>
    </row>
    <row r="172" spans="6:6" ht="15.75" customHeight="1" x14ac:dyDescent="0.2">
      <c r="F172" s="500"/>
    </row>
    <row r="173" spans="6:6" ht="15.75" customHeight="1" x14ac:dyDescent="0.2">
      <c r="F173" s="500"/>
    </row>
    <row r="174" spans="6:6" ht="15.75" customHeight="1" x14ac:dyDescent="0.2">
      <c r="F174" s="500"/>
    </row>
    <row r="175" spans="6:6" ht="15.75" customHeight="1" x14ac:dyDescent="0.2">
      <c r="F175" s="500"/>
    </row>
    <row r="176" spans="6:6" ht="15.75" customHeight="1" x14ac:dyDescent="0.2">
      <c r="F176" s="500"/>
    </row>
    <row r="177" spans="6:6" ht="15.75" customHeight="1" x14ac:dyDescent="0.2">
      <c r="F177" s="500"/>
    </row>
    <row r="178" spans="6:6" ht="15.75" customHeight="1" x14ac:dyDescent="0.2">
      <c r="F178" s="500"/>
    </row>
    <row r="179" spans="6:6" ht="15.75" customHeight="1" x14ac:dyDescent="0.2">
      <c r="F179" s="500"/>
    </row>
    <row r="180" spans="6:6" ht="15.75" customHeight="1" x14ac:dyDescent="0.2">
      <c r="F180" s="500"/>
    </row>
    <row r="181" spans="6:6" ht="15.75" customHeight="1" x14ac:dyDescent="0.2">
      <c r="F181" s="500"/>
    </row>
    <row r="182" spans="6:6" ht="15.75" customHeight="1" x14ac:dyDescent="0.2">
      <c r="F182" s="500"/>
    </row>
    <row r="183" spans="6:6" ht="15.75" customHeight="1" x14ac:dyDescent="0.2">
      <c r="F183" s="500"/>
    </row>
    <row r="184" spans="6:6" ht="15.75" customHeight="1" x14ac:dyDescent="0.2">
      <c r="F184" s="500"/>
    </row>
    <row r="185" spans="6:6" ht="15.75" customHeight="1" x14ac:dyDescent="0.2">
      <c r="F185" s="500"/>
    </row>
    <row r="186" spans="6:6" ht="15.75" customHeight="1" x14ac:dyDescent="0.2">
      <c r="F186" s="500"/>
    </row>
    <row r="187" spans="6:6" ht="15.75" customHeight="1" x14ac:dyDescent="0.2">
      <c r="F187" s="500"/>
    </row>
    <row r="188" spans="6:6" ht="15.75" customHeight="1" x14ac:dyDescent="0.2">
      <c r="F188" s="500"/>
    </row>
    <row r="189" spans="6:6" ht="15.75" customHeight="1" x14ac:dyDescent="0.2">
      <c r="F189" s="500"/>
    </row>
    <row r="190" spans="6:6" ht="15.75" customHeight="1" x14ac:dyDescent="0.2">
      <c r="F190" s="500"/>
    </row>
    <row r="191" spans="6:6" ht="15.75" customHeight="1" x14ac:dyDescent="0.2">
      <c r="F191" s="500"/>
    </row>
    <row r="192" spans="6:6" ht="15.75" customHeight="1" x14ac:dyDescent="0.2">
      <c r="F192" s="500"/>
    </row>
    <row r="193" spans="6:6" ht="15.75" customHeight="1" x14ac:dyDescent="0.2">
      <c r="F193" s="500"/>
    </row>
    <row r="194" spans="6:6" ht="15.75" customHeight="1" x14ac:dyDescent="0.2">
      <c r="F194" s="500"/>
    </row>
    <row r="195" spans="6:6" ht="15.75" customHeight="1" x14ac:dyDescent="0.2">
      <c r="F195" s="500"/>
    </row>
    <row r="196" spans="6:6" ht="15.75" customHeight="1" x14ac:dyDescent="0.2">
      <c r="F196" s="500"/>
    </row>
    <row r="197" spans="6:6" ht="15.75" customHeight="1" x14ac:dyDescent="0.2">
      <c r="F197" s="500"/>
    </row>
    <row r="198" spans="6:6" ht="15.75" customHeight="1" x14ac:dyDescent="0.2">
      <c r="F198" s="500"/>
    </row>
    <row r="199" spans="6:6" ht="15.75" customHeight="1" x14ac:dyDescent="0.2">
      <c r="F199" s="500"/>
    </row>
    <row r="200" spans="6:6" ht="15.75" customHeight="1" x14ac:dyDescent="0.2">
      <c r="F200" s="500"/>
    </row>
    <row r="201" spans="6:6" ht="15.75" customHeight="1" x14ac:dyDescent="0.2">
      <c r="F201" s="500"/>
    </row>
    <row r="202" spans="6:6" ht="15.75" customHeight="1" x14ac:dyDescent="0.2">
      <c r="F202" s="500"/>
    </row>
    <row r="203" spans="6:6" ht="15.75" customHeight="1" x14ac:dyDescent="0.2">
      <c r="F203" s="500"/>
    </row>
    <row r="204" spans="6:6" ht="15.75" customHeight="1" x14ac:dyDescent="0.2">
      <c r="F204" s="500"/>
    </row>
    <row r="205" spans="6:6" ht="15.75" customHeight="1" x14ac:dyDescent="0.2">
      <c r="F205" s="500"/>
    </row>
    <row r="206" spans="6:6" ht="15.75" customHeight="1" x14ac:dyDescent="0.2">
      <c r="F206" s="500"/>
    </row>
    <row r="207" spans="6:6" ht="15.75" customHeight="1" x14ac:dyDescent="0.2">
      <c r="F207" s="500"/>
    </row>
    <row r="208" spans="6:6" ht="15.75" customHeight="1" x14ac:dyDescent="0.2">
      <c r="F208" s="500"/>
    </row>
    <row r="209" spans="6:6" ht="15.75" customHeight="1" x14ac:dyDescent="0.2">
      <c r="F209" s="500"/>
    </row>
    <row r="210" spans="6:6" ht="15.75" customHeight="1" x14ac:dyDescent="0.2">
      <c r="F210" s="500"/>
    </row>
    <row r="211" spans="6:6" ht="15.75" customHeight="1" x14ac:dyDescent="0.2">
      <c r="F211" s="500"/>
    </row>
    <row r="212" spans="6:6" ht="15.75" customHeight="1" x14ac:dyDescent="0.2">
      <c r="F212" s="500"/>
    </row>
    <row r="213" spans="6:6" ht="15.75" customHeight="1" x14ac:dyDescent="0.2">
      <c r="F213" s="500"/>
    </row>
    <row r="214" spans="6:6" ht="15.75" customHeight="1" x14ac:dyDescent="0.2">
      <c r="F214" s="500"/>
    </row>
    <row r="215" spans="6:6" ht="15.75" customHeight="1" x14ac:dyDescent="0.2">
      <c r="F215" s="500"/>
    </row>
    <row r="216" spans="6:6" ht="15.75" customHeight="1" x14ac:dyDescent="0.2">
      <c r="F216" s="500"/>
    </row>
    <row r="217" spans="6:6" ht="15.75" customHeight="1" x14ac:dyDescent="0.2">
      <c r="F217" s="500"/>
    </row>
    <row r="218" spans="6:6" ht="15.75" customHeight="1" x14ac:dyDescent="0.2">
      <c r="F218" s="500"/>
    </row>
    <row r="219" spans="6:6" ht="15.75" customHeight="1" x14ac:dyDescent="0.2">
      <c r="F219" s="500"/>
    </row>
    <row r="220" spans="6:6" ht="15.75" customHeight="1" x14ac:dyDescent="0.2">
      <c r="F220" s="500"/>
    </row>
    <row r="221" spans="6:6" ht="15.75" customHeight="1" x14ac:dyDescent="0.2">
      <c r="F221" s="500"/>
    </row>
    <row r="222" spans="6:6" ht="15.75" customHeight="1" x14ac:dyDescent="0.2">
      <c r="F222" s="500"/>
    </row>
    <row r="223" spans="6:6" ht="15.75" customHeight="1" x14ac:dyDescent="0.2">
      <c r="F223" s="500"/>
    </row>
    <row r="224" spans="6:6" ht="15.75" customHeight="1" x14ac:dyDescent="0.2">
      <c r="F224" s="500"/>
    </row>
    <row r="225" spans="6:6" ht="15.75" customHeight="1" x14ac:dyDescent="0.2">
      <c r="F225" s="500"/>
    </row>
    <row r="226" spans="6:6" ht="15.75" customHeight="1" x14ac:dyDescent="0.2">
      <c r="F226" s="500"/>
    </row>
    <row r="227" spans="6:6" ht="15.75" customHeight="1" x14ac:dyDescent="0.2">
      <c r="F227" s="500"/>
    </row>
    <row r="228" spans="6:6" ht="15.75" customHeight="1" x14ac:dyDescent="0.2">
      <c r="F228" s="500"/>
    </row>
    <row r="229" spans="6:6" ht="15.75" customHeight="1" x14ac:dyDescent="0.2">
      <c r="F229" s="500"/>
    </row>
    <row r="230" spans="6:6" ht="15.75" customHeight="1" x14ac:dyDescent="0.2">
      <c r="F230" s="500"/>
    </row>
    <row r="231" spans="6:6" ht="15.75" customHeight="1" x14ac:dyDescent="0.2">
      <c r="F231" s="500"/>
    </row>
    <row r="232" spans="6:6" ht="15.75" customHeight="1" x14ac:dyDescent="0.2">
      <c r="F232" s="500"/>
    </row>
    <row r="233" spans="6:6" ht="15.75" customHeight="1" x14ac:dyDescent="0.2">
      <c r="F233" s="500"/>
    </row>
    <row r="234" spans="6:6" ht="15.75" customHeight="1" x14ac:dyDescent="0.2">
      <c r="F234" s="500"/>
    </row>
    <row r="235" spans="6:6" ht="15.75" customHeight="1" x14ac:dyDescent="0.2">
      <c r="F235" s="500"/>
    </row>
    <row r="236" spans="6:6" ht="15.75" customHeight="1" x14ac:dyDescent="0.2">
      <c r="F236" s="500"/>
    </row>
    <row r="237" spans="6:6" ht="15.75" customHeight="1" x14ac:dyDescent="0.2">
      <c r="F237" s="500"/>
    </row>
    <row r="238" spans="6:6" ht="15.75" customHeight="1" x14ac:dyDescent="0.2">
      <c r="F238" s="500"/>
    </row>
    <row r="239" spans="6:6" ht="15.75" customHeight="1" x14ac:dyDescent="0.2">
      <c r="F239" s="500"/>
    </row>
    <row r="240" spans="6:6" ht="15.75" customHeight="1" x14ac:dyDescent="0.2">
      <c r="F240" s="500"/>
    </row>
    <row r="241" spans="6:6" ht="15.75" customHeight="1" x14ac:dyDescent="0.2">
      <c r="F241" s="500"/>
    </row>
    <row r="242" spans="6:6" ht="15.75" customHeight="1" x14ac:dyDescent="0.2">
      <c r="F242" s="500"/>
    </row>
    <row r="243" spans="6:6" ht="15.75" customHeight="1" x14ac:dyDescent="0.2">
      <c r="F243" s="500"/>
    </row>
    <row r="244" spans="6:6" ht="15.75" customHeight="1" x14ac:dyDescent="0.2">
      <c r="F244" s="500"/>
    </row>
    <row r="245" spans="6:6" ht="15.75" customHeight="1" x14ac:dyDescent="0.2">
      <c r="F245" s="500"/>
    </row>
    <row r="246" spans="6:6" ht="15.75" customHeight="1" x14ac:dyDescent="0.2">
      <c r="F246" s="500"/>
    </row>
    <row r="247" spans="6:6" ht="15.75" customHeight="1" x14ac:dyDescent="0.2">
      <c r="F247" s="500"/>
    </row>
    <row r="248" spans="6:6" ht="15.75" customHeight="1" x14ac:dyDescent="0.2">
      <c r="F248" s="500"/>
    </row>
    <row r="249" spans="6:6" ht="15.75" customHeight="1" x14ac:dyDescent="0.2">
      <c r="F249" s="500"/>
    </row>
    <row r="250" spans="6:6" ht="15.75" customHeight="1" x14ac:dyDescent="0.2">
      <c r="F250" s="500"/>
    </row>
    <row r="251" spans="6:6" ht="15.75" customHeight="1" x14ac:dyDescent="0.2">
      <c r="F251" s="500"/>
    </row>
    <row r="252" spans="6:6" ht="15.75" customHeight="1" x14ac:dyDescent="0.2">
      <c r="F252" s="500"/>
    </row>
    <row r="253" spans="6:6" ht="15.75" customHeight="1" x14ac:dyDescent="0.2">
      <c r="F253" s="500"/>
    </row>
    <row r="254" spans="6:6" ht="15.75" customHeight="1" x14ac:dyDescent="0.2">
      <c r="F254" s="500"/>
    </row>
    <row r="255" spans="6:6" ht="15.75" customHeight="1" x14ac:dyDescent="0.2">
      <c r="F255" s="500"/>
    </row>
    <row r="256" spans="6:6" ht="15.75" customHeight="1" x14ac:dyDescent="0.2">
      <c r="F256" s="500"/>
    </row>
    <row r="257" spans="6:6" ht="15.75" customHeight="1" x14ac:dyDescent="0.2">
      <c r="F257" s="500"/>
    </row>
    <row r="258" spans="6:6" ht="15.75" customHeight="1" x14ac:dyDescent="0.2">
      <c r="F258" s="500"/>
    </row>
    <row r="259" spans="6:6" ht="15.75" customHeight="1" x14ac:dyDescent="0.2">
      <c r="F259" s="500"/>
    </row>
    <row r="260" spans="6:6" ht="15.75" customHeight="1" x14ac:dyDescent="0.2">
      <c r="F260" s="500"/>
    </row>
    <row r="261" spans="6:6" ht="15.75" customHeight="1" x14ac:dyDescent="0.2">
      <c r="F261" s="500"/>
    </row>
    <row r="262" spans="6:6" ht="15.75" customHeight="1" x14ac:dyDescent="0.2">
      <c r="F262" s="500"/>
    </row>
    <row r="263" spans="6:6" ht="15.75" customHeight="1" x14ac:dyDescent="0.2">
      <c r="F263" s="500"/>
    </row>
    <row r="264" spans="6:6" ht="15.75" customHeight="1" x14ac:dyDescent="0.2">
      <c r="F264" s="500"/>
    </row>
    <row r="265" spans="6:6" ht="15.75" customHeight="1" x14ac:dyDescent="0.2">
      <c r="F265" s="500"/>
    </row>
    <row r="266" spans="6:6" ht="15.75" customHeight="1" x14ac:dyDescent="0.2">
      <c r="F266" s="500"/>
    </row>
    <row r="267" spans="6:6" ht="15.75" customHeight="1" x14ac:dyDescent="0.2">
      <c r="F267" s="500"/>
    </row>
    <row r="268" spans="6:6" ht="15.75" customHeight="1" x14ac:dyDescent="0.2">
      <c r="F268" s="500"/>
    </row>
    <row r="269" spans="6:6" ht="15.75" customHeight="1" x14ac:dyDescent="0.2"/>
    <row r="270" spans="6:6" ht="15.75" customHeight="1" x14ac:dyDescent="0.2"/>
    <row r="271" spans="6:6" ht="15.75" customHeight="1" x14ac:dyDescent="0.2"/>
    <row r="272" spans="6:6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4">
    <mergeCell ref="B34:C34"/>
    <mergeCell ref="B35:C35"/>
    <mergeCell ref="C29:E29"/>
    <mergeCell ref="C30:E30"/>
    <mergeCell ref="C31:E31"/>
    <mergeCell ref="A32:F32"/>
    <mergeCell ref="B33:C33"/>
    <mergeCell ref="C24:E24"/>
    <mergeCell ref="C25:E25"/>
    <mergeCell ref="C26:E26"/>
    <mergeCell ref="G26:W28"/>
    <mergeCell ref="C27:E27"/>
    <mergeCell ref="C28:E28"/>
    <mergeCell ref="C19:E19"/>
    <mergeCell ref="C20:E20"/>
    <mergeCell ref="C21:E21"/>
    <mergeCell ref="C22:E22"/>
    <mergeCell ref="C23:E23"/>
    <mergeCell ref="A19:B22"/>
    <mergeCell ref="A23:B23"/>
    <mergeCell ref="A24:B26"/>
    <mergeCell ref="A27:B30"/>
    <mergeCell ref="A31:B31"/>
    <mergeCell ref="G18:W18"/>
    <mergeCell ref="A6:B6"/>
    <mergeCell ref="C6:D6"/>
    <mergeCell ref="A7:D7"/>
    <mergeCell ref="A8:B14"/>
    <mergeCell ref="C8:D8"/>
    <mergeCell ref="C9:D9"/>
    <mergeCell ref="C10:D10"/>
    <mergeCell ref="A15:B18"/>
    <mergeCell ref="C17:E17"/>
    <mergeCell ref="C18:E18"/>
    <mergeCell ref="C11:D11"/>
    <mergeCell ref="C12:D12"/>
    <mergeCell ref="C13:E13"/>
    <mergeCell ref="C14:E14"/>
    <mergeCell ref="G14:W16"/>
    <mergeCell ref="C15:E15"/>
    <mergeCell ref="C16:E16"/>
    <mergeCell ref="A2:F2"/>
    <mergeCell ref="G2:W4"/>
    <mergeCell ref="A3:F3"/>
    <mergeCell ref="A4:F4"/>
    <mergeCell ref="A5:B5"/>
    <mergeCell ref="C5:F5"/>
    <mergeCell ref="G5:W6"/>
    <mergeCell ref="A58:F58"/>
    <mergeCell ref="A59:F59"/>
    <mergeCell ref="A68:B68"/>
    <mergeCell ref="D68:F68"/>
    <mergeCell ref="A50:F50"/>
    <mergeCell ref="A51:F51"/>
    <mergeCell ref="A52:F52"/>
    <mergeCell ref="A53:F53"/>
    <mergeCell ref="A54:F54"/>
    <mergeCell ref="A55:F55"/>
    <mergeCell ref="A56:F56"/>
    <mergeCell ref="A46:D46"/>
    <mergeCell ref="A47:F47"/>
    <mergeCell ref="A48:F48"/>
    <mergeCell ref="A49:F49"/>
    <mergeCell ref="A57:F57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0:C40"/>
  </mergeCells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I1001"/>
  <sheetViews>
    <sheetView topLeftCell="B1" workbookViewId="0">
      <pane ySplit="3" topLeftCell="A4" activePane="bottomLeft" state="frozen"/>
      <selection pane="bottomLeft" activeCell="X2" sqref="X2"/>
    </sheetView>
  </sheetViews>
  <sheetFormatPr defaultColWidth="12.5703125" defaultRowHeight="15" customHeight="1" x14ac:dyDescent="0.2"/>
  <cols>
    <col min="1" max="1" width="13.5703125" customWidth="1"/>
    <col min="2" max="2" width="5.140625" customWidth="1"/>
    <col min="3" max="3" width="6" customWidth="1"/>
    <col min="4" max="4" width="7.28515625" customWidth="1"/>
    <col min="5" max="7" width="7.7109375" customWidth="1"/>
    <col min="8" max="8" width="9.140625" customWidth="1"/>
    <col min="9" max="9" width="8.85546875" customWidth="1"/>
    <col min="10" max="10" width="9.42578125" customWidth="1"/>
    <col min="11" max="11" width="9" customWidth="1"/>
    <col min="12" max="12" width="8.85546875" customWidth="1"/>
    <col min="13" max="13" width="9.28515625" customWidth="1"/>
    <col min="14" max="14" width="8.85546875" customWidth="1"/>
    <col min="15" max="16" width="7.140625" customWidth="1"/>
    <col min="17" max="17" width="6.42578125" customWidth="1"/>
    <col min="18" max="18" width="5.140625" customWidth="1"/>
    <col min="19" max="19" width="8.85546875" customWidth="1"/>
    <col min="20" max="20" width="8.28515625" customWidth="1"/>
    <col min="21" max="21" width="8.140625" customWidth="1"/>
    <col min="22" max="22" width="8.85546875" customWidth="1"/>
    <col min="23" max="23" width="8.140625" customWidth="1"/>
    <col min="24" max="24" width="8.42578125" customWidth="1"/>
    <col min="25" max="25" width="9.140625" customWidth="1"/>
    <col min="26" max="26" width="9.7109375" customWidth="1"/>
    <col min="27" max="27" width="12.85546875" customWidth="1"/>
    <col min="28" max="28" width="10.28515625" customWidth="1"/>
    <col min="29" max="29" width="21.85546875" customWidth="1"/>
    <col min="30" max="30" width="7" customWidth="1"/>
    <col min="31" max="35" width="9.7109375" customWidth="1"/>
  </cols>
  <sheetData>
    <row r="1" spans="1:35" ht="15.75" customHeight="1" x14ac:dyDescent="0.2">
      <c r="A1" s="1"/>
      <c r="B1" s="2"/>
      <c r="C1" s="2"/>
      <c r="D1" s="2"/>
      <c r="E1" s="2"/>
      <c r="F1" s="2"/>
      <c r="G1" s="2"/>
      <c r="H1" s="1"/>
      <c r="I1" s="1" t="s">
        <v>0</v>
      </c>
      <c r="J1" s="1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"/>
      <c r="Y1" s="1"/>
      <c r="Z1" s="2"/>
      <c r="AA1" s="1"/>
      <c r="AB1" s="1"/>
      <c r="AC1" s="1"/>
      <c r="AD1" s="1"/>
      <c r="AE1" s="2"/>
      <c r="AF1" s="2"/>
      <c r="AG1" s="2"/>
      <c r="AH1" s="2"/>
      <c r="AI1" s="2"/>
    </row>
    <row r="2" spans="1:35" ht="15.75" customHeight="1" x14ac:dyDescent="0.2">
      <c r="A2" s="1"/>
      <c r="B2" s="2"/>
      <c r="C2" s="2"/>
      <c r="D2" s="2"/>
      <c r="E2" s="2"/>
      <c r="F2" s="2"/>
      <c r="G2" s="2"/>
      <c r="H2" s="42" t="s">
        <v>2</v>
      </c>
      <c r="I2" s="43">
        <v>15500</v>
      </c>
      <c r="J2" s="6"/>
      <c r="K2" s="7">
        <v>200000</v>
      </c>
      <c r="L2" s="2"/>
      <c r="M2" s="9">
        <v>0</v>
      </c>
      <c r="N2" s="2"/>
      <c r="O2" s="2">
        <v>250</v>
      </c>
      <c r="P2" s="2">
        <v>200</v>
      </c>
      <c r="Q2" s="2">
        <v>150</v>
      </c>
      <c r="R2" s="2"/>
      <c r="S2" s="2"/>
      <c r="T2" s="2"/>
      <c r="U2" s="9">
        <v>0.12</v>
      </c>
      <c r="V2" s="9"/>
      <c r="W2" s="9">
        <v>7.0000000000000007E-2</v>
      </c>
      <c r="X2" s="1"/>
      <c r="Y2" s="1"/>
      <c r="Z2" s="2"/>
      <c r="AA2" s="1"/>
      <c r="AB2" s="1"/>
      <c r="AC2" s="1"/>
      <c r="AD2" s="1"/>
      <c r="AE2" s="2"/>
      <c r="AF2" s="2"/>
      <c r="AG2" s="2"/>
      <c r="AH2" s="2"/>
      <c r="AI2" s="2"/>
    </row>
    <row r="3" spans="1:35" ht="15.75" customHeight="1" x14ac:dyDescent="0.2">
      <c r="A3" s="10" t="s">
        <v>3</v>
      </c>
      <c r="B3" s="10" t="s">
        <v>129</v>
      </c>
      <c r="C3" s="10" t="s">
        <v>130</v>
      </c>
      <c r="D3" s="10" t="s">
        <v>6</v>
      </c>
      <c r="E3" s="44" t="s">
        <v>131</v>
      </c>
      <c r="F3" s="44" t="s">
        <v>131</v>
      </c>
      <c r="G3" s="10" t="s">
        <v>9</v>
      </c>
      <c r="H3" s="10" t="s">
        <v>10</v>
      </c>
      <c r="I3" s="10" t="s">
        <v>11</v>
      </c>
      <c r="J3" s="10" t="s">
        <v>12</v>
      </c>
      <c r="K3" s="10" t="s">
        <v>13</v>
      </c>
      <c r="L3" s="10" t="s">
        <v>14</v>
      </c>
      <c r="M3" s="10"/>
      <c r="N3" s="10" t="s">
        <v>15</v>
      </c>
      <c r="O3" s="10" t="s">
        <v>16</v>
      </c>
      <c r="P3" s="10" t="s">
        <v>17</v>
      </c>
      <c r="Q3" s="10" t="s">
        <v>18</v>
      </c>
      <c r="R3" s="10"/>
      <c r="S3" s="10" t="s">
        <v>19</v>
      </c>
      <c r="T3" s="10" t="s">
        <v>20</v>
      </c>
      <c r="U3" s="10" t="s">
        <v>21</v>
      </c>
      <c r="V3" s="10" t="s">
        <v>22</v>
      </c>
      <c r="W3" s="10" t="s">
        <v>23</v>
      </c>
      <c r="X3" s="10" t="s">
        <v>24</v>
      </c>
      <c r="Y3" s="10" t="s">
        <v>25</v>
      </c>
      <c r="Z3" s="10"/>
      <c r="AA3" s="10" t="s">
        <v>26</v>
      </c>
      <c r="AB3" s="10" t="s">
        <v>27</v>
      </c>
      <c r="AC3" s="10" t="s">
        <v>28</v>
      </c>
      <c r="AD3" s="10" t="s">
        <v>29</v>
      </c>
      <c r="AE3" s="10" t="s">
        <v>30</v>
      </c>
      <c r="AF3" s="45" t="s">
        <v>31</v>
      </c>
      <c r="AG3" s="45" t="s">
        <v>32</v>
      </c>
      <c r="AH3" s="45" t="s">
        <v>33</v>
      </c>
      <c r="AI3" s="45" t="s">
        <v>34</v>
      </c>
    </row>
    <row r="4" spans="1:35" ht="24" customHeight="1" x14ac:dyDescent="0.2">
      <c r="A4" s="46" t="s">
        <v>132</v>
      </c>
      <c r="B4" s="47">
        <f t="shared" ref="B4:B5" si="0">C4+E4</f>
        <v>344.7</v>
      </c>
      <c r="C4" s="48">
        <v>344.7</v>
      </c>
      <c r="D4" s="48">
        <f t="shared" ref="D4:D26" si="1">C4*10.764</f>
        <v>3710.3507999999997</v>
      </c>
      <c r="E4" s="47">
        <v>0</v>
      </c>
      <c r="F4" s="48">
        <f t="shared" ref="F4:F9" si="2">E4*10.764</f>
        <v>0</v>
      </c>
      <c r="G4" s="48">
        <f t="shared" ref="G4:G26" si="3">D4+F4</f>
        <v>3710.3507999999997</v>
      </c>
      <c r="H4" s="49">
        <f t="shared" ref="H4:H26" si="4">(D4+F4)*1.5</f>
        <v>5565.5261999999993</v>
      </c>
      <c r="I4" s="50">
        <f t="shared" ref="I4:I26" si="5">H4*$I$2</f>
        <v>86265656.099999994</v>
      </c>
      <c r="J4" s="51">
        <v>900000</v>
      </c>
      <c r="K4" s="51">
        <v>1900000</v>
      </c>
      <c r="L4" s="50">
        <f t="shared" ref="L4:L26" si="6">SUM(I4:K4)</f>
        <v>89065656.099999994</v>
      </c>
      <c r="M4" s="50">
        <f t="shared" ref="M4:M26" si="7">($M$2*L4)</f>
        <v>0</v>
      </c>
      <c r="N4" s="50">
        <f t="shared" ref="N4:N26" si="8">L4-M4</f>
        <v>89065656.099999994</v>
      </c>
      <c r="O4" s="50">
        <f t="shared" ref="O4:O26" si="9">H4*$O$2</f>
        <v>1391381.5499999998</v>
      </c>
      <c r="P4" s="50">
        <f t="shared" ref="P4:P26" si="10">H4*$P$2</f>
        <v>1113105.2399999998</v>
      </c>
      <c r="Q4" s="50">
        <f t="shared" ref="Q4:Q26" si="11">H4*$Q$2</f>
        <v>834828.92999999993</v>
      </c>
      <c r="R4" s="50">
        <v>0</v>
      </c>
      <c r="S4" s="50">
        <f t="shared" ref="S4:S26" si="12">SUM(N4:R4)</f>
        <v>92404971.819999993</v>
      </c>
      <c r="T4" s="50">
        <v>30000</v>
      </c>
      <c r="U4" s="50"/>
      <c r="V4" s="50"/>
      <c r="W4" s="50">
        <f t="shared" ref="W4:W26" si="13">CEILING(($W$2*N4),100)</f>
        <v>6234600</v>
      </c>
      <c r="X4" s="52">
        <v>6000</v>
      </c>
      <c r="Y4" s="52">
        <f t="shared" ref="Y4:Y26" si="14">SUM(S4:X4)</f>
        <v>98675571.819999993</v>
      </c>
      <c r="Z4" s="53"/>
      <c r="AA4" s="53" t="s">
        <v>133</v>
      </c>
      <c r="AB4" s="53"/>
      <c r="AC4" s="53" t="s">
        <v>134</v>
      </c>
      <c r="AD4" s="54" t="s">
        <v>135</v>
      </c>
      <c r="AE4" s="55" t="s">
        <v>136</v>
      </c>
      <c r="AF4" s="56" t="s">
        <v>137</v>
      </c>
      <c r="AG4" s="57"/>
      <c r="AH4" s="56" t="s">
        <v>138</v>
      </c>
      <c r="AI4" s="501" t="s">
        <v>46</v>
      </c>
    </row>
    <row r="5" spans="1:35" ht="15.75" customHeight="1" x14ac:dyDescent="0.2">
      <c r="A5" s="46" t="s">
        <v>139</v>
      </c>
      <c r="B5" s="47">
        <f t="shared" si="0"/>
        <v>343.89</v>
      </c>
      <c r="C5" s="48">
        <v>343.89</v>
      </c>
      <c r="D5" s="48">
        <f t="shared" si="1"/>
        <v>3701.6319599999997</v>
      </c>
      <c r="E5" s="47">
        <v>0</v>
      </c>
      <c r="F5" s="48">
        <f t="shared" si="2"/>
        <v>0</v>
      </c>
      <c r="G5" s="48">
        <f t="shared" si="3"/>
        <v>3701.6319599999997</v>
      </c>
      <c r="H5" s="49">
        <f t="shared" si="4"/>
        <v>5552.44794</v>
      </c>
      <c r="I5" s="50">
        <f t="shared" si="5"/>
        <v>86062943.069999993</v>
      </c>
      <c r="J5" s="51">
        <v>900000</v>
      </c>
      <c r="K5" s="51">
        <v>1600000</v>
      </c>
      <c r="L5" s="50">
        <f t="shared" si="6"/>
        <v>88562943.069999993</v>
      </c>
      <c r="M5" s="50">
        <f t="shared" si="7"/>
        <v>0</v>
      </c>
      <c r="N5" s="50">
        <f t="shared" si="8"/>
        <v>88562943.069999993</v>
      </c>
      <c r="O5" s="50">
        <f t="shared" si="9"/>
        <v>1388111.9850000001</v>
      </c>
      <c r="P5" s="50">
        <f t="shared" si="10"/>
        <v>1110489.588</v>
      </c>
      <c r="Q5" s="50">
        <f t="shared" si="11"/>
        <v>832867.19099999999</v>
      </c>
      <c r="R5" s="50">
        <v>0</v>
      </c>
      <c r="S5" s="50">
        <f t="shared" si="12"/>
        <v>91894411.833999991</v>
      </c>
      <c r="T5" s="50">
        <v>30000</v>
      </c>
      <c r="U5" s="50"/>
      <c r="V5" s="50"/>
      <c r="W5" s="50">
        <f t="shared" si="13"/>
        <v>6199500</v>
      </c>
      <c r="X5" s="52">
        <v>6000</v>
      </c>
      <c r="Y5" s="52">
        <f t="shared" si="14"/>
        <v>98129911.833999991</v>
      </c>
      <c r="Z5" s="53"/>
      <c r="AA5" s="53" t="s">
        <v>133</v>
      </c>
      <c r="AB5" s="53"/>
      <c r="AC5" s="53" t="s">
        <v>134</v>
      </c>
      <c r="AD5" s="54" t="s">
        <v>140</v>
      </c>
      <c r="AE5" s="55" t="s">
        <v>136</v>
      </c>
      <c r="AF5" s="55" t="s">
        <v>141</v>
      </c>
      <c r="AG5" s="58"/>
      <c r="AH5" s="55" t="s">
        <v>142</v>
      </c>
      <c r="AI5" s="502"/>
    </row>
    <row r="6" spans="1:35" ht="15.75" customHeight="1" x14ac:dyDescent="0.2">
      <c r="A6" s="12" t="s">
        <v>69</v>
      </c>
      <c r="B6" s="59">
        <v>22.55</v>
      </c>
      <c r="C6" s="13">
        <v>16.86</v>
      </c>
      <c r="D6" s="60">
        <f t="shared" si="1"/>
        <v>181.48103999999998</v>
      </c>
      <c r="E6" s="61">
        <v>5.62</v>
      </c>
      <c r="F6" s="60">
        <f t="shared" si="2"/>
        <v>60.493679999999998</v>
      </c>
      <c r="G6" s="60">
        <f t="shared" si="3"/>
        <v>241.97471999999999</v>
      </c>
      <c r="H6" s="60">
        <f t="shared" si="4"/>
        <v>362.96208000000001</v>
      </c>
      <c r="I6" s="15">
        <f t="shared" si="5"/>
        <v>5625912.2400000002</v>
      </c>
      <c r="J6" s="15">
        <v>0</v>
      </c>
      <c r="K6" s="30">
        <v>35000</v>
      </c>
      <c r="L6" s="15">
        <f t="shared" si="6"/>
        <v>5660912.2400000002</v>
      </c>
      <c r="M6" s="15">
        <f t="shared" si="7"/>
        <v>0</v>
      </c>
      <c r="N6" s="15">
        <f t="shared" si="8"/>
        <v>5660912.2400000002</v>
      </c>
      <c r="O6" s="15">
        <f t="shared" si="9"/>
        <v>90740.52</v>
      </c>
      <c r="P6" s="15">
        <f t="shared" si="10"/>
        <v>72592.415999999997</v>
      </c>
      <c r="Q6" s="15">
        <f t="shared" si="11"/>
        <v>54444.312000000005</v>
      </c>
      <c r="R6" s="15">
        <v>0</v>
      </c>
      <c r="S6" s="15">
        <f t="shared" si="12"/>
        <v>5878689.4879999999</v>
      </c>
      <c r="T6" s="15">
        <v>30000</v>
      </c>
      <c r="U6" s="15">
        <f t="shared" ref="U6:U26" si="15">$U$2*N6</f>
        <v>679309.46880000003</v>
      </c>
      <c r="V6" s="15">
        <f t="shared" ref="V6:V13" si="16">(12%*O6)+(12%*P6)+(12%*Q6)</f>
        <v>26133.269759999996</v>
      </c>
      <c r="W6" s="15">
        <f t="shared" si="13"/>
        <v>396300</v>
      </c>
      <c r="X6" s="16">
        <v>6000</v>
      </c>
      <c r="Y6" s="16">
        <f t="shared" si="14"/>
        <v>7016432.2265599994</v>
      </c>
      <c r="Z6" s="17"/>
      <c r="AA6" s="17" t="s">
        <v>143</v>
      </c>
      <c r="AB6" s="17" t="s">
        <v>37</v>
      </c>
      <c r="AC6" s="17" t="s">
        <v>144</v>
      </c>
      <c r="AD6" s="17">
        <v>14500</v>
      </c>
      <c r="AE6" s="17" t="s">
        <v>145</v>
      </c>
      <c r="AF6" s="19">
        <v>157</v>
      </c>
      <c r="AG6" s="17" t="s">
        <v>45</v>
      </c>
      <c r="AH6" s="19" t="s">
        <v>146</v>
      </c>
      <c r="AI6" s="17" t="s">
        <v>46</v>
      </c>
    </row>
    <row r="7" spans="1:35" ht="15.75" customHeight="1" x14ac:dyDescent="0.2">
      <c r="A7" s="12" t="s">
        <v>72</v>
      </c>
      <c r="B7" s="59">
        <v>22.74</v>
      </c>
      <c r="C7" s="13">
        <v>16.989999999999998</v>
      </c>
      <c r="D7" s="60">
        <f t="shared" si="1"/>
        <v>182.88035999999997</v>
      </c>
      <c r="E7" s="61">
        <v>5.67</v>
      </c>
      <c r="F7" s="60">
        <f t="shared" si="2"/>
        <v>61.031879999999994</v>
      </c>
      <c r="G7" s="60">
        <f t="shared" si="3"/>
        <v>243.91223999999997</v>
      </c>
      <c r="H7" s="60">
        <f t="shared" si="4"/>
        <v>365.86835999999994</v>
      </c>
      <c r="I7" s="15">
        <f t="shared" si="5"/>
        <v>5670959.5799999991</v>
      </c>
      <c r="J7" s="15">
        <v>0</v>
      </c>
      <c r="K7" s="30">
        <v>35000</v>
      </c>
      <c r="L7" s="15">
        <f t="shared" si="6"/>
        <v>5705959.5799999991</v>
      </c>
      <c r="M7" s="15">
        <f t="shared" si="7"/>
        <v>0</v>
      </c>
      <c r="N7" s="15">
        <f t="shared" si="8"/>
        <v>5705959.5799999991</v>
      </c>
      <c r="O7" s="15">
        <f t="shared" si="9"/>
        <v>91467.089999999982</v>
      </c>
      <c r="P7" s="15">
        <f t="shared" si="10"/>
        <v>73173.671999999991</v>
      </c>
      <c r="Q7" s="15">
        <f t="shared" si="11"/>
        <v>54880.253999999994</v>
      </c>
      <c r="R7" s="15">
        <v>0</v>
      </c>
      <c r="S7" s="15">
        <f t="shared" si="12"/>
        <v>5925480.595999999</v>
      </c>
      <c r="T7" s="15">
        <v>30000</v>
      </c>
      <c r="U7" s="15">
        <f t="shared" si="15"/>
        <v>684715.14959999989</v>
      </c>
      <c r="V7" s="15">
        <f t="shared" si="16"/>
        <v>26342.521919999996</v>
      </c>
      <c r="W7" s="15">
        <f t="shared" si="13"/>
        <v>399500</v>
      </c>
      <c r="X7" s="16">
        <v>6000</v>
      </c>
      <c r="Y7" s="16">
        <f t="shared" si="14"/>
        <v>7072038.2675199993</v>
      </c>
      <c r="Z7" s="17"/>
      <c r="AA7" s="17" t="s">
        <v>147</v>
      </c>
      <c r="AB7" s="17" t="s">
        <v>37</v>
      </c>
      <c r="AC7" s="17" t="s">
        <v>148</v>
      </c>
      <c r="AD7" s="17">
        <v>15000</v>
      </c>
      <c r="AE7" s="17">
        <v>0</v>
      </c>
      <c r="AF7" s="17">
        <v>124</v>
      </c>
      <c r="AG7" s="17">
        <v>0</v>
      </c>
      <c r="AH7" s="19" t="s">
        <v>146</v>
      </c>
      <c r="AI7" s="17" t="s">
        <v>46</v>
      </c>
    </row>
    <row r="8" spans="1:35" ht="15.75" customHeight="1" x14ac:dyDescent="0.2">
      <c r="A8" s="12" t="s">
        <v>75</v>
      </c>
      <c r="B8" s="59">
        <v>22.74</v>
      </c>
      <c r="C8" s="13">
        <v>16.989999999999998</v>
      </c>
      <c r="D8" s="60">
        <f t="shared" si="1"/>
        <v>182.88035999999997</v>
      </c>
      <c r="E8" s="60">
        <v>5.67</v>
      </c>
      <c r="F8" s="60">
        <f t="shared" si="2"/>
        <v>61.031879999999994</v>
      </c>
      <c r="G8" s="60">
        <f t="shared" si="3"/>
        <v>243.91223999999997</v>
      </c>
      <c r="H8" s="60">
        <f t="shared" si="4"/>
        <v>365.86835999999994</v>
      </c>
      <c r="I8" s="15">
        <f t="shared" si="5"/>
        <v>5670959.5799999991</v>
      </c>
      <c r="J8" s="15">
        <v>0</v>
      </c>
      <c r="K8" s="30">
        <v>35000</v>
      </c>
      <c r="L8" s="15">
        <f t="shared" si="6"/>
        <v>5705959.5799999991</v>
      </c>
      <c r="M8" s="15">
        <f t="shared" si="7"/>
        <v>0</v>
      </c>
      <c r="N8" s="15">
        <f t="shared" si="8"/>
        <v>5705959.5799999991</v>
      </c>
      <c r="O8" s="15">
        <f t="shared" si="9"/>
        <v>91467.089999999982</v>
      </c>
      <c r="P8" s="15">
        <f t="shared" si="10"/>
        <v>73173.671999999991</v>
      </c>
      <c r="Q8" s="15">
        <f t="shared" si="11"/>
        <v>54880.253999999994</v>
      </c>
      <c r="R8" s="15">
        <v>0</v>
      </c>
      <c r="S8" s="15">
        <f t="shared" si="12"/>
        <v>5925480.595999999</v>
      </c>
      <c r="T8" s="15">
        <v>30000</v>
      </c>
      <c r="U8" s="15">
        <f t="shared" si="15"/>
        <v>684715.14959999989</v>
      </c>
      <c r="V8" s="15">
        <f t="shared" si="16"/>
        <v>26342.521919999996</v>
      </c>
      <c r="W8" s="15">
        <f t="shared" si="13"/>
        <v>399500</v>
      </c>
      <c r="X8" s="16">
        <v>6000</v>
      </c>
      <c r="Y8" s="16">
        <f t="shared" si="14"/>
        <v>7072038.2675199993</v>
      </c>
      <c r="Z8" s="17"/>
      <c r="AA8" s="17" t="s">
        <v>149</v>
      </c>
      <c r="AB8" s="17" t="s">
        <v>37</v>
      </c>
      <c r="AC8" s="17" t="s">
        <v>150</v>
      </c>
      <c r="AD8" s="17">
        <v>16385</v>
      </c>
      <c r="AE8" s="17">
        <v>0</v>
      </c>
      <c r="AF8" s="17">
        <v>33</v>
      </c>
      <c r="AG8" s="17">
        <v>0</v>
      </c>
      <c r="AH8" s="19" t="s">
        <v>146</v>
      </c>
      <c r="AI8" s="17" t="s">
        <v>84</v>
      </c>
    </row>
    <row r="9" spans="1:35" ht="15.75" customHeight="1" x14ac:dyDescent="0.2">
      <c r="A9" s="12" t="s">
        <v>78</v>
      </c>
      <c r="B9" s="59">
        <f t="shared" ref="B9:B10" si="17">C9+E9</f>
        <v>27.64</v>
      </c>
      <c r="C9" s="13">
        <v>20.71</v>
      </c>
      <c r="D9" s="60">
        <f t="shared" si="1"/>
        <v>222.92243999999999</v>
      </c>
      <c r="E9" s="59">
        <v>6.93</v>
      </c>
      <c r="F9" s="60">
        <f t="shared" si="2"/>
        <v>74.594519999999989</v>
      </c>
      <c r="G9" s="60">
        <f t="shared" si="3"/>
        <v>297.51695999999998</v>
      </c>
      <c r="H9" s="60">
        <f t="shared" si="4"/>
        <v>446.27544</v>
      </c>
      <c r="I9" s="15">
        <f t="shared" si="5"/>
        <v>6917269.3200000003</v>
      </c>
      <c r="J9" s="15">
        <v>500000</v>
      </c>
      <c r="K9" s="30">
        <v>35000</v>
      </c>
      <c r="L9" s="15">
        <f t="shared" si="6"/>
        <v>7452269.3200000003</v>
      </c>
      <c r="M9" s="15">
        <f t="shared" si="7"/>
        <v>0</v>
      </c>
      <c r="N9" s="15">
        <f t="shared" si="8"/>
        <v>7452269.3200000003</v>
      </c>
      <c r="O9" s="15">
        <f t="shared" si="9"/>
        <v>111568.86</v>
      </c>
      <c r="P9" s="15">
        <f t="shared" si="10"/>
        <v>89255.088000000003</v>
      </c>
      <c r="Q9" s="15">
        <f t="shared" si="11"/>
        <v>66941.316000000006</v>
      </c>
      <c r="R9" s="15">
        <v>0</v>
      </c>
      <c r="S9" s="15">
        <f t="shared" si="12"/>
        <v>7720034.5840000007</v>
      </c>
      <c r="T9" s="15">
        <v>30000</v>
      </c>
      <c r="U9" s="15">
        <f t="shared" si="15"/>
        <v>894272.31839999999</v>
      </c>
      <c r="V9" s="15">
        <f t="shared" si="16"/>
        <v>32131.831679999999</v>
      </c>
      <c r="W9" s="15">
        <f t="shared" si="13"/>
        <v>521700</v>
      </c>
      <c r="X9" s="16">
        <v>6000</v>
      </c>
      <c r="Y9" s="16">
        <f t="shared" si="14"/>
        <v>9204138.7340799998</v>
      </c>
      <c r="Z9" s="17"/>
      <c r="AA9" s="17" t="s">
        <v>151</v>
      </c>
      <c r="AB9" s="17"/>
      <c r="AC9" s="17"/>
      <c r="AD9" s="17">
        <v>13014</v>
      </c>
      <c r="AE9" s="17" t="s">
        <v>152</v>
      </c>
      <c r="AF9" s="19">
        <v>161</v>
      </c>
      <c r="AG9" s="17" t="s">
        <v>45</v>
      </c>
      <c r="AH9" s="19" t="s">
        <v>146</v>
      </c>
      <c r="AI9" s="17" t="s">
        <v>46</v>
      </c>
    </row>
    <row r="10" spans="1:35" ht="15.75" customHeight="1" x14ac:dyDescent="0.2">
      <c r="A10" s="12" t="s">
        <v>81</v>
      </c>
      <c r="B10" s="59">
        <f t="shared" si="17"/>
        <v>27.82</v>
      </c>
      <c r="C10" s="13">
        <v>20.84</v>
      </c>
      <c r="D10" s="13">
        <f t="shared" si="1"/>
        <v>224.32175999999998</v>
      </c>
      <c r="E10" s="59">
        <v>6.98</v>
      </c>
      <c r="F10" s="31">
        <v>75.13</v>
      </c>
      <c r="G10" s="13">
        <f t="shared" si="3"/>
        <v>299.45175999999998</v>
      </c>
      <c r="H10" s="60">
        <f t="shared" si="4"/>
        <v>449.17764</v>
      </c>
      <c r="I10" s="15">
        <f t="shared" si="5"/>
        <v>6962253.4199999999</v>
      </c>
      <c r="J10" s="30">
        <v>500000</v>
      </c>
      <c r="K10" s="30">
        <v>0</v>
      </c>
      <c r="L10" s="15">
        <f t="shared" si="6"/>
        <v>7462253.4199999999</v>
      </c>
      <c r="M10" s="15">
        <f t="shared" si="7"/>
        <v>0</v>
      </c>
      <c r="N10" s="15">
        <f t="shared" si="8"/>
        <v>7462253.4199999999</v>
      </c>
      <c r="O10" s="15">
        <f t="shared" si="9"/>
        <v>112294.41</v>
      </c>
      <c r="P10" s="15">
        <f t="shared" si="10"/>
        <v>89835.528000000006</v>
      </c>
      <c r="Q10" s="15">
        <f t="shared" si="11"/>
        <v>67376.645999999993</v>
      </c>
      <c r="R10" s="15">
        <v>0</v>
      </c>
      <c r="S10" s="15">
        <f t="shared" si="12"/>
        <v>7731760.0039999997</v>
      </c>
      <c r="T10" s="15">
        <v>30000</v>
      </c>
      <c r="U10" s="15">
        <f t="shared" si="15"/>
        <v>895470.41039999994</v>
      </c>
      <c r="V10" s="15">
        <f t="shared" si="16"/>
        <v>32340.790079999999</v>
      </c>
      <c r="W10" s="15">
        <f t="shared" si="13"/>
        <v>522400</v>
      </c>
      <c r="X10" s="16">
        <v>6000</v>
      </c>
      <c r="Y10" s="16">
        <f t="shared" si="14"/>
        <v>9217971.2044799998</v>
      </c>
      <c r="Z10" s="19" t="s">
        <v>153</v>
      </c>
      <c r="AA10" s="19" t="s">
        <v>154</v>
      </c>
      <c r="AB10" s="19" t="s">
        <v>37</v>
      </c>
      <c r="AC10" s="19" t="s">
        <v>87</v>
      </c>
      <c r="AD10" s="17"/>
      <c r="AE10" s="19">
        <v>0</v>
      </c>
      <c r="AF10" s="17"/>
      <c r="AG10" s="19">
        <v>0</v>
      </c>
      <c r="AH10" s="17"/>
      <c r="AI10" s="19">
        <v>0</v>
      </c>
    </row>
    <row r="11" spans="1:35" ht="15.75" customHeight="1" x14ac:dyDescent="0.2">
      <c r="A11" s="12" t="s">
        <v>85</v>
      </c>
      <c r="B11" s="59">
        <v>22.93</v>
      </c>
      <c r="C11" s="13">
        <v>17.13</v>
      </c>
      <c r="D11" s="60">
        <f t="shared" si="1"/>
        <v>184.38731999999999</v>
      </c>
      <c r="E11" s="61">
        <v>5.71</v>
      </c>
      <c r="F11" s="60">
        <f t="shared" ref="F11:F26" si="18">E11*10.764</f>
        <v>61.462439999999994</v>
      </c>
      <c r="G11" s="60">
        <f t="shared" si="3"/>
        <v>245.84975999999997</v>
      </c>
      <c r="H11" s="60">
        <f t="shared" si="4"/>
        <v>368.77463999999998</v>
      </c>
      <c r="I11" s="15">
        <f t="shared" si="5"/>
        <v>5716006.9199999999</v>
      </c>
      <c r="J11" s="15">
        <v>0</v>
      </c>
      <c r="K11" s="30">
        <v>35000</v>
      </c>
      <c r="L11" s="15">
        <f t="shared" si="6"/>
        <v>5751006.9199999999</v>
      </c>
      <c r="M11" s="15">
        <f t="shared" si="7"/>
        <v>0</v>
      </c>
      <c r="N11" s="15">
        <f t="shared" si="8"/>
        <v>5751006.9199999999</v>
      </c>
      <c r="O11" s="15">
        <f t="shared" si="9"/>
        <v>92193.659999999989</v>
      </c>
      <c r="P11" s="15">
        <f t="shared" si="10"/>
        <v>73754.928</v>
      </c>
      <c r="Q11" s="15">
        <f t="shared" si="11"/>
        <v>55316.195999999996</v>
      </c>
      <c r="R11" s="15">
        <v>0</v>
      </c>
      <c r="S11" s="15">
        <f t="shared" si="12"/>
        <v>5972271.7039999999</v>
      </c>
      <c r="T11" s="15">
        <v>30000</v>
      </c>
      <c r="U11" s="15">
        <f t="shared" si="15"/>
        <v>690120.83039999998</v>
      </c>
      <c r="V11" s="15">
        <f t="shared" si="16"/>
        <v>26551.774079999996</v>
      </c>
      <c r="W11" s="15">
        <f t="shared" si="13"/>
        <v>402600</v>
      </c>
      <c r="X11" s="16">
        <v>6000</v>
      </c>
      <c r="Y11" s="16">
        <f t="shared" si="14"/>
        <v>7127544.3084800001</v>
      </c>
      <c r="Z11" s="17"/>
      <c r="AA11" s="17" t="s">
        <v>155</v>
      </c>
      <c r="AB11" s="17" t="s">
        <v>37</v>
      </c>
      <c r="AC11" s="17" t="s">
        <v>156</v>
      </c>
      <c r="AD11" s="17">
        <v>15115</v>
      </c>
      <c r="AE11" s="17">
        <v>0</v>
      </c>
      <c r="AF11" s="17">
        <v>9</v>
      </c>
      <c r="AG11" s="17">
        <v>0</v>
      </c>
      <c r="AH11" s="19" t="s">
        <v>146</v>
      </c>
      <c r="AI11" s="17" t="s">
        <v>46</v>
      </c>
    </row>
    <row r="12" spans="1:35" ht="15.75" customHeight="1" x14ac:dyDescent="0.2">
      <c r="A12" s="12" t="s">
        <v>88</v>
      </c>
      <c r="B12" s="59">
        <f t="shared" ref="B12:B16" si="19">C12+E12</f>
        <v>22.659999999999997</v>
      </c>
      <c r="C12" s="13">
        <v>16.989999999999998</v>
      </c>
      <c r="D12" s="60">
        <f t="shared" si="1"/>
        <v>182.88035999999997</v>
      </c>
      <c r="E12" s="59">
        <v>5.67</v>
      </c>
      <c r="F12" s="60">
        <f t="shared" si="18"/>
        <v>61.031879999999994</v>
      </c>
      <c r="G12" s="60">
        <f t="shared" si="3"/>
        <v>243.91223999999997</v>
      </c>
      <c r="H12" s="60">
        <f t="shared" si="4"/>
        <v>365.86835999999994</v>
      </c>
      <c r="I12" s="15">
        <f t="shared" si="5"/>
        <v>5670959.5799999991</v>
      </c>
      <c r="J12" s="62">
        <v>500000</v>
      </c>
      <c r="K12" s="30">
        <v>35000</v>
      </c>
      <c r="L12" s="15">
        <f t="shared" si="6"/>
        <v>6205959.5799999991</v>
      </c>
      <c r="M12" s="15">
        <f t="shared" si="7"/>
        <v>0</v>
      </c>
      <c r="N12" s="15">
        <f t="shared" si="8"/>
        <v>6205959.5799999991</v>
      </c>
      <c r="O12" s="15">
        <f t="shared" si="9"/>
        <v>91467.089999999982</v>
      </c>
      <c r="P12" s="15">
        <f t="shared" si="10"/>
        <v>73173.671999999991</v>
      </c>
      <c r="Q12" s="15">
        <f t="shared" si="11"/>
        <v>54880.253999999994</v>
      </c>
      <c r="R12" s="15">
        <v>0</v>
      </c>
      <c r="S12" s="15">
        <f t="shared" si="12"/>
        <v>6425480.595999999</v>
      </c>
      <c r="T12" s="15">
        <v>30000</v>
      </c>
      <c r="U12" s="15">
        <f t="shared" si="15"/>
        <v>744715.14959999989</v>
      </c>
      <c r="V12" s="15">
        <f t="shared" si="16"/>
        <v>26342.521919999996</v>
      </c>
      <c r="W12" s="15">
        <f t="shared" si="13"/>
        <v>434500</v>
      </c>
      <c r="X12" s="16">
        <v>6000</v>
      </c>
      <c r="Y12" s="16">
        <f t="shared" si="14"/>
        <v>7667038.2675199993</v>
      </c>
      <c r="Z12" s="17"/>
      <c r="AA12" s="17" t="s">
        <v>157</v>
      </c>
      <c r="AB12" s="17" t="s">
        <v>37</v>
      </c>
      <c r="AC12" s="17" t="s">
        <v>144</v>
      </c>
      <c r="AD12" s="17">
        <v>10500</v>
      </c>
      <c r="AE12" s="17" t="s">
        <v>158</v>
      </c>
      <c r="AF12" s="19">
        <v>112</v>
      </c>
      <c r="AG12" s="17" t="s">
        <v>45</v>
      </c>
      <c r="AH12" s="19" t="s">
        <v>146</v>
      </c>
      <c r="AI12" s="17" t="s">
        <v>46</v>
      </c>
    </row>
    <row r="13" spans="1:35" ht="15.75" customHeight="1" x14ac:dyDescent="0.2">
      <c r="A13" s="12" t="s">
        <v>90</v>
      </c>
      <c r="B13" s="59">
        <f t="shared" si="19"/>
        <v>22.84</v>
      </c>
      <c r="C13" s="13">
        <v>17.13</v>
      </c>
      <c r="D13" s="60">
        <f t="shared" si="1"/>
        <v>184.38731999999999</v>
      </c>
      <c r="E13" s="59">
        <v>5.71</v>
      </c>
      <c r="F13" s="60">
        <f t="shared" si="18"/>
        <v>61.462439999999994</v>
      </c>
      <c r="G13" s="60">
        <f t="shared" si="3"/>
        <v>245.84975999999997</v>
      </c>
      <c r="H13" s="60">
        <f t="shared" si="4"/>
        <v>368.77463999999998</v>
      </c>
      <c r="I13" s="15">
        <f t="shared" si="5"/>
        <v>5716006.9199999999</v>
      </c>
      <c r="J13" s="63">
        <v>500000</v>
      </c>
      <c r="K13" s="30">
        <v>35000</v>
      </c>
      <c r="L13" s="15">
        <f t="shared" si="6"/>
        <v>6251006.9199999999</v>
      </c>
      <c r="M13" s="15">
        <f t="shared" si="7"/>
        <v>0</v>
      </c>
      <c r="N13" s="15">
        <f t="shared" si="8"/>
        <v>6251006.9199999999</v>
      </c>
      <c r="O13" s="15">
        <f t="shared" si="9"/>
        <v>92193.659999999989</v>
      </c>
      <c r="P13" s="15">
        <f t="shared" si="10"/>
        <v>73754.928</v>
      </c>
      <c r="Q13" s="15">
        <f t="shared" si="11"/>
        <v>55316.195999999996</v>
      </c>
      <c r="R13" s="15">
        <v>0</v>
      </c>
      <c r="S13" s="15">
        <f t="shared" si="12"/>
        <v>6472271.7039999999</v>
      </c>
      <c r="T13" s="15">
        <v>30000</v>
      </c>
      <c r="U13" s="15">
        <f t="shared" si="15"/>
        <v>750120.83039999998</v>
      </c>
      <c r="V13" s="15">
        <f t="shared" si="16"/>
        <v>26551.774079999996</v>
      </c>
      <c r="W13" s="15">
        <f t="shared" si="13"/>
        <v>437600</v>
      </c>
      <c r="X13" s="16">
        <v>6000</v>
      </c>
      <c r="Y13" s="16">
        <f t="shared" si="14"/>
        <v>7722544.3084800001</v>
      </c>
      <c r="Z13" s="17"/>
      <c r="AA13" s="17" t="s">
        <v>159</v>
      </c>
      <c r="AB13" s="17" t="s">
        <v>37</v>
      </c>
      <c r="AC13" s="17" t="s">
        <v>160</v>
      </c>
      <c r="AD13" s="17">
        <v>11500</v>
      </c>
      <c r="AE13" s="17" t="s">
        <v>161</v>
      </c>
      <c r="AF13" s="19">
        <v>155</v>
      </c>
      <c r="AG13" s="17" t="s">
        <v>45</v>
      </c>
      <c r="AH13" s="19" t="s">
        <v>146</v>
      </c>
      <c r="AI13" s="17" t="s">
        <v>46</v>
      </c>
    </row>
    <row r="14" spans="1:35" ht="15.75" customHeight="1" x14ac:dyDescent="0.2">
      <c r="A14" s="4" t="s">
        <v>95</v>
      </c>
      <c r="B14" s="64">
        <f t="shared" si="19"/>
        <v>34.380000000000003</v>
      </c>
      <c r="C14" s="20">
        <v>25.71</v>
      </c>
      <c r="D14" s="20">
        <f t="shared" si="1"/>
        <v>276.74243999999999</v>
      </c>
      <c r="E14" s="64">
        <v>8.67</v>
      </c>
      <c r="F14" s="20">
        <f t="shared" si="18"/>
        <v>93.323879999999988</v>
      </c>
      <c r="G14" s="20">
        <f t="shared" si="3"/>
        <v>370.06631999999996</v>
      </c>
      <c r="H14" s="65">
        <f t="shared" si="4"/>
        <v>555.09947999999997</v>
      </c>
      <c r="I14" s="22">
        <f t="shared" si="5"/>
        <v>8604041.9399999995</v>
      </c>
      <c r="J14" s="23">
        <v>0</v>
      </c>
      <c r="K14" s="23">
        <v>200000</v>
      </c>
      <c r="L14" s="22">
        <f t="shared" si="6"/>
        <v>8804041.9399999995</v>
      </c>
      <c r="M14" s="22">
        <f t="shared" si="7"/>
        <v>0</v>
      </c>
      <c r="N14" s="22">
        <f t="shared" si="8"/>
        <v>8804041.9399999995</v>
      </c>
      <c r="O14" s="22">
        <f t="shared" si="9"/>
        <v>138774.87</v>
      </c>
      <c r="P14" s="22">
        <f t="shared" si="10"/>
        <v>111019.89599999999</v>
      </c>
      <c r="Q14" s="22">
        <f t="shared" si="11"/>
        <v>83264.921999999991</v>
      </c>
      <c r="R14" s="22">
        <v>0</v>
      </c>
      <c r="S14" s="22">
        <f t="shared" si="12"/>
        <v>9137101.6279999986</v>
      </c>
      <c r="T14" s="22">
        <v>30000</v>
      </c>
      <c r="U14" s="22">
        <f t="shared" si="15"/>
        <v>1056485.0327999999</v>
      </c>
      <c r="V14" s="22">
        <f>(12%*O14)+(12%*P14)</f>
        <v>29975.371919999998</v>
      </c>
      <c r="W14" s="22">
        <f t="shared" si="13"/>
        <v>616300</v>
      </c>
      <c r="X14" s="24">
        <v>6000</v>
      </c>
      <c r="Y14" s="24">
        <f t="shared" si="14"/>
        <v>10875862.03272</v>
      </c>
      <c r="Z14" s="25"/>
      <c r="AA14" s="25"/>
      <c r="AB14" s="25"/>
      <c r="AC14" s="25"/>
      <c r="AD14" s="25"/>
      <c r="AE14" s="26">
        <v>0</v>
      </c>
      <c r="AF14" s="26" t="s">
        <v>162</v>
      </c>
      <c r="AG14" s="25"/>
      <c r="AH14" s="26" t="s">
        <v>45</v>
      </c>
      <c r="AI14" s="25" t="s">
        <v>46</v>
      </c>
    </row>
    <row r="15" spans="1:35" ht="15.75" customHeight="1" x14ac:dyDescent="0.2">
      <c r="A15" s="66" t="s">
        <v>99</v>
      </c>
      <c r="B15" s="59">
        <f t="shared" si="19"/>
        <v>35.010000000000005</v>
      </c>
      <c r="C15" s="13">
        <v>23.69</v>
      </c>
      <c r="D15" s="59">
        <f t="shared" si="1"/>
        <v>254.99915999999999</v>
      </c>
      <c r="E15" s="59">
        <v>11.32</v>
      </c>
      <c r="F15" s="59">
        <f t="shared" si="18"/>
        <v>121.84848</v>
      </c>
      <c r="G15" s="59">
        <f t="shared" si="3"/>
        <v>376.84763999999996</v>
      </c>
      <c r="H15" s="60">
        <f t="shared" si="4"/>
        <v>565.27145999999993</v>
      </c>
      <c r="I15" s="15">
        <f t="shared" si="5"/>
        <v>8761707.629999999</v>
      </c>
      <c r="J15" s="15">
        <v>500000</v>
      </c>
      <c r="K15" s="15">
        <v>35000</v>
      </c>
      <c r="L15" s="15">
        <f t="shared" si="6"/>
        <v>9296707.629999999</v>
      </c>
      <c r="M15" s="15">
        <f t="shared" si="7"/>
        <v>0</v>
      </c>
      <c r="N15" s="15">
        <f t="shared" si="8"/>
        <v>9296707.629999999</v>
      </c>
      <c r="O15" s="15">
        <f t="shared" si="9"/>
        <v>141317.86499999999</v>
      </c>
      <c r="P15" s="15">
        <f t="shared" si="10"/>
        <v>113054.29199999999</v>
      </c>
      <c r="Q15" s="15">
        <f t="shared" si="11"/>
        <v>84790.718999999983</v>
      </c>
      <c r="R15" s="15">
        <v>0</v>
      </c>
      <c r="S15" s="15">
        <f t="shared" si="12"/>
        <v>9635870.5059999991</v>
      </c>
      <c r="T15" s="15">
        <v>30000</v>
      </c>
      <c r="U15" s="15">
        <f t="shared" si="15"/>
        <v>1115604.9155999999</v>
      </c>
      <c r="V15" s="15">
        <f t="shared" ref="V15:V17" si="20">(12%*O15)+(12%*P15)+(12%*Q15)</f>
        <v>40699.545119999995</v>
      </c>
      <c r="W15" s="15">
        <f t="shared" si="13"/>
        <v>650800</v>
      </c>
      <c r="X15" s="16">
        <v>6000</v>
      </c>
      <c r="Y15" s="16">
        <f t="shared" si="14"/>
        <v>11478974.96672</v>
      </c>
      <c r="Z15" s="17"/>
      <c r="AA15" s="17" t="s">
        <v>163</v>
      </c>
      <c r="AB15" s="17" t="s">
        <v>37</v>
      </c>
      <c r="AC15" s="17" t="s">
        <v>144</v>
      </c>
      <c r="AD15" s="17">
        <v>10000</v>
      </c>
      <c r="AE15" s="17" t="s">
        <v>164</v>
      </c>
      <c r="AF15" s="19">
        <v>117</v>
      </c>
      <c r="AG15" s="17" t="s">
        <v>45</v>
      </c>
      <c r="AH15" s="19" t="s">
        <v>146</v>
      </c>
      <c r="AI15" s="17" t="s">
        <v>46</v>
      </c>
    </row>
    <row r="16" spans="1:35" ht="15.75" customHeight="1" x14ac:dyDescent="0.2">
      <c r="A16" s="66" t="s">
        <v>102</v>
      </c>
      <c r="B16" s="59">
        <f t="shared" si="19"/>
        <v>31.7</v>
      </c>
      <c r="C16" s="13">
        <v>21.47</v>
      </c>
      <c r="D16" s="59">
        <f t="shared" si="1"/>
        <v>231.10307999999998</v>
      </c>
      <c r="E16" s="59">
        <v>10.23</v>
      </c>
      <c r="F16" s="59">
        <f t="shared" si="18"/>
        <v>110.11572</v>
      </c>
      <c r="G16" s="59">
        <f t="shared" si="3"/>
        <v>341.21879999999999</v>
      </c>
      <c r="H16" s="60">
        <f t="shared" si="4"/>
        <v>511.82819999999998</v>
      </c>
      <c r="I16" s="15">
        <f t="shared" si="5"/>
        <v>7933337.0999999996</v>
      </c>
      <c r="J16" s="15">
        <v>500000</v>
      </c>
      <c r="K16" s="15">
        <v>35000</v>
      </c>
      <c r="L16" s="15">
        <f t="shared" si="6"/>
        <v>8468337.0999999996</v>
      </c>
      <c r="M16" s="15">
        <f t="shared" si="7"/>
        <v>0</v>
      </c>
      <c r="N16" s="15">
        <f t="shared" si="8"/>
        <v>8468337.0999999996</v>
      </c>
      <c r="O16" s="15">
        <f t="shared" si="9"/>
        <v>127957.04999999999</v>
      </c>
      <c r="P16" s="15">
        <f t="shared" si="10"/>
        <v>102365.64</v>
      </c>
      <c r="Q16" s="15">
        <f t="shared" si="11"/>
        <v>76774.23</v>
      </c>
      <c r="R16" s="15">
        <v>0</v>
      </c>
      <c r="S16" s="15">
        <f t="shared" si="12"/>
        <v>8775434.0200000014</v>
      </c>
      <c r="T16" s="15">
        <v>30000</v>
      </c>
      <c r="U16" s="15">
        <f t="shared" si="15"/>
        <v>1016200.4519999999</v>
      </c>
      <c r="V16" s="15">
        <f t="shared" si="20"/>
        <v>36851.630399999995</v>
      </c>
      <c r="W16" s="15">
        <f t="shared" si="13"/>
        <v>592800</v>
      </c>
      <c r="X16" s="16">
        <v>6000</v>
      </c>
      <c r="Y16" s="16">
        <f t="shared" si="14"/>
        <v>10457286.102400001</v>
      </c>
      <c r="Z16" s="17"/>
      <c r="AA16" s="17" t="s">
        <v>165</v>
      </c>
      <c r="AB16" s="17" t="s">
        <v>37</v>
      </c>
      <c r="AC16" s="17" t="s">
        <v>144</v>
      </c>
      <c r="AD16" s="17">
        <v>10000</v>
      </c>
      <c r="AE16" s="17">
        <v>0</v>
      </c>
      <c r="AF16" s="19">
        <v>116</v>
      </c>
      <c r="AG16" s="17">
        <v>0</v>
      </c>
      <c r="AH16" s="19" t="s">
        <v>146</v>
      </c>
      <c r="AI16" s="17" t="s">
        <v>46</v>
      </c>
    </row>
    <row r="17" spans="1:35" ht="15.75" customHeight="1" x14ac:dyDescent="0.2">
      <c r="A17" s="12" t="s">
        <v>166</v>
      </c>
      <c r="B17" s="59">
        <v>28.21</v>
      </c>
      <c r="C17" s="13">
        <v>20.059999999999999</v>
      </c>
      <c r="D17" s="59">
        <f t="shared" si="1"/>
        <v>215.92583999999997</v>
      </c>
      <c r="E17" s="61">
        <v>9.56</v>
      </c>
      <c r="F17" s="59">
        <f t="shared" si="18"/>
        <v>102.90384</v>
      </c>
      <c r="G17" s="59">
        <f t="shared" si="3"/>
        <v>318.82967999999994</v>
      </c>
      <c r="H17" s="60">
        <f t="shared" si="4"/>
        <v>478.24451999999991</v>
      </c>
      <c r="I17" s="15">
        <f t="shared" si="5"/>
        <v>7412790.0599999987</v>
      </c>
      <c r="J17" s="15">
        <v>500000</v>
      </c>
      <c r="K17" s="15">
        <v>35000</v>
      </c>
      <c r="L17" s="15">
        <f t="shared" si="6"/>
        <v>7947790.0599999987</v>
      </c>
      <c r="M17" s="15">
        <f t="shared" si="7"/>
        <v>0</v>
      </c>
      <c r="N17" s="15">
        <f t="shared" si="8"/>
        <v>7947790.0599999987</v>
      </c>
      <c r="O17" s="15">
        <f t="shared" si="9"/>
        <v>119561.12999999998</v>
      </c>
      <c r="P17" s="15">
        <f t="shared" si="10"/>
        <v>95648.90399999998</v>
      </c>
      <c r="Q17" s="15">
        <f t="shared" si="11"/>
        <v>71736.677999999985</v>
      </c>
      <c r="R17" s="15">
        <v>0</v>
      </c>
      <c r="S17" s="15">
        <f t="shared" si="12"/>
        <v>8234736.7719999989</v>
      </c>
      <c r="T17" s="15">
        <v>30000</v>
      </c>
      <c r="U17" s="15">
        <f t="shared" si="15"/>
        <v>953734.80719999981</v>
      </c>
      <c r="V17" s="15">
        <f t="shared" si="20"/>
        <v>34433.605439999992</v>
      </c>
      <c r="W17" s="15">
        <f t="shared" si="13"/>
        <v>556400</v>
      </c>
      <c r="X17" s="16">
        <v>6000</v>
      </c>
      <c r="Y17" s="16">
        <f t="shared" si="14"/>
        <v>9815305.1846399996</v>
      </c>
      <c r="Z17" s="17"/>
      <c r="AA17" s="17" t="s">
        <v>167</v>
      </c>
      <c r="AB17" s="17" t="s">
        <v>168</v>
      </c>
      <c r="AC17" s="17" t="s">
        <v>169</v>
      </c>
      <c r="AD17" s="17">
        <v>14250</v>
      </c>
      <c r="AE17" s="17" t="s">
        <v>170</v>
      </c>
      <c r="AF17" s="19">
        <v>156</v>
      </c>
      <c r="AG17" s="17" t="s">
        <v>45</v>
      </c>
      <c r="AH17" s="19" t="s">
        <v>146</v>
      </c>
      <c r="AI17" s="17" t="s">
        <v>46</v>
      </c>
    </row>
    <row r="18" spans="1:35" ht="15.75" customHeight="1" x14ac:dyDescent="0.2">
      <c r="A18" s="28" t="s">
        <v>111</v>
      </c>
      <c r="B18" s="64">
        <f t="shared" ref="B18:B19" si="21">C18+E18</f>
        <v>35.010000000000005</v>
      </c>
      <c r="C18" s="20">
        <v>23.69</v>
      </c>
      <c r="D18" s="20">
        <f t="shared" si="1"/>
        <v>254.99915999999999</v>
      </c>
      <c r="E18" s="64">
        <v>11.32</v>
      </c>
      <c r="F18" s="20">
        <f t="shared" si="18"/>
        <v>121.84848</v>
      </c>
      <c r="G18" s="20">
        <f t="shared" si="3"/>
        <v>376.84763999999996</v>
      </c>
      <c r="H18" s="65">
        <f t="shared" si="4"/>
        <v>565.27145999999993</v>
      </c>
      <c r="I18" s="22">
        <f t="shared" si="5"/>
        <v>8761707.629999999</v>
      </c>
      <c r="J18" s="67">
        <v>0</v>
      </c>
      <c r="K18" s="23">
        <v>200000</v>
      </c>
      <c r="L18" s="22">
        <f t="shared" si="6"/>
        <v>8961707.629999999</v>
      </c>
      <c r="M18" s="22">
        <f t="shared" si="7"/>
        <v>0</v>
      </c>
      <c r="N18" s="22">
        <f t="shared" si="8"/>
        <v>8961707.629999999</v>
      </c>
      <c r="O18" s="22">
        <f t="shared" si="9"/>
        <v>141317.86499999999</v>
      </c>
      <c r="P18" s="22">
        <f t="shared" si="10"/>
        <v>113054.29199999999</v>
      </c>
      <c r="Q18" s="22">
        <f t="shared" si="11"/>
        <v>84790.718999999983</v>
      </c>
      <c r="R18" s="22">
        <v>0</v>
      </c>
      <c r="S18" s="22">
        <f t="shared" si="12"/>
        <v>9300870.5059999991</v>
      </c>
      <c r="T18" s="22">
        <v>30000</v>
      </c>
      <c r="U18" s="22">
        <f t="shared" si="15"/>
        <v>1075404.9155999999</v>
      </c>
      <c r="V18" s="22">
        <f t="shared" ref="V18:V19" si="22">(12%*O18)+(12%*P18)</f>
        <v>30524.658839999996</v>
      </c>
      <c r="W18" s="22">
        <f t="shared" si="13"/>
        <v>627400</v>
      </c>
      <c r="X18" s="24">
        <v>6000</v>
      </c>
      <c r="Y18" s="24">
        <f t="shared" si="14"/>
        <v>11070200.08044</v>
      </c>
      <c r="Z18" s="25"/>
      <c r="AA18" s="25"/>
      <c r="AB18" s="25"/>
      <c r="AC18" s="25"/>
      <c r="AD18" s="26">
        <v>0</v>
      </c>
      <c r="AE18" s="26">
        <v>0</v>
      </c>
      <c r="AF18" s="68">
        <v>176177</v>
      </c>
      <c r="AG18" s="26">
        <v>0</v>
      </c>
      <c r="AH18" s="26" t="s">
        <v>171</v>
      </c>
      <c r="AI18" s="26" t="s">
        <v>84</v>
      </c>
    </row>
    <row r="19" spans="1:35" ht="15.75" customHeight="1" x14ac:dyDescent="0.2">
      <c r="A19" s="28" t="s">
        <v>115</v>
      </c>
      <c r="B19" s="64">
        <f t="shared" si="21"/>
        <v>31.7</v>
      </c>
      <c r="C19" s="20">
        <v>21.47</v>
      </c>
      <c r="D19" s="20">
        <f t="shared" si="1"/>
        <v>231.10307999999998</v>
      </c>
      <c r="E19" s="64">
        <v>10.23</v>
      </c>
      <c r="F19" s="20">
        <f t="shared" si="18"/>
        <v>110.11572</v>
      </c>
      <c r="G19" s="20">
        <f t="shared" si="3"/>
        <v>341.21879999999999</v>
      </c>
      <c r="H19" s="65">
        <f t="shared" si="4"/>
        <v>511.82819999999998</v>
      </c>
      <c r="I19" s="22">
        <f t="shared" si="5"/>
        <v>7933337.0999999996</v>
      </c>
      <c r="J19" s="67">
        <v>0</v>
      </c>
      <c r="K19" s="23">
        <v>200000</v>
      </c>
      <c r="L19" s="22">
        <f t="shared" si="6"/>
        <v>8133337.0999999996</v>
      </c>
      <c r="M19" s="22">
        <f t="shared" si="7"/>
        <v>0</v>
      </c>
      <c r="N19" s="22">
        <f t="shared" si="8"/>
        <v>8133337.0999999996</v>
      </c>
      <c r="O19" s="22">
        <f t="shared" si="9"/>
        <v>127957.04999999999</v>
      </c>
      <c r="P19" s="22">
        <f t="shared" si="10"/>
        <v>102365.64</v>
      </c>
      <c r="Q19" s="22">
        <f t="shared" si="11"/>
        <v>76774.23</v>
      </c>
      <c r="R19" s="22">
        <v>0</v>
      </c>
      <c r="S19" s="22">
        <f t="shared" si="12"/>
        <v>8440434.0199999996</v>
      </c>
      <c r="T19" s="22">
        <v>30000</v>
      </c>
      <c r="U19" s="22">
        <f t="shared" si="15"/>
        <v>976000.45199999993</v>
      </c>
      <c r="V19" s="22">
        <f t="shared" si="22"/>
        <v>27638.722799999996</v>
      </c>
      <c r="W19" s="22">
        <f t="shared" si="13"/>
        <v>569400</v>
      </c>
      <c r="X19" s="24">
        <v>6000</v>
      </c>
      <c r="Y19" s="24">
        <f t="shared" si="14"/>
        <v>10049473.194799999</v>
      </c>
      <c r="Z19" s="25"/>
      <c r="AA19" s="25"/>
      <c r="AB19" s="25"/>
      <c r="AC19" s="25"/>
      <c r="AD19" s="25"/>
      <c r="AE19" s="26">
        <v>0</v>
      </c>
      <c r="AF19" s="26" t="s">
        <v>172</v>
      </c>
      <c r="AG19" s="26">
        <v>0</v>
      </c>
      <c r="AH19" s="26" t="s">
        <v>171</v>
      </c>
      <c r="AI19" s="26" t="s">
        <v>84</v>
      </c>
    </row>
    <row r="20" spans="1:35" ht="15.75" customHeight="1" x14ac:dyDescent="0.2">
      <c r="A20" s="12" t="s">
        <v>173</v>
      </c>
      <c r="B20" s="59">
        <v>28.21</v>
      </c>
      <c r="C20" s="13">
        <v>20.059999999999999</v>
      </c>
      <c r="D20" s="60">
        <f t="shared" si="1"/>
        <v>215.92583999999997</v>
      </c>
      <c r="E20" s="61">
        <v>9.56</v>
      </c>
      <c r="F20" s="60">
        <f t="shared" si="18"/>
        <v>102.90384</v>
      </c>
      <c r="G20" s="60">
        <f t="shared" si="3"/>
        <v>318.82967999999994</v>
      </c>
      <c r="H20" s="60">
        <f t="shared" si="4"/>
        <v>478.24451999999991</v>
      </c>
      <c r="I20" s="15">
        <f t="shared" si="5"/>
        <v>7412790.0599999987</v>
      </c>
      <c r="J20" s="15">
        <v>500000</v>
      </c>
      <c r="K20" s="30">
        <v>35000</v>
      </c>
      <c r="L20" s="15">
        <f t="shared" si="6"/>
        <v>7947790.0599999987</v>
      </c>
      <c r="M20" s="15">
        <f t="shared" si="7"/>
        <v>0</v>
      </c>
      <c r="N20" s="15">
        <f t="shared" si="8"/>
        <v>7947790.0599999987</v>
      </c>
      <c r="O20" s="15">
        <f t="shared" si="9"/>
        <v>119561.12999999998</v>
      </c>
      <c r="P20" s="15">
        <f t="shared" si="10"/>
        <v>95648.90399999998</v>
      </c>
      <c r="Q20" s="15">
        <f t="shared" si="11"/>
        <v>71736.677999999985</v>
      </c>
      <c r="R20" s="15">
        <v>0</v>
      </c>
      <c r="S20" s="15">
        <f t="shared" si="12"/>
        <v>8234736.7719999989</v>
      </c>
      <c r="T20" s="15">
        <v>30000</v>
      </c>
      <c r="U20" s="15">
        <f t="shared" si="15"/>
        <v>953734.80719999981</v>
      </c>
      <c r="V20" s="15">
        <f t="shared" ref="V20:V21" si="23">(12%*O20)+(12%*P20)+(12%*Q20)</f>
        <v>34433.605439999992</v>
      </c>
      <c r="W20" s="15">
        <f t="shared" si="13"/>
        <v>556400</v>
      </c>
      <c r="X20" s="16">
        <v>6000</v>
      </c>
      <c r="Y20" s="16">
        <f t="shared" si="14"/>
        <v>9815305.1846399996</v>
      </c>
      <c r="Z20" s="17"/>
      <c r="AA20" s="17" t="s">
        <v>174</v>
      </c>
      <c r="AB20" s="17" t="s">
        <v>175</v>
      </c>
      <c r="AC20" s="17" t="s">
        <v>176</v>
      </c>
      <c r="AD20" s="17">
        <v>10318</v>
      </c>
      <c r="AE20" s="17" t="s">
        <v>177</v>
      </c>
      <c r="AF20" s="17">
        <v>6</v>
      </c>
      <c r="AG20" s="17" t="s">
        <v>45</v>
      </c>
      <c r="AH20" s="17"/>
      <c r="AI20" s="17" t="s">
        <v>46</v>
      </c>
    </row>
    <row r="21" spans="1:35" ht="15.75" customHeight="1" x14ac:dyDescent="0.2">
      <c r="A21" s="69" t="s">
        <v>178</v>
      </c>
      <c r="B21" s="59">
        <f>C21+E21</f>
        <v>30</v>
      </c>
      <c r="C21" s="13">
        <v>20.38</v>
      </c>
      <c r="D21" s="60">
        <f t="shared" si="1"/>
        <v>219.37031999999996</v>
      </c>
      <c r="E21" s="59">
        <v>9.6199999999999992</v>
      </c>
      <c r="F21" s="60">
        <f t="shared" si="18"/>
        <v>103.54967999999998</v>
      </c>
      <c r="G21" s="60">
        <f t="shared" si="3"/>
        <v>322.91999999999996</v>
      </c>
      <c r="H21" s="60">
        <f t="shared" si="4"/>
        <v>484.37999999999994</v>
      </c>
      <c r="I21" s="15">
        <f t="shared" si="5"/>
        <v>7507889.9999999991</v>
      </c>
      <c r="J21" s="15">
        <v>500000</v>
      </c>
      <c r="K21" s="30">
        <v>35000</v>
      </c>
      <c r="L21" s="15">
        <f t="shared" si="6"/>
        <v>8042889.9999999991</v>
      </c>
      <c r="M21" s="15">
        <f t="shared" si="7"/>
        <v>0</v>
      </c>
      <c r="N21" s="15">
        <f t="shared" si="8"/>
        <v>8042889.9999999991</v>
      </c>
      <c r="O21" s="15">
        <f t="shared" si="9"/>
        <v>121094.99999999999</v>
      </c>
      <c r="P21" s="15">
        <f t="shared" si="10"/>
        <v>96875.999999999985</v>
      </c>
      <c r="Q21" s="15">
        <f t="shared" si="11"/>
        <v>72656.999999999985</v>
      </c>
      <c r="R21" s="15">
        <v>0</v>
      </c>
      <c r="S21" s="15">
        <f t="shared" si="12"/>
        <v>8333517.9999999991</v>
      </c>
      <c r="T21" s="15">
        <v>30000</v>
      </c>
      <c r="U21" s="15">
        <f t="shared" si="15"/>
        <v>965146.79999999981</v>
      </c>
      <c r="V21" s="15">
        <f t="shared" si="23"/>
        <v>34875.359999999993</v>
      </c>
      <c r="W21" s="15">
        <f t="shared" si="13"/>
        <v>563100</v>
      </c>
      <c r="X21" s="16">
        <v>6000</v>
      </c>
      <c r="Y21" s="16">
        <f t="shared" si="14"/>
        <v>9932640.1599999983</v>
      </c>
      <c r="Z21" s="70"/>
      <c r="AA21" s="17" t="s">
        <v>179</v>
      </c>
      <c r="AB21" s="17" t="s">
        <v>37</v>
      </c>
      <c r="AC21" s="17" t="s">
        <v>180</v>
      </c>
      <c r="AD21" s="17">
        <v>11340</v>
      </c>
      <c r="AE21" s="17" t="s">
        <v>181</v>
      </c>
      <c r="AF21" s="19">
        <v>154</v>
      </c>
      <c r="AG21" s="17" t="s">
        <v>45</v>
      </c>
      <c r="AH21" s="17"/>
      <c r="AI21" s="17" t="s">
        <v>46</v>
      </c>
    </row>
    <row r="22" spans="1:35" ht="15.75" customHeight="1" x14ac:dyDescent="0.2">
      <c r="A22" s="71" t="s">
        <v>182</v>
      </c>
      <c r="B22" s="72">
        <v>24.07</v>
      </c>
      <c r="C22" s="27">
        <v>16.21</v>
      </c>
      <c r="D22" s="20">
        <f t="shared" si="1"/>
        <v>174.48444000000001</v>
      </c>
      <c r="E22" s="72">
        <v>7.86</v>
      </c>
      <c r="F22" s="20">
        <f t="shared" si="18"/>
        <v>84.605040000000002</v>
      </c>
      <c r="G22" s="20">
        <f t="shared" si="3"/>
        <v>259.08947999999998</v>
      </c>
      <c r="H22" s="65">
        <f t="shared" si="4"/>
        <v>388.63421999999997</v>
      </c>
      <c r="I22" s="22">
        <f t="shared" si="5"/>
        <v>6023830.4099999992</v>
      </c>
      <c r="J22" s="73">
        <v>0</v>
      </c>
      <c r="K22" s="23">
        <v>200000</v>
      </c>
      <c r="L22" s="22">
        <f t="shared" si="6"/>
        <v>6223830.4099999992</v>
      </c>
      <c r="M22" s="22">
        <f t="shared" si="7"/>
        <v>0</v>
      </c>
      <c r="N22" s="22">
        <f t="shared" si="8"/>
        <v>6223830.4099999992</v>
      </c>
      <c r="O22" s="22">
        <f t="shared" si="9"/>
        <v>97158.554999999993</v>
      </c>
      <c r="P22" s="22">
        <f t="shared" si="10"/>
        <v>77726.843999999997</v>
      </c>
      <c r="Q22" s="22">
        <f t="shared" si="11"/>
        <v>58295.132999999994</v>
      </c>
      <c r="R22" s="22">
        <v>0</v>
      </c>
      <c r="S22" s="22">
        <f t="shared" si="12"/>
        <v>6457010.9419999989</v>
      </c>
      <c r="T22" s="22">
        <v>30000</v>
      </c>
      <c r="U22" s="22">
        <f t="shared" si="15"/>
        <v>746859.64919999987</v>
      </c>
      <c r="V22" s="22">
        <f t="shared" ref="V22:V23" si="24">(12%*O22)+(12%*P22)</f>
        <v>20986.247879999999</v>
      </c>
      <c r="W22" s="22">
        <f t="shared" si="13"/>
        <v>435700</v>
      </c>
      <c r="X22" s="24">
        <v>6000</v>
      </c>
      <c r="Y22" s="24">
        <f t="shared" si="14"/>
        <v>7696556.8390799984</v>
      </c>
      <c r="Z22" s="74" t="s">
        <v>183</v>
      </c>
      <c r="AA22" s="25"/>
      <c r="AB22" s="25"/>
      <c r="AC22" s="25"/>
      <c r="AD22" s="25"/>
      <c r="AE22" s="26">
        <v>0</v>
      </c>
      <c r="AF22" s="26" t="s">
        <v>184</v>
      </c>
      <c r="AG22" s="26">
        <v>0</v>
      </c>
      <c r="AH22" s="26" t="s">
        <v>171</v>
      </c>
      <c r="AI22" s="26" t="s">
        <v>84</v>
      </c>
    </row>
    <row r="23" spans="1:35" ht="14.25" customHeight="1" x14ac:dyDescent="0.2">
      <c r="A23" s="75" t="s">
        <v>185</v>
      </c>
      <c r="B23" s="72">
        <v>24.64</v>
      </c>
      <c r="C23" s="27">
        <v>16.440000000000001</v>
      </c>
      <c r="D23" s="20">
        <f t="shared" si="1"/>
        <v>176.96016</v>
      </c>
      <c r="E23" s="76">
        <v>8.1999999999999993</v>
      </c>
      <c r="F23" s="20">
        <f t="shared" si="18"/>
        <v>88.264799999999994</v>
      </c>
      <c r="G23" s="20">
        <f t="shared" si="3"/>
        <v>265.22496000000001</v>
      </c>
      <c r="H23" s="65">
        <f t="shared" si="4"/>
        <v>397.83744000000002</v>
      </c>
      <c r="I23" s="22">
        <f t="shared" si="5"/>
        <v>6166480.3200000003</v>
      </c>
      <c r="J23" s="73">
        <v>0</v>
      </c>
      <c r="K23" s="23">
        <v>200000</v>
      </c>
      <c r="L23" s="22">
        <f t="shared" si="6"/>
        <v>6366480.3200000003</v>
      </c>
      <c r="M23" s="22">
        <f t="shared" si="7"/>
        <v>0</v>
      </c>
      <c r="N23" s="22">
        <f t="shared" si="8"/>
        <v>6366480.3200000003</v>
      </c>
      <c r="O23" s="22">
        <f t="shared" si="9"/>
        <v>99459.36</v>
      </c>
      <c r="P23" s="22">
        <f t="shared" si="10"/>
        <v>79567.487999999998</v>
      </c>
      <c r="Q23" s="22">
        <f t="shared" si="11"/>
        <v>59675.616000000002</v>
      </c>
      <c r="R23" s="22">
        <v>0</v>
      </c>
      <c r="S23" s="22">
        <f t="shared" si="12"/>
        <v>6605182.7840000009</v>
      </c>
      <c r="T23" s="22">
        <v>30000</v>
      </c>
      <c r="U23" s="22">
        <f t="shared" si="15"/>
        <v>763977.63840000005</v>
      </c>
      <c r="V23" s="22">
        <f t="shared" si="24"/>
        <v>21483.22176</v>
      </c>
      <c r="W23" s="22">
        <f t="shared" si="13"/>
        <v>445700</v>
      </c>
      <c r="X23" s="24">
        <v>6000</v>
      </c>
      <c r="Y23" s="24">
        <f t="shared" si="14"/>
        <v>7872343.6441600015</v>
      </c>
      <c r="Z23" s="77"/>
      <c r="AA23" s="25"/>
      <c r="AB23" s="25"/>
      <c r="AC23" s="25"/>
      <c r="AD23" s="25"/>
      <c r="AE23" s="25"/>
      <c r="AF23" s="26" t="s">
        <v>186</v>
      </c>
      <c r="AG23" s="25"/>
      <c r="AH23" s="26" t="s">
        <v>40</v>
      </c>
      <c r="AI23" s="26" t="s">
        <v>59</v>
      </c>
    </row>
    <row r="24" spans="1:35" ht="14.25" customHeight="1" x14ac:dyDescent="0.2">
      <c r="A24" s="69" t="s">
        <v>187</v>
      </c>
      <c r="B24" s="59">
        <v>36.83</v>
      </c>
      <c r="C24" s="13">
        <v>25.46</v>
      </c>
      <c r="D24" s="60">
        <f t="shared" si="1"/>
        <v>274.05144000000001</v>
      </c>
      <c r="E24" s="61">
        <v>12.22</v>
      </c>
      <c r="F24" s="60">
        <f t="shared" si="18"/>
        <v>131.53608</v>
      </c>
      <c r="G24" s="60">
        <f t="shared" si="3"/>
        <v>405.58752000000004</v>
      </c>
      <c r="H24" s="60">
        <f t="shared" si="4"/>
        <v>608.38128000000006</v>
      </c>
      <c r="I24" s="15">
        <f t="shared" si="5"/>
        <v>9429909.8400000017</v>
      </c>
      <c r="J24" s="15">
        <v>500000</v>
      </c>
      <c r="K24" s="30">
        <v>70000</v>
      </c>
      <c r="L24" s="15">
        <f t="shared" si="6"/>
        <v>9999909.8400000017</v>
      </c>
      <c r="M24" s="15">
        <f t="shared" si="7"/>
        <v>0</v>
      </c>
      <c r="N24" s="15">
        <f t="shared" si="8"/>
        <v>9999909.8400000017</v>
      </c>
      <c r="O24" s="15">
        <f t="shared" si="9"/>
        <v>152095.32</v>
      </c>
      <c r="P24" s="15">
        <f t="shared" si="10"/>
        <v>121676.25600000001</v>
      </c>
      <c r="Q24" s="15">
        <f t="shared" si="11"/>
        <v>91257.19200000001</v>
      </c>
      <c r="R24" s="15">
        <v>0</v>
      </c>
      <c r="S24" s="15">
        <f t="shared" si="12"/>
        <v>10364938.608000001</v>
      </c>
      <c r="T24" s="15">
        <v>30000</v>
      </c>
      <c r="U24" s="15">
        <f t="shared" si="15"/>
        <v>1199989.1808000002</v>
      </c>
      <c r="V24" s="15">
        <f>(12%*O24)+(12%*P24)+(12%*Q24)</f>
        <v>43803.452160000001</v>
      </c>
      <c r="W24" s="15">
        <f t="shared" si="13"/>
        <v>700000</v>
      </c>
      <c r="X24" s="16">
        <v>6000</v>
      </c>
      <c r="Y24" s="16">
        <f t="shared" si="14"/>
        <v>12344731.240960002</v>
      </c>
      <c r="Z24" s="78" t="s">
        <v>188</v>
      </c>
      <c r="AA24" s="17" t="s">
        <v>189</v>
      </c>
      <c r="AB24" s="17" t="s">
        <v>37</v>
      </c>
      <c r="AC24" s="17" t="s">
        <v>190</v>
      </c>
      <c r="AD24" s="17">
        <v>11000</v>
      </c>
      <c r="AE24" s="17">
        <v>0</v>
      </c>
      <c r="AF24" s="19" t="s">
        <v>191</v>
      </c>
      <c r="AG24" s="17">
        <v>0</v>
      </c>
      <c r="AH24" s="19" t="s">
        <v>40</v>
      </c>
      <c r="AI24" s="19" t="s">
        <v>41</v>
      </c>
    </row>
    <row r="25" spans="1:35" ht="15.75" customHeight="1" x14ac:dyDescent="0.2">
      <c r="A25" s="71" t="s">
        <v>192</v>
      </c>
      <c r="B25" s="64">
        <f t="shared" ref="B25:B26" si="25">C25+E25</f>
        <v>38.06</v>
      </c>
      <c r="C25" s="20">
        <v>25.71</v>
      </c>
      <c r="D25" s="20">
        <f t="shared" si="1"/>
        <v>276.74243999999999</v>
      </c>
      <c r="E25" s="64">
        <v>12.35</v>
      </c>
      <c r="F25" s="20">
        <f t="shared" si="18"/>
        <v>132.93539999999999</v>
      </c>
      <c r="G25" s="20">
        <f t="shared" si="3"/>
        <v>409.67783999999995</v>
      </c>
      <c r="H25" s="65">
        <f t="shared" si="4"/>
        <v>614.51675999999998</v>
      </c>
      <c r="I25" s="22">
        <f t="shared" si="5"/>
        <v>9525009.7799999993</v>
      </c>
      <c r="J25" s="73">
        <v>0</v>
      </c>
      <c r="K25" s="23">
        <v>0</v>
      </c>
      <c r="L25" s="22">
        <f t="shared" si="6"/>
        <v>9525009.7799999993</v>
      </c>
      <c r="M25" s="22">
        <f t="shared" si="7"/>
        <v>0</v>
      </c>
      <c r="N25" s="22">
        <f t="shared" si="8"/>
        <v>9525009.7799999993</v>
      </c>
      <c r="O25" s="22">
        <f t="shared" si="9"/>
        <v>153629.19</v>
      </c>
      <c r="P25" s="22">
        <f t="shared" si="10"/>
        <v>122903.352</v>
      </c>
      <c r="Q25" s="22">
        <f t="shared" si="11"/>
        <v>92177.513999999996</v>
      </c>
      <c r="R25" s="22">
        <v>0</v>
      </c>
      <c r="S25" s="22">
        <f t="shared" si="12"/>
        <v>9893719.8359999992</v>
      </c>
      <c r="T25" s="22">
        <v>30000</v>
      </c>
      <c r="U25" s="22">
        <f t="shared" si="15"/>
        <v>1143001.1735999999</v>
      </c>
      <c r="V25" s="22">
        <f>(12%*O25)+(12%*P25)</f>
        <v>33183.905039999998</v>
      </c>
      <c r="W25" s="22">
        <f t="shared" si="13"/>
        <v>666800</v>
      </c>
      <c r="X25" s="24">
        <v>6000</v>
      </c>
      <c r="Y25" s="24">
        <f t="shared" si="14"/>
        <v>11772704.914639998</v>
      </c>
      <c r="Z25" s="74" t="s">
        <v>188</v>
      </c>
      <c r="AA25" s="25"/>
      <c r="AB25" s="25"/>
      <c r="AC25" s="25"/>
      <c r="AD25" s="25"/>
      <c r="AE25" s="26">
        <v>0</v>
      </c>
      <c r="AF25" s="25"/>
      <c r="AG25" s="26">
        <v>0</v>
      </c>
      <c r="AH25" s="25"/>
      <c r="AI25" s="25"/>
    </row>
    <row r="26" spans="1:35" ht="15.75" customHeight="1" x14ac:dyDescent="0.2">
      <c r="A26" s="69" t="s">
        <v>193</v>
      </c>
      <c r="B26" s="59">
        <f t="shared" si="25"/>
        <v>38.18</v>
      </c>
      <c r="C26" s="13">
        <v>25.8</v>
      </c>
      <c r="D26" s="59">
        <f t="shared" si="1"/>
        <v>277.71119999999996</v>
      </c>
      <c r="E26" s="59">
        <v>12.38</v>
      </c>
      <c r="F26" s="59">
        <f t="shared" si="18"/>
        <v>133.25832</v>
      </c>
      <c r="G26" s="59">
        <f t="shared" si="3"/>
        <v>410.96951999999999</v>
      </c>
      <c r="H26" s="60">
        <f t="shared" si="4"/>
        <v>616.45427999999993</v>
      </c>
      <c r="I26" s="15">
        <f t="shared" si="5"/>
        <v>9555041.339999998</v>
      </c>
      <c r="J26" s="15">
        <v>500000</v>
      </c>
      <c r="K26" s="30">
        <v>70000</v>
      </c>
      <c r="L26" s="15">
        <f t="shared" si="6"/>
        <v>10125041.339999998</v>
      </c>
      <c r="M26" s="15">
        <f t="shared" si="7"/>
        <v>0</v>
      </c>
      <c r="N26" s="15">
        <f t="shared" si="8"/>
        <v>10125041.339999998</v>
      </c>
      <c r="O26" s="15">
        <f t="shared" si="9"/>
        <v>154113.56999999998</v>
      </c>
      <c r="P26" s="15">
        <f t="shared" si="10"/>
        <v>123290.85599999999</v>
      </c>
      <c r="Q26" s="15">
        <f t="shared" si="11"/>
        <v>92468.141999999993</v>
      </c>
      <c r="R26" s="15">
        <v>0</v>
      </c>
      <c r="S26" s="15">
        <f t="shared" si="12"/>
        <v>10494913.908</v>
      </c>
      <c r="T26" s="15">
        <v>30000</v>
      </c>
      <c r="U26" s="15">
        <f t="shared" si="15"/>
        <v>1215004.9607999998</v>
      </c>
      <c r="V26" s="15">
        <f>(12%*O26)+(12%*P26)+(12%*Q26)</f>
        <v>44384.708159999995</v>
      </c>
      <c r="W26" s="15">
        <f t="shared" si="13"/>
        <v>708800</v>
      </c>
      <c r="X26" s="16">
        <v>6000</v>
      </c>
      <c r="Y26" s="16">
        <f t="shared" si="14"/>
        <v>12499103.576959999</v>
      </c>
      <c r="Z26" s="70" t="s">
        <v>194</v>
      </c>
      <c r="AA26" s="17" t="s">
        <v>195</v>
      </c>
      <c r="AB26" s="17" t="s">
        <v>37</v>
      </c>
      <c r="AC26" s="17" t="s">
        <v>144</v>
      </c>
      <c r="AD26" s="17">
        <v>14010</v>
      </c>
      <c r="AE26" s="17">
        <v>0</v>
      </c>
      <c r="AF26" s="19" t="s">
        <v>196</v>
      </c>
      <c r="AG26" s="17">
        <v>0</v>
      </c>
      <c r="AH26" s="17">
        <v>0</v>
      </c>
      <c r="AI26" s="19" t="s">
        <v>46</v>
      </c>
    </row>
    <row r="27" spans="1:35" ht="15.75" customHeight="1" x14ac:dyDescent="0.2">
      <c r="A27" s="79"/>
      <c r="B27" s="79"/>
      <c r="C27" s="80">
        <f t="shared" ref="C27:D27" si="26">SUM(C4:C26)</f>
        <v>1118.3800000000001</v>
      </c>
      <c r="D27" s="81">
        <f t="shared" si="26"/>
        <v>12038.242319999998</v>
      </c>
      <c r="E27" s="81"/>
      <c r="F27" s="81">
        <f t="shared" ref="F27:H27" si="27">SUM(F4:F26)</f>
        <v>1953.4480000000001</v>
      </c>
      <c r="G27" s="81">
        <f t="shared" si="27"/>
        <v>13991.69032</v>
      </c>
      <c r="H27" s="82">
        <f t="shared" si="27"/>
        <v>20987.535479999999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4"/>
      <c r="Y27" s="84"/>
      <c r="Z27" s="83"/>
      <c r="AA27" s="83"/>
      <c r="AB27" s="83"/>
      <c r="AC27" s="83"/>
      <c r="AD27" s="83"/>
      <c r="AE27" s="83"/>
      <c r="AF27" s="83"/>
      <c r="AG27" s="83"/>
      <c r="AH27" s="83"/>
      <c r="AI27" s="83"/>
    </row>
    <row r="28" spans="1:35" ht="15.75" customHeight="1" x14ac:dyDescent="0.2">
      <c r="A28" s="4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40"/>
      <c r="Y28" s="40"/>
      <c r="Z28" s="6"/>
      <c r="AA28" s="40"/>
      <c r="AB28" s="40"/>
      <c r="AC28" s="40"/>
      <c r="AD28" s="40"/>
      <c r="AE28" s="6"/>
      <c r="AF28" s="6"/>
      <c r="AG28" s="6"/>
      <c r="AH28" s="6"/>
      <c r="AI28" s="6"/>
    </row>
    <row r="29" spans="1:35" ht="15.75" customHeight="1" x14ac:dyDescent="0.2">
      <c r="A29" s="4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40"/>
      <c r="Y29" s="40"/>
      <c r="Z29" s="6"/>
      <c r="AA29" s="40"/>
      <c r="AB29" s="40"/>
      <c r="AC29" s="40"/>
      <c r="AD29" s="40"/>
      <c r="AE29" s="6"/>
      <c r="AF29" s="6"/>
      <c r="AG29" s="6"/>
      <c r="AH29" s="6"/>
      <c r="AI29" s="6"/>
    </row>
    <row r="30" spans="1:35" ht="15.75" customHeight="1" x14ac:dyDescent="0.2">
      <c r="A30" s="4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40"/>
      <c r="Y30" s="40"/>
      <c r="Z30" s="6"/>
      <c r="AA30" s="40"/>
      <c r="AB30" s="40"/>
      <c r="AC30" s="40"/>
      <c r="AD30" s="40"/>
      <c r="AE30" s="6"/>
      <c r="AF30" s="6"/>
      <c r="AG30" s="6"/>
      <c r="AH30" s="6"/>
      <c r="AI30" s="6"/>
    </row>
    <row r="31" spans="1:35" ht="15.75" customHeight="1" x14ac:dyDescent="0.2">
      <c r="A31" s="40"/>
      <c r="B31" s="6"/>
      <c r="C31" s="6"/>
      <c r="D31" s="6"/>
      <c r="E31" s="6"/>
      <c r="F31" s="6"/>
      <c r="G31" s="6"/>
      <c r="H31" s="4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40"/>
      <c r="Y31" s="40"/>
      <c r="Z31" s="6"/>
      <c r="AA31" s="40"/>
      <c r="AB31" s="40"/>
      <c r="AC31" s="40"/>
      <c r="AD31" s="40"/>
      <c r="AE31" s="6"/>
      <c r="AF31" s="6"/>
      <c r="AG31" s="6"/>
      <c r="AH31" s="6"/>
      <c r="AI31" s="6"/>
    </row>
    <row r="32" spans="1:35" ht="15.75" customHeight="1" x14ac:dyDescent="0.2">
      <c r="A32" s="4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40"/>
      <c r="Y32" s="40"/>
      <c r="Z32" s="6"/>
      <c r="AA32" s="40"/>
      <c r="AB32" s="40"/>
      <c r="AC32" s="40"/>
      <c r="AD32" s="40"/>
      <c r="AE32" s="6"/>
      <c r="AF32" s="6"/>
      <c r="AG32" s="6"/>
      <c r="AH32" s="6"/>
      <c r="AI32" s="6"/>
    </row>
    <row r="33" spans="1:35" ht="15.75" customHeight="1" x14ac:dyDescent="0.2">
      <c r="A33" s="4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40"/>
      <c r="Y33" s="40"/>
      <c r="Z33" s="6"/>
      <c r="AA33" s="40"/>
      <c r="AB33" s="40"/>
      <c r="AC33" s="40"/>
      <c r="AD33" s="40"/>
      <c r="AE33" s="6"/>
      <c r="AF33" s="6"/>
      <c r="AG33" s="6"/>
      <c r="AH33" s="6"/>
      <c r="AI33" s="6"/>
    </row>
    <row r="34" spans="1:35" ht="15.75" customHeight="1" x14ac:dyDescent="0.2">
      <c r="A34" s="4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40"/>
      <c r="Y34" s="40"/>
      <c r="Z34" s="6"/>
      <c r="AA34" s="40"/>
      <c r="AB34" s="40"/>
      <c r="AC34" s="40"/>
      <c r="AD34" s="40"/>
      <c r="AE34" s="6"/>
      <c r="AF34" s="6"/>
      <c r="AG34" s="6"/>
      <c r="AH34" s="6"/>
      <c r="AI34" s="6"/>
    </row>
    <row r="35" spans="1:35" ht="15.75" customHeight="1" x14ac:dyDescent="0.2">
      <c r="A35" s="4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40"/>
      <c r="Y35" s="40"/>
      <c r="Z35" s="6"/>
      <c r="AA35" s="40"/>
      <c r="AB35" s="40"/>
      <c r="AC35" s="40"/>
      <c r="AD35" s="40"/>
      <c r="AE35" s="6"/>
      <c r="AF35" s="6"/>
      <c r="AG35" s="6"/>
      <c r="AH35" s="6"/>
      <c r="AI35" s="6"/>
    </row>
    <row r="36" spans="1:35" ht="15.75" customHeight="1" x14ac:dyDescent="0.2">
      <c r="A36" s="4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40"/>
      <c r="Y36" s="40"/>
      <c r="Z36" s="6"/>
      <c r="AA36" s="40"/>
      <c r="AB36" s="40"/>
      <c r="AC36" s="40"/>
      <c r="AD36" s="40"/>
      <c r="AE36" s="6"/>
      <c r="AF36" s="6"/>
      <c r="AG36" s="6"/>
      <c r="AH36" s="6"/>
      <c r="AI36" s="6"/>
    </row>
    <row r="37" spans="1:35" ht="15.75" customHeight="1" x14ac:dyDescent="0.2">
      <c r="A37" s="4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40"/>
      <c r="Y37" s="40"/>
      <c r="Z37" s="6"/>
      <c r="AA37" s="40"/>
      <c r="AB37" s="40"/>
      <c r="AC37" s="40"/>
      <c r="AD37" s="40"/>
      <c r="AE37" s="6"/>
      <c r="AF37" s="6"/>
      <c r="AG37" s="6"/>
      <c r="AH37" s="6"/>
      <c r="AI37" s="6"/>
    </row>
    <row r="38" spans="1:35" ht="15.75" customHeight="1" x14ac:dyDescent="0.2">
      <c r="A38" s="4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40"/>
      <c r="Y38" s="40"/>
      <c r="Z38" s="6"/>
      <c r="AA38" s="40"/>
      <c r="AB38" s="40"/>
      <c r="AC38" s="40"/>
      <c r="AD38" s="40"/>
      <c r="AE38" s="6"/>
      <c r="AF38" s="6"/>
      <c r="AG38" s="6"/>
      <c r="AH38" s="6"/>
      <c r="AI38" s="6"/>
    </row>
    <row r="39" spans="1:35" ht="15.75" customHeight="1" x14ac:dyDescent="0.2">
      <c r="A39" s="4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40"/>
      <c r="Y39" s="40"/>
      <c r="Z39" s="6"/>
      <c r="AA39" s="40"/>
      <c r="AB39" s="40"/>
      <c r="AC39" s="40"/>
      <c r="AD39" s="40"/>
      <c r="AE39" s="6"/>
      <c r="AF39" s="6"/>
      <c r="AG39" s="6"/>
      <c r="AH39" s="6"/>
      <c r="AI39" s="6"/>
    </row>
    <row r="40" spans="1:35" ht="15.75" customHeight="1" x14ac:dyDescent="0.2">
      <c r="A40" s="4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40"/>
      <c r="Y40" s="40"/>
      <c r="Z40" s="6"/>
      <c r="AA40" s="40"/>
      <c r="AB40" s="40"/>
      <c r="AC40" s="40"/>
      <c r="AD40" s="40"/>
      <c r="AE40" s="6"/>
      <c r="AF40" s="6"/>
      <c r="AG40" s="6"/>
      <c r="AH40" s="6"/>
      <c r="AI40" s="6"/>
    </row>
    <row r="41" spans="1:35" ht="15.75" customHeight="1" x14ac:dyDescent="0.2">
      <c r="A41" s="4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40"/>
      <c r="Y41" s="40"/>
      <c r="Z41" s="6"/>
      <c r="AA41" s="40"/>
      <c r="AB41" s="40"/>
      <c r="AC41" s="40"/>
      <c r="AD41" s="40"/>
      <c r="AE41" s="6"/>
      <c r="AF41" s="6"/>
      <c r="AG41" s="6"/>
      <c r="AH41" s="6"/>
      <c r="AI41" s="6"/>
    </row>
    <row r="42" spans="1:35" ht="15.75" customHeight="1" x14ac:dyDescent="0.2">
      <c r="A42" s="4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40"/>
      <c r="Y42" s="40"/>
      <c r="Z42" s="6"/>
      <c r="AA42" s="40"/>
      <c r="AB42" s="40"/>
      <c r="AC42" s="40"/>
      <c r="AD42" s="40"/>
      <c r="AE42" s="6"/>
      <c r="AF42" s="6"/>
      <c r="AG42" s="6"/>
      <c r="AH42" s="6"/>
      <c r="AI42" s="6"/>
    </row>
    <row r="43" spans="1:35" ht="15.75" customHeight="1" x14ac:dyDescent="0.2">
      <c r="A43" s="4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40"/>
      <c r="Y43" s="40"/>
      <c r="Z43" s="6"/>
      <c r="AA43" s="40"/>
      <c r="AB43" s="40"/>
      <c r="AC43" s="40"/>
      <c r="AD43" s="40"/>
      <c r="AE43" s="6"/>
      <c r="AF43" s="6"/>
      <c r="AG43" s="6"/>
      <c r="AH43" s="6"/>
      <c r="AI43" s="6"/>
    </row>
    <row r="44" spans="1:35" ht="15.75" customHeight="1" x14ac:dyDescent="0.2">
      <c r="A44" s="4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40"/>
      <c r="Y44" s="40"/>
      <c r="Z44" s="6"/>
      <c r="AA44" s="40"/>
      <c r="AB44" s="40"/>
      <c r="AC44" s="40"/>
      <c r="AD44" s="40"/>
      <c r="AE44" s="6"/>
      <c r="AF44" s="6"/>
      <c r="AG44" s="6"/>
      <c r="AH44" s="6"/>
      <c r="AI44" s="6"/>
    </row>
    <row r="45" spans="1:35" ht="15.75" customHeight="1" x14ac:dyDescent="0.2">
      <c r="A45" s="4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40"/>
      <c r="Y45" s="40"/>
      <c r="Z45" s="6"/>
      <c r="AA45" s="40"/>
      <c r="AB45" s="40"/>
      <c r="AC45" s="40"/>
      <c r="AD45" s="40"/>
      <c r="AE45" s="6"/>
      <c r="AF45" s="6"/>
      <c r="AG45" s="6"/>
      <c r="AH45" s="6"/>
      <c r="AI45" s="6"/>
    </row>
    <row r="46" spans="1:35" ht="15.75" customHeight="1" x14ac:dyDescent="0.2">
      <c r="A46" s="4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40"/>
      <c r="Y46" s="40"/>
      <c r="Z46" s="6"/>
      <c r="AA46" s="40"/>
      <c r="AB46" s="40"/>
      <c r="AC46" s="40"/>
      <c r="AD46" s="40"/>
      <c r="AE46" s="6"/>
      <c r="AF46" s="6"/>
      <c r="AG46" s="6"/>
      <c r="AH46" s="6"/>
      <c r="AI46" s="6"/>
    </row>
    <row r="47" spans="1:35" ht="15.75" customHeight="1" x14ac:dyDescent="0.2">
      <c r="A47" s="4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40"/>
      <c r="Y47" s="40"/>
      <c r="Z47" s="6"/>
      <c r="AA47" s="40"/>
      <c r="AB47" s="40"/>
      <c r="AC47" s="40"/>
      <c r="AD47" s="40"/>
      <c r="AE47" s="6"/>
      <c r="AF47" s="6"/>
      <c r="AG47" s="6"/>
      <c r="AH47" s="6"/>
      <c r="AI47" s="6"/>
    </row>
    <row r="48" spans="1:35" ht="15.75" customHeight="1" x14ac:dyDescent="0.2">
      <c r="A48" s="4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40"/>
      <c r="Y48" s="40"/>
      <c r="Z48" s="6"/>
      <c r="AA48" s="40"/>
      <c r="AB48" s="40"/>
      <c r="AC48" s="40"/>
      <c r="AD48" s="40"/>
      <c r="AE48" s="6"/>
      <c r="AF48" s="6"/>
      <c r="AG48" s="6"/>
      <c r="AH48" s="6"/>
      <c r="AI48" s="6"/>
    </row>
    <row r="49" spans="1:35" ht="15.75" customHeight="1" x14ac:dyDescent="0.2">
      <c r="A49" s="4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40"/>
      <c r="Y49" s="40"/>
      <c r="Z49" s="6"/>
      <c r="AA49" s="40"/>
      <c r="AB49" s="40"/>
      <c r="AC49" s="40"/>
      <c r="AD49" s="40"/>
      <c r="AE49" s="6"/>
      <c r="AF49" s="6"/>
      <c r="AG49" s="6"/>
      <c r="AH49" s="6"/>
      <c r="AI49" s="6"/>
    </row>
    <row r="50" spans="1:35" ht="15.75" customHeight="1" x14ac:dyDescent="0.2">
      <c r="A50" s="4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40"/>
      <c r="Y50" s="40"/>
      <c r="Z50" s="6"/>
      <c r="AA50" s="40"/>
      <c r="AB50" s="40"/>
      <c r="AC50" s="40"/>
      <c r="AD50" s="40"/>
      <c r="AE50" s="6"/>
      <c r="AF50" s="6"/>
      <c r="AG50" s="6"/>
      <c r="AH50" s="6"/>
      <c r="AI50" s="6"/>
    </row>
    <row r="51" spans="1:35" ht="15.75" customHeight="1" x14ac:dyDescent="0.2">
      <c r="A51" s="4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40"/>
      <c r="Y51" s="40"/>
      <c r="Z51" s="6"/>
      <c r="AA51" s="40"/>
      <c r="AB51" s="40"/>
      <c r="AC51" s="40"/>
      <c r="AD51" s="40"/>
      <c r="AE51" s="6"/>
      <c r="AF51" s="6"/>
      <c r="AG51" s="6"/>
      <c r="AH51" s="6"/>
      <c r="AI51" s="6"/>
    </row>
    <row r="52" spans="1:35" ht="15.75" customHeight="1" x14ac:dyDescent="0.2">
      <c r="A52" s="4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40"/>
      <c r="Y52" s="40"/>
      <c r="Z52" s="6"/>
      <c r="AA52" s="40"/>
      <c r="AB52" s="40"/>
      <c r="AC52" s="40"/>
      <c r="AD52" s="40"/>
      <c r="AE52" s="6"/>
      <c r="AF52" s="6"/>
      <c r="AG52" s="6"/>
      <c r="AH52" s="6"/>
      <c r="AI52" s="6"/>
    </row>
    <row r="53" spans="1:35" ht="15.75" customHeight="1" x14ac:dyDescent="0.2">
      <c r="A53" s="4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40"/>
      <c r="Y53" s="40"/>
      <c r="Z53" s="6"/>
      <c r="AA53" s="40"/>
      <c r="AB53" s="40"/>
      <c r="AC53" s="40"/>
      <c r="AD53" s="40"/>
      <c r="AE53" s="6"/>
      <c r="AF53" s="6"/>
      <c r="AG53" s="6"/>
      <c r="AH53" s="6"/>
      <c r="AI53" s="6"/>
    </row>
    <row r="54" spans="1:35" ht="15.75" customHeight="1" x14ac:dyDescent="0.2">
      <c r="A54" s="4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40"/>
      <c r="Y54" s="40"/>
      <c r="Z54" s="6"/>
      <c r="AA54" s="40"/>
      <c r="AB54" s="40"/>
      <c r="AC54" s="40"/>
      <c r="AD54" s="40"/>
      <c r="AE54" s="6"/>
      <c r="AF54" s="6"/>
      <c r="AG54" s="6"/>
      <c r="AH54" s="6"/>
      <c r="AI54" s="6"/>
    </row>
    <row r="55" spans="1:35" ht="15.75" customHeight="1" x14ac:dyDescent="0.2">
      <c r="A55" s="4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40"/>
      <c r="Y55" s="40"/>
      <c r="Z55" s="6"/>
      <c r="AA55" s="40"/>
      <c r="AB55" s="40"/>
      <c r="AC55" s="40"/>
      <c r="AD55" s="40"/>
      <c r="AE55" s="6"/>
      <c r="AF55" s="6"/>
      <c r="AG55" s="6"/>
      <c r="AH55" s="6"/>
      <c r="AI55" s="6"/>
    </row>
    <row r="56" spans="1:35" ht="15.75" customHeight="1" x14ac:dyDescent="0.2">
      <c r="A56" s="4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40"/>
      <c r="Y56" s="40"/>
      <c r="Z56" s="6"/>
      <c r="AA56" s="40"/>
      <c r="AB56" s="40"/>
      <c r="AC56" s="40"/>
      <c r="AD56" s="40"/>
      <c r="AE56" s="6"/>
      <c r="AF56" s="6"/>
      <c r="AG56" s="6"/>
      <c r="AH56" s="6"/>
      <c r="AI56" s="6"/>
    </row>
    <row r="57" spans="1:35" ht="15.75" customHeight="1" x14ac:dyDescent="0.2">
      <c r="A57" s="4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40"/>
      <c r="Y57" s="40"/>
      <c r="Z57" s="6"/>
      <c r="AA57" s="40"/>
      <c r="AB57" s="40"/>
      <c r="AC57" s="40"/>
      <c r="AD57" s="40"/>
      <c r="AE57" s="6"/>
      <c r="AF57" s="6"/>
      <c r="AG57" s="6"/>
      <c r="AH57" s="6"/>
      <c r="AI57" s="6"/>
    </row>
    <row r="58" spans="1:35" ht="15.75" customHeight="1" x14ac:dyDescent="0.2">
      <c r="A58" s="4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40"/>
      <c r="Y58" s="40"/>
      <c r="Z58" s="6"/>
      <c r="AA58" s="40"/>
      <c r="AB58" s="40"/>
      <c r="AC58" s="40"/>
      <c r="AD58" s="40"/>
      <c r="AE58" s="6"/>
      <c r="AF58" s="6"/>
      <c r="AG58" s="6"/>
      <c r="AH58" s="6"/>
      <c r="AI58" s="6"/>
    </row>
    <row r="59" spans="1:35" ht="15.75" customHeight="1" x14ac:dyDescent="0.2">
      <c r="A59" s="4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40"/>
      <c r="Y59" s="40"/>
      <c r="Z59" s="6"/>
      <c r="AA59" s="40"/>
      <c r="AB59" s="40"/>
      <c r="AC59" s="40"/>
      <c r="AD59" s="40"/>
      <c r="AE59" s="6"/>
      <c r="AF59" s="6"/>
      <c r="AG59" s="6"/>
      <c r="AH59" s="6"/>
      <c r="AI59" s="6"/>
    </row>
    <row r="60" spans="1:35" ht="15.75" customHeight="1" x14ac:dyDescent="0.2">
      <c r="A60" s="4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40"/>
      <c r="Y60" s="40"/>
      <c r="Z60" s="6"/>
      <c r="AA60" s="40"/>
      <c r="AB60" s="40"/>
      <c r="AC60" s="40"/>
      <c r="AD60" s="40"/>
      <c r="AE60" s="6"/>
      <c r="AF60" s="6"/>
      <c r="AG60" s="6"/>
      <c r="AH60" s="6"/>
      <c r="AI60" s="6"/>
    </row>
    <row r="61" spans="1:35" ht="15.75" customHeight="1" x14ac:dyDescent="0.2">
      <c r="A61" s="4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40"/>
      <c r="Y61" s="40"/>
      <c r="Z61" s="6"/>
      <c r="AA61" s="40"/>
      <c r="AB61" s="40"/>
      <c r="AC61" s="40"/>
      <c r="AD61" s="40"/>
      <c r="AE61" s="6"/>
      <c r="AF61" s="6"/>
      <c r="AG61" s="6"/>
      <c r="AH61" s="6"/>
      <c r="AI61" s="6"/>
    </row>
    <row r="62" spans="1:35" ht="15.75" customHeight="1" x14ac:dyDescent="0.2">
      <c r="A62" s="4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40"/>
      <c r="Y62" s="40"/>
      <c r="Z62" s="6"/>
      <c r="AA62" s="40"/>
      <c r="AB62" s="40"/>
      <c r="AC62" s="40"/>
      <c r="AD62" s="40"/>
      <c r="AE62" s="6"/>
      <c r="AF62" s="6"/>
      <c r="AG62" s="6"/>
      <c r="AH62" s="6"/>
      <c r="AI62" s="6"/>
    </row>
    <row r="63" spans="1:35" ht="15.75" customHeight="1" x14ac:dyDescent="0.2">
      <c r="A63" s="4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40"/>
      <c r="Y63" s="40"/>
      <c r="Z63" s="6"/>
      <c r="AA63" s="40"/>
      <c r="AB63" s="40"/>
      <c r="AC63" s="40"/>
      <c r="AD63" s="40"/>
      <c r="AE63" s="6"/>
      <c r="AF63" s="6"/>
      <c r="AG63" s="6"/>
      <c r="AH63" s="6"/>
      <c r="AI63" s="6"/>
    </row>
    <row r="64" spans="1:35" ht="15.75" customHeight="1" x14ac:dyDescent="0.2">
      <c r="A64" s="4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40"/>
      <c r="Y64" s="40"/>
      <c r="Z64" s="6"/>
      <c r="AA64" s="40"/>
      <c r="AB64" s="40"/>
      <c r="AC64" s="40"/>
      <c r="AD64" s="40"/>
      <c r="AE64" s="6"/>
      <c r="AF64" s="6"/>
      <c r="AG64" s="6"/>
      <c r="AH64" s="6"/>
      <c r="AI64" s="6"/>
    </row>
    <row r="65" spans="1:35" ht="15.75" customHeight="1" x14ac:dyDescent="0.2">
      <c r="A65" s="4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40"/>
      <c r="Y65" s="40"/>
      <c r="Z65" s="6"/>
      <c r="AA65" s="40"/>
      <c r="AB65" s="40"/>
      <c r="AC65" s="40"/>
      <c r="AD65" s="40"/>
      <c r="AE65" s="6"/>
      <c r="AF65" s="6"/>
      <c r="AG65" s="6"/>
      <c r="AH65" s="6"/>
      <c r="AI65" s="6"/>
    </row>
    <row r="66" spans="1:35" ht="15.75" customHeight="1" x14ac:dyDescent="0.2">
      <c r="A66" s="4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40"/>
      <c r="Y66" s="40"/>
      <c r="Z66" s="6"/>
      <c r="AA66" s="40"/>
      <c r="AB66" s="40"/>
      <c r="AC66" s="40"/>
      <c r="AD66" s="40"/>
      <c r="AE66" s="6"/>
      <c r="AF66" s="6"/>
      <c r="AG66" s="6"/>
      <c r="AH66" s="6"/>
      <c r="AI66" s="6"/>
    </row>
    <row r="67" spans="1:35" ht="15.75" customHeight="1" x14ac:dyDescent="0.2">
      <c r="A67" s="4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40"/>
      <c r="Y67" s="40"/>
      <c r="Z67" s="6"/>
      <c r="AA67" s="40"/>
      <c r="AB67" s="40"/>
      <c r="AC67" s="40"/>
      <c r="AD67" s="40"/>
      <c r="AE67" s="6"/>
      <c r="AF67" s="6"/>
      <c r="AG67" s="6"/>
      <c r="AH67" s="6"/>
      <c r="AI67" s="6"/>
    </row>
    <row r="68" spans="1:35" ht="15.75" customHeight="1" x14ac:dyDescent="0.2">
      <c r="A68" s="4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40"/>
      <c r="Y68" s="40"/>
      <c r="Z68" s="6"/>
      <c r="AA68" s="40"/>
      <c r="AB68" s="40"/>
      <c r="AC68" s="40"/>
      <c r="AD68" s="40"/>
      <c r="AE68" s="6"/>
      <c r="AF68" s="6"/>
      <c r="AG68" s="6"/>
      <c r="AH68" s="6"/>
      <c r="AI68" s="6"/>
    </row>
    <row r="69" spans="1:35" ht="15.75" customHeight="1" x14ac:dyDescent="0.2">
      <c r="A69" s="4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40"/>
      <c r="Y69" s="40"/>
      <c r="Z69" s="6"/>
      <c r="AA69" s="40"/>
      <c r="AB69" s="40"/>
      <c r="AC69" s="40"/>
      <c r="AD69" s="40"/>
      <c r="AE69" s="6"/>
      <c r="AF69" s="6"/>
      <c r="AG69" s="6"/>
      <c r="AH69" s="6"/>
      <c r="AI69" s="6"/>
    </row>
    <row r="70" spans="1:35" ht="15.75" customHeight="1" x14ac:dyDescent="0.2">
      <c r="A70" s="4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40"/>
      <c r="Y70" s="40"/>
      <c r="Z70" s="6"/>
      <c r="AA70" s="40"/>
      <c r="AB70" s="40"/>
      <c r="AC70" s="40"/>
      <c r="AD70" s="40"/>
      <c r="AE70" s="6"/>
      <c r="AF70" s="6"/>
      <c r="AG70" s="6"/>
      <c r="AH70" s="6"/>
      <c r="AI70" s="6"/>
    </row>
    <row r="71" spans="1:35" ht="15.75" customHeight="1" x14ac:dyDescent="0.2">
      <c r="A71" s="4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40"/>
      <c r="Y71" s="40"/>
      <c r="Z71" s="6"/>
      <c r="AA71" s="40"/>
      <c r="AB71" s="40"/>
      <c r="AC71" s="40"/>
      <c r="AD71" s="40"/>
      <c r="AE71" s="6"/>
      <c r="AF71" s="6"/>
      <c r="AG71" s="6"/>
      <c r="AH71" s="6"/>
      <c r="AI71" s="6"/>
    </row>
    <row r="72" spans="1:35" ht="15.75" customHeight="1" x14ac:dyDescent="0.2">
      <c r="A72" s="4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40"/>
      <c r="Y72" s="40"/>
      <c r="Z72" s="6"/>
      <c r="AA72" s="40"/>
      <c r="AB72" s="40"/>
      <c r="AC72" s="40"/>
      <c r="AD72" s="40"/>
      <c r="AE72" s="6"/>
      <c r="AF72" s="6"/>
      <c r="AG72" s="6"/>
      <c r="AH72" s="6"/>
      <c r="AI72" s="6"/>
    </row>
    <row r="73" spans="1:35" ht="15.75" customHeight="1" x14ac:dyDescent="0.2">
      <c r="A73" s="4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40"/>
      <c r="Y73" s="40"/>
      <c r="Z73" s="6"/>
      <c r="AA73" s="40"/>
      <c r="AB73" s="40"/>
      <c r="AC73" s="40"/>
      <c r="AD73" s="40"/>
      <c r="AE73" s="6"/>
      <c r="AF73" s="6"/>
      <c r="AG73" s="6"/>
      <c r="AH73" s="6"/>
      <c r="AI73" s="6"/>
    </row>
    <row r="74" spans="1:35" ht="15.75" customHeight="1" x14ac:dyDescent="0.2">
      <c r="A74" s="4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40"/>
      <c r="Y74" s="40"/>
      <c r="Z74" s="6"/>
      <c r="AA74" s="40"/>
      <c r="AB74" s="40"/>
      <c r="AC74" s="40"/>
      <c r="AD74" s="40"/>
      <c r="AE74" s="6"/>
      <c r="AF74" s="6"/>
      <c r="AG74" s="6"/>
      <c r="AH74" s="6"/>
      <c r="AI74" s="6"/>
    </row>
    <row r="75" spans="1:35" ht="15.75" customHeight="1" x14ac:dyDescent="0.2">
      <c r="A75" s="4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40"/>
      <c r="Y75" s="40"/>
      <c r="Z75" s="6"/>
      <c r="AA75" s="40"/>
      <c r="AB75" s="40"/>
      <c r="AC75" s="40"/>
      <c r="AD75" s="40"/>
      <c r="AE75" s="6"/>
      <c r="AF75" s="6"/>
      <c r="AG75" s="6"/>
      <c r="AH75" s="6"/>
      <c r="AI75" s="6"/>
    </row>
    <row r="76" spans="1:35" ht="15.75" customHeight="1" x14ac:dyDescent="0.2">
      <c r="A76" s="4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40"/>
      <c r="Y76" s="40"/>
      <c r="Z76" s="6"/>
      <c r="AA76" s="40"/>
      <c r="AB76" s="40"/>
      <c r="AC76" s="40"/>
      <c r="AD76" s="40"/>
      <c r="AE76" s="6"/>
      <c r="AF76" s="6"/>
      <c r="AG76" s="6"/>
      <c r="AH76" s="6"/>
      <c r="AI76" s="6"/>
    </row>
    <row r="77" spans="1:35" ht="15.75" customHeight="1" x14ac:dyDescent="0.2">
      <c r="A77" s="4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40"/>
      <c r="Y77" s="40"/>
      <c r="Z77" s="6"/>
      <c r="AA77" s="40"/>
      <c r="AB77" s="40"/>
      <c r="AC77" s="40"/>
      <c r="AD77" s="40"/>
      <c r="AE77" s="6"/>
      <c r="AF77" s="6"/>
      <c r="AG77" s="6"/>
      <c r="AH77" s="6"/>
      <c r="AI77" s="6"/>
    </row>
    <row r="78" spans="1:35" ht="15.75" customHeight="1" x14ac:dyDescent="0.2">
      <c r="A78" s="4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40"/>
      <c r="Y78" s="40"/>
      <c r="Z78" s="6"/>
      <c r="AA78" s="40"/>
      <c r="AB78" s="40"/>
      <c r="AC78" s="40"/>
      <c r="AD78" s="40"/>
      <c r="AE78" s="6"/>
      <c r="AF78" s="6"/>
      <c r="AG78" s="6"/>
      <c r="AH78" s="6"/>
      <c r="AI78" s="6"/>
    </row>
    <row r="79" spans="1:35" ht="15.75" customHeight="1" x14ac:dyDescent="0.2">
      <c r="A79" s="4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40"/>
      <c r="Y79" s="40"/>
      <c r="Z79" s="6"/>
      <c r="AA79" s="40"/>
      <c r="AB79" s="40"/>
      <c r="AC79" s="40"/>
      <c r="AD79" s="40"/>
      <c r="AE79" s="6"/>
      <c r="AF79" s="6"/>
      <c r="AG79" s="6"/>
      <c r="AH79" s="6"/>
      <c r="AI79" s="6"/>
    </row>
    <row r="80" spans="1:35" ht="15.75" customHeight="1" x14ac:dyDescent="0.2">
      <c r="A80" s="4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40"/>
      <c r="Y80" s="40"/>
      <c r="Z80" s="6"/>
      <c r="AA80" s="40"/>
      <c r="AB80" s="40"/>
      <c r="AC80" s="40"/>
      <c r="AD80" s="40"/>
      <c r="AE80" s="6"/>
      <c r="AF80" s="6"/>
      <c r="AG80" s="6"/>
      <c r="AH80" s="6"/>
      <c r="AI80" s="6"/>
    </row>
    <row r="81" spans="1:35" ht="15.75" customHeight="1" x14ac:dyDescent="0.2">
      <c r="A81" s="4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40"/>
      <c r="Y81" s="40"/>
      <c r="Z81" s="6"/>
      <c r="AA81" s="40"/>
      <c r="AB81" s="40"/>
      <c r="AC81" s="40"/>
      <c r="AD81" s="40"/>
      <c r="AE81" s="6"/>
      <c r="AF81" s="6"/>
      <c r="AG81" s="6"/>
      <c r="AH81" s="6"/>
      <c r="AI81" s="6"/>
    </row>
    <row r="82" spans="1:35" ht="15.75" customHeight="1" x14ac:dyDescent="0.2">
      <c r="A82" s="4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40"/>
      <c r="Y82" s="40"/>
      <c r="Z82" s="6"/>
      <c r="AA82" s="40"/>
      <c r="AB82" s="40"/>
      <c r="AC82" s="40"/>
      <c r="AD82" s="40"/>
      <c r="AE82" s="6"/>
      <c r="AF82" s="6"/>
      <c r="AG82" s="6"/>
      <c r="AH82" s="6"/>
      <c r="AI82" s="6"/>
    </row>
    <row r="83" spans="1:35" ht="15.75" customHeight="1" x14ac:dyDescent="0.2">
      <c r="A83" s="4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40"/>
      <c r="Y83" s="40"/>
      <c r="Z83" s="6"/>
      <c r="AA83" s="40"/>
      <c r="AB83" s="40"/>
      <c r="AC83" s="40"/>
      <c r="AD83" s="40"/>
      <c r="AE83" s="6"/>
      <c r="AF83" s="6"/>
      <c r="AG83" s="6"/>
      <c r="AH83" s="6"/>
      <c r="AI83" s="6"/>
    </row>
    <row r="84" spans="1:35" ht="15.75" customHeight="1" x14ac:dyDescent="0.2">
      <c r="A84" s="4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40"/>
      <c r="Y84" s="40"/>
      <c r="Z84" s="6"/>
      <c r="AA84" s="40"/>
      <c r="AB84" s="40"/>
      <c r="AC84" s="40"/>
      <c r="AD84" s="40"/>
      <c r="AE84" s="6"/>
      <c r="AF84" s="6"/>
      <c r="AG84" s="6"/>
      <c r="AH84" s="6"/>
      <c r="AI84" s="6"/>
    </row>
    <row r="85" spans="1:35" ht="15.75" customHeight="1" x14ac:dyDescent="0.2">
      <c r="A85" s="4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40"/>
      <c r="Y85" s="40"/>
      <c r="Z85" s="6"/>
      <c r="AA85" s="40"/>
      <c r="AB85" s="40"/>
      <c r="AC85" s="40"/>
      <c r="AD85" s="40"/>
      <c r="AE85" s="6"/>
      <c r="AF85" s="6"/>
      <c r="AG85" s="6"/>
      <c r="AH85" s="6"/>
      <c r="AI85" s="6"/>
    </row>
    <row r="86" spans="1:35" ht="15.75" customHeight="1" x14ac:dyDescent="0.2">
      <c r="A86" s="4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40"/>
      <c r="Y86" s="40"/>
      <c r="Z86" s="6"/>
      <c r="AA86" s="40"/>
      <c r="AB86" s="40"/>
      <c r="AC86" s="40"/>
      <c r="AD86" s="40"/>
      <c r="AE86" s="6"/>
      <c r="AF86" s="6"/>
      <c r="AG86" s="6"/>
      <c r="AH86" s="6"/>
      <c r="AI86" s="6"/>
    </row>
    <row r="87" spans="1:35" ht="15.75" customHeight="1" x14ac:dyDescent="0.2">
      <c r="A87" s="4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40"/>
      <c r="Y87" s="40"/>
      <c r="Z87" s="6"/>
      <c r="AA87" s="40"/>
      <c r="AB87" s="40"/>
      <c r="AC87" s="40"/>
      <c r="AD87" s="40"/>
      <c r="AE87" s="6"/>
      <c r="AF87" s="6"/>
      <c r="AG87" s="6"/>
      <c r="AH87" s="6"/>
      <c r="AI87" s="6"/>
    </row>
    <row r="88" spans="1:35" ht="15.75" customHeight="1" x14ac:dyDescent="0.2">
      <c r="A88" s="4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40"/>
      <c r="Y88" s="40"/>
      <c r="Z88" s="6"/>
      <c r="AA88" s="40"/>
      <c r="AB88" s="40"/>
      <c r="AC88" s="40"/>
      <c r="AD88" s="40"/>
      <c r="AE88" s="6"/>
      <c r="AF88" s="6"/>
      <c r="AG88" s="6"/>
      <c r="AH88" s="6"/>
      <c r="AI88" s="6"/>
    </row>
    <row r="89" spans="1:35" ht="15.75" customHeight="1" x14ac:dyDescent="0.2">
      <c r="A89" s="4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40"/>
      <c r="Y89" s="40"/>
      <c r="Z89" s="6"/>
      <c r="AA89" s="40"/>
      <c r="AB89" s="40"/>
      <c r="AC89" s="40"/>
      <c r="AD89" s="40"/>
      <c r="AE89" s="6"/>
      <c r="AF89" s="6"/>
      <c r="AG89" s="6"/>
      <c r="AH89" s="6"/>
      <c r="AI89" s="6"/>
    </row>
    <row r="90" spans="1:35" ht="15.75" customHeight="1" x14ac:dyDescent="0.2">
      <c r="A90" s="4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40"/>
      <c r="Y90" s="40"/>
      <c r="Z90" s="6"/>
      <c r="AA90" s="40"/>
      <c r="AB90" s="40"/>
      <c r="AC90" s="40"/>
      <c r="AD90" s="40"/>
      <c r="AE90" s="6"/>
      <c r="AF90" s="6"/>
      <c r="AG90" s="6"/>
      <c r="AH90" s="6"/>
      <c r="AI90" s="6"/>
    </row>
    <row r="91" spans="1:35" ht="15.75" customHeight="1" x14ac:dyDescent="0.2">
      <c r="A91" s="4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40"/>
      <c r="Y91" s="40"/>
      <c r="Z91" s="6"/>
      <c r="AA91" s="40"/>
      <c r="AB91" s="40"/>
      <c r="AC91" s="40"/>
      <c r="AD91" s="40"/>
      <c r="AE91" s="6"/>
      <c r="AF91" s="6"/>
      <c r="AG91" s="6"/>
      <c r="AH91" s="6"/>
      <c r="AI91" s="6"/>
    </row>
    <row r="92" spans="1:35" ht="15.75" customHeight="1" x14ac:dyDescent="0.2">
      <c r="A92" s="4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40"/>
      <c r="Y92" s="40"/>
      <c r="Z92" s="6"/>
      <c r="AA92" s="40"/>
      <c r="AB92" s="40"/>
      <c r="AC92" s="40"/>
      <c r="AD92" s="40"/>
      <c r="AE92" s="6"/>
      <c r="AF92" s="6"/>
      <c r="AG92" s="6"/>
      <c r="AH92" s="6"/>
      <c r="AI92" s="6"/>
    </row>
    <row r="93" spans="1:35" ht="15.75" customHeight="1" x14ac:dyDescent="0.2">
      <c r="A93" s="4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40"/>
      <c r="Y93" s="40"/>
      <c r="Z93" s="6"/>
      <c r="AA93" s="40"/>
      <c r="AB93" s="40"/>
      <c r="AC93" s="40"/>
      <c r="AD93" s="40"/>
      <c r="AE93" s="6"/>
      <c r="AF93" s="6"/>
      <c r="AG93" s="6"/>
      <c r="AH93" s="6"/>
      <c r="AI93" s="6"/>
    </row>
    <row r="94" spans="1:35" ht="15.75" customHeight="1" x14ac:dyDescent="0.2">
      <c r="A94" s="4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40"/>
      <c r="Y94" s="40"/>
      <c r="Z94" s="6"/>
      <c r="AA94" s="40"/>
      <c r="AB94" s="40"/>
      <c r="AC94" s="40"/>
      <c r="AD94" s="40"/>
      <c r="AE94" s="6"/>
      <c r="AF94" s="6"/>
      <c r="AG94" s="6"/>
      <c r="AH94" s="6"/>
      <c r="AI94" s="6"/>
    </row>
    <row r="95" spans="1:35" ht="15.75" customHeight="1" x14ac:dyDescent="0.2">
      <c r="A95" s="4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40"/>
      <c r="Y95" s="40"/>
      <c r="Z95" s="6"/>
      <c r="AA95" s="40"/>
      <c r="AB95" s="40"/>
      <c r="AC95" s="40"/>
      <c r="AD95" s="40"/>
      <c r="AE95" s="6"/>
      <c r="AF95" s="6"/>
      <c r="AG95" s="6"/>
      <c r="AH95" s="6"/>
      <c r="AI95" s="6"/>
    </row>
    <row r="96" spans="1:35" ht="15.75" customHeight="1" x14ac:dyDescent="0.2">
      <c r="A96" s="4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40"/>
      <c r="Y96" s="40"/>
      <c r="Z96" s="6"/>
      <c r="AA96" s="40"/>
      <c r="AB96" s="40"/>
      <c r="AC96" s="40"/>
      <c r="AD96" s="40"/>
      <c r="AE96" s="6"/>
      <c r="AF96" s="6"/>
      <c r="AG96" s="6"/>
      <c r="AH96" s="6"/>
      <c r="AI96" s="6"/>
    </row>
    <row r="97" spans="1:35" ht="15.75" customHeight="1" x14ac:dyDescent="0.2">
      <c r="A97" s="4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40"/>
      <c r="Y97" s="40"/>
      <c r="Z97" s="6"/>
      <c r="AA97" s="40"/>
      <c r="AB97" s="40"/>
      <c r="AC97" s="40"/>
      <c r="AD97" s="40"/>
      <c r="AE97" s="6"/>
      <c r="AF97" s="6"/>
      <c r="AG97" s="6"/>
      <c r="AH97" s="6"/>
      <c r="AI97" s="6"/>
    </row>
    <row r="98" spans="1:35" ht="15.75" customHeight="1" x14ac:dyDescent="0.2">
      <c r="A98" s="4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40"/>
      <c r="Y98" s="40"/>
      <c r="Z98" s="6"/>
      <c r="AA98" s="40"/>
      <c r="AB98" s="40"/>
      <c r="AC98" s="40"/>
      <c r="AD98" s="40"/>
      <c r="AE98" s="6"/>
      <c r="AF98" s="6"/>
      <c r="AG98" s="6"/>
      <c r="AH98" s="6"/>
      <c r="AI98" s="6"/>
    </row>
    <row r="99" spans="1:35" ht="15.75" customHeight="1" x14ac:dyDescent="0.2">
      <c r="A99" s="4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40"/>
      <c r="Y99" s="40"/>
      <c r="Z99" s="6"/>
      <c r="AA99" s="40"/>
      <c r="AB99" s="40"/>
      <c r="AC99" s="40"/>
      <c r="AD99" s="40"/>
      <c r="AE99" s="6"/>
      <c r="AF99" s="6"/>
      <c r="AG99" s="6"/>
      <c r="AH99" s="6"/>
      <c r="AI99" s="6"/>
    </row>
    <row r="100" spans="1:35" ht="15.75" customHeight="1" x14ac:dyDescent="0.2">
      <c r="A100" s="4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40"/>
      <c r="Y100" s="40"/>
      <c r="Z100" s="6"/>
      <c r="AA100" s="40"/>
      <c r="AB100" s="40"/>
      <c r="AC100" s="40"/>
      <c r="AD100" s="40"/>
      <c r="AE100" s="6"/>
      <c r="AF100" s="6"/>
      <c r="AG100" s="6"/>
      <c r="AH100" s="6"/>
      <c r="AI100" s="6"/>
    </row>
    <row r="101" spans="1:35" ht="15.75" customHeight="1" x14ac:dyDescent="0.2">
      <c r="A101" s="4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40"/>
      <c r="Y101" s="40"/>
      <c r="Z101" s="6"/>
      <c r="AA101" s="40"/>
      <c r="AB101" s="40"/>
      <c r="AC101" s="40"/>
      <c r="AD101" s="40"/>
      <c r="AE101" s="6"/>
      <c r="AF101" s="6"/>
      <c r="AG101" s="6"/>
      <c r="AH101" s="6"/>
      <c r="AI101" s="6"/>
    </row>
    <row r="102" spans="1:35" ht="15.75" customHeight="1" x14ac:dyDescent="0.2">
      <c r="A102" s="4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40"/>
      <c r="Y102" s="40"/>
      <c r="Z102" s="6"/>
      <c r="AA102" s="40"/>
      <c r="AB102" s="40"/>
      <c r="AC102" s="40"/>
      <c r="AD102" s="40"/>
      <c r="AE102" s="6"/>
      <c r="AF102" s="6"/>
      <c r="AG102" s="6"/>
      <c r="AH102" s="6"/>
      <c r="AI102" s="6"/>
    </row>
    <row r="103" spans="1:35" ht="15.75" customHeight="1" x14ac:dyDescent="0.2">
      <c r="A103" s="4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40"/>
      <c r="Y103" s="40"/>
      <c r="Z103" s="6"/>
      <c r="AA103" s="40"/>
      <c r="AB103" s="40"/>
      <c r="AC103" s="40"/>
      <c r="AD103" s="40"/>
      <c r="AE103" s="6"/>
      <c r="AF103" s="6"/>
      <c r="AG103" s="6"/>
      <c r="AH103" s="6"/>
      <c r="AI103" s="6"/>
    </row>
    <row r="104" spans="1:35" ht="15.75" customHeight="1" x14ac:dyDescent="0.2">
      <c r="A104" s="4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40"/>
      <c r="Y104" s="40"/>
      <c r="Z104" s="6"/>
      <c r="AA104" s="40"/>
      <c r="AB104" s="40"/>
      <c r="AC104" s="40"/>
      <c r="AD104" s="40"/>
      <c r="AE104" s="6"/>
      <c r="AF104" s="6"/>
      <c r="AG104" s="6"/>
      <c r="AH104" s="6"/>
      <c r="AI104" s="6"/>
    </row>
    <row r="105" spans="1:35" ht="15.75" customHeight="1" x14ac:dyDescent="0.2">
      <c r="A105" s="4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40"/>
      <c r="Y105" s="40"/>
      <c r="Z105" s="6"/>
      <c r="AA105" s="40"/>
      <c r="AB105" s="40"/>
      <c r="AC105" s="40"/>
      <c r="AD105" s="40"/>
      <c r="AE105" s="6"/>
      <c r="AF105" s="6"/>
      <c r="AG105" s="6"/>
      <c r="AH105" s="6"/>
      <c r="AI105" s="6"/>
    </row>
    <row r="106" spans="1:35" ht="15.75" customHeight="1" x14ac:dyDescent="0.2">
      <c r="A106" s="4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40"/>
      <c r="Y106" s="40"/>
      <c r="Z106" s="6"/>
      <c r="AA106" s="40"/>
      <c r="AB106" s="40"/>
      <c r="AC106" s="40"/>
      <c r="AD106" s="40"/>
      <c r="AE106" s="6"/>
      <c r="AF106" s="6"/>
      <c r="AG106" s="6"/>
      <c r="AH106" s="6"/>
      <c r="AI106" s="6"/>
    </row>
    <row r="107" spans="1:35" ht="15.75" customHeight="1" x14ac:dyDescent="0.2">
      <c r="A107" s="4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40"/>
      <c r="Y107" s="40"/>
      <c r="Z107" s="6"/>
      <c r="AA107" s="40"/>
      <c r="AB107" s="40"/>
      <c r="AC107" s="40"/>
      <c r="AD107" s="40"/>
      <c r="AE107" s="6"/>
      <c r="AF107" s="6"/>
      <c r="AG107" s="6"/>
      <c r="AH107" s="6"/>
      <c r="AI107" s="6"/>
    </row>
    <row r="108" spans="1:35" ht="15.75" customHeight="1" x14ac:dyDescent="0.2">
      <c r="A108" s="4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40"/>
      <c r="Y108" s="40"/>
      <c r="Z108" s="6"/>
      <c r="AA108" s="40"/>
      <c r="AB108" s="40"/>
      <c r="AC108" s="40"/>
      <c r="AD108" s="40"/>
      <c r="AE108" s="6"/>
      <c r="AF108" s="6"/>
      <c r="AG108" s="6"/>
      <c r="AH108" s="6"/>
      <c r="AI108" s="6"/>
    </row>
    <row r="109" spans="1:35" ht="15.75" customHeight="1" x14ac:dyDescent="0.2">
      <c r="A109" s="4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40"/>
      <c r="Y109" s="40"/>
      <c r="Z109" s="6"/>
      <c r="AA109" s="40"/>
      <c r="AB109" s="40"/>
      <c r="AC109" s="40"/>
      <c r="AD109" s="40"/>
      <c r="AE109" s="6"/>
      <c r="AF109" s="6"/>
      <c r="AG109" s="6"/>
      <c r="AH109" s="6"/>
      <c r="AI109" s="6"/>
    </row>
    <row r="110" spans="1:35" ht="15.75" customHeight="1" x14ac:dyDescent="0.2">
      <c r="A110" s="4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40"/>
      <c r="Y110" s="40"/>
      <c r="Z110" s="6"/>
      <c r="AA110" s="40"/>
      <c r="AB110" s="40"/>
      <c r="AC110" s="40"/>
      <c r="AD110" s="40"/>
      <c r="AE110" s="6"/>
      <c r="AF110" s="6"/>
      <c r="AG110" s="6"/>
      <c r="AH110" s="6"/>
      <c r="AI110" s="6"/>
    </row>
    <row r="111" spans="1:35" ht="15.75" customHeight="1" x14ac:dyDescent="0.2">
      <c r="A111" s="4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40"/>
      <c r="Y111" s="40"/>
      <c r="Z111" s="6"/>
      <c r="AA111" s="40"/>
      <c r="AB111" s="40"/>
      <c r="AC111" s="40"/>
      <c r="AD111" s="40"/>
      <c r="AE111" s="6"/>
      <c r="AF111" s="6"/>
      <c r="AG111" s="6"/>
      <c r="AH111" s="6"/>
      <c r="AI111" s="6"/>
    </row>
    <row r="112" spans="1:35" ht="15.75" customHeight="1" x14ac:dyDescent="0.2">
      <c r="A112" s="4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40"/>
      <c r="Y112" s="40"/>
      <c r="Z112" s="6"/>
      <c r="AA112" s="40"/>
      <c r="AB112" s="40"/>
      <c r="AC112" s="40"/>
      <c r="AD112" s="40"/>
      <c r="AE112" s="6"/>
      <c r="AF112" s="6"/>
      <c r="AG112" s="6"/>
      <c r="AH112" s="6"/>
      <c r="AI112" s="6"/>
    </row>
    <row r="113" spans="1:35" ht="15.75" customHeight="1" x14ac:dyDescent="0.2">
      <c r="A113" s="4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40"/>
      <c r="Y113" s="40"/>
      <c r="Z113" s="6"/>
      <c r="AA113" s="40"/>
      <c r="AB113" s="40"/>
      <c r="AC113" s="40"/>
      <c r="AD113" s="40"/>
      <c r="AE113" s="6"/>
      <c r="AF113" s="6"/>
      <c r="AG113" s="6"/>
      <c r="AH113" s="6"/>
      <c r="AI113" s="6"/>
    </row>
    <row r="114" spans="1:35" ht="15.75" customHeight="1" x14ac:dyDescent="0.2">
      <c r="A114" s="4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40"/>
      <c r="Y114" s="40"/>
      <c r="Z114" s="6"/>
      <c r="AA114" s="40"/>
      <c r="AB114" s="40"/>
      <c r="AC114" s="40"/>
      <c r="AD114" s="40"/>
      <c r="AE114" s="6"/>
      <c r="AF114" s="6"/>
      <c r="AG114" s="6"/>
      <c r="AH114" s="6"/>
      <c r="AI114" s="6"/>
    </row>
    <row r="115" spans="1:35" ht="15.75" customHeight="1" x14ac:dyDescent="0.2">
      <c r="A115" s="4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40"/>
      <c r="Y115" s="40"/>
      <c r="Z115" s="6"/>
      <c r="AA115" s="40"/>
      <c r="AB115" s="40"/>
      <c r="AC115" s="40"/>
      <c r="AD115" s="40"/>
      <c r="AE115" s="6"/>
      <c r="AF115" s="6"/>
      <c r="AG115" s="6"/>
      <c r="AH115" s="6"/>
      <c r="AI115" s="6"/>
    </row>
    <row r="116" spans="1:35" ht="15.75" customHeight="1" x14ac:dyDescent="0.2">
      <c r="A116" s="4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40"/>
      <c r="Y116" s="40"/>
      <c r="Z116" s="6"/>
      <c r="AA116" s="40"/>
      <c r="AB116" s="40"/>
      <c r="AC116" s="40"/>
      <c r="AD116" s="40"/>
      <c r="AE116" s="6"/>
      <c r="AF116" s="6"/>
      <c r="AG116" s="6"/>
      <c r="AH116" s="6"/>
      <c r="AI116" s="6"/>
    </row>
    <row r="117" spans="1:35" ht="15.75" customHeight="1" x14ac:dyDescent="0.2">
      <c r="A117" s="4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40"/>
      <c r="Y117" s="40"/>
      <c r="Z117" s="6"/>
      <c r="AA117" s="40"/>
      <c r="AB117" s="40"/>
      <c r="AC117" s="40"/>
      <c r="AD117" s="40"/>
      <c r="AE117" s="6"/>
      <c r="AF117" s="6"/>
      <c r="AG117" s="6"/>
      <c r="AH117" s="6"/>
      <c r="AI117" s="6"/>
    </row>
    <row r="118" spans="1:35" ht="15.75" customHeight="1" x14ac:dyDescent="0.2">
      <c r="A118" s="4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40"/>
      <c r="Y118" s="40"/>
      <c r="Z118" s="6"/>
      <c r="AA118" s="40"/>
      <c r="AB118" s="40"/>
      <c r="AC118" s="40"/>
      <c r="AD118" s="40"/>
      <c r="AE118" s="6"/>
      <c r="AF118" s="6"/>
      <c r="AG118" s="6"/>
      <c r="AH118" s="6"/>
      <c r="AI118" s="6"/>
    </row>
    <row r="119" spans="1:35" ht="15.75" customHeight="1" x14ac:dyDescent="0.2">
      <c r="A119" s="4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40"/>
      <c r="Y119" s="40"/>
      <c r="Z119" s="6"/>
      <c r="AA119" s="40"/>
      <c r="AB119" s="40"/>
      <c r="AC119" s="40"/>
      <c r="AD119" s="40"/>
      <c r="AE119" s="6"/>
      <c r="AF119" s="6"/>
      <c r="AG119" s="6"/>
      <c r="AH119" s="6"/>
      <c r="AI119" s="6"/>
    </row>
    <row r="120" spans="1:35" ht="15.75" customHeight="1" x14ac:dyDescent="0.2">
      <c r="A120" s="4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40"/>
      <c r="Y120" s="40"/>
      <c r="Z120" s="6"/>
      <c r="AA120" s="40"/>
      <c r="AB120" s="40"/>
      <c r="AC120" s="40"/>
      <c r="AD120" s="40"/>
      <c r="AE120" s="6"/>
      <c r="AF120" s="6"/>
      <c r="AG120" s="6"/>
      <c r="AH120" s="6"/>
      <c r="AI120" s="6"/>
    </row>
    <row r="121" spans="1:35" ht="15.75" customHeight="1" x14ac:dyDescent="0.2">
      <c r="A121" s="40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40"/>
      <c r="Y121" s="40"/>
      <c r="Z121" s="6"/>
      <c r="AA121" s="40"/>
      <c r="AB121" s="40"/>
      <c r="AC121" s="40"/>
      <c r="AD121" s="40"/>
      <c r="AE121" s="6"/>
      <c r="AF121" s="6"/>
      <c r="AG121" s="6"/>
      <c r="AH121" s="6"/>
      <c r="AI121" s="6"/>
    </row>
    <row r="122" spans="1:35" ht="15.75" customHeight="1" x14ac:dyDescent="0.2">
      <c r="A122" s="40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40"/>
      <c r="Y122" s="40"/>
      <c r="Z122" s="6"/>
      <c r="AA122" s="40"/>
      <c r="AB122" s="40"/>
      <c r="AC122" s="40"/>
      <c r="AD122" s="40"/>
      <c r="AE122" s="6"/>
      <c r="AF122" s="6"/>
      <c r="AG122" s="6"/>
      <c r="AH122" s="6"/>
      <c r="AI122" s="6"/>
    </row>
    <row r="123" spans="1:35" ht="15.75" customHeight="1" x14ac:dyDescent="0.2">
      <c r="A123" s="4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40"/>
      <c r="Y123" s="40"/>
      <c r="Z123" s="6"/>
      <c r="AA123" s="40"/>
      <c r="AB123" s="40"/>
      <c r="AC123" s="40"/>
      <c r="AD123" s="40"/>
      <c r="AE123" s="6"/>
      <c r="AF123" s="6"/>
      <c r="AG123" s="6"/>
      <c r="AH123" s="6"/>
      <c r="AI123" s="6"/>
    </row>
    <row r="124" spans="1:35" ht="15.75" customHeight="1" x14ac:dyDescent="0.2">
      <c r="A124" s="40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40"/>
      <c r="Y124" s="40"/>
      <c r="Z124" s="6"/>
      <c r="AA124" s="40"/>
      <c r="AB124" s="40"/>
      <c r="AC124" s="40"/>
      <c r="AD124" s="40"/>
      <c r="AE124" s="6"/>
      <c r="AF124" s="6"/>
      <c r="AG124" s="6"/>
      <c r="AH124" s="6"/>
      <c r="AI124" s="6"/>
    </row>
    <row r="125" spans="1:35" ht="15.75" customHeight="1" x14ac:dyDescent="0.2">
      <c r="A125" s="40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40"/>
      <c r="Y125" s="40"/>
      <c r="Z125" s="6"/>
      <c r="AA125" s="40"/>
      <c r="AB125" s="40"/>
      <c r="AC125" s="40"/>
      <c r="AD125" s="40"/>
      <c r="AE125" s="6"/>
      <c r="AF125" s="6"/>
      <c r="AG125" s="6"/>
      <c r="AH125" s="6"/>
      <c r="AI125" s="6"/>
    </row>
    <row r="126" spans="1:35" ht="15.75" customHeight="1" x14ac:dyDescent="0.2">
      <c r="A126" s="40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40"/>
      <c r="Y126" s="40"/>
      <c r="Z126" s="6"/>
      <c r="AA126" s="40"/>
      <c r="AB126" s="40"/>
      <c r="AC126" s="40"/>
      <c r="AD126" s="40"/>
      <c r="AE126" s="6"/>
      <c r="AF126" s="6"/>
      <c r="AG126" s="6"/>
      <c r="AH126" s="6"/>
      <c r="AI126" s="6"/>
    </row>
    <row r="127" spans="1:35" ht="15.75" customHeight="1" x14ac:dyDescent="0.2">
      <c r="A127" s="40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40"/>
      <c r="Y127" s="40"/>
      <c r="Z127" s="6"/>
      <c r="AA127" s="40"/>
      <c r="AB127" s="40"/>
      <c r="AC127" s="40"/>
      <c r="AD127" s="40"/>
      <c r="AE127" s="6"/>
      <c r="AF127" s="6"/>
      <c r="AG127" s="6"/>
      <c r="AH127" s="6"/>
      <c r="AI127" s="6"/>
    </row>
    <row r="128" spans="1:35" ht="15.75" customHeight="1" x14ac:dyDescent="0.2">
      <c r="A128" s="40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40"/>
      <c r="Y128" s="40"/>
      <c r="Z128" s="6"/>
      <c r="AA128" s="40"/>
      <c r="AB128" s="40"/>
      <c r="AC128" s="40"/>
      <c r="AD128" s="40"/>
      <c r="AE128" s="6"/>
      <c r="AF128" s="6"/>
      <c r="AG128" s="6"/>
      <c r="AH128" s="6"/>
      <c r="AI128" s="6"/>
    </row>
    <row r="129" spans="1:35" ht="15.75" customHeight="1" x14ac:dyDescent="0.2">
      <c r="A129" s="4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40"/>
      <c r="Y129" s="40"/>
      <c r="Z129" s="6"/>
      <c r="AA129" s="40"/>
      <c r="AB129" s="40"/>
      <c r="AC129" s="40"/>
      <c r="AD129" s="40"/>
      <c r="AE129" s="6"/>
      <c r="AF129" s="6"/>
      <c r="AG129" s="6"/>
      <c r="AH129" s="6"/>
      <c r="AI129" s="6"/>
    </row>
    <row r="130" spans="1:35" ht="15.75" customHeight="1" x14ac:dyDescent="0.2">
      <c r="A130" s="4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40"/>
      <c r="Y130" s="40"/>
      <c r="Z130" s="6"/>
      <c r="AA130" s="40"/>
      <c r="AB130" s="40"/>
      <c r="AC130" s="40"/>
      <c r="AD130" s="40"/>
      <c r="AE130" s="6"/>
      <c r="AF130" s="6"/>
      <c r="AG130" s="6"/>
      <c r="AH130" s="6"/>
      <c r="AI130" s="6"/>
    </row>
    <row r="131" spans="1:35" ht="15.75" customHeight="1" x14ac:dyDescent="0.2">
      <c r="A131" s="4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40"/>
      <c r="Y131" s="40"/>
      <c r="Z131" s="6"/>
      <c r="AA131" s="40"/>
      <c r="AB131" s="40"/>
      <c r="AC131" s="40"/>
      <c r="AD131" s="40"/>
      <c r="AE131" s="6"/>
      <c r="AF131" s="6"/>
      <c r="AG131" s="6"/>
      <c r="AH131" s="6"/>
      <c r="AI131" s="6"/>
    </row>
    <row r="132" spans="1:35" ht="15.75" customHeight="1" x14ac:dyDescent="0.2">
      <c r="A132" s="4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40"/>
      <c r="Y132" s="40"/>
      <c r="Z132" s="6"/>
      <c r="AA132" s="40"/>
      <c r="AB132" s="40"/>
      <c r="AC132" s="40"/>
      <c r="AD132" s="40"/>
      <c r="AE132" s="6"/>
      <c r="AF132" s="6"/>
      <c r="AG132" s="6"/>
      <c r="AH132" s="6"/>
      <c r="AI132" s="6"/>
    </row>
    <row r="133" spans="1:35" ht="15.75" customHeight="1" x14ac:dyDescent="0.2">
      <c r="A133" s="4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40"/>
      <c r="Y133" s="40"/>
      <c r="Z133" s="6"/>
      <c r="AA133" s="40"/>
      <c r="AB133" s="40"/>
      <c r="AC133" s="40"/>
      <c r="AD133" s="40"/>
      <c r="AE133" s="6"/>
      <c r="AF133" s="6"/>
      <c r="AG133" s="6"/>
      <c r="AH133" s="6"/>
      <c r="AI133" s="6"/>
    </row>
    <row r="134" spans="1:35" ht="15.75" customHeight="1" x14ac:dyDescent="0.2">
      <c r="A134" s="4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40"/>
      <c r="Y134" s="40"/>
      <c r="Z134" s="6"/>
      <c r="AA134" s="40"/>
      <c r="AB134" s="40"/>
      <c r="AC134" s="40"/>
      <c r="AD134" s="40"/>
      <c r="AE134" s="6"/>
      <c r="AF134" s="6"/>
      <c r="AG134" s="6"/>
      <c r="AH134" s="6"/>
      <c r="AI134" s="6"/>
    </row>
    <row r="135" spans="1:35" ht="15.75" customHeight="1" x14ac:dyDescent="0.2">
      <c r="A135" s="4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40"/>
      <c r="Y135" s="40"/>
      <c r="Z135" s="6"/>
      <c r="AA135" s="40"/>
      <c r="AB135" s="40"/>
      <c r="AC135" s="40"/>
      <c r="AD135" s="40"/>
      <c r="AE135" s="6"/>
      <c r="AF135" s="6"/>
      <c r="AG135" s="6"/>
      <c r="AH135" s="6"/>
      <c r="AI135" s="6"/>
    </row>
    <row r="136" spans="1:35" ht="15.75" customHeight="1" x14ac:dyDescent="0.2">
      <c r="A136" s="4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40"/>
      <c r="Y136" s="40"/>
      <c r="Z136" s="6"/>
      <c r="AA136" s="40"/>
      <c r="AB136" s="40"/>
      <c r="AC136" s="40"/>
      <c r="AD136" s="40"/>
      <c r="AE136" s="6"/>
      <c r="AF136" s="6"/>
      <c r="AG136" s="6"/>
      <c r="AH136" s="6"/>
      <c r="AI136" s="6"/>
    </row>
    <row r="137" spans="1:35" ht="15.75" customHeight="1" x14ac:dyDescent="0.2">
      <c r="A137" s="40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40"/>
      <c r="Y137" s="40"/>
      <c r="Z137" s="6"/>
      <c r="AA137" s="40"/>
      <c r="AB137" s="40"/>
      <c r="AC137" s="40"/>
      <c r="AD137" s="40"/>
      <c r="AE137" s="6"/>
      <c r="AF137" s="6"/>
      <c r="AG137" s="6"/>
      <c r="AH137" s="6"/>
      <c r="AI137" s="6"/>
    </row>
    <row r="138" spans="1:35" ht="15.75" customHeight="1" x14ac:dyDescent="0.2">
      <c r="A138" s="4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40"/>
      <c r="Y138" s="40"/>
      <c r="Z138" s="6"/>
      <c r="AA138" s="40"/>
      <c r="AB138" s="40"/>
      <c r="AC138" s="40"/>
      <c r="AD138" s="40"/>
      <c r="AE138" s="6"/>
      <c r="AF138" s="6"/>
      <c r="AG138" s="6"/>
      <c r="AH138" s="6"/>
      <c r="AI138" s="6"/>
    </row>
    <row r="139" spans="1:35" ht="15.75" customHeight="1" x14ac:dyDescent="0.2">
      <c r="A139" s="40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40"/>
      <c r="Y139" s="40"/>
      <c r="Z139" s="6"/>
      <c r="AA139" s="40"/>
      <c r="AB139" s="40"/>
      <c r="AC139" s="40"/>
      <c r="AD139" s="40"/>
      <c r="AE139" s="6"/>
      <c r="AF139" s="6"/>
      <c r="AG139" s="6"/>
      <c r="AH139" s="6"/>
      <c r="AI139" s="6"/>
    </row>
    <row r="140" spans="1:35" ht="15.75" customHeight="1" x14ac:dyDescent="0.2">
      <c r="A140" s="4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40"/>
      <c r="Y140" s="40"/>
      <c r="Z140" s="6"/>
      <c r="AA140" s="40"/>
      <c r="AB140" s="40"/>
      <c r="AC140" s="40"/>
      <c r="AD140" s="40"/>
      <c r="AE140" s="6"/>
      <c r="AF140" s="6"/>
      <c r="AG140" s="6"/>
      <c r="AH140" s="6"/>
      <c r="AI140" s="6"/>
    </row>
    <row r="141" spans="1:35" ht="15.75" customHeight="1" x14ac:dyDescent="0.2">
      <c r="A141" s="4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40"/>
      <c r="Y141" s="40"/>
      <c r="Z141" s="6"/>
      <c r="AA141" s="40"/>
      <c r="AB141" s="40"/>
      <c r="AC141" s="40"/>
      <c r="AD141" s="40"/>
      <c r="AE141" s="6"/>
      <c r="AF141" s="6"/>
      <c r="AG141" s="6"/>
      <c r="AH141" s="6"/>
      <c r="AI141" s="6"/>
    </row>
    <row r="142" spans="1:35" ht="15.75" customHeight="1" x14ac:dyDescent="0.2">
      <c r="A142" s="40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40"/>
      <c r="Y142" s="40"/>
      <c r="Z142" s="6"/>
      <c r="AA142" s="40"/>
      <c r="AB142" s="40"/>
      <c r="AC142" s="40"/>
      <c r="AD142" s="40"/>
      <c r="AE142" s="6"/>
      <c r="AF142" s="6"/>
      <c r="AG142" s="6"/>
      <c r="AH142" s="6"/>
      <c r="AI142" s="6"/>
    </row>
    <row r="143" spans="1:35" ht="15.75" customHeight="1" x14ac:dyDescent="0.2">
      <c r="A143" s="40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40"/>
      <c r="Y143" s="40"/>
      <c r="Z143" s="6"/>
      <c r="AA143" s="40"/>
      <c r="AB143" s="40"/>
      <c r="AC143" s="40"/>
      <c r="AD143" s="40"/>
      <c r="AE143" s="6"/>
      <c r="AF143" s="6"/>
      <c r="AG143" s="6"/>
      <c r="AH143" s="6"/>
      <c r="AI143" s="6"/>
    </row>
    <row r="144" spans="1:35" ht="15.75" customHeight="1" x14ac:dyDescent="0.2">
      <c r="A144" s="4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40"/>
      <c r="Y144" s="40"/>
      <c r="Z144" s="6"/>
      <c r="AA144" s="40"/>
      <c r="AB144" s="40"/>
      <c r="AC144" s="40"/>
      <c r="AD144" s="40"/>
      <c r="AE144" s="6"/>
      <c r="AF144" s="6"/>
      <c r="AG144" s="6"/>
      <c r="AH144" s="6"/>
      <c r="AI144" s="6"/>
    </row>
    <row r="145" spans="1:35" ht="15.75" customHeight="1" x14ac:dyDescent="0.2">
      <c r="A145" s="4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40"/>
      <c r="Y145" s="40"/>
      <c r="Z145" s="6"/>
      <c r="AA145" s="40"/>
      <c r="AB145" s="40"/>
      <c r="AC145" s="40"/>
      <c r="AD145" s="40"/>
      <c r="AE145" s="6"/>
      <c r="AF145" s="6"/>
      <c r="AG145" s="6"/>
      <c r="AH145" s="6"/>
      <c r="AI145" s="6"/>
    </row>
    <row r="146" spans="1:35" ht="15.75" customHeight="1" x14ac:dyDescent="0.2">
      <c r="A146" s="40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40"/>
      <c r="Y146" s="40"/>
      <c r="Z146" s="6"/>
      <c r="AA146" s="40"/>
      <c r="AB146" s="40"/>
      <c r="AC146" s="40"/>
      <c r="AD146" s="40"/>
      <c r="AE146" s="6"/>
      <c r="AF146" s="6"/>
      <c r="AG146" s="6"/>
      <c r="AH146" s="6"/>
      <c r="AI146" s="6"/>
    </row>
    <row r="147" spans="1:35" ht="15.75" customHeight="1" x14ac:dyDescent="0.2">
      <c r="A147" s="4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40"/>
      <c r="Y147" s="40"/>
      <c r="Z147" s="6"/>
      <c r="AA147" s="40"/>
      <c r="AB147" s="40"/>
      <c r="AC147" s="40"/>
      <c r="AD147" s="40"/>
      <c r="AE147" s="6"/>
      <c r="AF147" s="6"/>
      <c r="AG147" s="6"/>
      <c r="AH147" s="6"/>
      <c r="AI147" s="6"/>
    </row>
    <row r="148" spans="1:35" ht="15.75" customHeight="1" x14ac:dyDescent="0.2">
      <c r="A148" s="4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40"/>
      <c r="Y148" s="40"/>
      <c r="Z148" s="6"/>
      <c r="AA148" s="40"/>
      <c r="AB148" s="40"/>
      <c r="AC148" s="40"/>
      <c r="AD148" s="40"/>
      <c r="AE148" s="6"/>
      <c r="AF148" s="6"/>
      <c r="AG148" s="6"/>
      <c r="AH148" s="6"/>
      <c r="AI148" s="6"/>
    </row>
    <row r="149" spans="1:35" ht="15.75" customHeight="1" x14ac:dyDescent="0.2">
      <c r="A149" s="40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40"/>
      <c r="Y149" s="40"/>
      <c r="Z149" s="6"/>
      <c r="AA149" s="40"/>
      <c r="AB149" s="40"/>
      <c r="AC149" s="40"/>
      <c r="AD149" s="40"/>
      <c r="AE149" s="6"/>
      <c r="AF149" s="6"/>
      <c r="AG149" s="6"/>
      <c r="AH149" s="6"/>
      <c r="AI149" s="6"/>
    </row>
    <row r="150" spans="1:35" ht="15.75" customHeight="1" x14ac:dyDescent="0.2">
      <c r="A150" s="4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40"/>
      <c r="Y150" s="40"/>
      <c r="Z150" s="6"/>
      <c r="AA150" s="40"/>
      <c r="AB150" s="40"/>
      <c r="AC150" s="40"/>
      <c r="AD150" s="40"/>
      <c r="AE150" s="6"/>
      <c r="AF150" s="6"/>
      <c r="AG150" s="6"/>
      <c r="AH150" s="6"/>
      <c r="AI150" s="6"/>
    </row>
    <row r="151" spans="1:35" ht="15.75" customHeight="1" x14ac:dyDescent="0.2">
      <c r="A151" s="4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40"/>
      <c r="Y151" s="40"/>
      <c r="Z151" s="6"/>
      <c r="AA151" s="40"/>
      <c r="AB151" s="40"/>
      <c r="AC151" s="40"/>
      <c r="AD151" s="40"/>
      <c r="AE151" s="6"/>
      <c r="AF151" s="6"/>
      <c r="AG151" s="6"/>
      <c r="AH151" s="6"/>
      <c r="AI151" s="6"/>
    </row>
    <row r="152" spans="1:35" ht="15.75" customHeight="1" x14ac:dyDescent="0.2">
      <c r="A152" s="4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40"/>
      <c r="Y152" s="40"/>
      <c r="Z152" s="6"/>
      <c r="AA152" s="40"/>
      <c r="AB152" s="40"/>
      <c r="AC152" s="40"/>
      <c r="AD152" s="40"/>
      <c r="AE152" s="6"/>
      <c r="AF152" s="6"/>
      <c r="AG152" s="6"/>
      <c r="AH152" s="6"/>
      <c r="AI152" s="6"/>
    </row>
    <row r="153" spans="1:35" ht="15.75" customHeight="1" x14ac:dyDescent="0.2">
      <c r="A153" s="40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40"/>
      <c r="Y153" s="40"/>
      <c r="Z153" s="6"/>
      <c r="AA153" s="40"/>
      <c r="AB153" s="40"/>
      <c r="AC153" s="40"/>
      <c r="AD153" s="40"/>
      <c r="AE153" s="6"/>
      <c r="AF153" s="6"/>
      <c r="AG153" s="6"/>
      <c r="AH153" s="6"/>
      <c r="AI153" s="6"/>
    </row>
    <row r="154" spans="1:35" ht="15.75" customHeight="1" x14ac:dyDescent="0.2">
      <c r="A154" s="40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40"/>
      <c r="Y154" s="40"/>
      <c r="Z154" s="6"/>
      <c r="AA154" s="40"/>
      <c r="AB154" s="40"/>
      <c r="AC154" s="40"/>
      <c r="AD154" s="40"/>
      <c r="AE154" s="6"/>
      <c r="AF154" s="6"/>
      <c r="AG154" s="6"/>
      <c r="AH154" s="6"/>
      <c r="AI154" s="6"/>
    </row>
    <row r="155" spans="1:35" ht="15.75" customHeight="1" x14ac:dyDescent="0.2">
      <c r="A155" s="4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40"/>
      <c r="Y155" s="40"/>
      <c r="Z155" s="6"/>
      <c r="AA155" s="40"/>
      <c r="AB155" s="40"/>
      <c r="AC155" s="40"/>
      <c r="AD155" s="40"/>
      <c r="AE155" s="6"/>
      <c r="AF155" s="6"/>
      <c r="AG155" s="6"/>
      <c r="AH155" s="6"/>
      <c r="AI155" s="6"/>
    </row>
    <row r="156" spans="1:35" ht="15.75" customHeight="1" x14ac:dyDescent="0.2">
      <c r="A156" s="4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40"/>
      <c r="Y156" s="40"/>
      <c r="Z156" s="6"/>
      <c r="AA156" s="40"/>
      <c r="AB156" s="40"/>
      <c r="AC156" s="40"/>
      <c r="AD156" s="40"/>
      <c r="AE156" s="6"/>
      <c r="AF156" s="6"/>
      <c r="AG156" s="6"/>
      <c r="AH156" s="6"/>
      <c r="AI156" s="6"/>
    </row>
    <row r="157" spans="1:35" ht="15.75" customHeight="1" x14ac:dyDescent="0.2">
      <c r="A157" s="4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40"/>
      <c r="Y157" s="40"/>
      <c r="Z157" s="6"/>
      <c r="AA157" s="40"/>
      <c r="AB157" s="40"/>
      <c r="AC157" s="40"/>
      <c r="AD157" s="40"/>
      <c r="AE157" s="6"/>
      <c r="AF157" s="6"/>
      <c r="AG157" s="6"/>
      <c r="AH157" s="6"/>
      <c r="AI157" s="6"/>
    </row>
    <row r="158" spans="1:35" ht="15.75" customHeight="1" x14ac:dyDescent="0.2">
      <c r="A158" s="4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40"/>
      <c r="Y158" s="40"/>
      <c r="Z158" s="6"/>
      <c r="AA158" s="40"/>
      <c r="AB158" s="40"/>
      <c r="AC158" s="40"/>
      <c r="AD158" s="40"/>
      <c r="AE158" s="6"/>
      <c r="AF158" s="6"/>
      <c r="AG158" s="6"/>
      <c r="AH158" s="6"/>
      <c r="AI158" s="6"/>
    </row>
    <row r="159" spans="1:35" ht="15.75" customHeight="1" x14ac:dyDescent="0.2">
      <c r="A159" s="4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40"/>
      <c r="Y159" s="40"/>
      <c r="Z159" s="6"/>
      <c r="AA159" s="40"/>
      <c r="AB159" s="40"/>
      <c r="AC159" s="40"/>
      <c r="AD159" s="40"/>
      <c r="AE159" s="6"/>
      <c r="AF159" s="6"/>
      <c r="AG159" s="6"/>
      <c r="AH159" s="6"/>
      <c r="AI159" s="6"/>
    </row>
    <row r="160" spans="1:35" ht="15.75" customHeight="1" x14ac:dyDescent="0.2">
      <c r="A160" s="4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40"/>
      <c r="Y160" s="40"/>
      <c r="Z160" s="6"/>
      <c r="AA160" s="40"/>
      <c r="AB160" s="40"/>
      <c r="AC160" s="40"/>
      <c r="AD160" s="40"/>
      <c r="AE160" s="6"/>
      <c r="AF160" s="6"/>
      <c r="AG160" s="6"/>
      <c r="AH160" s="6"/>
      <c r="AI160" s="6"/>
    </row>
    <row r="161" spans="1:35" ht="15.75" customHeight="1" x14ac:dyDescent="0.2">
      <c r="A161" s="4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40"/>
      <c r="Y161" s="40"/>
      <c r="Z161" s="6"/>
      <c r="AA161" s="40"/>
      <c r="AB161" s="40"/>
      <c r="AC161" s="40"/>
      <c r="AD161" s="40"/>
      <c r="AE161" s="6"/>
      <c r="AF161" s="6"/>
      <c r="AG161" s="6"/>
      <c r="AH161" s="6"/>
      <c r="AI161" s="6"/>
    </row>
    <row r="162" spans="1:35" ht="15.75" customHeight="1" x14ac:dyDescent="0.2">
      <c r="A162" s="40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40"/>
      <c r="Y162" s="40"/>
      <c r="Z162" s="6"/>
      <c r="AA162" s="40"/>
      <c r="AB162" s="40"/>
      <c r="AC162" s="40"/>
      <c r="AD162" s="40"/>
      <c r="AE162" s="6"/>
      <c r="AF162" s="6"/>
      <c r="AG162" s="6"/>
      <c r="AH162" s="6"/>
      <c r="AI162" s="6"/>
    </row>
    <row r="163" spans="1:35" ht="15.75" customHeight="1" x14ac:dyDescent="0.2">
      <c r="A163" s="4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40"/>
      <c r="Y163" s="40"/>
      <c r="Z163" s="6"/>
      <c r="AA163" s="40"/>
      <c r="AB163" s="40"/>
      <c r="AC163" s="40"/>
      <c r="AD163" s="40"/>
      <c r="AE163" s="6"/>
      <c r="AF163" s="6"/>
      <c r="AG163" s="6"/>
      <c r="AH163" s="6"/>
      <c r="AI163" s="6"/>
    </row>
    <row r="164" spans="1:35" ht="15.75" customHeight="1" x14ac:dyDescent="0.2">
      <c r="A164" s="40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40"/>
      <c r="Y164" s="40"/>
      <c r="Z164" s="6"/>
      <c r="AA164" s="40"/>
      <c r="AB164" s="40"/>
      <c r="AC164" s="40"/>
      <c r="AD164" s="40"/>
      <c r="AE164" s="6"/>
      <c r="AF164" s="6"/>
      <c r="AG164" s="6"/>
      <c r="AH164" s="6"/>
      <c r="AI164" s="6"/>
    </row>
    <row r="165" spans="1:35" ht="15.75" customHeight="1" x14ac:dyDescent="0.2">
      <c r="A165" s="4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40"/>
      <c r="Y165" s="40"/>
      <c r="Z165" s="6"/>
      <c r="AA165" s="40"/>
      <c r="AB165" s="40"/>
      <c r="AC165" s="40"/>
      <c r="AD165" s="40"/>
      <c r="AE165" s="6"/>
      <c r="AF165" s="6"/>
      <c r="AG165" s="6"/>
      <c r="AH165" s="6"/>
      <c r="AI165" s="6"/>
    </row>
    <row r="166" spans="1:35" ht="15.75" customHeight="1" x14ac:dyDescent="0.2">
      <c r="A166" s="40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40"/>
      <c r="Y166" s="40"/>
      <c r="Z166" s="6"/>
      <c r="AA166" s="40"/>
      <c r="AB166" s="40"/>
      <c r="AC166" s="40"/>
      <c r="AD166" s="40"/>
      <c r="AE166" s="6"/>
      <c r="AF166" s="6"/>
      <c r="AG166" s="6"/>
      <c r="AH166" s="6"/>
      <c r="AI166" s="6"/>
    </row>
    <row r="167" spans="1:35" ht="15.75" customHeight="1" x14ac:dyDescent="0.2">
      <c r="A167" s="40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40"/>
      <c r="Y167" s="40"/>
      <c r="Z167" s="6"/>
      <c r="AA167" s="40"/>
      <c r="AB167" s="40"/>
      <c r="AC167" s="40"/>
      <c r="AD167" s="40"/>
      <c r="AE167" s="6"/>
      <c r="AF167" s="6"/>
      <c r="AG167" s="6"/>
      <c r="AH167" s="6"/>
      <c r="AI167" s="6"/>
    </row>
    <row r="168" spans="1:35" ht="15.75" customHeight="1" x14ac:dyDescent="0.2">
      <c r="A168" s="40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40"/>
      <c r="Y168" s="40"/>
      <c r="Z168" s="6"/>
      <c r="AA168" s="40"/>
      <c r="AB168" s="40"/>
      <c r="AC168" s="40"/>
      <c r="AD168" s="40"/>
      <c r="AE168" s="6"/>
      <c r="AF168" s="6"/>
      <c r="AG168" s="6"/>
      <c r="AH168" s="6"/>
      <c r="AI168" s="6"/>
    </row>
    <row r="169" spans="1:35" ht="15.75" customHeight="1" x14ac:dyDescent="0.2">
      <c r="A169" s="40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40"/>
      <c r="Y169" s="40"/>
      <c r="Z169" s="6"/>
      <c r="AA169" s="40"/>
      <c r="AB169" s="40"/>
      <c r="AC169" s="40"/>
      <c r="AD169" s="40"/>
      <c r="AE169" s="6"/>
      <c r="AF169" s="6"/>
      <c r="AG169" s="6"/>
      <c r="AH169" s="6"/>
      <c r="AI169" s="6"/>
    </row>
    <row r="170" spans="1:35" ht="15.75" customHeight="1" x14ac:dyDescent="0.2">
      <c r="A170" s="4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40"/>
      <c r="Y170" s="40"/>
      <c r="Z170" s="6"/>
      <c r="AA170" s="40"/>
      <c r="AB170" s="40"/>
      <c r="AC170" s="40"/>
      <c r="AD170" s="40"/>
      <c r="AE170" s="6"/>
      <c r="AF170" s="6"/>
      <c r="AG170" s="6"/>
      <c r="AH170" s="6"/>
      <c r="AI170" s="6"/>
    </row>
    <row r="171" spans="1:35" ht="15.75" customHeight="1" x14ac:dyDescent="0.2">
      <c r="A171" s="40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40"/>
      <c r="Y171" s="40"/>
      <c r="Z171" s="6"/>
      <c r="AA171" s="40"/>
      <c r="AB171" s="40"/>
      <c r="AC171" s="40"/>
      <c r="AD171" s="40"/>
      <c r="AE171" s="6"/>
      <c r="AF171" s="6"/>
      <c r="AG171" s="6"/>
      <c r="AH171" s="6"/>
      <c r="AI171" s="6"/>
    </row>
    <row r="172" spans="1:35" ht="15.75" customHeight="1" x14ac:dyDescent="0.2">
      <c r="A172" s="40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40"/>
      <c r="Y172" s="40"/>
      <c r="Z172" s="6"/>
      <c r="AA172" s="40"/>
      <c r="AB172" s="40"/>
      <c r="AC172" s="40"/>
      <c r="AD172" s="40"/>
      <c r="AE172" s="6"/>
      <c r="AF172" s="6"/>
      <c r="AG172" s="6"/>
      <c r="AH172" s="6"/>
      <c r="AI172" s="6"/>
    </row>
    <row r="173" spans="1:35" ht="15.75" customHeight="1" x14ac:dyDescent="0.2">
      <c r="A173" s="4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40"/>
      <c r="Y173" s="40"/>
      <c r="Z173" s="6"/>
      <c r="AA173" s="40"/>
      <c r="AB173" s="40"/>
      <c r="AC173" s="40"/>
      <c r="AD173" s="40"/>
      <c r="AE173" s="6"/>
      <c r="AF173" s="6"/>
      <c r="AG173" s="6"/>
      <c r="AH173" s="6"/>
      <c r="AI173" s="6"/>
    </row>
    <row r="174" spans="1:35" ht="15.75" customHeight="1" x14ac:dyDescent="0.2">
      <c r="A174" s="40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40"/>
      <c r="Y174" s="40"/>
      <c r="Z174" s="6"/>
      <c r="AA174" s="40"/>
      <c r="AB174" s="40"/>
      <c r="AC174" s="40"/>
      <c r="AD174" s="40"/>
      <c r="AE174" s="6"/>
      <c r="AF174" s="6"/>
      <c r="AG174" s="6"/>
      <c r="AH174" s="6"/>
      <c r="AI174" s="6"/>
    </row>
    <row r="175" spans="1:35" ht="15.75" customHeight="1" x14ac:dyDescent="0.2">
      <c r="A175" s="40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40"/>
      <c r="Y175" s="40"/>
      <c r="Z175" s="6"/>
      <c r="AA175" s="40"/>
      <c r="AB175" s="40"/>
      <c r="AC175" s="40"/>
      <c r="AD175" s="40"/>
      <c r="AE175" s="6"/>
      <c r="AF175" s="6"/>
      <c r="AG175" s="6"/>
      <c r="AH175" s="6"/>
      <c r="AI175" s="6"/>
    </row>
    <row r="176" spans="1:35" ht="15.75" customHeight="1" x14ac:dyDescent="0.2">
      <c r="A176" s="40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40"/>
      <c r="Y176" s="40"/>
      <c r="Z176" s="6"/>
      <c r="AA176" s="40"/>
      <c r="AB176" s="40"/>
      <c r="AC176" s="40"/>
      <c r="AD176" s="40"/>
      <c r="AE176" s="6"/>
      <c r="AF176" s="6"/>
      <c r="AG176" s="6"/>
      <c r="AH176" s="6"/>
      <c r="AI176" s="6"/>
    </row>
    <row r="177" spans="1:35" ht="15.75" customHeight="1" x14ac:dyDescent="0.2">
      <c r="A177" s="40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40"/>
      <c r="Y177" s="40"/>
      <c r="Z177" s="6"/>
      <c r="AA177" s="40"/>
      <c r="AB177" s="40"/>
      <c r="AC177" s="40"/>
      <c r="AD177" s="40"/>
      <c r="AE177" s="6"/>
      <c r="AF177" s="6"/>
      <c r="AG177" s="6"/>
      <c r="AH177" s="6"/>
      <c r="AI177" s="6"/>
    </row>
    <row r="178" spans="1:35" ht="15.75" customHeight="1" x14ac:dyDescent="0.2">
      <c r="A178" s="40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40"/>
      <c r="Y178" s="40"/>
      <c r="Z178" s="6"/>
      <c r="AA178" s="40"/>
      <c r="AB178" s="40"/>
      <c r="AC178" s="40"/>
      <c r="AD178" s="40"/>
      <c r="AE178" s="6"/>
      <c r="AF178" s="6"/>
      <c r="AG178" s="6"/>
      <c r="AH178" s="6"/>
      <c r="AI178" s="6"/>
    </row>
    <row r="179" spans="1:35" ht="15.75" customHeight="1" x14ac:dyDescent="0.2">
      <c r="A179" s="40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40"/>
      <c r="Y179" s="40"/>
      <c r="Z179" s="6"/>
      <c r="AA179" s="40"/>
      <c r="AB179" s="40"/>
      <c r="AC179" s="40"/>
      <c r="AD179" s="40"/>
      <c r="AE179" s="6"/>
      <c r="AF179" s="6"/>
      <c r="AG179" s="6"/>
      <c r="AH179" s="6"/>
      <c r="AI179" s="6"/>
    </row>
    <row r="180" spans="1:35" ht="15.75" customHeight="1" x14ac:dyDescent="0.2">
      <c r="A180" s="4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40"/>
      <c r="Y180" s="40"/>
      <c r="Z180" s="6"/>
      <c r="AA180" s="40"/>
      <c r="AB180" s="40"/>
      <c r="AC180" s="40"/>
      <c r="AD180" s="40"/>
      <c r="AE180" s="6"/>
      <c r="AF180" s="6"/>
      <c r="AG180" s="6"/>
      <c r="AH180" s="6"/>
      <c r="AI180" s="6"/>
    </row>
    <row r="181" spans="1:35" ht="15.75" customHeight="1" x14ac:dyDescent="0.2">
      <c r="A181" s="40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40"/>
      <c r="Y181" s="40"/>
      <c r="Z181" s="6"/>
      <c r="AA181" s="40"/>
      <c r="AB181" s="40"/>
      <c r="AC181" s="40"/>
      <c r="AD181" s="40"/>
      <c r="AE181" s="6"/>
      <c r="AF181" s="6"/>
      <c r="AG181" s="6"/>
      <c r="AH181" s="6"/>
      <c r="AI181" s="6"/>
    </row>
    <row r="182" spans="1:35" ht="15.75" customHeight="1" x14ac:dyDescent="0.2">
      <c r="A182" s="40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40"/>
      <c r="Y182" s="40"/>
      <c r="Z182" s="6"/>
      <c r="AA182" s="40"/>
      <c r="AB182" s="40"/>
      <c r="AC182" s="40"/>
      <c r="AD182" s="40"/>
      <c r="AE182" s="6"/>
      <c r="AF182" s="6"/>
      <c r="AG182" s="6"/>
      <c r="AH182" s="6"/>
      <c r="AI182" s="6"/>
    </row>
    <row r="183" spans="1:35" ht="15.75" customHeight="1" x14ac:dyDescent="0.2">
      <c r="A183" s="4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40"/>
      <c r="Y183" s="40"/>
      <c r="Z183" s="6"/>
      <c r="AA183" s="40"/>
      <c r="AB183" s="40"/>
      <c r="AC183" s="40"/>
      <c r="AD183" s="40"/>
      <c r="AE183" s="6"/>
      <c r="AF183" s="6"/>
      <c r="AG183" s="6"/>
      <c r="AH183" s="6"/>
      <c r="AI183" s="6"/>
    </row>
    <row r="184" spans="1:35" ht="15.75" customHeight="1" x14ac:dyDescent="0.2">
      <c r="A184" s="4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40"/>
      <c r="Y184" s="40"/>
      <c r="Z184" s="6"/>
      <c r="AA184" s="40"/>
      <c r="AB184" s="40"/>
      <c r="AC184" s="40"/>
      <c r="AD184" s="40"/>
      <c r="AE184" s="6"/>
      <c r="AF184" s="6"/>
      <c r="AG184" s="6"/>
      <c r="AH184" s="6"/>
      <c r="AI184" s="6"/>
    </row>
    <row r="185" spans="1:35" ht="15.75" customHeight="1" x14ac:dyDescent="0.2">
      <c r="A185" s="40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40"/>
      <c r="Y185" s="40"/>
      <c r="Z185" s="6"/>
      <c r="AA185" s="40"/>
      <c r="AB185" s="40"/>
      <c r="AC185" s="40"/>
      <c r="AD185" s="40"/>
      <c r="AE185" s="6"/>
      <c r="AF185" s="6"/>
      <c r="AG185" s="6"/>
      <c r="AH185" s="6"/>
      <c r="AI185" s="6"/>
    </row>
    <row r="186" spans="1:35" ht="15.75" customHeight="1" x14ac:dyDescent="0.2">
      <c r="A186" s="40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40"/>
      <c r="Y186" s="40"/>
      <c r="Z186" s="6"/>
      <c r="AA186" s="40"/>
      <c r="AB186" s="40"/>
      <c r="AC186" s="40"/>
      <c r="AD186" s="40"/>
      <c r="AE186" s="6"/>
      <c r="AF186" s="6"/>
      <c r="AG186" s="6"/>
      <c r="AH186" s="6"/>
      <c r="AI186" s="6"/>
    </row>
    <row r="187" spans="1:35" ht="15.75" customHeight="1" x14ac:dyDescent="0.2">
      <c r="A187" s="40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40"/>
      <c r="Y187" s="40"/>
      <c r="Z187" s="6"/>
      <c r="AA187" s="40"/>
      <c r="AB187" s="40"/>
      <c r="AC187" s="40"/>
      <c r="AD187" s="40"/>
      <c r="AE187" s="6"/>
      <c r="AF187" s="6"/>
      <c r="AG187" s="6"/>
      <c r="AH187" s="6"/>
      <c r="AI187" s="6"/>
    </row>
    <row r="188" spans="1:35" ht="15.75" customHeight="1" x14ac:dyDescent="0.2">
      <c r="A188" s="40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40"/>
      <c r="Y188" s="40"/>
      <c r="Z188" s="6"/>
      <c r="AA188" s="40"/>
      <c r="AB188" s="40"/>
      <c r="AC188" s="40"/>
      <c r="AD188" s="40"/>
      <c r="AE188" s="6"/>
      <c r="AF188" s="6"/>
      <c r="AG188" s="6"/>
      <c r="AH188" s="6"/>
      <c r="AI188" s="6"/>
    </row>
    <row r="189" spans="1:35" ht="15.75" customHeight="1" x14ac:dyDescent="0.2">
      <c r="A189" s="40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40"/>
      <c r="Y189" s="40"/>
      <c r="Z189" s="6"/>
      <c r="AA189" s="40"/>
      <c r="AB189" s="40"/>
      <c r="AC189" s="40"/>
      <c r="AD189" s="40"/>
      <c r="AE189" s="6"/>
      <c r="AF189" s="6"/>
      <c r="AG189" s="6"/>
      <c r="AH189" s="6"/>
      <c r="AI189" s="6"/>
    </row>
    <row r="190" spans="1:35" ht="15.75" customHeight="1" x14ac:dyDescent="0.2">
      <c r="A190" s="4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40"/>
      <c r="Y190" s="40"/>
      <c r="Z190" s="6"/>
      <c r="AA190" s="40"/>
      <c r="AB190" s="40"/>
      <c r="AC190" s="40"/>
      <c r="AD190" s="40"/>
      <c r="AE190" s="6"/>
      <c r="AF190" s="6"/>
      <c r="AG190" s="6"/>
      <c r="AH190" s="6"/>
      <c r="AI190" s="6"/>
    </row>
    <row r="191" spans="1:35" ht="15.75" customHeight="1" x14ac:dyDescent="0.2">
      <c r="A191" s="4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40"/>
      <c r="Y191" s="40"/>
      <c r="Z191" s="6"/>
      <c r="AA191" s="40"/>
      <c r="AB191" s="40"/>
      <c r="AC191" s="40"/>
      <c r="AD191" s="40"/>
      <c r="AE191" s="6"/>
      <c r="AF191" s="6"/>
      <c r="AG191" s="6"/>
      <c r="AH191" s="6"/>
      <c r="AI191" s="6"/>
    </row>
    <row r="192" spans="1:35" ht="15.75" customHeight="1" x14ac:dyDescent="0.2">
      <c r="A192" s="40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40"/>
      <c r="Y192" s="40"/>
      <c r="Z192" s="6"/>
      <c r="AA192" s="40"/>
      <c r="AB192" s="40"/>
      <c r="AC192" s="40"/>
      <c r="AD192" s="40"/>
      <c r="AE192" s="6"/>
      <c r="AF192" s="6"/>
      <c r="AG192" s="6"/>
      <c r="AH192" s="6"/>
      <c r="AI192" s="6"/>
    </row>
    <row r="193" spans="1:35" ht="15.75" customHeight="1" x14ac:dyDescent="0.2">
      <c r="A193" s="40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40"/>
      <c r="Y193" s="40"/>
      <c r="Z193" s="6"/>
      <c r="AA193" s="40"/>
      <c r="AB193" s="40"/>
      <c r="AC193" s="40"/>
      <c r="AD193" s="40"/>
      <c r="AE193" s="6"/>
      <c r="AF193" s="6"/>
      <c r="AG193" s="6"/>
      <c r="AH193" s="6"/>
      <c r="AI193" s="6"/>
    </row>
    <row r="194" spans="1:35" ht="15.75" customHeight="1" x14ac:dyDescent="0.2">
      <c r="A194" s="40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40"/>
      <c r="Y194" s="40"/>
      <c r="Z194" s="6"/>
      <c r="AA194" s="40"/>
      <c r="AB194" s="40"/>
      <c r="AC194" s="40"/>
      <c r="AD194" s="40"/>
      <c r="AE194" s="6"/>
      <c r="AF194" s="6"/>
      <c r="AG194" s="6"/>
      <c r="AH194" s="6"/>
      <c r="AI194" s="6"/>
    </row>
    <row r="195" spans="1:35" ht="15.75" customHeight="1" x14ac:dyDescent="0.2">
      <c r="A195" s="40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40"/>
      <c r="Y195" s="40"/>
      <c r="Z195" s="6"/>
      <c r="AA195" s="40"/>
      <c r="AB195" s="40"/>
      <c r="AC195" s="40"/>
      <c r="AD195" s="40"/>
      <c r="AE195" s="6"/>
      <c r="AF195" s="6"/>
      <c r="AG195" s="6"/>
      <c r="AH195" s="6"/>
      <c r="AI195" s="6"/>
    </row>
    <row r="196" spans="1:35" ht="15.75" customHeight="1" x14ac:dyDescent="0.2">
      <c r="A196" s="40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40"/>
      <c r="Y196" s="40"/>
      <c r="Z196" s="6"/>
      <c r="AA196" s="40"/>
      <c r="AB196" s="40"/>
      <c r="AC196" s="40"/>
      <c r="AD196" s="40"/>
      <c r="AE196" s="6"/>
      <c r="AF196" s="6"/>
      <c r="AG196" s="6"/>
      <c r="AH196" s="6"/>
      <c r="AI196" s="6"/>
    </row>
    <row r="197" spans="1:35" ht="15.75" customHeight="1" x14ac:dyDescent="0.2">
      <c r="A197" s="40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40"/>
      <c r="Y197" s="40"/>
      <c r="Z197" s="6"/>
      <c r="AA197" s="40"/>
      <c r="AB197" s="40"/>
      <c r="AC197" s="40"/>
      <c r="AD197" s="40"/>
      <c r="AE197" s="6"/>
      <c r="AF197" s="6"/>
      <c r="AG197" s="6"/>
      <c r="AH197" s="6"/>
      <c r="AI197" s="6"/>
    </row>
    <row r="198" spans="1:35" ht="15.75" customHeight="1" x14ac:dyDescent="0.2">
      <c r="A198" s="4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40"/>
      <c r="Y198" s="40"/>
      <c r="Z198" s="6"/>
      <c r="AA198" s="40"/>
      <c r="AB198" s="40"/>
      <c r="AC198" s="40"/>
      <c r="AD198" s="40"/>
      <c r="AE198" s="6"/>
      <c r="AF198" s="6"/>
      <c r="AG198" s="6"/>
      <c r="AH198" s="6"/>
      <c r="AI198" s="6"/>
    </row>
    <row r="199" spans="1:35" ht="15.75" customHeight="1" x14ac:dyDescent="0.2">
      <c r="A199" s="40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40"/>
      <c r="Y199" s="40"/>
      <c r="Z199" s="6"/>
      <c r="AA199" s="40"/>
      <c r="AB199" s="40"/>
      <c r="AC199" s="40"/>
      <c r="AD199" s="40"/>
      <c r="AE199" s="6"/>
      <c r="AF199" s="6"/>
      <c r="AG199" s="6"/>
      <c r="AH199" s="6"/>
      <c r="AI199" s="6"/>
    </row>
    <row r="200" spans="1:35" ht="15.75" customHeight="1" x14ac:dyDescent="0.2">
      <c r="A200" s="4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40"/>
      <c r="Y200" s="40"/>
      <c r="Z200" s="6"/>
      <c r="AA200" s="40"/>
      <c r="AB200" s="40"/>
      <c r="AC200" s="40"/>
      <c r="AD200" s="40"/>
      <c r="AE200" s="6"/>
      <c r="AF200" s="6"/>
      <c r="AG200" s="6"/>
      <c r="AH200" s="6"/>
      <c r="AI200" s="6"/>
    </row>
    <row r="201" spans="1:35" ht="15.75" customHeight="1" x14ac:dyDescent="0.2">
      <c r="A201" s="4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40"/>
      <c r="Y201" s="40"/>
      <c r="Z201" s="6"/>
      <c r="AA201" s="40"/>
      <c r="AB201" s="40"/>
      <c r="AC201" s="40"/>
      <c r="AD201" s="40"/>
      <c r="AE201" s="6"/>
      <c r="AF201" s="6"/>
      <c r="AG201" s="6"/>
      <c r="AH201" s="6"/>
      <c r="AI201" s="6"/>
    </row>
    <row r="202" spans="1:35" ht="15.75" customHeight="1" x14ac:dyDescent="0.2">
      <c r="A202" s="4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40"/>
      <c r="Y202" s="40"/>
      <c r="Z202" s="6"/>
      <c r="AA202" s="40"/>
      <c r="AB202" s="40"/>
      <c r="AC202" s="40"/>
      <c r="AD202" s="40"/>
      <c r="AE202" s="6"/>
      <c r="AF202" s="6"/>
      <c r="AG202" s="6"/>
      <c r="AH202" s="6"/>
      <c r="AI202" s="6"/>
    </row>
    <row r="203" spans="1:35" ht="15.75" customHeight="1" x14ac:dyDescent="0.2">
      <c r="A203" s="4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40"/>
      <c r="Y203" s="40"/>
      <c r="Z203" s="6"/>
      <c r="AA203" s="40"/>
      <c r="AB203" s="40"/>
      <c r="AC203" s="40"/>
      <c r="AD203" s="40"/>
      <c r="AE203" s="6"/>
      <c r="AF203" s="6"/>
      <c r="AG203" s="6"/>
      <c r="AH203" s="6"/>
      <c r="AI203" s="6"/>
    </row>
    <row r="204" spans="1:35" ht="15.75" customHeight="1" x14ac:dyDescent="0.2">
      <c r="A204" s="4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40"/>
      <c r="Y204" s="40"/>
      <c r="Z204" s="6"/>
      <c r="AA204" s="40"/>
      <c r="AB204" s="40"/>
      <c r="AC204" s="40"/>
      <c r="AD204" s="40"/>
      <c r="AE204" s="6"/>
      <c r="AF204" s="6"/>
      <c r="AG204" s="6"/>
      <c r="AH204" s="6"/>
      <c r="AI204" s="6"/>
    </row>
    <row r="205" spans="1:35" ht="15.75" customHeight="1" x14ac:dyDescent="0.2">
      <c r="A205" s="4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40"/>
      <c r="Y205" s="40"/>
      <c r="Z205" s="6"/>
      <c r="AA205" s="40"/>
      <c r="AB205" s="40"/>
      <c r="AC205" s="40"/>
      <c r="AD205" s="40"/>
      <c r="AE205" s="6"/>
      <c r="AF205" s="6"/>
      <c r="AG205" s="6"/>
      <c r="AH205" s="6"/>
      <c r="AI205" s="6"/>
    </row>
    <row r="206" spans="1:35" ht="15.75" customHeight="1" x14ac:dyDescent="0.2">
      <c r="A206" s="4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40"/>
      <c r="Y206" s="40"/>
      <c r="Z206" s="6"/>
      <c r="AA206" s="40"/>
      <c r="AB206" s="40"/>
      <c r="AC206" s="40"/>
      <c r="AD206" s="40"/>
      <c r="AE206" s="6"/>
      <c r="AF206" s="6"/>
      <c r="AG206" s="6"/>
      <c r="AH206" s="6"/>
      <c r="AI206" s="6"/>
    </row>
    <row r="207" spans="1:35" ht="15.75" customHeight="1" x14ac:dyDescent="0.2">
      <c r="A207" s="4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40"/>
      <c r="Y207" s="40"/>
      <c r="Z207" s="6"/>
      <c r="AA207" s="40"/>
      <c r="AB207" s="40"/>
      <c r="AC207" s="40"/>
      <c r="AD207" s="40"/>
      <c r="AE207" s="6"/>
      <c r="AF207" s="6"/>
      <c r="AG207" s="6"/>
      <c r="AH207" s="6"/>
      <c r="AI207" s="6"/>
    </row>
    <row r="208" spans="1:35" ht="15.75" customHeight="1" x14ac:dyDescent="0.2">
      <c r="A208" s="4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40"/>
      <c r="Y208" s="40"/>
      <c r="Z208" s="6"/>
      <c r="AA208" s="40"/>
      <c r="AB208" s="40"/>
      <c r="AC208" s="40"/>
      <c r="AD208" s="40"/>
      <c r="AE208" s="6"/>
      <c r="AF208" s="6"/>
      <c r="AG208" s="6"/>
      <c r="AH208" s="6"/>
      <c r="AI208" s="6"/>
    </row>
    <row r="209" spans="1:35" ht="15.75" customHeight="1" x14ac:dyDescent="0.2">
      <c r="A209" s="4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40"/>
      <c r="Y209" s="40"/>
      <c r="Z209" s="6"/>
      <c r="AA209" s="40"/>
      <c r="AB209" s="40"/>
      <c r="AC209" s="40"/>
      <c r="AD209" s="40"/>
      <c r="AE209" s="6"/>
      <c r="AF209" s="6"/>
      <c r="AG209" s="6"/>
      <c r="AH209" s="6"/>
      <c r="AI209" s="6"/>
    </row>
    <row r="210" spans="1:35" ht="15.75" customHeight="1" x14ac:dyDescent="0.2">
      <c r="A210" s="4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40"/>
      <c r="Y210" s="40"/>
      <c r="Z210" s="6"/>
      <c r="AA210" s="40"/>
      <c r="AB210" s="40"/>
      <c r="AC210" s="40"/>
      <c r="AD210" s="40"/>
      <c r="AE210" s="6"/>
      <c r="AF210" s="6"/>
      <c r="AG210" s="6"/>
      <c r="AH210" s="6"/>
      <c r="AI210" s="6"/>
    </row>
    <row r="211" spans="1:35" ht="15.75" customHeight="1" x14ac:dyDescent="0.2">
      <c r="A211" s="4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40"/>
      <c r="Y211" s="40"/>
      <c r="Z211" s="6"/>
      <c r="AA211" s="40"/>
      <c r="AB211" s="40"/>
      <c r="AC211" s="40"/>
      <c r="AD211" s="40"/>
      <c r="AE211" s="6"/>
      <c r="AF211" s="6"/>
      <c r="AG211" s="6"/>
      <c r="AH211" s="6"/>
      <c r="AI211" s="6"/>
    </row>
    <row r="212" spans="1:35" ht="15.75" customHeight="1" x14ac:dyDescent="0.2">
      <c r="A212" s="4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40"/>
      <c r="Y212" s="40"/>
      <c r="Z212" s="6"/>
      <c r="AA212" s="40"/>
      <c r="AB212" s="40"/>
      <c r="AC212" s="40"/>
      <c r="AD212" s="40"/>
      <c r="AE212" s="6"/>
      <c r="AF212" s="6"/>
      <c r="AG212" s="6"/>
      <c r="AH212" s="6"/>
      <c r="AI212" s="6"/>
    </row>
    <row r="213" spans="1:35" ht="15.75" customHeight="1" x14ac:dyDescent="0.2">
      <c r="A213" s="4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40"/>
      <c r="Y213" s="40"/>
      <c r="Z213" s="6"/>
      <c r="AA213" s="40"/>
      <c r="AB213" s="40"/>
      <c r="AC213" s="40"/>
      <c r="AD213" s="40"/>
      <c r="AE213" s="6"/>
      <c r="AF213" s="6"/>
      <c r="AG213" s="6"/>
      <c r="AH213" s="6"/>
      <c r="AI213" s="6"/>
    </row>
    <row r="214" spans="1:35" ht="15.75" customHeight="1" x14ac:dyDescent="0.2">
      <c r="A214" s="4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40"/>
      <c r="Y214" s="40"/>
      <c r="Z214" s="6"/>
      <c r="AA214" s="40"/>
      <c r="AB214" s="40"/>
      <c r="AC214" s="40"/>
      <c r="AD214" s="40"/>
      <c r="AE214" s="6"/>
      <c r="AF214" s="6"/>
      <c r="AG214" s="6"/>
      <c r="AH214" s="6"/>
      <c r="AI214" s="6"/>
    </row>
    <row r="215" spans="1:35" ht="15.75" customHeight="1" x14ac:dyDescent="0.2">
      <c r="A215" s="4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40"/>
      <c r="Y215" s="40"/>
      <c r="Z215" s="6"/>
      <c r="AA215" s="40"/>
      <c r="AB215" s="40"/>
      <c r="AC215" s="40"/>
      <c r="AD215" s="40"/>
      <c r="AE215" s="6"/>
      <c r="AF215" s="6"/>
      <c r="AG215" s="6"/>
      <c r="AH215" s="6"/>
      <c r="AI215" s="6"/>
    </row>
    <row r="216" spans="1:35" ht="15.75" customHeight="1" x14ac:dyDescent="0.2">
      <c r="A216" s="4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40"/>
      <c r="Y216" s="40"/>
      <c r="Z216" s="6"/>
      <c r="AA216" s="40"/>
      <c r="AB216" s="40"/>
      <c r="AC216" s="40"/>
      <c r="AD216" s="40"/>
      <c r="AE216" s="6"/>
      <c r="AF216" s="6"/>
      <c r="AG216" s="6"/>
      <c r="AH216" s="6"/>
      <c r="AI216" s="6"/>
    </row>
    <row r="217" spans="1:35" ht="15.75" customHeight="1" x14ac:dyDescent="0.2">
      <c r="A217" s="4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40"/>
      <c r="Y217" s="40"/>
      <c r="Z217" s="6"/>
      <c r="AA217" s="40"/>
      <c r="AB217" s="40"/>
      <c r="AC217" s="40"/>
      <c r="AD217" s="40"/>
      <c r="AE217" s="6"/>
      <c r="AF217" s="6"/>
      <c r="AG217" s="6"/>
      <c r="AH217" s="6"/>
      <c r="AI217" s="6"/>
    </row>
    <row r="218" spans="1:35" ht="15.75" customHeight="1" x14ac:dyDescent="0.2">
      <c r="A218" s="4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40"/>
      <c r="Y218" s="40"/>
      <c r="Z218" s="6"/>
      <c r="AA218" s="40"/>
      <c r="AB218" s="40"/>
      <c r="AC218" s="40"/>
      <c r="AD218" s="40"/>
      <c r="AE218" s="6"/>
      <c r="AF218" s="6"/>
      <c r="AG218" s="6"/>
      <c r="AH218" s="6"/>
      <c r="AI218" s="6"/>
    </row>
    <row r="219" spans="1:35" ht="15.75" customHeight="1" x14ac:dyDescent="0.2">
      <c r="A219" s="4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40"/>
      <c r="Y219" s="40"/>
      <c r="Z219" s="6"/>
      <c r="AA219" s="40"/>
      <c r="AB219" s="40"/>
      <c r="AC219" s="40"/>
      <c r="AD219" s="40"/>
      <c r="AE219" s="6"/>
      <c r="AF219" s="6"/>
      <c r="AG219" s="6"/>
      <c r="AH219" s="6"/>
      <c r="AI219" s="6"/>
    </row>
    <row r="220" spans="1:35" ht="15.75" customHeight="1" x14ac:dyDescent="0.2">
      <c r="A220" s="4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40"/>
      <c r="Y220" s="40"/>
      <c r="Z220" s="6"/>
      <c r="AA220" s="40"/>
      <c r="AB220" s="40"/>
      <c r="AC220" s="40"/>
      <c r="AD220" s="40"/>
      <c r="AE220" s="6"/>
      <c r="AF220" s="6"/>
      <c r="AG220" s="6"/>
      <c r="AH220" s="6"/>
      <c r="AI220" s="6"/>
    </row>
    <row r="221" spans="1:35" ht="15.75" customHeight="1" x14ac:dyDescent="0.2">
      <c r="A221" s="4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40"/>
      <c r="Y221" s="40"/>
      <c r="Z221" s="6"/>
      <c r="AA221" s="40"/>
      <c r="AB221" s="40"/>
      <c r="AC221" s="40"/>
      <c r="AD221" s="40"/>
      <c r="AE221" s="6"/>
      <c r="AF221" s="6"/>
      <c r="AG221" s="6"/>
      <c r="AH221" s="6"/>
      <c r="AI221" s="6"/>
    </row>
    <row r="222" spans="1:35" ht="15.75" customHeight="1" x14ac:dyDescent="0.2">
      <c r="A222" s="4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40"/>
      <c r="Y222" s="40"/>
      <c r="Z222" s="6"/>
      <c r="AA222" s="40"/>
      <c r="AB222" s="40"/>
      <c r="AC222" s="40"/>
      <c r="AD222" s="40"/>
      <c r="AE222" s="6"/>
      <c r="AF222" s="6"/>
      <c r="AG222" s="6"/>
      <c r="AH222" s="6"/>
      <c r="AI222" s="6"/>
    </row>
    <row r="223" spans="1:35" ht="15.75" customHeight="1" x14ac:dyDescent="0.2">
      <c r="A223" s="4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40"/>
      <c r="Y223" s="40"/>
      <c r="Z223" s="6"/>
      <c r="AA223" s="40"/>
      <c r="AB223" s="40"/>
      <c r="AC223" s="40"/>
      <c r="AD223" s="40"/>
      <c r="AE223" s="6"/>
      <c r="AF223" s="6"/>
      <c r="AG223" s="6"/>
      <c r="AH223" s="6"/>
      <c r="AI223" s="6"/>
    </row>
    <row r="224" spans="1:35" ht="15.75" customHeight="1" x14ac:dyDescent="0.2">
      <c r="A224" s="4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40"/>
      <c r="Y224" s="40"/>
      <c r="Z224" s="6"/>
      <c r="AA224" s="40"/>
      <c r="AB224" s="40"/>
      <c r="AC224" s="40"/>
      <c r="AD224" s="40"/>
      <c r="AE224" s="6"/>
      <c r="AF224" s="6"/>
      <c r="AG224" s="6"/>
      <c r="AH224" s="6"/>
      <c r="AI224" s="6"/>
    </row>
    <row r="225" spans="1:35" ht="15.75" customHeight="1" x14ac:dyDescent="0.2">
      <c r="A225" s="4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40"/>
      <c r="Y225" s="40"/>
      <c r="Z225" s="6"/>
      <c r="AA225" s="40"/>
      <c r="AB225" s="40"/>
      <c r="AC225" s="40"/>
      <c r="AD225" s="40"/>
      <c r="AE225" s="6"/>
      <c r="AF225" s="6"/>
      <c r="AG225" s="6"/>
      <c r="AH225" s="6"/>
      <c r="AI225" s="6"/>
    </row>
    <row r="226" spans="1:35" ht="15.75" customHeight="1" x14ac:dyDescent="0.2">
      <c r="A226" s="4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40"/>
      <c r="Y226" s="40"/>
      <c r="Z226" s="6"/>
      <c r="AA226" s="40"/>
      <c r="AB226" s="40"/>
      <c r="AC226" s="40"/>
      <c r="AD226" s="40"/>
      <c r="AE226" s="6"/>
      <c r="AF226" s="6"/>
      <c r="AG226" s="6"/>
      <c r="AH226" s="6"/>
      <c r="AI226" s="6"/>
    </row>
    <row r="227" spans="1:35" ht="15.75" customHeight="1" x14ac:dyDescent="0.2">
      <c r="A227" s="4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40"/>
      <c r="Y227" s="40"/>
      <c r="Z227" s="6"/>
      <c r="AA227" s="40"/>
      <c r="AB227" s="40"/>
      <c r="AC227" s="40"/>
      <c r="AD227" s="40"/>
      <c r="AE227" s="6"/>
      <c r="AF227" s="6"/>
      <c r="AG227" s="6"/>
      <c r="AH227" s="6"/>
      <c r="AI227" s="6"/>
    </row>
    <row r="228" spans="1:35" ht="15.75" customHeight="1" x14ac:dyDescent="0.2"/>
    <row r="229" spans="1:35" ht="15.75" customHeight="1" x14ac:dyDescent="0.2"/>
    <row r="230" spans="1:35" ht="15.75" customHeight="1" x14ac:dyDescent="0.2"/>
    <row r="231" spans="1:35" ht="15.75" customHeight="1" x14ac:dyDescent="0.2"/>
    <row r="232" spans="1:35" ht="15.75" customHeight="1" x14ac:dyDescent="0.2"/>
    <row r="233" spans="1:35" ht="15.75" customHeight="1" x14ac:dyDescent="0.2"/>
    <row r="234" spans="1:35" ht="15.75" customHeight="1" x14ac:dyDescent="0.2"/>
    <row r="235" spans="1:35" ht="15.75" customHeight="1" x14ac:dyDescent="0.2"/>
    <row r="236" spans="1:35" ht="15.75" customHeight="1" x14ac:dyDescent="0.2"/>
    <row r="237" spans="1:35" ht="15.75" customHeight="1" x14ac:dyDescent="0.2"/>
    <row r="238" spans="1:35" ht="15.75" customHeight="1" x14ac:dyDescent="0.2"/>
    <row r="239" spans="1:35" ht="15.75" customHeight="1" x14ac:dyDescent="0.2"/>
    <row r="240" spans="1:35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AI4:AI5"/>
  </mergeCells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I1000"/>
  <sheetViews>
    <sheetView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X2" sqref="X2"/>
    </sheetView>
  </sheetViews>
  <sheetFormatPr defaultColWidth="12.5703125" defaultRowHeight="15" customHeight="1" x14ac:dyDescent="0.2"/>
  <cols>
    <col min="1" max="1" width="10.5703125" customWidth="1"/>
    <col min="2" max="3" width="12.5703125" customWidth="1"/>
    <col min="4" max="4" width="11" customWidth="1"/>
    <col min="5" max="5" width="11.42578125" customWidth="1"/>
    <col min="6" max="6" width="9.85546875" customWidth="1"/>
    <col min="7" max="7" width="7.7109375" customWidth="1"/>
    <col min="8" max="8" width="9.140625" customWidth="1"/>
    <col min="9" max="9" width="8.42578125" customWidth="1"/>
    <col min="10" max="10" width="9.42578125" customWidth="1"/>
    <col min="11" max="11" width="9" customWidth="1"/>
    <col min="12" max="12" width="8.42578125" customWidth="1"/>
    <col min="13" max="13" width="10.7109375" customWidth="1"/>
    <col min="14" max="14" width="11.42578125" customWidth="1"/>
    <col min="15" max="15" width="7.85546875" customWidth="1"/>
    <col min="16" max="17" width="6.42578125" customWidth="1"/>
    <col min="18" max="18" width="5.140625" customWidth="1"/>
    <col min="19" max="19" width="8.42578125" customWidth="1"/>
    <col min="20" max="20" width="13.7109375" customWidth="1"/>
    <col min="21" max="21" width="16.42578125" customWidth="1"/>
    <col min="22" max="22" width="14" customWidth="1"/>
    <col min="23" max="23" width="8.140625" customWidth="1"/>
    <col min="24" max="25" width="8.42578125" customWidth="1"/>
    <col min="27" max="27" width="20.42578125" customWidth="1"/>
    <col min="28" max="28" width="10" customWidth="1"/>
    <col min="29" max="29" width="24.140625" customWidth="1"/>
    <col min="30" max="30" width="7.42578125" customWidth="1"/>
  </cols>
  <sheetData>
    <row r="1" spans="1:35" ht="15.75" customHeight="1" x14ac:dyDescent="0.2">
      <c r="A1" s="85"/>
      <c r="B1" s="86"/>
      <c r="C1" s="86"/>
      <c r="D1" s="86"/>
      <c r="E1" s="86"/>
      <c r="F1" s="87" t="s">
        <v>197</v>
      </c>
      <c r="G1" s="86"/>
      <c r="H1" s="85"/>
      <c r="I1" s="85"/>
      <c r="J1" s="85"/>
      <c r="K1" s="88" t="s">
        <v>1</v>
      </c>
      <c r="L1" s="85"/>
      <c r="M1" s="85"/>
      <c r="N1" s="86"/>
      <c r="O1" s="86"/>
      <c r="P1" s="86"/>
      <c r="Q1" s="86"/>
      <c r="R1" s="86"/>
      <c r="S1" s="86"/>
      <c r="T1" s="86"/>
      <c r="U1" s="86"/>
      <c r="V1" s="86"/>
      <c r="W1" s="86"/>
      <c r="X1" s="85"/>
      <c r="Y1" s="85"/>
      <c r="Z1" s="86"/>
      <c r="AA1" s="86"/>
      <c r="AB1" s="86"/>
      <c r="AC1" s="86"/>
      <c r="AD1" s="86"/>
      <c r="AE1" s="86"/>
      <c r="AF1" s="86"/>
      <c r="AG1" s="86"/>
      <c r="AH1" s="86"/>
    </row>
    <row r="2" spans="1:35" ht="15.75" customHeight="1" x14ac:dyDescent="0.2">
      <c r="A2" s="85"/>
      <c r="B2" s="86"/>
      <c r="C2" s="86"/>
      <c r="D2" s="86"/>
      <c r="E2" s="86"/>
      <c r="F2" s="87">
        <v>11000</v>
      </c>
      <c r="G2" s="86"/>
      <c r="H2" s="89" t="s">
        <v>2</v>
      </c>
      <c r="I2" s="89">
        <v>14000</v>
      </c>
      <c r="J2" s="90"/>
      <c r="K2" s="91">
        <v>200000</v>
      </c>
      <c r="L2" s="85"/>
      <c r="M2" s="92">
        <v>0</v>
      </c>
      <c r="N2" s="86"/>
      <c r="O2" s="86">
        <v>250</v>
      </c>
      <c r="P2" s="86">
        <v>200</v>
      </c>
      <c r="Q2" s="86">
        <v>150</v>
      </c>
      <c r="R2" s="86"/>
      <c r="S2" s="86"/>
      <c r="T2" s="86"/>
      <c r="U2" s="93">
        <v>0.12</v>
      </c>
      <c r="V2" s="86"/>
      <c r="W2" s="93">
        <v>7.0000000000000007E-2</v>
      </c>
      <c r="X2" s="85"/>
      <c r="Y2" s="85"/>
      <c r="Z2" s="86"/>
      <c r="AA2" s="86"/>
      <c r="AB2" s="86"/>
      <c r="AC2" s="86"/>
      <c r="AD2" s="86"/>
      <c r="AE2" s="86"/>
      <c r="AF2" s="86"/>
      <c r="AG2" s="86"/>
      <c r="AH2" s="86"/>
    </row>
    <row r="3" spans="1:35" ht="15.75" customHeight="1" x14ac:dyDescent="0.2">
      <c r="A3" s="94" t="s">
        <v>198</v>
      </c>
      <c r="B3" s="94" t="s">
        <v>4</v>
      </c>
      <c r="C3" s="94" t="s">
        <v>199</v>
      </c>
      <c r="D3" s="95" t="s">
        <v>6</v>
      </c>
      <c r="E3" s="95" t="s">
        <v>200</v>
      </c>
      <c r="F3" s="95" t="s">
        <v>201</v>
      </c>
      <c r="G3" s="95" t="s">
        <v>9</v>
      </c>
      <c r="H3" s="94" t="s">
        <v>10</v>
      </c>
      <c r="I3" s="94" t="s">
        <v>11</v>
      </c>
      <c r="J3" s="95" t="s">
        <v>12</v>
      </c>
      <c r="K3" s="94" t="s">
        <v>13</v>
      </c>
      <c r="L3" s="94" t="s">
        <v>14</v>
      </c>
      <c r="M3" s="94"/>
      <c r="N3" s="94" t="s">
        <v>15</v>
      </c>
      <c r="O3" s="94" t="s">
        <v>16</v>
      </c>
      <c r="P3" s="94" t="s">
        <v>17</v>
      </c>
      <c r="Q3" s="10" t="s">
        <v>18</v>
      </c>
      <c r="R3" s="94"/>
      <c r="S3" s="94" t="s">
        <v>19</v>
      </c>
      <c r="T3" s="94" t="s">
        <v>20</v>
      </c>
      <c r="U3" s="94" t="s">
        <v>21</v>
      </c>
      <c r="V3" s="94" t="s">
        <v>22</v>
      </c>
      <c r="W3" s="94" t="s">
        <v>23</v>
      </c>
      <c r="X3" s="94" t="s">
        <v>24</v>
      </c>
      <c r="Y3" s="94" t="s">
        <v>25</v>
      </c>
      <c r="Z3" s="94"/>
      <c r="AA3" s="95" t="s">
        <v>26</v>
      </c>
      <c r="AB3" s="95" t="s">
        <v>27</v>
      </c>
      <c r="AC3" s="95" t="s">
        <v>28</v>
      </c>
      <c r="AD3" s="95" t="s">
        <v>29</v>
      </c>
      <c r="AE3" s="10" t="s">
        <v>30</v>
      </c>
      <c r="AF3" s="45" t="s">
        <v>31</v>
      </c>
      <c r="AG3" s="45" t="s">
        <v>32</v>
      </c>
      <c r="AH3" s="45" t="s">
        <v>33</v>
      </c>
      <c r="AI3" s="45" t="s">
        <v>34</v>
      </c>
    </row>
    <row r="4" spans="1:35" ht="12.75" customHeight="1" x14ac:dyDescent="0.2">
      <c r="A4" s="96" t="s">
        <v>132</v>
      </c>
      <c r="B4" s="47">
        <f t="shared" ref="B4:B28" si="0">C4+E4</f>
        <v>313.27000000000004</v>
      </c>
      <c r="C4" s="47">
        <v>259.17</v>
      </c>
      <c r="D4" s="47">
        <f t="shared" ref="D4:D29" si="1">C4*10.764</f>
        <v>2789.70588</v>
      </c>
      <c r="E4" s="47">
        <v>54.1</v>
      </c>
      <c r="F4" s="47">
        <f t="shared" ref="F4:F29" si="2">E4*10.764</f>
        <v>582.33240000000001</v>
      </c>
      <c r="G4" s="47">
        <f t="shared" ref="G4:G29" si="3">D4+F4</f>
        <v>3372.0382799999998</v>
      </c>
      <c r="H4" s="97">
        <f t="shared" ref="H4:H28" si="4">(D4+F4)*1.5</f>
        <v>5058.0574199999992</v>
      </c>
      <c r="I4" s="98">
        <f t="shared" ref="I4:I28" si="5">H4*$I$2</f>
        <v>70812803.879999995</v>
      </c>
      <c r="J4" s="99">
        <v>500000</v>
      </c>
      <c r="K4" s="99">
        <v>1200000</v>
      </c>
      <c r="L4" s="100">
        <f t="shared" ref="L4:L29" si="6">SUM(I4:K4)</f>
        <v>72512803.879999995</v>
      </c>
      <c r="M4" s="100">
        <f t="shared" ref="M4:M29" si="7">($M$2*L4)</f>
        <v>0</v>
      </c>
      <c r="N4" s="98">
        <f t="shared" ref="N4:N29" si="8">L4-M4</f>
        <v>72512803.879999995</v>
      </c>
      <c r="O4" s="98">
        <f t="shared" ref="O4:O29" si="9">H4*$O$2</f>
        <v>1264514.3549999997</v>
      </c>
      <c r="P4" s="98">
        <f t="shared" ref="P4:P29" si="10">H4*$P$2</f>
        <v>1011611.4839999998</v>
      </c>
      <c r="Q4" s="98">
        <f t="shared" ref="Q4:Q29" si="11">H4*$Q$2</f>
        <v>758708.6129999999</v>
      </c>
      <c r="R4" s="98">
        <v>0</v>
      </c>
      <c r="S4" s="98">
        <f t="shared" ref="S4:S29" si="12">SUM(N4:R4)</f>
        <v>75547638.332000002</v>
      </c>
      <c r="T4" s="98">
        <v>30000</v>
      </c>
      <c r="U4" s="98"/>
      <c r="V4" s="98"/>
      <c r="W4" s="98">
        <f t="shared" ref="W4:W29" si="13">CEILING(($W$2*N4),100)</f>
        <v>5075900</v>
      </c>
      <c r="X4" s="100">
        <v>6000</v>
      </c>
      <c r="Y4" s="100">
        <f t="shared" ref="Y4:Y29" si="14">SUM(S4:X4)</f>
        <v>80659538.332000002</v>
      </c>
      <c r="Z4" s="101"/>
      <c r="AA4" s="101"/>
      <c r="AB4" s="101"/>
      <c r="AC4" s="101" t="s">
        <v>134</v>
      </c>
      <c r="AD4" s="102" t="s">
        <v>202</v>
      </c>
      <c r="AE4" s="103" t="s">
        <v>203</v>
      </c>
      <c r="AF4" s="103" t="s">
        <v>204</v>
      </c>
      <c r="AG4" s="103" t="s">
        <v>45</v>
      </c>
      <c r="AH4" s="104" t="s">
        <v>205</v>
      </c>
      <c r="AI4" s="503" t="s">
        <v>46</v>
      </c>
    </row>
    <row r="5" spans="1:35" ht="12" customHeight="1" x14ac:dyDescent="0.2">
      <c r="A5" s="105" t="s">
        <v>139</v>
      </c>
      <c r="B5" s="59">
        <f t="shared" si="0"/>
        <v>311.64</v>
      </c>
      <c r="C5" s="59">
        <v>255.01</v>
      </c>
      <c r="D5" s="59">
        <f t="shared" si="1"/>
        <v>2744.9276399999999</v>
      </c>
      <c r="E5" s="59">
        <v>56.63</v>
      </c>
      <c r="F5" s="59">
        <f t="shared" si="2"/>
        <v>609.56532000000004</v>
      </c>
      <c r="G5" s="59">
        <f t="shared" si="3"/>
        <v>3354.49296</v>
      </c>
      <c r="H5" s="106">
        <f t="shared" si="4"/>
        <v>5031.7394400000003</v>
      </c>
      <c r="I5" s="107">
        <f t="shared" si="5"/>
        <v>70444352.160000011</v>
      </c>
      <c r="J5" s="108">
        <v>500000</v>
      </c>
      <c r="K5" s="108">
        <v>280000</v>
      </c>
      <c r="L5" s="109">
        <f t="shared" si="6"/>
        <v>71224352.160000011</v>
      </c>
      <c r="M5" s="109">
        <f t="shared" si="7"/>
        <v>0</v>
      </c>
      <c r="N5" s="107">
        <f t="shared" si="8"/>
        <v>71224352.160000011</v>
      </c>
      <c r="O5" s="107">
        <f t="shared" si="9"/>
        <v>1257934.8600000001</v>
      </c>
      <c r="P5" s="107">
        <f t="shared" si="10"/>
        <v>1006347.888</v>
      </c>
      <c r="Q5" s="107">
        <f t="shared" si="11"/>
        <v>754760.91600000008</v>
      </c>
      <c r="R5" s="107">
        <v>0</v>
      </c>
      <c r="S5" s="107">
        <f t="shared" si="12"/>
        <v>74243395.824000001</v>
      </c>
      <c r="T5" s="107">
        <v>30000</v>
      </c>
      <c r="U5" s="107">
        <f t="shared" ref="U5:U29" si="15">$U$2*N5</f>
        <v>8546922.2592000011</v>
      </c>
      <c r="V5" s="107">
        <f t="shared" ref="V5:V29" si="16">(12%*O5)+(12%*P5)+(12%*Q5)</f>
        <v>362285.23968</v>
      </c>
      <c r="W5" s="107">
        <f t="shared" si="13"/>
        <v>4985800</v>
      </c>
      <c r="X5" s="109">
        <v>6000</v>
      </c>
      <c r="Y5" s="109">
        <f t="shared" si="14"/>
        <v>88174403.322880015</v>
      </c>
      <c r="Z5" s="32"/>
      <c r="AA5" s="110" t="s">
        <v>206</v>
      </c>
      <c r="AB5" s="32"/>
      <c r="AC5" s="32" t="s">
        <v>134</v>
      </c>
      <c r="AD5" s="110" t="s">
        <v>207</v>
      </c>
      <c r="AE5" s="111" t="s">
        <v>208</v>
      </c>
      <c r="AF5" s="111" t="s">
        <v>209</v>
      </c>
      <c r="AG5" s="103" t="s">
        <v>45</v>
      </c>
      <c r="AH5" s="104" t="s">
        <v>205</v>
      </c>
      <c r="AI5" s="502"/>
    </row>
    <row r="6" spans="1:35" ht="15.75" customHeight="1" x14ac:dyDescent="0.2">
      <c r="A6" s="105" t="s">
        <v>210</v>
      </c>
      <c r="B6" s="59">
        <f t="shared" si="0"/>
        <v>34.25</v>
      </c>
      <c r="C6" s="59">
        <v>34.25</v>
      </c>
      <c r="D6" s="59">
        <f t="shared" si="1"/>
        <v>368.66699999999997</v>
      </c>
      <c r="E6" s="112">
        <v>0</v>
      </c>
      <c r="F6" s="59">
        <f t="shared" si="2"/>
        <v>0</v>
      </c>
      <c r="G6" s="59">
        <f t="shared" si="3"/>
        <v>368.66699999999997</v>
      </c>
      <c r="H6" s="106">
        <f t="shared" si="4"/>
        <v>553.00049999999999</v>
      </c>
      <c r="I6" s="107">
        <f t="shared" si="5"/>
        <v>7742007</v>
      </c>
      <c r="J6" s="107">
        <v>500000</v>
      </c>
      <c r="K6" s="108">
        <v>35000</v>
      </c>
      <c r="L6" s="109">
        <f t="shared" si="6"/>
        <v>8277007</v>
      </c>
      <c r="M6" s="109">
        <f t="shared" si="7"/>
        <v>0</v>
      </c>
      <c r="N6" s="107">
        <f t="shared" si="8"/>
        <v>8277007</v>
      </c>
      <c r="O6" s="107">
        <f t="shared" si="9"/>
        <v>138250.125</v>
      </c>
      <c r="P6" s="107">
        <f t="shared" si="10"/>
        <v>110600.09999999999</v>
      </c>
      <c r="Q6" s="107">
        <f t="shared" si="11"/>
        <v>82950.074999999997</v>
      </c>
      <c r="R6" s="107">
        <v>0</v>
      </c>
      <c r="S6" s="107">
        <f t="shared" si="12"/>
        <v>8608807.2999999989</v>
      </c>
      <c r="T6" s="107">
        <v>30000</v>
      </c>
      <c r="U6" s="107">
        <f t="shared" si="15"/>
        <v>993240.84</v>
      </c>
      <c r="V6" s="107">
        <f t="shared" si="16"/>
        <v>39816.036</v>
      </c>
      <c r="W6" s="107">
        <f t="shared" si="13"/>
        <v>579400</v>
      </c>
      <c r="X6" s="109">
        <v>6000</v>
      </c>
      <c r="Y6" s="109">
        <f t="shared" si="14"/>
        <v>10257264.175999999</v>
      </c>
      <c r="Z6" s="32"/>
      <c r="AA6" s="32" t="s">
        <v>211</v>
      </c>
      <c r="AB6" s="32" t="s">
        <v>37</v>
      </c>
      <c r="AC6" s="32" t="s">
        <v>87</v>
      </c>
      <c r="AD6" s="32">
        <v>10300</v>
      </c>
      <c r="AE6" s="32">
        <v>0</v>
      </c>
      <c r="AF6" s="32">
        <v>10</v>
      </c>
      <c r="AG6" s="32">
        <v>0</v>
      </c>
      <c r="AH6" s="110" t="s">
        <v>40</v>
      </c>
      <c r="AI6" s="113" t="s">
        <v>46</v>
      </c>
    </row>
    <row r="7" spans="1:35" ht="15.75" customHeight="1" x14ac:dyDescent="0.2">
      <c r="A7" s="114" t="s">
        <v>212</v>
      </c>
      <c r="B7" s="59">
        <f t="shared" si="0"/>
        <v>34.1</v>
      </c>
      <c r="C7" s="59">
        <v>34.1</v>
      </c>
      <c r="D7" s="59">
        <f t="shared" si="1"/>
        <v>367.05239999999998</v>
      </c>
      <c r="E7" s="112">
        <v>0</v>
      </c>
      <c r="F7" s="59">
        <f t="shared" si="2"/>
        <v>0</v>
      </c>
      <c r="G7" s="59">
        <f t="shared" si="3"/>
        <v>367.05239999999998</v>
      </c>
      <c r="H7" s="106">
        <f t="shared" si="4"/>
        <v>550.57859999999994</v>
      </c>
      <c r="I7" s="107">
        <f t="shared" si="5"/>
        <v>7708100.3999999994</v>
      </c>
      <c r="J7" s="107">
        <v>500000</v>
      </c>
      <c r="K7" s="108">
        <v>70000</v>
      </c>
      <c r="L7" s="109">
        <f t="shared" si="6"/>
        <v>8278100.3999999994</v>
      </c>
      <c r="M7" s="115">
        <f t="shared" si="7"/>
        <v>0</v>
      </c>
      <c r="N7" s="107">
        <f t="shared" si="8"/>
        <v>8278100.3999999994</v>
      </c>
      <c r="O7" s="107">
        <f t="shared" si="9"/>
        <v>137644.65</v>
      </c>
      <c r="P7" s="107">
        <f t="shared" si="10"/>
        <v>110115.71999999999</v>
      </c>
      <c r="Q7" s="107">
        <f t="shared" si="11"/>
        <v>82586.789999999994</v>
      </c>
      <c r="R7" s="107">
        <v>0</v>
      </c>
      <c r="S7" s="107">
        <f t="shared" si="12"/>
        <v>8608447.5599999987</v>
      </c>
      <c r="T7" s="107">
        <v>30000</v>
      </c>
      <c r="U7" s="107">
        <f t="shared" si="15"/>
        <v>993372.04799999995</v>
      </c>
      <c r="V7" s="107">
        <f t="shared" si="16"/>
        <v>39641.659199999995</v>
      </c>
      <c r="W7" s="107">
        <f t="shared" si="13"/>
        <v>579500</v>
      </c>
      <c r="X7" s="109">
        <v>6000</v>
      </c>
      <c r="Y7" s="109">
        <f t="shared" si="14"/>
        <v>10256961.267199999</v>
      </c>
      <c r="Z7" s="32"/>
      <c r="AA7" s="32" t="s">
        <v>213</v>
      </c>
      <c r="AB7" s="32" t="s">
        <v>37</v>
      </c>
      <c r="AC7" s="32" t="s">
        <v>214</v>
      </c>
      <c r="AD7" s="32">
        <v>10900</v>
      </c>
      <c r="AE7" s="32" t="s">
        <v>215</v>
      </c>
      <c r="AF7" s="32" t="s">
        <v>216</v>
      </c>
      <c r="AG7" s="32" t="s">
        <v>205</v>
      </c>
      <c r="AH7" s="110" t="s">
        <v>40</v>
      </c>
      <c r="AI7" s="113" t="s">
        <v>46</v>
      </c>
    </row>
    <row r="8" spans="1:35" ht="15.75" customHeight="1" x14ac:dyDescent="0.2">
      <c r="A8" s="114" t="s">
        <v>217</v>
      </c>
      <c r="B8" s="59">
        <f t="shared" si="0"/>
        <v>16.86</v>
      </c>
      <c r="C8" s="59">
        <v>16.86</v>
      </c>
      <c r="D8" s="59">
        <f t="shared" si="1"/>
        <v>181.48103999999998</v>
      </c>
      <c r="E8" s="112">
        <v>0</v>
      </c>
      <c r="F8" s="59">
        <f t="shared" si="2"/>
        <v>0</v>
      </c>
      <c r="G8" s="59">
        <f t="shared" si="3"/>
        <v>181.48103999999998</v>
      </c>
      <c r="H8" s="106">
        <f t="shared" si="4"/>
        <v>272.22155999999995</v>
      </c>
      <c r="I8" s="107">
        <f t="shared" si="5"/>
        <v>3811101.8399999994</v>
      </c>
      <c r="J8" s="107">
        <v>0</v>
      </c>
      <c r="K8" s="108">
        <v>35000</v>
      </c>
      <c r="L8" s="109">
        <f t="shared" si="6"/>
        <v>3846101.8399999994</v>
      </c>
      <c r="M8" s="115">
        <f t="shared" si="7"/>
        <v>0</v>
      </c>
      <c r="N8" s="107">
        <f t="shared" si="8"/>
        <v>3846101.8399999994</v>
      </c>
      <c r="O8" s="107">
        <f t="shared" si="9"/>
        <v>68055.389999999985</v>
      </c>
      <c r="P8" s="107">
        <f t="shared" si="10"/>
        <v>54444.311999999991</v>
      </c>
      <c r="Q8" s="107">
        <f t="shared" si="11"/>
        <v>40833.233999999997</v>
      </c>
      <c r="R8" s="107">
        <v>0</v>
      </c>
      <c r="S8" s="107">
        <f t="shared" si="12"/>
        <v>4009434.7759999996</v>
      </c>
      <c r="T8" s="107">
        <v>30000</v>
      </c>
      <c r="U8" s="107">
        <f t="shared" si="15"/>
        <v>461532.22079999989</v>
      </c>
      <c r="V8" s="107">
        <f t="shared" si="16"/>
        <v>19599.952319999997</v>
      </c>
      <c r="W8" s="107">
        <f t="shared" si="13"/>
        <v>269300</v>
      </c>
      <c r="X8" s="109">
        <v>6000</v>
      </c>
      <c r="Y8" s="109">
        <f t="shared" si="14"/>
        <v>4795866.94912</v>
      </c>
      <c r="Z8" s="32"/>
      <c r="AA8" s="32" t="s">
        <v>218</v>
      </c>
      <c r="AB8" s="32" t="s">
        <v>37</v>
      </c>
      <c r="AC8" s="32" t="s">
        <v>219</v>
      </c>
      <c r="AD8" s="32">
        <v>12320</v>
      </c>
      <c r="AE8" s="32"/>
      <c r="AF8" s="32">
        <v>139</v>
      </c>
      <c r="AG8" s="32"/>
      <c r="AH8" s="110" t="s">
        <v>40</v>
      </c>
      <c r="AI8" s="113" t="s">
        <v>46</v>
      </c>
    </row>
    <row r="9" spans="1:35" ht="15.75" customHeight="1" x14ac:dyDescent="0.2">
      <c r="A9" s="105" t="s">
        <v>220</v>
      </c>
      <c r="B9" s="59">
        <f t="shared" si="0"/>
        <v>16.989999999999998</v>
      </c>
      <c r="C9" s="59">
        <v>16.989999999999998</v>
      </c>
      <c r="D9" s="59">
        <f t="shared" si="1"/>
        <v>182.88035999999997</v>
      </c>
      <c r="E9" s="112">
        <v>0</v>
      </c>
      <c r="F9" s="59">
        <f t="shared" si="2"/>
        <v>0</v>
      </c>
      <c r="G9" s="59">
        <f t="shared" si="3"/>
        <v>182.88035999999997</v>
      </c>
      <c r="H9" s="106">
        <f t="shared" si="4"/>
        <v>274.32053999999994</v>
      </c>
      <c r="I9" s="107">
        <f t="shared" si="5"/>
        <v>3840487.5599999991</v>
      </c>
      <c r="J9" s="107">
        <v>0</v>
      </c>
      <c r="K9" s="108">
        <v>35000</v>
      </c>
      <c r="L9" s="109">
        <f t="shared" si="6"/>
        <v>3875487.5599999991</v>
      </c>
      <c r="M9" s="115">
        <f t="shared" si="7"/>
        <v>0</v>
      </c>
      <c r="N9" s="107">
        <f t="shared" si="8"/>
        <v>3875487.5599999991</v>
      </c>
      <c r="O9" s="107">
        <f t="shared" si="9"/>
        <v>68580.13499999998</v>
      </c>
      <c r="P9" s="107">
        <f t="shared" si="10"/>
        <v>54864.107999999986</v>
      </c>
      <c r="Q9" s="107">
        <f t="shared" si="11"/>
        <v>41148.080999999991</v>
      </c>
      <c r="R9" s="107">
        <v>0</v>
      </c>
      <c r="S9" s="107">
        <f t="shared" si="12"/>
        <v>4040079.8839999987</v>
      </c>
      <c r="T9" s="107">
        <v>30000</v>
      </c>
      <c r="U9" s="107">
        <f t="shared" si="15"/>
        <v>465058.50719999988</v>
      </c>
      <c r="V9" s="107">
        <f t="shared" si="16"/>
        <v>19751.078879999994</v>
      </c>
      <c r="W9" s="107">
        <f t="shared" si="13"/>
        <v>271300</v>
      </c>
      <c r="X9" s="109">
        <v>6000</v>
      </c>
      <c r="Y9" s="109">
        <f t="shared" si="14"/>
        <v>4832189.4700799985</v>
      </c>
      <c r="Z9" s="32"/>
      <c r="AA9" s="32" t="s">
        <v>221</v>
      </c>
      <c r="AB9" s="32" t="s">
        <v>37</v>
      </c>
      <c r="AC9" s="32" t="s">
        <v>222</v>
      </c>
      <c r="AD9" s="32">
        <v>10500</v>
      </c>
      <c r="AE9" s="32"/>
      <c r="AF9" s="32">
        <v>142</v>
      </c>
      <c r="AG9" s="32"/>
      <c r="AH9" s="110" t="s">
        <v>40</v>
      </c>
      <c r="AI9" s="113" t="s">
        <v>46</v>
      </c>
    </row>
    <row r="10" spans="1:35" ht="15.75" customHeight="1" x14ac:dyDescent="0.2">
      <c r="A10" s="105" t="s">
        <v>75</v>
      </c>
      <c r="B10" s="59">
        <f t="shared" si="0"/>
        <v>16.989999999999998</v>
      </c>
      <c r="C10" s="59">
        <v>16.989999999999998</v>
      </c>
      <c r="D10" s="59">
        <f t="shared" si="1"/>
        <v>182.88035999999997</v>
      </c>
      <c r="E10" s="112">
        <v>0</v>
      </c>
      <c r="F10" s="59">
        <f t="shared" si="2"/>
        <v>0</v>
      </c>
      <c r="G10" s="59">
        <f t="shared" si="3"/>
        <v>182.88035999999997</v>
      </c>
      <c r="H10" s="106">
        <f t="shared" si="4"/>
        <v>274.32053999999994</v>
      </c>
      <c r="I10" s="107">
        <f t="shared" si="5"/>
        <v>3840487.5599999991</v>
      </c>
      <c r="J10" s="107">
        <v>0</v>
      </c>
      <c r="K10" s="108">
        <v>35000</v>
      </c>
      <c r="L10" s="109">
        <f t="shared" si="6"/>
        <v>3875487.5599999991</v>
      </c>
      <c r="M10" s="115">
        <f t="shared" si="7"/>
        <v>0</v>
      </c>
      <c r="N10" s="107">
        <f t="shared" si="8"/>
        <v>3875487.5599999991</v>
      </c>
      <c r="O10" s="107">
        <f t="shared" si="9"/>
        <v>68580.13499999998</v>
      </c>
      <c r="P10" s="107">
        <f t="shared" si="10"/>
        <v>54864.107999999986</v>
      </c>
      <c r="Q10" s="107">
        <f t="shared" si="11"/>
        <v>41148.080999999991</v>
      </c>
      <c r="R10" s="107">
        <v>0</v>
      </c>
      <c r="S10" s="107">
        <f t="shared" si="12"/>
        <v>4040079.8839999987</v>
      </c>
      <c r="T10" s="107">
        <v>30000</v>
      </c>
      <c r="U10" s="107">
        <f t="shared" si="15"/>
        <v>465058.50719999988</v>
      </c>
      <c r="V10" s="107">
        <f t="shared" si="16"/>
        <v>19751.078879999994</v>
      </c>
      <c r="W10" s="107">
        <f t="shared" si="13"/>
        <v>271300</v>
      </c>
      <c r="X10" s="109">
        <v>6000</v>
      </c>
      <c r="Y10" s="109">
        <f t="shared" si="14"/>
        <v>4832189.4700799985</v>
      </c>
      <c r="Z10" s="32"/>
      <c r="AA10" s="32" t="s">
        <v>223</v>
      </c>
      <c r="AB10" s="32" t="s">
        <v>92</v>
      </c>
      <c r="AC10" s="32" t="s">
        <v>224</v>
      </c>
      <c r="AD10" s="32">
        <v>12500</v>
      </c>
      <c r="AE10" s="32"/>
      <c r="AF10" s="110">
        <v>11</v>
      </c>
      <c r="AG10" s="32"/>
      <c r="AH10" s="110" t="s">
        <v>40</v>
      </c>
      <c r="AI10" s="113" t="s">
        <v>46</v>
      </c>
    </row>
    <row r="11" spans="1:35" ht="15.75" customHeight="1" x14ac:dyDescent="0.2">
      <c r="A11" s="105" t="s">
        <v>78</v>
      </c>
      <c r="B11" s="59">
        <f t="shared" si="0"/>
        <v>20.71</v>
      </c>
      <c r="C11" s="59">
        <v>20.71</v>
      </c>
      <c r="D11" s="59">
        <f t="shared" si="1"/>
        <v>222.92243999999999</v>
      </c>
      <c r="E11" s="112">
        <v>0</v>
      </c>
      <c r="F11" s="59">
        <f t="shared" si="2"/>
        <v>0</v>
      </c>
      <c r="G11" s="59">
        <f t="shared" si="3"/>
        <v>222.92243999999999</v>
      </c>
      <c r="H11" s="106">
        <f t="shared" si="4"/>
        <v>334.38365999999996</v>
      </c>
      <c r="I11" s="107">
        <f t="shared" si="5"/>
        <v>4681371.2399999993</v>
      </c>
      <c r="J11" s="107">
        <v>500000</v>
      </c>
      <c r="K11" s="108">
        <v>35000</v>
      </c>
      <c r="L11" s="109">
        <f t="shared" si="6"/>
        <v>5216371.2399999993</v>
      </c>
      <c r="M11" s="109">
        <f t="shared" si="7"/>
        <v>0</v>
      </c>
      <c r="N11" s="107">
        <f t="shared" si="8"/>
        <v>5216371.2399999993</v>
      </c>
      <c r="O11" s="107">
        <f t="shared" si="9"/>
        <v>83595.914999999994</v>
      </c>
      <c r="P11" s="107">
        <f t="shared" si="10"/>
        <v>66876.731999999989</v>
      </c>
      <c r="Q11" s="107">
        <f t="shared" si="11"/>
        <v>50157.548999999992</v>
      </c>
      <c r="R11" s="107">
        <v>0</v>
      </c>
      <c r="S11" s="107">
        <f t="shared" si="12"/>
        <v>5417001.4359999988</v>
      </c>
      <c r="T11" s="107">
        <v>30000</v>
      </c>
      <c r="U11" s="107">
        <f t="shared" si="15"/>
        <v>625964.54879999987</v>
      </c>
      <c r="V11" s="107">
        <f t="shared" si="16"/>
        <v>24075.623519999994</v>
      </c>
      <c r="W11" s="107">
        <f t="shared" si="13"/>
        <v>365200</v>
      </c>
      <c r="X11" s="109">
        <v>6000</v>
      </c>
      <c r="Y11" s="109">
        <f t="shared" si="14"/>
        <v>6468241.6083199987</v>
      </c>
      <c r="Z11" s="32"/>
      <c r="AA11" s="32" t="s">
        <v>225</v>
      </c>
      <c r="AB11" s="32" t="s">
        <v>37</v>
      </c>
      <c r="AC11" s="32" t="s">
        <v>101</v>
      </c>
      <c r="AD11" s="32">
        <v>10500</v>
      </c>
      <c r="AE11" s="32" t="s">
        <v>226</v>
      </c>
      <c r="AF11" s="32">
        <v>7</v>
      </c>
      <c r="AG11" s="32" t="s">
        <v>45</v>
      </c>
      <c r="AH11" s="110" t="s">
        <v>40</v>
      </c>
      <c r="AI11" s="113" t="s">
        <v>46</v>
      </c>
    </row>
    <row r="12" spans="1:35" ht="15.75" customHeight="1" x14ac:dyDescent="0.2">
      <c r="A12" s="105" t="s">
        <v>81</v>
      </c>
      <c r="B12" s="59">
        <f t="shared" si="0"/>
        <v>20.84</v>
      </c>
      <c r="C12" s="59">
        <v>20.84</v>
      </c>
      <c r="D12" s="59">
        <f t="shared" si="1"/>
        <v>224.32175999999998</v>
      </c>
      <c r="E12" s="112">
        <v>0</v>
      </c>
      <c r="F12" s="59">
        <f t="shared" si="2"/>
        <v>0</v>
      </c>
      <c r="G12" s="59">
        <f t="shared" si="3"/>
        <v>224.32175999999998</v>
      </c>
      <c r="H12" s="106">
        <f t="shared" si="4"/>
        <v>336.48263999999995</v>
      </c>
      <c r="I12" s="107">
        <f t="shared" si="5"/>
        <v>4710756.959999999</v>
      </c>
      <c r="J12" s="107">
        <v>0</v>
      </c>
      <c r="K12" s="108">
        <v>35000</v>
      </c>
      <c r="L12" s="109">
        <f t="shared" si="6"/>
        <v>4745756.959999999</v>
      </c>
      <c r="M12" s="109">
        <f t="shared" si="7"/>
        <v>0</v>
      </c>
      <c r="N12" s="107">
        <f t="shared" si="8"/>
        <v>4745756.959999999</v>
      </c>
      <c r="O12" s="107">
        <f t="shared" si="9"/>
        <v>84120.659999999989</v>
      </c>
      <c r="P12" s="107">
        <f t="shared" si="10"/>
        <v>67296.527999999991</v>
      </c>
      <c r="Q12" s="107">
        <f t="shared" si="11"/>
        <v>50472.395999999993</v>
      </c>
      <c r="R12" s="107">
        <v>0</v>
      </c>
      <c r="S12" s="107">
        <f t="shared" si="12"/>
        <v>4947646.5439999988</v>
      </c>
      <c r="T12" s="107">
        <v>30000</v>
      </c>
      <c r="U12" s="107">
        <f t="shared" si="15"/>
        <v>569490.83519999986</v>
      </c>
      <c r="V12" s="107">
        <f t="shared" si="16"/>
        <v>24226.750079999998</v>
      </c>
      <c r="W12" s="107">
        <f t="shared" si="13"/>
        <v>332300</v>
      </c>
      <c r="X12" s="109">
        <v>6000</v>
      </c>
      <c r="Y12" s="109">
        <f t="shared" si="14"/>
        <v>5909664.1292799981</v>
      </c>
      <c r="Z12" s="32"/>
      <c r="AA12" s="32" t="s">
        <v>227</v>
      </c>
      <c r="AB12" s="32" t="s">
        <v>228</v>
      </c>
      <c r="AC12" s="32" t="s">
        <v>229</v>
      </c>
      <c r="AD12" s="32">
        <v>9189</v>
      </c>
      <c r="AE12" s="32"/>
      <c r="AF12" s="32">
        <v>119</v>
      </c>
      <c r="AG12" s="32"/>
      <c r="AH12" s="110" t="s">
        <v>40</v>
      </c>
      <c r="AI12" s="113" t="s">
        <v>46</v>
      </c>
    </row>
    <row r="13" spans="1:35" ht="15.75" customHeight="1" x14ac:dyDescent="0.2">
      <c r="A13" s="114" t="s">
        <v>85</v>
      </c>
      <c r="B13" s="59">
        <f t="shared" si="0"/>
        <v>17.13</v>
      </c>
      <c r="C13" s="59">
        <v>17.13</v>
      </c>
      <c r="D13" s="59">
        <f t="shared" si="1"/>
        <v>184.38731999999999</v>
      </c>
      <c r="E13" s="112">
        <v>0</v>
      </c>
      <c r="F13" s="59">
        <f t="shared" si="2"/>
        <v>0</v>
      </c>
      <c r="G13" s="59">
        <f t="shared" si="3"/>
        <v>184.38731999999999</v>
      </c>
      <c r="H13" s="106">
        <f t="shared" si="4"/>
        <v>276.58097999999995</v>
      </c>
      <c r="I13" s="107">
        <f t="shared" si="5"/>
        <v>3872133.7199999993</v>
      </c>
      <c r="J13" s="107">
        <v>0</v>
      </c>
      <c r="K13" s="108">
        <v>35000</v>
      </c>
      <c r="L13" s="109">
        <f t="shared" si="6"/>
        <v>3907133.7199999993</v>
      </c>
      <c r="M13" s="109">
        <f t="shared" si="7"/>
        <v>0</v>
      </c>
      <c r="N13" s="107">
        <f t="shared" si="8"/>
        <v>3907133.7199999993</v>
      </c>
      <c r="O13" s="107">
        <f t="shared" si="9"/>
        <v>69145.244999999995</v>
      </c>
      <c r="P13" s="107">
        <f t="shared" si="10"/>
        <v>55316.195999999989</v>
      </c>
      <c r="Q13" s="107">
        <f t="shared" si="11"/>
        <v>41487.14699999999</v>
      </c>
      <c r="R13" s="107">
        <v>0</v>
      </c>
      <c r="S13" s="107">
        <f t="shared" si="12"/>
        <v>4073082.3079999993</v>
      </c>
      <c r="T13" s="107">
        <v>30000</v>
      </c>
      <c r="U13" s="107">
        <f t="shared" si="15"/>
        <v>468856.04639999988</v>
      </c>
      <c r="V13" s="107">
        <f t="shared" si="16"/>
        <v>19913.830559999995</v>
      </c>
      <c r="W13" s="107">
        <f t="shared" si="13"/>
        <v>273500</v>
      </c>
      <c r="X13" s="109">
        <v>6000</v>
      </c>
      <c r="Y13" s="109">
        <f t="shared" si="14"/>
        <v>4871352.1849599993</v>
      </c>
      <c r="Z13" s="32"/>
      <c r="AA13" s="32" t="s">
        <v>230</v>
      </c>
      <c r="AB13" s="32" t="s">
        <v>228</v>
      </c>
      <c r="AC13" s="32" t="s">
        <v>229</v>
      </c>
      <c r="AD13" s="32">
        <v>10810</v>
      </c>
      <c r="AE13" s="32"/>
      <c r="AF13" s="32">
        <v>118</v>
      </c>
      <c r="AG13" s="32"/>
      <c r="AH13" s="110" t="s">
        <v>40</v>
      </c>
      <c r="AI13" s="113" t="s">
        <v>46</v>
      </c>
    </row>
    <row r="14" spans="1:35" ht="15.75" customHeight="1" x14ac:dyDescent="0.2">
      <c r="A14" s="114" t="s">
        <v>88</v>
      </c>
      <c r="B14" s="59">
        <f t="shared" si="0"/>
        <v>16.989999999999998</v>
      </c>
      <c r="C14" s="59">
        <v>16.989999999999998</v>
      </c>
      <c r="D14" s="59">
        <f t="shared" si="1"/>
        <v>182.88035999999997</v>
      </c>
      <c r="E14" s="112">
        <v>0</v>
      </c>
      <c r="F14" s="59">
        <f t="shared" si="2"/>
        <v>0</v>
      </c>
      <c r="G14" s="59">
        <f t="shared" si="3"/>
        <v>182.88035999999997</v>
      </c>
      <c r="H14" s="106">
        <f t="shared" si="4"/>
        <v>274.32053999999994</v>
      </c>
      <c r="I14" s="107">
        <f t="shared" si="5"/>
        <v>3840487.5599999991</v>
      </c>
      <c r="J14" s="107">
        <v>0</v>
      </c>
      <c r="K14" s="108">
        <v>35000</v>
      </c>
      <c r="L14" s="109">
        <f t="shared" si="6"/>
        <v>3875487.5599999991</v>
      </c>
      <c r="M14" s="109">
        <f t="shared" si="7"/>
        <v>0</v>
      </c>
      <c r="N14" s="107">
        <f t="shared" si="8"/>
        <v>3875487.5599999991</v>
      </c>
      <c r="O14" s="107">
        <f t="shared" si="9"/>
        <v>68580.13499999998</v>
      </c>
      <c r="P14" s="107">
        <f t="shared" si="10"/>
        <v>54864.107999999986</v>
      </c>
      <c r="Q14" s="107">
        <f t="shared" si="11"/>
        <v>41148.080999999991</v>
      </c>
      <c r="R14" s="107">
        <v>0</v>
      </c>
      <c r="S14" s="107">
        <f t="shared" si="12"/>
        <v>4040079.8839999987</v>
      </c>
      <c r="T14" s="107">
        <v>30000</v>
      </c>
      <c r="U14" s="107">
        <f t="shared" si="15"/>
        <v>465058.50719999988</v>
      </c>
      <c r="V14" s="107">
        <f t="shared" si="16"/>
        <v>19751.078879999994</v>
      </c>
      <c r="W14" s="107">
        <f t="shared" si="13"/>
        <v>271300</v>
      </c>
      <c r="X14" s="109">
        <v>6000</v>
      </c>
      <c r="Y14" s="109">
        <f t="shared" si="14"/>
        <v>4832189.4700799985</v>
      </c>
      <c r="Z14" s="32"/>
      <c r="AA14" s="32" t="s">
        <v>231</v>
      </c>
      <c r="AB14" s="32" t="s">
        <v>37</v>
      </c>
      <c r="AC14" s="32" t="s">
        <v>232</v>
      </c>
      <c r="AD14" s="32">
        <v>11000</v>
      </c>
      <c r="AE14" s="32"/>
      <c r="AF14" s="32">
        <v>127</v>
      </c>
      <c r="AG14" s="32"/>
      <c r="AH14" s="110" t="s">
        <v>40</v>
      </c>
      <c r="AI14" s="113" t="s">
        <v>46</v>
      </c>
    </row>
    <row r="15" spans="1:35" ht="15.75" customHeight="1" x14ac:dyDescent="0.2">
      <c r="A15" s="105" t="s">
        <v>90</v>
      </c>
      <c r="B15" s="59">
        <f t="shared" si="0"/>
        <v>17.13</v>
      </c>
      <c r="C15" s="59">
        <v>17.13</v>
      </c>
      <c r="D15" s="59">
        <f t="shared" si="1"/>
        <v>184.38731999999999</v>
      </c>
      <c r="E15" s="112">
        <v>0</v>
      </c>
      <c r="F15" s="59">
        <f t="shared" si="2"/>
        <v>0</v>
      </c>
      <c r="G15" s="59">
        <f t="shared" si="3"/>
        <v>184.38731999999999</v>
      </c>
      <c r="H15" s="106">
        <f t="shared" si="4"/>
        <v>276.58097999999995</v>
      </c>
      <c r="I15" s="107">
        <f t="shared" si="5"/>
        <v>3872133.7199999993</v>
      </c>
      <c r="J15" s="107">
        <v>0</v>
      </c>
      <c r="K15" s="108">
        <v>35000</v>
      </c>
      <c r="L15" s="109">
        <f t="shared" si="6"/>
        <v>3907133.7199999993</v>
      </c>
      <c r="M15" s="109">
        <f t="shared" si="7"/>
        <v>0</v>
      </c>
      <c r="N15" s="107">
        <f t="shared" si="8"/>
        <v>3907133.7199999993</v>
      </c>
      <c r="O15" s="107">
        <f t="shared" si="9"/>
        <v>69145.244999999995</v>
      </c>
      <c r="P15" s="107">
        <f t="shared" si="10"/>
        <v>55316.195999999989</v>
      </c>
      <c r="Q15" s="107">
        <f t="shared" si="11"/>
        <v>41487.14699999999</v>
      </c>
      <c r="R15" s="107">
        <v>0</v>
      </c>
      <c r="S15" s="107">
        <f t="shared" si="12"/>
        <v>4073082.3079999993</v>
      </c>
      <c r="T15" s="107">
        <v>30000</v>
      </c>
      <c r="U15" s="107">
        <f t="shared" si="15"/>
        <v>468856.04639999988</v>
      </c>
      <c r="V15" s="107">
        <f t="shared" si="16"/>
        <v>19913.830559999995</v>
      </c>
      <c r="W15" s="107">
        <f t="shared" si="13"/>
        <v>273500</v>
      </c>
      <c r="X15" s="109">
        <v>6000</v>
      </c>
      <c r="Y15" s="109">
        <f t="shared" si="14"/>
        <v>4871352.1849599993</v>
      </c>
      <c r="Z15" s="32"/>
      <c r="AA15" s="32" t="s">
        <v>231</v>
      </c>
      <c r="AB15" s="32" t="s">
        <v>37</v>
      </c>
      <c r="AC15" s="32" t="s">
        <v>232</v>
      </c>
      <c r="AD15" s="32">
        <v>11000</v>
      </c>
      <c r="AE15" s="32"/>
      <c r="AF15" s="32">
        <v>128</v>
      </c>
      <c r="AG15" s="32"/>
      <c r="AH15" s="110" t="s">
        <v>40</v>
      </c>
      <c r="AI15" s="113" t="s">
        <v>46</v>
      </c>
    </row>
    <row r="16" spans="1:35" ht="15.75" customHeight="1" x14ac:dyDescent="0.2">
      <c r="A16" s="105" t="s">
        <v>95</v>
      </c>
      <c r="B16" s="59">
        <f t="shared" si="0"/>
        <v>25.71</v>
      </c>
      <c r="C16" s="59">
        <v>25.71</v>
      </c>
      <c r="D16" s="59">
        <f t="shared" si="1"/>
        <v>276.74243999999999</v>
      </c>
      <c r="E16" s="112">
        <v>0</v>
      </c>
      <c r="F16" s="59">
        <f t="shared" si="2"/>
        <v>0</v>
      </c>
      <c r="G16" s="59">
        <f t="shared" si="3"/>
        <v>276.74243999999999</v>
      </c>
      <c r="H16" s="106">
        <f t="shared" si="4"/>
        <v>415.11365999999998</v>
      </c>
      <c r="I16" s="107">
        <f t="shared" si="5"/>
        <v>5811591.2399999993</v>
      </c>
      <c r="J16" s="15">
        <v>500000</v>
      </c>
      <c r="K16" s="108">
        <v>35000</v>
      </c>
      <c r="L16" s="109">
        <f t="shared" si="6"/>
        <v>6346591.2399999993</v>
      </c>
      <c r="M16" s="109">
        <f t="shared" si="7"/>
        <v>0</v>
      </c>
      <c r="N16" s="107">
        <f t="shared" si="8"/>
        <v>6346591.2399999993</v>
      </c>
      <c r="O16" s="107">
        <f t="shared" si="9"/>
        <v>103778.41499999999</v>
      </c>
      <c r="P16" s="107">
        <f t="shared" si="10"/>
        <v>83022.731999999989</v>
      </c>
      <c r="Q16" s="107">
        <f t="shared" si="11"/>
        <v>62267.048999999999</v>
      </c>
      <c r="R16" s="107">
        <v>0</v>
      </c>
      <c r="S16" s="107">
        <f t="shared" si="12"/>
        <v>6595659.4359999988</v>
      </c>
      <c r="T16" s="107">
        <v>30000</v>
      </c>
      <c r="U16" s="107">
        <f t="shared" si="15"/>
        <v>761590.9487999999</v>
      </c>
      <c r="V16" s="107">
        <f t="shared" si="16"/>
        <v>29888.183519999999</v>
      </c>
      <c r="W16" s="107">
        <f t="shared" si="13"/>
        <v>444300</v>
      </c>
      <c r="X16" s="109">
        <v>6000</v>
      </c>
      <c r="Y16" s="109">
        <f t="shared" si="14"/>
        <v>7867438.5683199987</v>
      </c>
      <c r="Z16" s="32"/>
      <c r="AA16" s="32" t="s">
        <v>233</v>
      </c>
      <c r="AB16" s="32" t="s">
        <v>37</v>
      </c>
      <c r="AC16" s="32" t="s">
        <v>101</v>
      </c>
      <c r="AD16" s="32">
        <v>10673</v>
      </c>
      <c r="AE16" s="32"/>
      <c r="AF16" s="110">
        <v>150</v>
      </c>
      <c r="AG16" s="32"/>
      <c r="AH16" s="110" t="s">
        <v>40</v>
      </c>
      <c r="AI16" s="113" t="s">
        <v>46</v>
      </c>
    </row>
    <row r="17" spans="1:35" ht="15.75" customHeight="1" x14ac:dyDescent="0.2">
      <c r="A17" s="105" t="s">
        <v>234</v>
      </c>
      <c r="B17" s="59">
        <f t="shared" si="0"/>
        <v>23.69</v>
      </c>
      <c r="C17" s="59">
        <v>23.69</v>
      </c>
      <c r="D17" s="59">
        <f t="shared" si="1"/>
        <v>254.99915999999999</v>
      </c>
      <c r="E17" s="112">
        <v>0</v>
      </c>
      <c r="F17" s="59">
        <f t="shared" si="2"/>
        <v>0</v>
      </c>
      <c r="G17" s="59">
        <f t="shared" si="3"/>
        <v>254.99915999999999</v>
      </c>
      <c r="H17" s="106">
        <f t="shared" si="4"/>
        <v>382.49874</v>
      </c>
      <c r="I17" s="107">
        <f t="shared" si="5"/>
        <v>5354982.3600000003</v>
      </c>
      <c r="J17" s="107">
        <v>0</v>
      </c>
      <c r="K17" s="108">
        <v>35000</v>
      </c>
      <c r="L17" s="109">
        <f t="shared" si="6"/>
        <v>5389982.3600000003</v>
      </c>
      <c r="M17" s="109">
        <f t="shared" si="7"/>
        <v>0</v>
      </c>
      <c r="N17" s="107">
        <f t="shared" si="8"/>
        <v>5389982.3600000003</v>
      </c>
      <c r="O17" s="107">
        <f t="shared" si="9"/>
        <v>95624.684999999998</v>
      </c>
      <c r="P17" s="107">
        <f t="shared" si="10"/>
        <v>76499.747999999992</v>
      </c>
      <c r="Q17" s="107">
        <f t="shared" si="11"/>
        <v>57374.811000000002</v>
      </c>
      <c r="R17" s="107">
        <v>0</v>
      </c>
      <c r="S17" s="107">
        <f t="shared" si="12"/>
        <v>5619481.6039999994</v>
      </c>
      <c r="T17" s="107">
        <v>30000</v>
      </c>
      <c r="U17" s="107">
        <f t="shared" si="15"/>
        <v>646797.88320000004</v>
      </c>
      <c r="V17" s="107">
        <f t="shared" si="16"/>
        <v>27539.90928</v>
      </c>
      <c r="W17" s="107">
        <f t="shared" si="13"/>
        <v>377300</v>
      </c>
      <c r="X17" s="109">
        <v>6000</v>
      </c>
      <c r="Y17" s="109">
        <f t="shared" si="14"/>
        <v>6707119.3964799996</v>
      </c>
      <c r="Z17" s="32"/>
      <c r="AA17" s="32" t="s">
        <v>235</v>
      </c>
      <c r="AB17" s="32" t="s">
        <v>37</v>
      </c>
      <c r="AC17" s="32" t="s">
        <v>236</v>
      </c>
      <c r="AD17" s="32">
        <v>11716</v>
      </c>
      <c r="AE17" s="32" t="s">
        <v>237</v>
      </c>
      <c r="AF17" s="32">
        <v>129</v>
      </c>
      <c r="AG17" s="32" t="s">
        <v>45</v>
      </c>
      <c r="AH17" s="110" t="s">
        <v>40</v>
      </c>
      <c r="AI17" s="113" t="s">
        <v>46</v>
      </c>
    </row>
    <row r="18" spans="1:35" ht="15.75" customHeight="1" x14ac:dyDescent="0.2">
      <c r="A18" s="105" t="s">
        <v>238</v>
      </c>
      <c r="B18" s="59">
        <f t="shared" si="0"/>
        <v>21.47</v>
      </c>
      <c r="C18" s="59">
        <v>21.47</v>
      </c>
      <c r="D18" s="59">
        <f t="shared" si="1"/>
        <v>231.10307999999998</v>
      </c>
      <c r="E18" s="112">
        <v>0</v>
      </c>
      <c r="F18" s="59">
        <f t="shared" si="2"/>
        <v>0</v>
      </c>
      <c r="G18" s="59">
        <f t="shared" si="3"/>
        <v>231.10307999999998</v>
      </c>
      <c r="H18" s="106">
        <f t="shared" si="4"/>
        <v>346.65461999999997</v>
      </c>
      <c r="I18" s="107">
        <f t="shared" si="5"/>
        <v>4853164.68</v>
      </c>
      <c r="J18" s="107">
        <v>500000</v>
      </c>
      <c r="K18" s="108">
        <v>35000</v>
      </c>
      <c r="L18" s="109">
        <f t="shared" si="6"/>
        <v>5388164.6799999997</v>
      </c>
      <c r="M18" s="109">
        <f t="shared" si="7"/>
        <v>0</v>
      </c>
      <c r="N18" s="107">
        <f t="shared" si="8"/>
        <v>5388164.6799999997</v>
      </c>
      <c r="O18" s="107">
        <f t="shared" si="9"/>
        <v>86663.654999999984</v>
      </c>
      <c r="P18" s="107">
        <f t="shared" si="10"/>
        <v>69330.923999999999</v>
      </c>
      <c r="Q18" s="107">
        <f t="shared" si="11"/>
        <v>51998.192999999992</v>
      </c>
      <c r="R18" s="107">
        <v>0</v>
      </c>
      <c r="S18" s="107">
        <f t="shared" si="12"/>
        <v>5596157.4519999996</v>
      </c>
      <c r="T18" s="107">
        <v>30000</v>
      </c>
      <c r="U18" s="107">
        <f t="shared" si="15"/>
        <v>646579.76159999997</v>
      </c>
      <c r="V18" s="107">
        <f t="shared" si="16"/>
        <v>24959.132639999996</v>
      </c>
      <c r="W18" s="107">
        <f t="shared" si="13"/>
        <v>377200</v>
      </c>
      <c r="X18" s="109">
        <v>6000</v>
      </c>
      <c r="Y18" s="109">
        <f t="shared" si="14"/>
        <v>6680896.3462399999</v>
      </c>
      <c r="Z18" s="32"/>
      <c r="AA18" s="32" t="s">
        <v>239</v>
      </c>
      <c r="AB18" s="32" t="s">
        <v>37</v>
      </c>
      <c r="AC18" s="32" t="s">
        <v>240</v>
      </c>
      <c r="AD18" s="32">
        <v>10050</v>
      </c>
      <c r="AE18" s="32"/>
      <c r="AF18" s="32">
        <v>2</v>
      </c>
      <c r="AG18" s="32"/>
      <c r="AH18" s="110" t="s">
        <v>40</v>
      </c>
      <c r="AI18" s="113" t="s">
        <v>46</v>
      </c>
    </row>
    <row r="19" spans="1:35" ht="15.75" customHeight="1" x14ac:dyDescent="0.2">
      <c r="A19" s="105" t="s">
        <v>166</v>
      </c>
      <c r="B19" s="59">
        <f t="shared" si="0"/>
        <v>20.059999999999999</v>
      </c>
      <c r="C19" s="59">
        <v>20.059999999999999</v>
      </c>
      <c r="D19" s="59">
        <f t="shared" si="1"/>
        <v>215.92583999999997</v>
      </c>
      <c r="E19" s="112">
        <v>0</v>
      </c>
      <c r="F19" s="59">
        <f t="shared" si="2"/>
        <v>0</v>
      </c>
      <c r="G19" s="59">
        <f t="shared" si="3"/>
        <v>215.92583999999997</v>
      </c>
      <c r="H19" s="106">
        <f t="shared" si="4"/>
        <v>323.88875999999993</v>
      </c>
      <c r="I19" s="107">
        <f t="shared" si="5"/>
        <v>4534442.6399999987</v>
      </c>
      <c r="J19" s="107">
        <v>0</v>
      </c>
      <c r="K19" s="108">
        <v>35000</v>
      </c>
      <c r="L19" s="109">
        <f t="shared" si="6"/>
        <v>4569442.6399999987</v>
      </c>
      <c r="M19" s="109">
        <f t="shared" si="7"/>
        <v>0</v>
      </c>
      <c r="N19" s="107">
        <f t="shared" si="8"/>
        <v>4569442.6399999987</v>
      </c>
      <c r="O19" s="107">
        <f t="shared" si="9"/>
        <v>80972.189999999988</v>
      </c>
      <c r="P19" s="107">
        <f t="shared" si="10"/>
        <v>64777.751999999986</v>
      </c>
      <c r="Q19" s="107">
        <f t="shared" si="11"/>
        <v>48583.313999999991</v>
      </c>
      <c r="R19" s="107">
        <v>0</v>
      </c>
      <c r="S19" s="107">
        <f t="shared" si="12"/>
        <v>4763775.8959999997</v>
      </c>
      <c r="T19" s="107">
        <v>30000</v>
      </c>
      <c r="U19" s="107">
        <f t="shared" si="15"/>
        <v>548333.11679999984</v>
      </c>
      <c r="V19" s="107">
        <f t="shared" si="16"/>
        <v>23319.990719999994</v>
      </c>
      <c r="W19" s="107">
        <f t="shared" si="13"/>
        <v>319900</v>
      </c>
      <c r="X19" s="109">
        <v>6000</v>
      </c>
      <c r="Y19" s="109">
        <f t="shared" si="14"/>
        <v>5691329.0035199998</v>
      </c>
      <c r="Z19" s="32"/>
      <c r="AA19" s="32" t="s">
        <v>241</v>
      </c>
      <c r="AB19" s="32" t="s">
        <v>37</v>
      </c>
      <c r="AC19" s="32" t="s">
        <v>242</v>
      </c>
      <c r="AD19" s="32">
        <v>11956</v>
      </c>
      <c r="AE19" s="32"/>
      <c r="AF19" s="32">
        <v>133</v>
      </c>
      <c r="AG19" s="32"/>
      <c r="AH19" s="110" t="s">
        <v>40</v>
      </c>
      <c r="AI19" s="113" t="s">
        <v>46</v>
      </c>
    </row>
    <row r="20" spans="1:35" ht="15.75" customHeight="1" x14ac:dyDescent="0.2">
      <c r="A20" s="105" t="s">
        <v>243</v>
      </c>
      <c r="B20" s="59">
        <f t="shared" si="0"/>
        <v>23.69</v>
      </c>
      <c r="C20" s="59">
        <v>23.69</v>
      </c>
      <c r="D20" s="59">
        <f t="shared" si="1"/>
        <v>254.99915999999999</v>
      </c>
      <c r="E20" s="112">
        <v>0</v>
      </c>
      <c r="F20" s="59">
        <f t="shared" si="2"/>
        <v>0</v>
      </c>
      <c r="G20" s="59">
        <f t="shared" si="3"/>
        <v>254.99915999999999</v>
      </c>
      <c r="H20" s="106">
        <f t="shared" si="4"/>
        <v>382.49874</v>
      </c>
      <c r="I20" s="107">
        <f t="shared" si="5"/>
        <v>5354982.3600000003</v>
      </c>
      <c r="J20" s="107">
        <v>500000</v>
      </c>
      <c r="K20" s="108">
        <v>35000</v>
      </c>
      <c r="L20" s="109">
        <f t="shared" si="6"/>
        <v>5889982.3600000003</v>
      </c>
      <c r="M20" s="109">
        <f t="shared" si="7"/>
        <v>0</v>
      </c>
      <c r="N20" s="107">
        <f t="shared" si="8"/>
        <v>5889982.3600000003</v>
      </c>
      <c r="O20" s="107">
        <f t="shared" si="9"/>
        <v>95624.684999999998</v>
      </c>
      <c r="P20" s="107">
        <f t="shared" si="10"/>
        <v>76499.747999999992</v>
      </c>
      <c r="Q20" s="107">
        <f t="shared" si="11"/>
        <v>57374.811000000002</v>
      </c>
      <c r="R20" s="107">
        <v>0</v>
      </c>
      <c r="S20" s="107">
        <f t="shared" si="12"/>
        <v>6119481.6039999994</v>
      </c>
      <c r="T20" s="107">
        <v>30000</v>
      </c>
      <c r="U20" s="107">
        <f t="shared" si="15"/>
        <v>706797.88320000004</v>
      </c>
      <c r="V20" s="107">
        <f t="shared" si="16"/>
        <v>27539.90928</v>
      </c>
      <c r="W20" s="107">
        <f t="shared" si="13"/>
        <v>412300</v>
      </c>
      <c r="X20" s="109">
        <v>6000</v>
      </c>
      <c r="Y20" s="109">
        <f t="shared" si="14"/>
        <v>7302119.3964799996</v>
      </c>
      <c r="Z20" s="32"/>
      <c r="AA20" s="32" t="s">
        <v>244</v>
      </c>
      <c r="AB20" s="32" t="s">
        <v>37</v>
      </c>
      <c r="AC20" s="32" t="s">
        <v>245</v>
      </c>
      <c r="AD20" s="32">
        <v>9362</v>
      </c>
      <c r="AE20" s="32" t="s">
        <v>246</v>
      </c>
      <c r="AF20" s="110">
        <v>151</v>
      </c>
      <c r="AG20" s="32" t="s">
        <v>205</v>
      </c>
      <c r="AH20" s="110" t="s">
        <v>40</v>
      </c>
      <c r="AI20" s="113" t="s">
        <v>46</v>
      </c>
    </row>
    <row r="21" spans="1:35" ht="15.75" customHeight="1" x14ac:dyDescent="0.2">
      <c r="A21" s="114" t="s">
        <v>247</v>
      </c>
      <c r="B21" s="59">
        <f t="shared" si="0"/>
        <v>21.47</v>
      </c>
      <c r="C21" s="59">
        <v>21.47</v>
      </c>
      <c r="D21" s="59">
        <f t="shared" si="1"/>
        <v>231.10307999999998</v>
      </c>
      <c r="E21" s="112">
        <v>0</v>
      </c>
      <c r="F21" s="59">
        <f t="shared" si="2"/>
        <v>0</v>
      </c>
      <c r="G21" s="59">
        <f t="shared" si="3"/>
        <v>231.10307999999998</v>
      </c>
      <c r="H21" s="106">
        <f t="shared" si="4"/>
        <v>346.65461999999997</v>
      </c>
      <c r="I21" s="107">
        <f t="shared" si="5"/>
        <v>4853164.68</v>
      </c>
      <c r="J21" s="107">
        <v>0</v>
      </c>
      <c r="K21" s="108">
        <v>35000</v>
      </c>
      <c r="L21" s="109">
        <f t="shared" si="6"/>
        <v>4888164.68</v>
      </c>
      <c r="M21" s="109">
        <f t="shared" si="7"/>
        <v>0</v>
      </c>
      <c r="N21" s="107">
        <f t="shared" si="8"/>
        <v>4888164.68</v>
      </c>
      <c r="O21" s="107">
        <f t="shared" si="9"/>
        <v>86663.654999999984</v>
      </c>
      <c r="P21" s="107">
        <f t="shared" si="10"/>
        <v>69330.923999999999</v>
      </c>
      <c r="Q21" s="107">
        <f t="shared" si="11"/>
        <v>51998.192999999992</v>
      </c>
      <c r="R21" s="107">
        <v>0</v>
      </c>
      <c r="S21" s="107">
        <f t="shared" si="12"/>
        <v>5096157.4519999996</v>
      </c>
      <c r="T21" s="107">
        <v>30000</v>
      </c>
      <c r="U21" s="107">
        <f t="shared" si="15"/>
        <v>586579.76159999997</v>
      </c>
      <c r="V21" s="107">
        <f t="shared" si="16"/>
        <v>24959.132639999996</v>
      </c>
      <c r="W21" s="107">
        <f t="shared" si="13"/>
        <v>342200</v>
      </c>
      <c r="X21" s="109">
        <v>6000</v>
      </c>
      <c r="Y21" s="109">
        <f t="shared" si="14"/>
        <v>6085896.3462399999</v>
      </c>
      <c r="Z21" s="32"/>
      <c r="AA21" s="32" t="s">
        <v>248</v>
      </c>
      <c r="AB21" s="32" t="s">
        <v>37</v>
      </c>
      <c r="AC21" s="32" t="s">
        <v>249</v>
      </c>
      <c r="AD21" s="32">
        <v>10500</v>
      </c>
      <c r="AE21" s="32"/>
      <c r="AF21" s="32">
        <v>141</v>
      </c>
      <c r="AG21" s="32"/>
      <c r="AH21" s="110" t="s">
        <v>40</v>
      </c>
      <c r="AI21" s="113" t="s">
        <v>46</v>
      </c>
    </row>
    <row r="22" spans="1:35" ht="15.75" customHeight="1" x14ac:dyDescent="0.2">
      <c r="A22" s="105" t="s">
        <v>173</v>
      </c>
      <c r="B22" s="59">
        <f t="shared" si="0"/>
        <v>20.059999999999999</v>
      </c>
      <c r="C22" s="59">
        <v>20.059999999999999</v>
      </c>
      <c r="D22" s="59">
        <f t="shared" si="1"/>
        <v>215.92583999999997</v>
      </c>
      <c r="E22" s="112">
        <v>0</v>
      </c>
      <c r="F22" s="59">
        <f t="shared" si="2"/>
        <v>0</v>
      </c>
      <c r="G22" s="59">
        <f t="shared" si="3"/>
        <v>215.92583999999997</v>
      </c>
      <c r="H22" s="106">
        <f t="shared" si="4"/>
        <v>323.88875999999993</v>
      </c>
      <c r="I22" s="107">
        <f t="shared" si="5"/>
        <v>4534442.6399999987</v>
      </c>
      <c r="J22" s="107">
        <v>0</v>
      </c>
      <c r="K22" s="108">
        <v>35000</v>
      </c>
      <c r="L22" s="109">
        <f t="shared" si="6"/>
        <v>4569442.6399999987</v>
      </c>
      <c r="M22" s="109">
        <f t="shared" si="7"/>
        <v>0</v>
      </c>
      <c r="N22" s="107">
        <f t="shared" si="8"/>
        <v>4569442.6399999987</v>
      </c>
      <c r="O22" s="107">
        <f t="shared" si="9"/>
        <v>80972.189999999988</v>
      </c>
      <c r="P22" s="107">
        <f t="shared" si="10"/>
        <v>64777.751999999986</v>
      </c>
      <c r="Q22" s="107">
        <f t="shared" si="11"/>
        <v>48583.313999999991</v>
      </c>
      <c r="R22" s="107">
        <v>0</v>
      </c>
      <c r="S22" s="107">
        <f t="shared" si="12"/>
        <v>4763775.8959999997</v>
      </c>
      <c r="T22" s="107">
        <v>30000</v>
      </c>
      <c r="U22" s="107">
        <f t="shared" si="15"/>
        <v>548333.11679999984</v>
      </c>
      <c r="V22" s="107">
        <f t="shared" si="16"/>
        <v>23319.990719999994</v>
      </c>
      <c r="W22" s="107">
        <f t="shared" si="13"/>
        <v>319900</v>
      </c>
      <c r="X22" s="109">
        <v>6000</v>
      </c>
      <c r="Y22" s="109">
        <f t="shared" si="14"/>
        <v>5691329.0035199998</v>
      </c>
      <c r="Z22" s="32"/>
      <c r="AA22" s="32" t="s">
        <v>250</v>
      </c>
      <c r="AB22" s="32" t="s">
        <v>37</v>
      </c>
      <c r="AC22" s="32" t="s">
        <v>222</v>
      </c>
      <c r="AD22" s="32">
        <v>10500</v>
      </c>
      <c r="AE22" s="32"/>
      <c r="AF22" s="32">
        <v>143</v>
      </c>
      <c r="AG22" s="32"/>
      <c r="AH22" s="110" t="s">
        <v>40</v>
      </c>
      <c r="AI22" s="113" t="s">
        <v>46</v>
      </c>
    </row>
    <row r="23" spans="1:35" ht="15.75" customHeight="1" x14ac:dyDescent="0.2">
      <c r="A23" s="105" t="s">
        <v>251</v>
      </c>
      <c r="B23" s="59">
        <f t="shared" si="0"/>
        <v>17.440000000000001</v>
      </c>
      <c r="C23" s="59">
        <v>17.440000000000001</v>
      </c>
      <c r="D23" s="59">
        <f t="shared" si="1"/>
        <v>187.72416000000001</v>
      </c>
      <c r="E23" s="112">
        <v>0</v>
      </c>
      <c r="F23" s="59">
        <f t="shared" si="2"/>
        <v>0</v>
      </c>
      <c r="G23" s="59">
        <f t="shared" si="3"/>
        <v>187.72416000000001</v>
      </c>
      <c r="H23" s="106">
        <f t="shared" si="4"/>
        <v>281.58624000000003</v>
      </c>
      <c r="I23" s="107">
        <f t="shared" si="5"/>
        <v>3942207.3600000003</v>
      </c>
      <c r="J23" s="107">
        <v>0</v>
      </c>
      <c r="K23" s="108">
        <v>35000</v>
      </c>
      <c r="L23" s="109">
        <f t="shared" si="6"/>
        <v>3977207.3600000003</v>
      </c>
      <c r="M23" s="109">
        <f t="shared" si="7"/>
        <v>0</v>
      </c>
      <c r="N23" s="107">
        <f t="shared" si="8"/>
        <v>3977207.3600000003</v>
      </c>
      <c r="O23" s="107">
        <f t="shared" si="9"/>
        <v>70396.560000000012</v>
      </c>
      <c r="P23" s="107">
        <f t="shared" si="10"/>
        <v>56317.248000000007</v>
      </c>
      <c r="Q23" s="107">
        <f t="shared" si="11"/>
        <v>42237.936000000002</v>
      </c>
      <c r="R23" s="107">
        <v>0</v>
      </c>
      <c r="S23" s="107">
        <f t="shared" si="12"/>
        <v>4146159.1040000007</v>
      </c>
      <c r="T23" s="107">
        <v>30000</v>
      </c>
      <c r="U23" s="107">
        <f t="shared" si="15"/>
        <v>477264.88320000004</v>
      </c>
      <c r="V23" s="107">
        <f t="shared" si="16"/>
        <v>20274.209280000003</v>
      </c>
      <c r="W23" s="107">
        <f t="shared" si="13"/>
        <v>278500</v>
      </c>
      <c r="X23" s="109">
        <v>6000</v>
      </c>
      <c r="Y23" s="109">
        <f t="shared" si="14"/>
        <v>4958198.1964800013</v>
      </c>
      <c r="Z23" s="32"/>
      <c r="AA23" s="32" t="s">
        <v>252</v>
      </c>
      <c r="AB23" s="32" t="s">
        <v>37</v>
      </c>
      <c r="AC23" s="32" t="s">
        <v>118</v>
      </c>
      <c r="AD23" s="32">
        <v>11900</v>
      </c>
      <c r="AE23" s="32"/>
      <c r="AF23" s="32">
        <v>132</v>
      </c>
      <c r="AG23" s="32"/>
      <c r="AH23" s="110" t="s">
        <v>40</v>
      </c>
      <c r="AI23" s="113" t="s">
        <v>46</v>
      </c>
    </row>
    <row r="24" spans="1:35" ht="15.75" customHeight="1" x14ac:dyDescent="0.2">
      <c r="A24" s="105" t="s">
        <v>253</v>
      </c>
      <c r="B24" s="59">
        <f t="shared" si="0"/>
        <v>17.600000000000001</v>
      </c>
      <c r="C24" s="59">
        <v>17.600000000000001</v>
      </c>
      <c r="D24" s="59">
        <f t="shared" si="1"/>
        <v>189.44640000000001</v>
      </c>
      <c r="E24" s="112">
        <v>0</v>
      </c>
      <c r="F24" s="59">
        <f t="shared" si="2"/>
        <v>0</v>
      </c>
      <c r="G24" s="59">
        <f t="shared" si="3"/>
        <v>189.44640000000001</v>
      </c>
      <c r="H24" s="106">
        <f t="shared" si="4"/>
        <v>284.1696</v>
      </c>
      <c r="I24" s="107">
        <f t="shared" si="5"/>
        <v>3978374.4</v>
      </c>
      <c r="J24" s="107">
        <v>500000</v>
      </c>
      <c r="K24" s="108">
        <v>35000</v>
      </c>
      <c r="L24" s="109">
        <f t="shared" si="6"/>
        <v>4513374.4000000004</v>
      </c>
      <c r="M24" s="109">
        <f t="shared" si="7"/>
        <v>0</v>
      </c>
      <c r="N24" s="107">
        <f t="shared" si="8"/>
        <v>4513374.4000000004</v>
      </c>
      <c r="O24" s="107">
        <f t="shared" si="9"/>
        <v>71042.399999999994</v>
      </c>
      <c r="P24" s="107">
        <f t="shared" si="10"/>
        <v>56833.919999999998</v>
      </c>
      <c r="Q24" s="107">
        <f t="shared" si="11"/>
        <v>42625.440000000002</v>
      </c>
      <c r="R24" s="107">
        <v>0</v>
      </c>
      <c r="S24" s="107">
        <f t="shared" si="12"/>
        <v>4683876.1600000011</v>
      </c>
      <c r="T24" s="107">
        <v>30000</v>
      </c>
      <c r="U24" s="107">
        <f t="shared" si="15"/>
        <v>541604.92800000007</v>
      </c>
      <c r="V24" s="107">
        <f t="shared" si="16"/>
        <v>20460.211200000002</v>
      </c>
      <c r="W24" s="107">
        <f t="shared" si="13"/>
        <v>316000</v>
      </c>
      <c r="X24" s="109">
        <v>6000</v>
      </c>
      <c r="Y24" s="109">
        <f t="shared" si="14"/>
        <v>5597941.2992000012</v>
      </c>
      <c r="Z24" s="32"/>
      <c r="AA24" s="32" t="s">
        <v>254</v>
      </c>
      <c r="AB24" s="32" t="s">
        <v>255</v>
      </c>
      <c r="AC24" s="32" t="s">
        <v>245</v>
      </c>
      <c r="AD24" s="32">
        <v>11500</v>
      </c>
      <c r="AE24" s="32"/>
      <c r="AF24" s="110">
        <v>158</v>
      </c>
      <c r="AG24" s="32"/>
      <c r="AH24" s="110" t="s">
        <v>40</v>
      </c>
      <c r="AI24" s="113" t="s">
        <v>46</v>
      </c>
    </row>
    <row r="25" spans="1:35" ht="15.75" customHeight="1" x14ac:dyDescent="0.2">
      <c r="A25" s="105" t="s">
        <v>256</v>
      </c>
      <c r="B25" s="59">
        <f t="shared" si="0"/>
        <v>17.670000000000002</v>
      </c>
      <c r="C25" s="59">
        <v>17.670000000000002</v>
      </c>
      <c r="D25" s="59">
        <f t="shared" si="1"/>
        <v>190.19988000000001</v>
      </c>
      <c r="E25" s="112">
        <v>0</v>
      </c>
      <c r="F25" s="59">
        <f t="shared" si="2"/>
        <v>0</v>
      </c>
      <c r="G25" s="59">
        <f t="shared" si="3"/>
        <v>190.19988000000001</v>
      </c>
      <c r="H25" s="106">
        <f t="shared" si="4"/>
        <v>285.29982000000001</v>
      </c>
      <c r="I25" s="107">
        <f t="shared" si="5"/>
        <v>3994197.48</v>
      </c>
      <c r="J25" s="107">
        <v>500000</v>
      </c>
      <c r="K25" s="108">
        <v>35000</v>
      </c>
      <c r="L25" s="109">
        <f t="shared" si="6"/>
        <v>4529197.4800000004</v>
      </c>
      <c r="M25" s="109">
        <f t="shared" si="7"/>
        <v>0</v>
      </c>
      <c r="N25" s="107">
        <f t="shared" si="8"/>
        <v>4529197.4800000004</v>
      </c>
      <c r="O25" s="107">
        <f t="shared" si="9"/>
        <v>71324.955000000002</v>
      </c>
      <c r="P25" s="107">
        <f t="shared" si="10"/>
        <v>57059.964</v>
      </c>
      <c r="Q25" s="107">
        <f t="shared" si="11"/>
        <v>42794.972999999998</v>
      </c>
      <c r="R25" s="107">
        <v>0</v>
      </c>
      <c r="S25" s="107">
        <f t="shared" si="12"/>
        <v>4700377.3720000004</v>
      </c>
      <c r="T25" s="107">
        <v>30000</v>
      </c>
      <c r="U25" s="107">
        <f t="shared" si="15"/>
        <v>543503.69760000007</v>
      </c>
      <c r="V25" s="107">
        <f t="shared" si="16"/>
        <v>20541.587039999999</v>
      </c>
      <c r="W25" s="107">
        <f t="shared" si="13"/>
        <v>317100</v>
      </c>
      <c r="X25" s="109">
        <v>6000</v>
      </c>
      <c r="Y25" s="109">
        <f t="shared" si="14"/>
        <v>5617522.6566400006</v>
      </c>
      <c r="Z25" s="32"/>
      <c r="AA25" s="32" t="s">
        <v>257</v>
      </c>
      <c r="AB25" s="32" t="s">
        <v>255</v>
      </c>
      <c r="AC25" s="32" t="s">
        <v>245</v>
      </c>
      <c r="AD25" s="32">
        <v>11500</v>
      </c>
      <c r="AE25" s="32"/>
      <c r="AF25" s="110">
        <v>113</v>
      </c>
      <c r="AG25" s="32"/>
      <c r="AH25" s="110" t="s">
        <v>40</v>
      </c>
      <c r="AI25" s="113" t="s">
        <v>46</v>
      </c>
    </row>
    <row r="26" spans="1:35" ht="15.75" customHeight="1" x14ac:dyDescent="0.2">
      <c r="A26" s="105" t="s">
        <v>258</v>
      </c>
      <c r="B26" s="59">
        <f t="shared" si="0"/>
        <v>25.46</v>
      </c>
      <c r="C26" s="59">
        <v>25.46</v>
      </c>
      <c r="D26" s="59">
        <f t="shared" si="1"/>
        <v>274.05144000000001</v>
      </c>
      <c r="E26" s="112">
        <v>0</v>
      </c>
      <c r="F26" s="59">
        <f t="shared" si="2"/>
        <v>0</v>
      </c>
      <c r="G26" s="59">
        <f t="shared" si="3"/>
        <v>274.05144000000001</v>
      </c>
      <c r="H26" s="106">
        <f t="shared" si="4"/>
        <v>411.07716000000005</v>
      </c>
      <c r="I26" s="107">
        <f t="shared" si="5"/>
        <v>5755080.2400000002</v>
      </c>
      <c r="J26" s="107">
        <v>500000</v>
      </c>
      <c r="K26" s="108">
        <v>35000</v>
      </c>
      <c r="L26" s="109">
        <f t="shared" si="6"/>
        <v>6290080.2400000002</v>
      </c>
      <c r="M26" s="109">
        <f t="shared" si="7"/>
        <v>0</v>
      </c>
      <c r="N26" s="107">
        <f t="shared" si="8"/>
        <v>6290080.2400000002</v>
      </c>
      <c r="O26" s="107">
        <f t="shared" si="9"/>
        <v>102769.29000000001</v>
      </c>
      <c r="P26" s="107">
        <f t="shared" si="10"/>
        <v>82215.432000000015</v>
      </c>
      <c r="Q26" s="107">
        <f t="shared" si="11"/>
        <v>61661.574000000008</v>
      </c>
      <c r="R26" s="107">
        <v>0</v>
      </c>
      <c r="S26" s="107">
        <f t="shared" si="12"/>
        <v>6536726.5360000003</v>
      </c>
      <c r="T26" s="107">
        <v>30000</v>
      </c>
      <c r="U26" s="107">
        <f t="shared" si="15"/>
        <v>754809.62879999995</v>
      </c>
      <c r="V26" s="107">
        <f t="shared" si="16"/>
        <v>29597.555520000002</v>
      </c>
      <c r="W26" s="107">
        <f t="shared" si="13"/>
        <v>440400</v>
      </c>
      <c r="X26" s="109">
        <v>6000</v>
      </c>
      <c r="Y26" s="109">
        <f t="shared" si="14"/>
        <v>7797533.7203200003</v>
      </c>
      <c r="Z26" s="32"/>
      <c r="AA26" s="32" t="s">
        <v>259</v>
      </c>
      <c r="AB26" s="32" t="s">
        <v>37</v>
      </c>
      <c r="AC26" s="32" t="s">
        <v>240</v>
      </c>
      <c r="AD26" s="32">
        <v>10050</v>
      </c>
      <c r="AE26" s="32"/>
      <c r="AF26" s="32">
        <v>1</v>
      </c>
      <c r="AG26" s="32"/>
      <c r="AH26" s="110" t="s">
        <v>40</v>
      </c>
      <c r="AI26" s="113" t="s">
        <v>46</v>
      </c>
    </row>
    <row r="27" spans="1:35" ht="15.75" customHeight="1" x14ac:dyDescent="0.2">
      <c r="A27" s="105" t="s">
        <v>260</v>
      </c>
      <c r="B27" s="59">
        <f t="shared" si="0"/>
        <v>25.71</v>
      </c>
      <c r="C27" s="59">
        <v>25.71</v>
      </c>
      <c r="D27" s="59">
        <f t="shared" si="1"/>
        <v>276.74243999999999</v>
      </c>
      <c r="E27" s="112">
        <v>0</v>
      </c>
      <c r="F27" s="59">
        <f t="shared" si="2"/>
        <v>0</v>
      </c>
      <c r="G27" s="59">
        <f t="shared" si="3"/>
        <v>276.74243999999999</v>
      </c>
      <c r="H27" s="106">
        <f t="shared" si="4"/>
        <v>415.11365999999998</v>
      </c>
      <c r="I27" s="107">
        <f t="shared" si="5"/>
        <v>5811591.2399999993</v>
      </c>
      <c r="J27" s="107">
        <v>500000</v>
      </c>
      <c r="K27" s="108">
        <v>35000</v>
      </c>
      <c r="L27" s="109">
        <f t="shared" si="6"/>
        <v>6346591.2399999993</v>
      </c>
      <c r="M27" s="109">
        <f t="shared" si="7"/>
        <v>0</v>
      </c>
      <c r="N27" s="107">
        <f t="shared" si="8"/>
        <v>6346591.2399999993</v>
      </c>
      <c r="O27" s="107">
        <f t="shared" si="9"/>
        <v>103778.41499999999</v>
      </c>
      <c r="P27" s="107">
        <f t="shared" si="10"/>
        <v>83022.731999999989</v>
      </c>
      <c r="Q27" s="107">
        <f t="shared" si="11"/>
        <v>62267.048999999999</v>
      </c>
      <c r="R27" s="107">
        <v>0</v>
      </c>
      <c r="S27" s="107">
        <f t="shared" si="12"/>
        <v>6595659.4359999988</v>
      </c>
      <c r="T27" s="107">
        <v>30000</v>
      </c>
      <c r="U27" s="107">
        <f t="shared" si="15"/>
        <v>761590.9487999999</v>
      </c>
      <c r="V27" s="107">
        <f t="shared" si="16"/>
        <v>29888.183519999999</v>
      </c>
      <c r="W27" s="107">
        <f t="shared" si="13"/>
        <v>444300</v>
      </c>
      <c r="X27" s="109">
        <v>6000</v>
      </c>
      <c r="Y27" s="109">
        <f t="shared" si="14"/>
        <v>7867438.5683199987</v>
      </c>
      <c r="Z27" s="32"/>
      <c r="AA27" s="32" t="s">
        <v>261</v>
      </c>
      <c r="AB27" s="32" t="s">
        <v>37</v>
      </c>
      <c r="AC27" s="32" t="s">
        <v>262</v>
      </c>
      <c r="AD27" s="32">
        <v>12110</v>
      </c>
      <c r="AE27" s="32"/>
      <c r="AF27" s="110">
        <v>163</v>
      </c>
      <c r="AG27" s="32"/>
      <c r="AH27" s="110" t="s">
        <v>40</v>
      </c>
      <c r="AI27" s="113" t="s">
        <v>84</v>
      </c>
    </row>
    <row r="28" spans="1:35" ht="15.75" customHeight="1" x14ac:dyDescent="0.2">
      <c r="A28" s="105" t="s">
        <v>263</v>
      </c>
      <c r="B28" s="59">
        <f t="shared" si="0"/>
        <v>25.8</v>
      </c>
      <c r="C28" s="59">
        <v>25.8</v>
      </c>
      <c r="D28" s="59">
        <f t="shared" si="1"/>
        <v>277.71119999999996</v>
      </c>
      <c r="E28" s="112">
        <v>0</v>
      </c>
      <c r="F28" s="59">
        <f t="shared" si="2"/>
        <v>0</v>
      </c>
      <c r="G28" s="59">
        <f t="shared" si="3"/>
        <v>277.71119999999996</v>
      </c>
      <c r="H28" s="106">
        <f t="shared" si="4"/>
        <v>416.56679999999994</v>
      </c>
      <c r="I28" s="107">
        <f t="shared" si="5"/>
        <v>5831935.1999999993</v>
      </c>
      <c r="J28" s="107">
        <v>500000</v>
      </c>
      <c r="K28" s="108">
        <v>0</v>
      </c>
      <c r="L28" s="109">
        <f t="shared" si="6"/>
        <v>6331935.1999999993</v>
      </c>
      <c r="M28" s="109">
        <f t="shared" si="7"/>
        <v>0</v>
      </c>
      <c r="N28" s="107">
        <f t="shared" si="8"/>
        <v>6331935.1999999993</v>
      </c>
      <c r="O28" s="107">
        <f t="shared" si="9"/>
        <v>104141.69999999998</v>
      </c>
      <c r="P28" s="107">
        <f t="shared" si="10"/>
        <v>83313.359999999986</v>
      </c>
      <c r="Q28" s="107">
        <f t="shared" si="11"/>
        <v>62485.01999999999</v>
      </c>
      <c r="R28" s="107">
        <v>0</v>
      </c>
      <c r="S28" s="107">
        <f t="shared" si="12"/>
        <v>6581875.2799999993</v>
      </c>
      <c r="T28" s="107">
        <v>30000</v>
      </c>
      <c r="U28" s="107">
        <f t="shared" si="15"/>
        <v>759832.22399999993</v>
      </c>
      <c r="V28" s="107">
        <f t="shared" si="16"/>
        <v>29992.809599999993</v>
      </c>
      <c r="W28" s="107">
        <f t="shared" si="13"/>
        <v>443300</v>
      </c>
      <c r="X28" s="109">
        <v>6000</v>
      </c>
      <c r="Y28" s="109">
        <f t="shared" si="14"/>
        <v>7851000.3135999991</v>
      </c>
      <c r="Z28" s="32"/>
      <c r="AA28" s="32" t="s">
        <v>264</v>
      </c>
      <c r="AB28" s="32" t="s">
        <v>37</v>
      </c>
      <c r="AC28" s="32" t="s">
        <v>245</v>
      </c>
      <c r="AD28" s="32">
        <v>9976</v>
      </c>
      <c r="AE28" s="32">
        <v>0</v>
      </c>
      <c r="AF28" s="32">
        <v>0</v>
      </c>
      <c r="AG28" s="32">
        <v>0</v>
      </c>
      <c r="AH28" s="32">
        <v>0</v>
      </c>
      <c r="AI28" s="113">
        <v>0</v>
      </c>
    </row>
    <row r="29" spans="1:35" ht="15.75" customHeight="1" x14ac:dyDescent="0.2">
      <c r="A29" s="116" t="s">
        <v>265</v>
      </c>
      <c r="B29" s="117">
        <v>79.180000000000007</v>
      </c>
      <c r="C29" s="117">
        <v>53.16</v>
      </c>
      <c r="D29" s="118">
        <f t="shared" si="1"/>
        <v>572.2142399999999</v>
      </c>
      <c r="E29" s="117">
        <v>26.02</v>
      </c>
      <c r="F29" s="118">
        <f t="shared" si="2"/>
        <v>280.07927999999998</v>
      </c>
      <c r="G29" s="118">
        <f t="shared" si="3"/>
        <v>852.29351999999994</v>
      </c>
      <c r="H29" s="119">
        <f>(D29+F29)*1.45</f>
        <v>1235.8256039999999</v>
      </c>
      <c r="I29" s="120">
        <f>H29*F2</f>
        <v>13594081.643999999</v>
      </c>
      <c r="J29" s="120">
        <v>400000</v>
      </c>
      <c r="K29" s="121">
        <v>400000</v>
      </c>
      <c r="L29" s="122">
        <f t="shared" si="6"/>
        <v>14394081.643999999</v>
      </c>
      <c r="M29" s="122">
        <f t="shared" si="7"/>
        <v>0</v>
      </c>
      <c r="N29" s="120">
        <f t="shared" si="8"/>
        <v>14394081.643999999</v>
      </c>
      <c r="O29" s="120">
        <f t="shared" si="9"/>
        <v>308956.40099999995</v>
      </c>
      <c r="P29" s="120">
        <f t="shared" si="10"/>
        <v>247165.12079999998</v>
      </c>
      <c r="Q29" s="120">
        <f t="shared" si="11"/>
        <v>185373.8406</v>
      </c>
      <c r="R29" s="120">
        <v>0</v>
      </c>
      <c r="S29" s="120">
        <f t="shared" si="12"/>
        <v>15135577.0064</v>
      </c>
      <c r="T29" s="120">
        <v>30000</v>
      </c>
      <c r="U29" s="120">
        <f t="shared" si="15"/>
        <v>1727289.7972799998</v>
      </c>
      <c r="V29" s="120">
        <f t="shared" si="16"/>
        <v>88979.44348799999</v>
      </c>
      <c r="W29" s="120">
        <f t="shared" si="13"/>
        <v>1007600</v>
      </c>
      <c r="X29" s="122">
        <v>6000</v>
      </c>
      <c r="Y29" s="122">
        <f t="shared" si="14"/>
        <v>17995446.247168001</v>
      </c>
      <c r="Z29" s="123"/>
      <c r="AA29" s="123"/>
      <c r="AB29" s="123"/>
      <c r="AC29" s="123"/>
      <c r="AD29" s="123"/>
      <c r="AE29" s="123">
        <v>120</v>
      </c>
      <c r="AF29" s="124" t="s">
        <v>266</v>
      </c>
      <c r="AG29" s="124" t="s">
        <v>40</v>
      </c>
      <c r="AH29" s="124" t="s">
        <v>45</v>
      </c>
      <c r="AI29" s="124" t="s">
        <v>267</v>
      </c>
    </row>
    <row r="30" spans="1:35" ht="15.75" customHeight="1" x14ac:dyDescent="0.2">
      <c r="A30" s="125"/>
      <c r="B30" s="126"/>
      <c r="C30" s="126">
        <f t="shared" ref="C30:D30" si="17">SUM(C4:C29)</f>
        <v>1065.1600000000003</v>
      </c>
      <c r="D30" s="126">
        <f t="shared" si="17"/>
        <v>11465.382239999999</v>
      </c>
      <c r="E30" s="126"/>
      <c r="F30" s="126">
        <f t="shared" ref="F30:H30" si="18">SUM(F4:F29)</f>
        <v>1471.9769999999999</v>
      </c>
      <c r="G30" s="126">
        <f t="shared" si="18"/>
        <v>12937.359239999998</v>
      </c>
      <c r="H30" s="125">
        <f t="shared" si="18"/>
        <v>19363.424184000003</v>
      </c>
      <c r="I30" s="127"/>
      <c r="J30" s="127"/>
      <c r="K30" s="127"/>
      <c r="L30" s="125"/>
      <c r="M30" s="125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5"/>
      <c r="Y30" s="125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5" ht="15.75" customHeight="1" x14ac:dyDescent="0.2">
      <c r="A31" s="128"/>
      <c r="B31" s="90"/>
      <c r="C31" s="90"/>
      <c r="D31" s="90"/>
      <c r="E31" s="90"/>
      <c r="F31" s="90"/>
      <c r="G31" s="90"/>
      <c r="H31" s="128"/>
      <c r="I31" s="90"/>
      <c r="J31" s="90"/>
      <c r="K31" s="90"/>
      <c r="L31" s="128"/>
      <c r="M31" s="128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128"/>
      <c r="Y31" s="128"/>
      <c r="Z31" s="90"/>
      <c r="AA31" s="90"/>
      <c r="AB31" s="90"/>
      <c r="AC31" s="90"/>
      <c r="AD31" s="90"/>
      <c r="AE31" s="90"/>
      <c r="AF31" s="90"/>
      <c r="AG31" s="90"/>
      <c r="AH31" s="90"/>
    </row>
    <row r="32" spans="1:35" ht="15.75" customHeight="1" x14ac:dyDescent="0.2">
      <c r="A32" s="128"/>
      <c r="B32" s="90"/>
      <c r="C32" s="90"/>
      <c r="D32" s="90"/>
      <c r="E32" s="90"/>
      <c r="F32" s="90"/>
      <c r="G32" s="90"/>
      <c r="H32" s="128"/>
      <c r="I32" s="90"/>
      <c r="J32" s="90"/>
      <c r="K32" s="90"/>
      <c r="L32" s="128"/>
      <c r="M32" s="128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128"/>
      <c r="Y32" s="128"/>
      <c r="Z32" s="90"/>
      <c r="AA32" s="90"/>
      <c r="AB32" s="90"/>
      <c r="AC32" s="90"/>
      <c r="AD32" s="90"/>
      <c r="AE32" s="90"/>
      <c r="AF32" s="90"/>
      <c r="AG32" s="90"/>
      <c r="AH32" s="90"/>
    </row>
    <row r="33" spans="1:34" ht="15.75" customHeight="1" x14ac:dyDescent="0.2">
      <c r="A33" s="128"/>
      <c r="B33" s="90"/>
      <c r="C33" s="90"/>
      <c r="D33" s="90"/>
      <c r="E33" s="90"/>
      <c r="F33" s="90"/>
      <c r="G33" s="90"/>
      <c r="H33" s="128"/>
      <c r="I33" s="90"/>
      <c r="J33" s="90"/>
      <c r="K33" s="90"/>
      <c r="L33" s="128"/>
      <c r="M33" s="128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128"/>
      <c r="Y33" s="128"/>
      <c r="Z33" s="90"/>
      <c r="AA33" s="90"/>
      <c r="AB33" s="90"/>
      <c r="AC33" s="90"/>
      <c r="AD33" s="90"/>
      <c r="AE33" s="90"/>
      <c r="AF33" s="90"/>
      <c r="AG33" s="90"/>
      <c r="AH33" s="90"/>
    </row>
    <row r="34" spans="1:34" ht="15.75" customHeight="1" x14ac:dyDescent="0.2">
      <c r="A34" s="128"/>
      <c r="B34" s="90"/>
      <c r="C34" s="90"/>
      <c r="D34" s="90"/>
      <c r="E34" s="90"/>
      <c r="F34" s="90"/>
      <c r="G34" s="90"/>
      <c r="H34" s="128"/>
      <c r="I34" s="90"/>
      <c r="J34" s="90"/>
      <c r="K34" s="90"/>
      <c r="L34" s="128"/>
      <c r="M34" s="128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128"/>
      <c r="Y34" s="128"/>
      <c r="Z34" s="90"/>
      <c r="AA34" s="90"/>
      <c r="AB34" s="90"/>
      <c r="AC34" s="90"/>
      <c r="AD34" s="90"/>
      <c r="AE34" s="90"/>
      <c r="AF34" s="90"/>
      <c r="AG34" s="90"/>
      <c r="AH34" s="90"/>
    </row>
    <row r="35" spans="1:34" ht="15.75" customHeight="1" x14ac:dyDescent="0.2">
      <c r="A35" s="128"/>
      <c r="B35" s="90"/>
      <c r="C35" s="90"/>
      <c r="D35" s="90"/>
      <c r="E35" s="90"/>
      <c r="F35" s="90"/>
      <c r="G35" s="90"/>
      <c r="H35" s="128"/>
      <c r="I35" s="90"/>
      <c r="J35" s="90"/>
      <c r="K35" s="90"/>
      <c r="L35" s="128"/>
      <c r="M35" s="128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128"/>
      <c r="Y35" s="128"/>
      <c r="Z35" s="90"/>
      <c r="AA35" s="90"/>
      <c r="AB35" s="90"/>
      <c r="AC35" s="90"/>
      <c r="AD35" s="90"/>
      <c r="AE35" s="90"/>
      <c r="AF35" s="90"/>
      <c r="AG35" s="90"/>
      <c r="AH35" s="90"/>
    </row>
    <row r="36" spans="1:34" ht="15.75" customHeight="1" x14ac:dyDescent="0.2">
      <c r="A36" s="128"/>
      <c r="B36" s="90"/>
      <c r="C36" s="90"/>
      <c r="D36" s="90"/>
      <c r="E36" s="90"/>
      <c r="F36" s="90"/>
      <c r="G36" s="90"/>
      <c r="H36" s="128"/>
      <c r="I36" s="90"/>
      <c r="J36" s="90"/>
      <c r="K36" s="90"/>
      <c r="L36" s="128"/>
      <c r="M36" s="128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128"/>
      <c r="Y36" s="128"/>
      <c r="Z36" s="90"/>
      <c r="AA36" s="90"/>
      <c r="AB36" s="90"/>
      <c r="AC36" s="90"/>
      <c r="AD36" s="90"/>
      <c r="AE36" s="90"/>
      <c r="AF36" s="90"/>
      <c r="AG36" s="90"/>
      <c r="AH36" s="90"/>
    </row>
    <row r="37" spans="1:34" ht="15.75" customHeight="1" x14ac:dyDescent="0.2">
      <c r="A37" s="128"/>
      <c r="B37" s="90"/>
      <c r="C37" s="90"/>
      <c r="D37" s="90"/>
      <c r="E37" s="90"/>
      <c r="F37" s="90"/>
      <c r="G37" s="90"/>
      <c r="H37" s="128"/>
      <c r="I37" s="90"/>
      <c r="J37" s="90"/>
      <c r="K37" s="90"/>
      <c r="L37" s="128"/>
      <c r="M37" s="128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128"/>
      <c r="Y37" s="128"/>
      <c r="Z37" s="90"/>
      <c r="AA37" s="90"/>
      <c r="AB37" s="90"/>
      <c r="AC37" s="90"/>
      <c r="AD37" s="90"/>
      <c r="AE37" s="90"/>
      <c r="AF37" s="90"/>
      <c r="AG37" s="90"/>
      <c r="AH37" s="90"/>
    </row>
    <row r="38" spans="1:34" ht="15.75" customHeight="1" x14ac:dyDescent="0.2">
      <c r="A38" s="128"/>
      <c r="B38" s="90"/>
      <c r="C38" s="90"/>
      <c r="D38" s="90"/>
      <c r="E38" s="90"/>
      <c r="F38" s="90"/>
      <c r="G38" s="90"/>
      <c r="H38" s="128"/>
      <c r="I38" s="90"/>
      <c r="J38" s="90"/>
      <c r="K38" s="90"/>
      <c r="L38" s="128"/>
      <c r="M38" s="128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128"/>
      <c r="Y38" s="128"/>
      <c r="Z38" s="90"/>
      <c r="AA38" s="90"/>
      <c r="AB38" s="90"/>
      <c r="AC38" s="90"/>
      <c r="AD38" s="90"/>
      <c r="AE38" s="90"/>
      <c r="AF38" s="90"/>
      <c r="AG38" s="90"/>
      <c r="AH38" s="90"/>
    </row>
    <row r="39" spans="1:34" ht="15.75" customHeight="1" x14ac:dyDescent="0.2">
      <c r="A39" s="128"/>
      <c r="B39" s="90"/>
      <c r="C39" s="90"/>
      <c r="D39" s="90"/>
      <c r="E39" s="90"/>
      <c r="F39" s="90"/>
      <c r="G39" s="90"/>
      <c r="H39" s="128"/>
      <c r="I39" s="90"/>
      <c r="J39" s="90"/>
      <c r="K39" s="90"/>
      <c r="L39" s="128"/>
      <c r="M39" s="128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128"/>
      <c r="Y39" s="128"/>
      <c r="Z39" s="90"/>
      <c r="AA39" s="90"/>
      <c r="AB39" s="90"/>
      <c r="AC39" s="90"/>
      <c r="AD39" s="90"/>
      <c r="AE39" s="90"/>
      <c r="AF39" s="90"/>
      <c r="AG39" s="90"/>
      <c r="AH39" s="90"/>
    </row>
    <row r="40" spans="1:34" ht="15.75" customHeight="1" x14ac:dyDescent="0.2">
      <c r="A40" s="128"/>
      <c r="B40" s="90"/>
      <c r="C40" s="90"/>
      <c r="D40" s="90"/>
      <c r="E40" s="90"/>
      <c r="F40" s="90"/>
      <c r="G40" s="90"/>
      <c r="H40" s="128"/>
      <c r="I40" s="90"/>
      <c r="J40" s="90"/>
      <c r="K40" s="90"/>
      <c r="L40" s="128"/>
      <c r="M40" s="128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128"/>
      <c r="Y40" s="128"/>
      <c r="Z40" s="90"/>
      <c r="AA40" s="90"/>
      <c r="AB40" s="90"/>
      <c r="AC40" s="90"/>
      <c r="AD40" s="90"/>
      <c r="AE40" s="90"/>
      <c r="AF40" s="90"/>
      <c r="AG40" s="90"/>
      <c r="AH40" s="90"/>
    </row>
    <row r="41" spans="1:34" ht="15.75" customHeight="1" x14ac:dyDescent="0.2">
      <c r="A41" s="128"/>
      <c r="B41" s="90"/>
      <c r="C41" s="90"/>
      <c r="D41" s="90"/>
      <c r="E41" s="90"/>
      <c r="F41" s="90"/>
      <c r="G41" s="90"/>
      <c r="H41" s="128"/>
      <c r="I41" s="90"/>
      <c r="J41" s="90"/>
      <c r="K41" s="90"/>
      <c r="L41" s="128"/>
      <c r="M41" s="128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128"/>
      <c r="Y41" s="128"/>
      <c r="Z41" s="90"/>
      <c r="AA41" s="90"/>
      <c r="AB41" s="90"/>
      <c r="AC41" s="90"/>
      <c r="AD41" s="90"/>
      <c r="AE41" s="90"/>
      <c r="AF41" s="90"/>
      <c r="AG41" s="90"/>
      <c r="AH41" s="90"/>
    </row>
    <row r="42" spans="1:34" ht="15.75" customHeight="1" x14ac:dyDescent="0.2">
      <c r="A42" s="128"/>
      <c r="B42" s="90"/>
      <c r="C42" s="90"/>
      <c r="D42" s="90"/>
      <c r="E42" s="90"/>
      <c r="F42" s="90"/>
      <c r="G42" s="90"/>
      <c r="H42" s="128"/>
      <c r="I42" s="90"/>
      <c r="J42" s="90"/>
      <c r="K42" s="90"/>
      <c r="L42" s="128"/>
      <c r="M42" s="128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128"/>
      <c r="Y42" s="128"/>
      <c r="Z42" s="90"/>
      <c r="AA42" s="90"/>
      <c r="AB42" s="90"/>
      <c r="AC42" s="90"/>
      <c r="AD42" s="90"/>
      <c r="AE42" s="90"/>
      <c r="AF42" s="90"/>
      <c r="AG42" s="90"/>
      <c r="AH42" s="90"/>
    </row>
    <row r="43" spans="1:34" ht="15.75" customHeight="1" x14ac:dyDescent="0.2">
      <c r="A43" s="128"/>
      <c r="B43" s="90"/>
      <c r="C43" s="90"/>
      <c r="D43" s="90"/>
      <c r="E43" s="90"/>
      <c r="F43" s="90"/>
      <c r="G43" s="90"/>
      <c r="H43" s="128"/>
      <c r="I43" s="90"/>
      <c r="J43" s="90"/>
      <c r="K43" s="90"/>
      <c r="L43" s="128"/>
      <c r="M43" s="128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128"/>
      <c r="Y43" s="128"/>
      <c r="Z43" s="90"/>
      <c r="AA43" s="90"/>
      <c r="AB43" s="90"/>
      <c r="AC43" s="90"/>
      <c r="AD43" s="90"/>
      <c r="AE43" s="90"/>
      <c r="AF43" s="90"/>
      <c r="AG43" s="90"/>
      <c r="AH43" s="90"/>
    </row>
    <row r="44" spans="1:34" ht="15.75" customHeight="1" x14ac:dyDescent="0.2">
      <c r="A44" s="128"/>
      <c r="B44" s="90"/>
      <c r="C44" s="90"/>
      <c r="D44" s="90"/>
      <c r="E44" s="90"/>
      <c r="F44" s="90"/>
      <c r="G44" s="90"/>
      <c r="H44" s="128"/>
      <c r="I44" s="90"/>
      <c r="J44" s="90"/>
      <c r="K44" s="90"/>
      <c r="L44" s="128"/>
      <c r="M44" s="128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128"/>
      <c r="Y44" s="128"/>
      <c r="Z44" s="90"/>
      <c r="AA44" s="90"/>
      <c r="AB44" s="90"/>
      <c r="AC44" s="90"/>
      <c r="AD44" s="90"/>
      <c r="AE44" s="90"/>
      <c r="AF44" s="90"/>
      <c r="AG44" s="90"/>
      <c r="AH44" s="90"/>
    </row>
    <row r="45" spans="1:34" ht="15.75" customHeight="1" x14ac:dyDescent="0.2">
      <c r="A45" s="128"/>
      <c r="B45" s="90"/>
      <c r="C45" s="90"/>
      <c r="D45" s="90"/>
      <c r="E45" s="90"/>
      <c r="F45" s="90"/>
      <c r="G45" s="90"/>
      <c r="H45" s="128"/>
      <c r="I45" s="90"/>
      <c r="J45" s="90"/>
      <c r="K45" s="90"/>
      <c r="L45" s="128"/>
      <c r="M45" s="128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128"/>
      <c r="Y45" s="128"/>
      <c r="Z45" s="90"/>
      <c r="AA45" s="90"/>
      <c r="AB45" s="90"/>
      <c r="AC45" s="90"/>
      <c r="AD45" s="90"/>
      <c r="AE45" s="90"/>
      <c r="AF45" s="90"/>
      <c r="AG45" s="90"/>
      <c r="AH45" s="90"/>
    </row>
    <row r="46" spans="1:34" ht="15.75" customHeight="1" x14ac:dyDescent="0.2">
      <c r="A46" s="128"/>
      <c r="B46" s="90"/>
      <c r="C46" s="90"/>
      <c r="D46" s="90"/>
      <c r="E46" s="90"/>
      <c r="F46" s="90"/>
      <c r="G46" s="90"/>
      <c r="H46" s="128"/>
      <c r="I46" s="90"/>
      <c r="J46" s="90"/>
      <c r="K46" s="90"/>
      <c r="L46" s="128"/>
      <c r="M46" s="128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128"/>
      <c r="Y46" s="128"/>
      <c r="Z46" s="90"/>
      <c r="AA46" s="90"/>
      <c r="AB46" s="90"/>
      <c r="AC46" s="90"/>
      <c r="AD46" s="90"/>
      <c r="AE46" s="90"/>
      <c r="AF46" s="90"/>
      <c r="AG46" s="90"/>
      <c r="AH46" s="90"/>
    </row>
    <row r="47" spans="1:34" ht="15.75" customHeight="1" x14ac:dyDescent="0.2">
      <c r="A47" s="128"/>
      <c r="B47" s="90"/>
      <c r="C47" s="90"/>
      <c r="D47" s="90"/>
      <c r="E47" s="90"/>
      <c r="F47" s="90"/>
      <c r="G47" s="90"/>
      <c r="H47" s="128"/>
      <c r="I47" s="90"/>
      <c r="J47" s="90"/>
      <c r="K47" s="90"/>
      <c r="L47" s="128"/>
      <c r="M47" s="128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128"/>
      <c r="Y47" s="128"/>
      <c r="Z47" s="90"/>
      <c r="AA47" s="90"/>
      <c r="AB47" s="90"/>
      <c r="AC47" s="90"/>
      <c r="AD47" s="90"/>
      <c r="AE47" s="90"/>
      <c r="AF47" s="90"/>
      <c r="AG47" s="90"/>
      <c r="AH47" s="90"/>
    </row>
    <row r="48" spans="1:34" ht="15.75" customHeight="1" x14ac:dyDescent="0.2">
      <c r="A48" s="128"/>
      <c r="B48" s="90"/>
      <c r="C48" s="90"/>
      <c r="D48" s="90"/>
      <c r="E48" s="90"/>
      <c r="F48" s="90"/>
      <c r="G48" s="90"/>
      <c r="H48" s="128"/>
      <c r="I48" s="90"/>
      <c r="J48" s="90"/>
      <c r="K48" s="90"/>
      <c r="L48" s="128"/>
      <c r="M48" s="128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128"/>
      <c r="Y48" s="128"/>
      <c r="Z48" s="90"/>
      <c r="AA48" s="90"/>
      <c r="AB48" s="90"/>
      <c r="AC48" s="90"/>
      <c r="AD48" s="90"/>
      <c r="AE48" s="90"/>
      <c r="AF48" s="90"/>
      <c r="AG48" s="90"/>
      <c r="AH48" s="90"/>
    </row>
    <row r="49" spans="1:34" ht="15.75" customHeight="1" x14ac:dyDescent="0.2">
      <c r="A49" s="128"/>
      <c r="B49" s="90"/>
      <c r="C49" s="90"/>
      <c r="D49" s="90"/>
      <c r="E49" s="90"/>
      <c r="F49" s="90"/>
      <c r="G49" s="90"/>
      <c r="H49" s="128"/>
      <c r="I49" s="90"/>
      <c r="J49" s="90"/>
      <c r="K49" s="90"/>
      <c r="L49" s="128"/>
      <c r="M49" s="128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128"/>
      <c r="Y49" s="128"/>
      <c r="Z49" s="90"/>
      <c r="AA49" s="90"/>
      <c r="AB49" s="90"/>
      <c r="AC49" s="90"/>
      <c r="AD49" s="90"/>
      <c r="AE49" s="90"/>
      <c r="AF49" s="90"/>
      <c r="AG49" s="90"/>
      <c r="AH49" s="90"/>
    </row>
    <row r="50" spans="1:34" ht="15.75" customHeight="1" x14ac:dyDescent="0.2">
      <c r="A50" s="128"/>
      <c r="B50" s="90"/>
      <c r="C50" s="90"/>
      <c r="D50" s="90"/>
      <c r="E50" s="90"/>
      <c r="F50" s="90"/>
      <c r="G50" s="90"/>
      <c r="H50" s="128"/>
      <c r="I50" s="90"/>
      <c r="J50" s="90"/>
      <c r="K50" s="90"/>
      <c r="L50" s="128"/>
      <c r="M50" s="128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128"/>
      <c r="Y50" s="128"/>
      <c r="Z50" s="90"/>
      <c r="AA50" s="90"/>
      <c r="AB50" s="90"/>
      <c r="AC50" s="90"/>
      <c r="AD50" s="90"/>
      <c r="AE50" s="90"/>
      <c r="AF50" s="90"/>
      <c r="AG50" s="90"/>
      <c r="AH50" s="90"/>
    </row>
    <row r="51" spans="1:34" ht="15.75" customHeight="1" x14ac:dyDescent="0.2">
      <c r="A51" s="128"/>
      <c r="B51" s="90"/>
      <c r="C51" s="90"/>
      <c r="D51" s="90"/>
      <c r="E51" s="90"/>
      <c r="F51" s="90"/>
      <c r="G51" s="90"/>
      <c r="H51" s="128"/>
      <c r="I51" s="90"/>
      <c r="J51" s="90"/>
      <c r="K51" s="90"/>
      <c r="L51" s="128"/>
      <c r="M51" s="128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128"/>
      <c r="Y51" s="128"/>
      <c r="Z51" s="90"/>
      <c r="AA51" s="90"/>
      <c r="AB51" s="90"/>
      <c r="AC51" s="90"/>
      <c r="AD51" s="90"/>
      <c r="AE51" s="90"/>
      <c r="AF51" s="90"/>
      <c r="AG51" s="90"/>
      <c r="AH51" s="90"/>
    </row>
    <row r="52" spans="1:34" ht="15.75" customHeight="1" x14ac:dyDescent="0.2">
      <c r="A52" s="128"/>
      <c r="B52" s="90"/>
      <c r="C52" s="90"/>
      <c r="D52" s="90"/>
      <c r="E52" s="90"/>
      <c r="F52" s="90"/>
      <c r="G52" s="90"/>
      <c r="H52" s="128"/>
      <c r="I52" s="90"/>
      <c r="J52" s="90"/>
      <c r="K52" s="90"/>
      <c r="L52" s="128"/>
      <c r="M52" s="128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128"/>
      <c r="Y52" s="128"/>
      <c r="Z52" s="90"/>
      <c r="AA52" s="90"/>
      <c r="AB52" s="90"/>
      <c r="AC52" s="90"/>
      <c r="AD52" s="90"/>
      <c r="AE52" s="90"/>
      <c r="AF52" s="90"/>
      <c r="AG52" s="90"/>
      <c r="AH52" s="90"/>
    </row>
    <row r="53" spans="1:34" ht="15.75" customHeight="1" x14ac:dyDescent="0.2">
      <c r="A53" s="128"/>
      <c r="B53" s="90"/>
      <c r="C53" s="90"/>
      <c r="D53" s="90"/>
      <c r="E53" s="90"/>
      <c r="F53" s="90"/>
      <c r="G53" s="90"/>
      <c r="H53" s="128"/>
      <c r="I53" s="90"/>
      <c r="J53" s="90"/>
      <c r="K53" s="90"/>
      <c r="L53" s="128"/>
      <c r="M53" s="128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128"/>
      <c r="Y53" s="128"/>
      <c r="Z53" s="90"/>
      <c r="AA53" s="90"/>
      <c r="AB53" s="90"/>
      <c r="AC53" s="90"/>
      <c r="AD53" s="90"/>
      <c r="AE53" s="90"/>
      <c r="AF53" s="90"/>
      <c r="AG53" s="90"/>
      <c r="AH53" s="90"/>
    </row>
    <row r="54" spans="1:34" ht="15.75" customHeight="1" x14ac:dyDescent="0.2">
      <c r="A54" s="128"/>
      <c r="B54" s="90"/>
      <c r="C54" s="90"/>
      <c r="D54" s="90"/>
      <c r="E54" s="90"/>
      <c r="F54" s="90"/>
      <c r="G54" s="90"/>
      <c r="H54" s="128"/>
      <c r="I54" s="90"/>
      <c r="J54" s="90"/>
      <c r="K54" s="90"/>
      <c r="L54" s="128"/>
      <c r="M54" s="128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128"/>
      <c r="Y54" s="128"/>
      <c r="Z54" s="90"/>
      <c r="AA54" s="90"/>
      <c r="AB54" s="90"/>
      <c r="AC54" s="90"/>
      <c r="AD54" s="90"/>
      <c r="AE54" s="90"/>
      <c r="AF54" s="90"/>
      <c r="AG54" s="90"/>
      <c r="AH54" s="90"/>
    </row>
    <row r="55" spans="1:34" ht="15.75" customHeight="1" x14ac:dyDescent="0.2">
      <c r="A55" s="128"/>
      <c r="B55" s="90"/>
      <c r="C55" s="90"/>
      <c r="D55" s="90"/>
      <c r="E55" s="90"/>
      <c r="F55" s="90"/>
      <c r="G55" s="90"/>
      <c r="H55" s="128"/>
      <c r="I55" s="90"/>
      <c r="J55" s="90"/>
      <c r="K55" s="90"/>
      <c r="L55" s="128"/>
      <c r="M55" s="128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128"/>
      <c r="Y55" s="128"/>
      <c r="Z55" s="90"/>
      <c r="AA55" s="90"/>
      <c r="AB55" s="90"/>
      <c r="AC55" s="90"/>
      <c r="AD55" s="90"/>
      <c r="AE55" s="90"/>
      <c r="AF55" s="90"/>
      <c r="AG55" s="90"/>
      <c r="AH55" s="90"/>
    </row>
    <row r="56" spans="1:34" ht="15.75" customHeight="1" x14ac:dyDescent="0.2">
      <c r="A56" s="128"/>
      <c r="B56" s="90"/>
      <c r="C56" s="90"/>
      <c r="D56" s="90"/>
      <c r="E56" s="90"/>
      <c r="F56" s="90"/>
      <c r="G56" s="90"/>
      <c r="H56" s="128"/>
      <c r="I56" s="90"/>
      <c r="J56" s="90"/>
      <c r="K56" s="90"/>
      <c r="L56" s="128"/>
      <c r="M56" s="128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128"/>
      <c r="Y56" s="128"/>
      <c r="Z56" s="90"/>
      <c r="AA56" s="90"/>
      <c r="AB56" s="90"/>
      <c r="AC56" s="90"/>
      <c r="AD56" s="90"/>
      <c r="AE56" s="90"/>
      <c r="AF56" s="90"/>
      <c r="AG56" s="90"/>
      <c r="AH56" s="90"/>
    </row>
    <row r="57" spans="1:34" ht="15.75" customHeight="1" x14ac:dyDescent="0.2">
      <c r="A57" s="128"/>
      <c r="B57" s="90"/>
      <c r="C57" s="90"/>
      <c r="D57" s="90"/>
      <c r="E57" s="90"/>
      <c r="F57" s="90"/>
      <c r="G57" s="90"/>
      <c r="H57" s="128"/>
      <c r="I57" s="90"/>
      <c r="J57" s="90"/>
      <c r="K57" s="90"/>
      <c r="L57" s="128"/>
      <c r="M57" s="128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128"/>
      <c r="Y57" s="128"/>
      <c r="Z57" s="90"/>
      <c r="AA57" s="90"/>
      <c r="AB57" s="90"/>
      <c r="AC57" s="90"/>
      <c r="AD57" s="90"/>
      <c r="AE57" s="90"/>
      <c r="AF57" s="90"/>
      <c r="AG57" s="90"/>
      <c r="AH57" s="90"/>
    </row>
    <row r="58" spans="1:34" ht="15.75" customHeight="1" x14ac:dyDescent="0.2">
      <c r="A58" s="128"/>
      <c r="B58" s="90"/>
      <c r="C58" s="90"/>
      <c r="D58" s="90"/>
      <c r="E58" s="90"/>
      <c r="F58" s="90"/>
      <c r="G58" s="90"/>
      <c r="H58" s="128"/>
      <c r="I58" s="90"/>
      <c r="J58" s="90"/>
      <c r="K58" s="90"/>
      <c r="L58" s="128"/>
      <c r="M58" s="128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128"/>
      <c r="Y58" s="128"/>
      <c r="Z58" s="90"/>
      <c r="AA58" s="90"/>
      <c r="AB58" s="90"/>
      <c r="AC58" s="90"/>
      <c r="AD58" s="90"/>
      <c r="AE58" s="90"/>
      <c r="AF58" s="90"/>
      <c r="AG58" s="90"/>
      <c r="AH58" s="90"/>
    </row>
    <row r="59" spans="1:34" ht="15.75" customHeight="1" x14ac:dyDescent="0.2">
      <c r="A59" s="128"/>
      <c r="B59" s="90"/>
      <c r="C59" s="90"/>
      <c r="D59" s="90"/>
      <c r="E59" s="90"/>
      <c r="F59" s="90"/>
      <c r="G59" s="90"/>
      <c r="H59" s="128"/>
      <c r="I59" s="90"/>
      <c r="J59" s="90"/>
      <c r="K59" s="90"/>
      <c r="L59" s="128"/>
      <c r="M59" s="128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128"/>
      <c r="Y59" s="128"/>
      <c r="Z59" s="90"/>
      <c r="AA59" s="90"/>
      <c r="AB59" s="90"/>
      <c r="AC59" s="90"/>
      <c r="AD59" s="90"/>
      <c r="AE59" s="90"/>
      <c r="AF59" s="90"/>
      <c r="AG59" s="90"/>
      <c r="AH59" s="90"/>
    </row>
    <row r="60" spans="1:34" ht="15.75" customHeight="1" x14ac:dyDescent="0.2">
      <c r="A60" s="128"/>
      <c r="B60" s="90"/>
      <c r="C60" s="90"/>
      <c r="D60" s="90"/>
      <c r="E60" s="90"/>
      <c r="F60" s="90"/>
      <c r="G60" s="90"/>
      <c r="H60" s="128"/>
      <c r="I60" s="90"/>
      <c r="J60" s="90"/>
      <c r="K60" s="90"/>
      <c r="L60" s="128"/>
      <c r="M60" s="128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128"/>
      <c r="Y60" s="128"/>
      <c r="Z60" s="90"/>
      <c r="AA60" s="90"/>
      <c r="AB60" s="90"/>
      <c r="AC60" s="90"/>
      <c r="AD60" s="90"/>
      <c r="AE60" s="90"/>
      <c r="AF60" s="90"/>
      <c r="AG60" s="90"/>
      <c r="AH60" s="90"/>
    </row>
    <row r="61" spans="1:34" ht="15.75" customHeight="1" x14ac:dyDescent="0.2">
      <c r="A61" s="128"/>
      <c r="B61" s="90"/>
      <c r="C61" s="90"/>
      <c r="D61" s="90"/>
      <c r="E61" s="90"/>
      <c r="F61" s="90"/>
      <c r="G61" s="90"/>
      <c r="H61" s="128"/>
      <c r="I61" s="90"/>
      <c r="J61" s="90"/>
      <c r="K61" s="90"/>
      <c r="L61" s="128"/>
      <c r="M61" s="128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128"/>
      <c r="Y61" s="128"/>
      <c r="Z61" s="90"/>
      <c r="AA61" s="90"/>
      <c r="AB61" s="90"/>
      <c r="AC61" s="90"/>
      <c r="AD61" s="90"/>
      <c r="AE61" s="90"/>
      <c r="AF61" s="90"/>
      <c r="AG61" s="90"/>
      <c r="AH61" s="90"/>
    </row>
    <row r="62" spans="1:34" ht="15.75" customHeight="1" x14ac:dyDescent="0.2">
      <c r="A62" s="128"/>
      <c r="B62" s="90"/>
      <c r="C62" s="90"/>
      <c r="D62" s="90"/>
      <c r="E62" s="90"/>
      <c r="F62" s="90"/>
      <c r="G62" s="90"/>
      <c r="H62" s="128"/>
      <c r="I62" s="90"/>
      <c r="J62" s="90"/>
      <c r="K62" s="90"/>
      <c r="L62" s="128"/>
      <c r="M62" s="128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128"/>
      <c r="Y62" s="128"/>
      <c r="Z62" s="90"/>
      <c r="AA62" s="90"/>
      <c r="AB62" s="90"/>
      <c r="AC62" s="90"/>
      <c r="AD62" s="90"/>
      <c r="AE62" s="90"/>
      <c r="AF62" s="90"/>
      <c r="AG62" s="90"/>
      <c r="AH62" s="90"/>
    </row>
    <row r="63" spans="1:34" ht="15.75" customHeight="1" x14ac:dyDescent="0.2">
      <c r="A63" s="128"/>
      <c r="B63" s="90"/>
      <c r="C63" s="90"/>
      <c r="D63" s="90"/>
      <c r="E63" s="90"/>
      <c r="F63" s="90"/>
      <c r="G63" s="90"/>
      <c r="H63" s="128"/>
      <c r="I63" s="90"/>
      <c r="J63" s="90"/>
      <c r="K63" s="90"/>
      <c r="L63" s="128"/>
      <c r="M63" s="128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128"/>
      <c r="Y63" s="128"/>
      <c r="Z63" s="90"/>
      <c r="AA63" s="90"/>
      <c r="AB63" s="90"/>
      <c r="AC63" s="90"/>
      <c r="AD63" s="90"/>
      <c r="AE63" s="90"/>
      <c r="AF63" s="90"/>
      <c r="AG63" s="90"/>
      <c r="AH63" s="90"/>
    </row>
    <row r="64" spans="1:34" ht="15.75" customHeight="1" x14ac:dyDescent="0.2">
      <c r="A64" s="128"/>
      <c r="B64" s="90"/>
      <c r="C64" s="90"/>
      <c r="D64" s="90"/>
      <c r="E64" s="90"/>
      <c r="F64" s="90"/>
      <c r="G64" s="90"/>
      <c r="H64" s="128"/>
      <c r="I64" s="90"/>
      <c r="J64" s="90"/>
      <c r="K64" s="90"/>
      <c r="L64" s="128"/>
      <c r="M64" s="128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128"/>
      <c r="Y64" s="128"/>
      <c r="Z64" s="90"/>
      <c r="AA64" s="90"/>
      <c r="AB64" s="90"/>
      <c r="AC64" s="90"/>
      <c r="AD64" s="90"/>
      <c r="AE64" s="90"/>
      <c r="AF64" s="90"/>
      <c r="AG64" s="90"/>
      <c r="AH64" s="90"/>
    </row>
    <row r="65" spans="1:34" ht="15.75" customHeight="1" x14ac:dyDescent="0.2">
      <c r="A65" s="128"/>
      <c r="B65" s="90"/>
      <c r="C65" s="90"/>
      <c r="D65" s="90"/>
      <c r="E65" s="90"/>
      <c r="F65" s="90"/>
      <c r="G65" s="90"/>
      <c r="H65" s="128"/>
      <c r="I65" s="90"/>
      <c r="J65" s="90"/>
      <c r="K65" s="90"/>
      <c r="L65" s="128"/>
      <c r="M65" s="128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128"/>
      <c r="Y65" s="128"/>
      <c r="Z65" s="90"/>
      <c r="AA65" s="90"/>
      <c r="AB65" s="90"/>
      <c r="AC65" s="90"/>
      <c r="AD65" s="90"/>
      <c r="AE65" s="90"/>
      <c r="AF65" s="90"/>
      <c r="AG65" s="90"/>
      <c r="AH65" s="90"/>
    </row>
    <row r="66" spans="1:34" ht="15.75" customHeight="1" x14ac:dyDescent="0.2">
      <c r="A66" s="128"/>
      <c r="B66" s="90"/>
      <c r="C66" s="90"/>
      <c r="D66" s="90"/>
      <c r="E66" s="90"/>
      <c r="F66" s="90"/>
      <c r="G66" s="90"/>
      <c r="H66" s="128"/>
      <c r="I66" s="90"/>
      <c r="J66" s="90"/>
      <c r="K66" s="90"/>
      <c r="L66" s="128"/>
      <c r="M66" s="128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128"/>
      <c r="Y66" s="128"/>
      <c r="Z66" s="90"/>
      <c r="AA66" s="90"/>
      <c r="AB66" s="90"/>
      <c r="AC66" s="90"/>
      <c r="AD66" s="90"/>
      <c r="AE66" s="90"/>
      <c r="AF66" s="90"/>
      <c r="AG66" s="90"/>
      <c r="AH66" s="90"/>
    </row>
    <row r="67" spans="1:34" ht="15.75" customHeight="1" x14ac:dyDescent="0.2">
      <c r="A67" s="128"/>
      <c r="B67" s="90"/>
      <c r="C67" s="90"/>
      <c r="D67" s="90"/>
      <c r="E67" s="90"/>
      <c r="F67" s="90"/>
      <c r="G67" s="90"/>
      <c r="H67" s="128"/>
      <c r="I67" s="90"/>
      <c r="J67" s="90"/>
      <c r="K67" s="90"/>
      <c r="L67" s="128"/>
      <c r="M67" s="128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128"/>
      <c r="Y67" s="128"/>
      <c r="Z67" s="90"/>
      <c r="AA67" s="90"/>
      <c r="AB67" s="90"/>
      <c r="AC67" s="90"/>
      <c r="AD67" s="90"/>
      <c r="AE67" s="90"/>
      <c r="AF67" s="90"/>
      <c r="AG67" s="90"/>
      <c r="AH67" s="90"/>
    </row>
    <row r="68" spans="1:34" ht="15.75" customHeight="1" x14ac:dyDescent="0.2">
      <c r="A68" s="128"/>
      <c r="B68" s="90"/>
      <c r="C68" s="90"/>
      <c r="D68" s="90"/>
      <c r="E68" s="90"/>
      <c r="F68" s="90"/>
      <c r="G68" s="90"/>
      <c r="H68" s="128"/>
      <c r="I68" s="90"/>
      <c r="J68" s="90"/>
      <c r="K68" s="90"/>
      <c r="L68" s="128"/>
      <c r="M68" s="128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128"/>
      <c r="Y68" s="128"/>
      <c r="Z68" s="90"/>
      <c r="AA68" s="90"/>
      <c r="AB68" s="90"/>
      <c r="AC68" s="90"/>
      <c r="AD68" s="90"/>
      <c r="AE68" s="90"/>
      <c r="AF68" s="90"/>
      <c r="AG68" s="90"/>
      <c r="AH68" s="90"/>
    </row>
    <row r="69" spans="1:34" ht="15.75" customHeight="1" x14ac:dyDescent="0.2">
      <c r="A69" s="128"/>
      <c r="B69" s="90"/>
      <c r="C69" s="90"/>
      <c r="D69" s="90"/>
      <c r="E69" s="90"/>
      <c r="F69" s="90"/>
      <c r="G69" s="90"/>
      <c r="H69" s="128"/>
      <c r="I69" s="90"/>
      <c r="J69" s="90"/>
      <c r="K69" s="90"/>
      <c r="L69" s="128"/>
      <c r="M69" s="128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128"/>
      <c r="Y69" s="128"/>
      <c r="Z69" s="90"/>
      <c r="AA69" s="90"/>
      <c r="AB69" s="90"/>
      <c r="AC69" s="90"/>
      <c r="AD69" s="90"/>
      <c r="AE69" s="90"/>
      <c r="AF69" s="90"/>
      <c r="AG69" s="90"/>
      <c r="AH69" s="90"/>
    </row>
    <row r="70" spans="1:34" ht="15.75" customHeight="1" x14ac:dyDescent="0.2">
      <c r="A70" s="128"/>
      <c r="B70" s="90"/>
      <c r="C70" s="90"/>
      <c r="D70" s="90"/>
      <c r="E70" s="90"/>
      <c r="F70" s="90"/>
      <c r="G70" s="90"/>
      <c r="H70" s="128"/>
      <c r="I70" s="90"/>
      <c r="J70" s="90"/>
      <c r="K70" s="90"/>
      <c r="L70" s="128"/>
      <c r="M70" s="128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128"/>
      <c r="Y70" s="128"/>
      <c r="Z70" s="90"/>
      <c r="AA70" s="90"/>
      <c r="AB70" s="90"/>
      <c r="AC70" s="90"/>
      <c r="AD70" s="90"/>
      <c r="AE70" s="90"/>
      <c r="AF70" s="90"/>
      <c r="AG70" s="90"/>
      <c r="AH70" s="90"/>
    </row>
    <row r="71" spans="1:34" ht="15.75" customHeight="1" x14ac:dyDescent="0.2">
      <c r="A71" s="128"/>
      <c r="B71" s="90"/>
      <c r="C71" s="90"/>
      <c r="D71" s="90"/>
      <c r="E71" s="90"/>
      <c r="F71" s="90"/>
      <c r="G71" s="90"/>
      <c r="H71" s="128"/>
      <c r="I71" s="90"/>
      <c r="J71" s="90"/>
      <c r="K71" s="90"/>
      <c r="L71" s="128"/>
      <c r="M71" s="128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128"/>
      <c r="Y71" s="128"/>
      <c r="Z71" s="90"/>
      <c r="AA71" s="90"/>
      <c r="AB71" s="90"/>
      <c r="AC71" s="90"/>
      <c r="AD71" s="90"/>
      <c r="AE71" s="90"/>
      <c r="AF71" s="90"/>
      <c r="AG71" s="90"/>
      <c r="AH71" s="90"/>
    </row>
    <row r="72" spans="1:34" ht="15.75" customHeight="1" x14ac:dyDescent="0.2">
      <c r="A72" s="128"/>
      <c r="B72" s="90"/>
      <c r="C72" s="90"/>
      <c r="D72" s="90"/>
      <c r="E72" s="90"/>
      <c r="F72" s="90"/>
      <c r="G72" s="90"/>
      <c r="H72" s="128"/>
      <c r="I72" s="90"/>
      <c r="J72" s="90"/>
      <c r="K72" s="90"/>
      <c r="L72" s="128"/>
      <c r="M72" s="128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128"/>
      <c r="Y72" s="128"/>
      <c r="Z72" s="90"/>
      <c r="AA72" s="90"/>
      <c r="AB72" s="90"/>
      <c r="AC72" s="90"/>
      <c r="AD72" s="90"/>
      <c r="AE72" s="90"/>
      <c r="AF72" s="90"/>
      <c r="AG72" s="90"/>
      <c r="AH72" s="90"/>
    </row>
    <row r="73" spans="1:34" ht="15.75" customHeight="1" x14ac:dyDescent="0.2">
      <c r="A73" s="128"/>
      <c r="B73" s="90"/>
      <c r="C73" s="90"/>
      <c r="D73" s="90"/>
      <c r="E73" s="90"/>
      <c r="F73" s="90"/>
      <c r="G73" s="90"/>
      <c r="H73" s="128"/>
      <c r="I73" s="90"/>
      <c r="J73" s="90"/>
      <c r="K73" s="90"/>
      <c r="L73" s="128"/>
      <c r="M73" s="128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128"/>
      <c r="Y73" s="128"/>
      <c r="Z73" s="90"/>
      <c r="AA73" s="90"/>
      <c r="AB73" s="90"/>
      <c r="AC73" s="90"/>
      <c r="AD73" s="90"/>
      <c r="AE73" s="90"/>
      <c r="AF73" s="90"/>
      <c r="AG73" s="90"/>
      <c r="AH73" s="90"/>
    </row>
    <row r="74" spans="1:34" ht="15.75" customHeight="1" x14ac:dyDescent="0.2">
      <c r="A74" s="128"/>
      <c r="B74" s="90"/>
      <c r="C74" s="90"/>
      <c r="D74" s="90"/>
      <c r="E74" s="90"/>
      <c r="F74" s="90"/>
      <c r="G74" s="90"/>
      <c r="H74" s="128"/>
      <c r="I74" s="90"/>
      <c r="J74" s="90"/>
      <c r="K74" s="90"/>
      <c r="L74" s="128"/>
      <c r="M74" s="128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128"/>
      <c r="Y74" s="128"/>
      <c r="Z74" s="90"/>
      <c r="AA74" s="90"/>
      <c r="AB74" s="90"/>
      <c r="AC74" s="90"/>
      <c r="AD74" s="90"/>
      <c r="AE74" s="90"/>
      <c r="AF74" s="90"/>
      <c r="AG74" s="90"/>
      <c r="AH74" s="90"/>
    </row>
    <row r="75" spans="1:34" ht="15.75" customHeight="1" x14ac:dyDescent="0.2">
      <c r="A75" s="128"/>
      <c r="B75" s="90"/>
      <c r="C75" s="90"/>
      <c r="D75" s="90"/>
      <c r="E75" s="90"/>
      <c r="F75" s="90"/>
      <c r="G75" s="90"/>
      <c r="H75" s="128"/>
      <c r="I75" s="90"/>
      <c r="J75" s="90"/>
      <c r="K75" s="90"/>
      <c r="L75" s="128"/>
      <c r="M75" s="128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128"/>
      <c r="Y75" s="128"/>
      <c r="Z75" s="90"/>
      <c r="AA75" s="90"/>
      <c r="AB75" s="90"/>
      <c r="AC75" s="90"/>
      <c r="AD75" s="90"/>
      <c r="AE75" s="90"/>
      <c r="AF75" s="90"/>
      <c r="AG75" s="90"/>
      <c r="AH75" s="90"/>
    </row>
    <row r="76" spans="1:34" ht="15.75" customHeight="1" x14ac:dyDescent="0.2">
      <c r="A76" s="128"/>
      <c r="B76" s="90"/>
      <c r="C76" s="90"/>
      <c r="D76" s="90"/>
      <c r="E76" s="90"/>
      <c r="F76" s="90"/>
      <c r="G76" s="90"/>
      <c r="H76" s="128"/>
      <c r="I76" s="90"/>
      <c r="J76" s="90"/>
      <c r="K76" s="90"/>
      <c r="L76" s="128"/>
      <c r="M76" s="128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128"/>
      <c r="Y76" s="128"/>
      <c r="Z76" s="90"/>
      <c r="AA76" s="90"/>
      <c r="AB76" s="90"/>
      <c r="AC76" s="90"/>
      <c r="AD76" s="90"/>
      <c r="AE76" s="90"/>
      <c r="AF76" s="90"/>
      <c r="AG76" s="90"/>
      <c r="AH76" s="90"/>
    </row>
    <row r="77" spans="1:34" ht="15.75" customHeight="1" x14ac:dyDescent="0.2">
      <c r="A77" s="128"/>
      <c r="B77" s="90"/>
      <c r="C77" s="90"/>
      <c r="D77" s="90"/>
      <c r="E77" s="90"/>
      <c r="F77" s="90"/>
      <c r="G77" s="90"/>
      <c r="H77" s="128"/>
      <c r="I77" s="90"/>
      <c r="J77" s="90"/>
      <c r="K77" s="90"/>
      <c r="L77" s="128"/>
      <c r="M77" s="128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128"/>
      <c r="Y77" s="128"/>
      <c r="Z77" s="90"/>
      <c r="AA77" s="90"/>
      <c r="AB77" s="90"/>
      <c r="AC77" s="90"/>
      <c r="AD77" s="90"/>
      <c r="AE77" s="90"/>
      <c r="AF77" s="90"/>
      <c r="AG77" s="90"/>
      <c r="AH77" s="90"/>
    </row>
    <row r="78" spans="1:34" ht="15.75" customHeight="1" x14ac:dyDescent="0.2">
      <c r="A78" s="128"/>
      <c r="B78" s="90"/>
      <c r="C78" s="90"/>
      <c r="D78" s="90"/>
      <c r="E78" s="90"/>
      <c r="F78" s="90"/>
      <c r="G78" s="90"/>
      <c r="H78" s="128"/>
      <c r="I78" s="90"/>
      <c r="J78" s="90"/>
      <c r="K78" s="90"/>
      <c r="L78" s="128"/>
      <c r="M78" s="128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128"/>
      <c r="Y78" s="128"/>
      <c r="Z78" s="90"/>
      <c r="AA78" s="90"/>
      <c r="AB78" s="90"/>
      <c r="AC78" s="90"/>
      <c r="AD78" s="90"/>
      <c r="AE78" s="90"/>
      <c r="AF78" s="90"/>
      <c r="AG78" s="90"/>
      <c r="AH78" s="90"/>
    </row>
    <row r="79" spans="1:34" ht="15.75" customHeight="1" x14ac:dyDescent="0.2">
      <c r="A79" s="128"/>
      <c r="B79" s="90"/>
      <c r="C79" s="90"/>
      <c r="D79" s="90"/>
      <c r="E79" s="90"/>
      <c r="F79" s="90"/>
      <c r="G79" s="90"/>
      <c r="H79" s="128"/>
      <c r="I79" s="90"/>
      <c r="J79" s="90"/>
      <c r="K79" s="90"/>
      <c r="L79" s="128"/>
      <c r="M79" s="128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128"/>
      <c r="Y79" s="128"/>
      <c r="Z79" s="90"/>
      <c r="AA79" s="90"/>
      <c r="AB79" s="90"/>
      <c r="AC79" s="90"/>
      <c r="AD79" s="90"/>
      <c r="AE79" s="90"/>
      <c r="AF79" s="90"/>
      <c r="AG79" s="90"/>
      <c r="AH79" s="90"/>
    </row>
    <row r="80" spans="1:34" ht="15.75" customHeight="1" x14ac:dyDescent="0.2">
      <c r="A80" s="128"/>
      <c r="B80" s="90"/>
      <c r="C80" s="90"/>
      <c r="D80" s="90"/>
      <c r="E80" s="90"/>
      <c r="F80" s="90"/>
      <c r="G80" s="90"/>
      <c r="H80" s="128"/>
      <c r="I80" s="90"/>
      <c r="J80" s="90"/>
      <c r="K80" s="90"/>
      <c r="L80" s="128"/>
      <c r="M80" s="128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128"/>
      <c r="Y80" s="128"/>
      <c r="Z80" s="90"/>
      <c r="AA80" s="90"/>
      <c r="AB80" s="90"/>
      <c r="AC80" s="90"/>
      <c r="AD80" s="90"/>
      <c r="AE80" s="90"/>
      <c r="AF80" s="90"/>
      <c r="AG80" s="90"/>
      <c r="AH80" s="90"/>
    </row>
    <row r="81" spans="1:34" ht="15.75" customHeight="1" x14ac:dyDescent="0.2">
      <c r="A81" s="128"/>
      <c r="B81" s="90"/>
      <c r="C81" s="90"/>
      <c r="D81" s="90"/>
      <c r="E81" s="90"/>
      <c r="F81" s="90"/>
      <c r="G81" s="90"/>
      <c r="H81" s="128"/>
      <c r="I81" s="90"/>
      <c r="J81" s="90"/>
      <c r="K81" s="90"/>
      <c r="L81" s="128"/>
      <c r="M81" s="128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128"/>
      <c r="Y81" s="128"/>
      <c r="Z81" s="90"/>
      <c r="AA81" s="90"/>
      <c r="AB81" s="90"/>
      <c r="AC81" s="90"/>
      <c r="AD81" s="90"/>
      <c r="AE81" s="90"/>
      <c r="AF81" s="90"/>
      <c r="AG81" s="90"/>
      <c r="AH81" s="90"/>
    </row>
    <row r="82" spans="1:34" ht="15.75" customHeight="1" x14ac:dyDescent="0.2">
      <c r="A82" s="128"/>
      <c r="B82" s="90"/>
      <c r="C82" s="90"/>
      <c r="D82" s="90"/>
      <c r="E82" s="90"/>
      <c r="F82" s="90"/>
      <c r="G82" s="90"/>
      <c r="H82" s="128"/>
      <c r="I82" s="90"/>
      <c r="J82" s="90"/>
      <c r="K82" s="90"/>
      <c r="L82" s="128"/>
      <c r="M82" s="128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128"/>
      <c r="Y82" s="128"/>
      <c r="Z82" s="90"/>
      <c r="AA82" s="90"/>
      <c r="AB82" s="90"/>
      <c r="AC82" s="90"/>
      <c r="AD82" s="90"/>
      <c r="AE82" s="90"/>
      <c r="AF82" s="90"/>
      <c r="AG82" s="90"/>
      <c r="AH82" s="90"/>
    </row>
    <row r="83" spans="1:34" ht="15.75" customHeight="1" x14ac:dyDescent="0.2">
      <c r="A83" s="128"/>
      <c r="B83" s="90"/>
      <c r="C83" s="90"/>
      <c r="D83" s="90"/>
      <c r="E83" s="90"/>
      <c r="F83" s="90"/>
      <c r="G83" s="90"/>
      <c r="H83" s="128"/>
      <c r="I83" s="90"/>
      <c r="J83" s="90"/>
      <c r="K83" s="90"/>
      <c r="L83" s="128"/>
      <c r="M83" s="128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128"/>
      <c r="Y83" s="128"/>
      <c r="Z83" s="90"/>
      <c r="AA83" s="90"/>
      <c r="AB83" s="90"/>
      <c r="AC83" s="90"/>
      <c r="AD83" s="90"/>
      <c r="AE83" s="90"/>
      <c r="AF83" s="90"/>
      <c r="AG83" s="90"/>
      <c r="AH83" s="90"/>
    </row>
    <row r="84" spans="1:34" ht="15.75" customHeight="1" x14ac:dyDescent="0.2">
      <c r="A84" s="128"/>
      <c r="B84" s="90"/>
      <c r="C84" s="90"/>
      <c r="D84" s="90"/>
      <c r="E84" s="90"/>
      <c r="F84" s="90"/>
      <c r="G84" s="90"/>
      <c r="H84" s="128"/>
      <c r="I84" s="90"/>
      <c r="J84" s="90"/>
      <c r="K84" s="90"/>
      <c r="L84" s="128"/>
      <c r="M84" s="128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128"/>
      <c r="Y84" s="128"/>
      <c r="Z84" s="90"/>
      <c r="AA84" s="90"/>
      <c r="AB84" s="90"/>
      <c r="AC84" s="90"/>
      <c r="AD84" s="90"/>
      <c r="AE84" s="90"/>
      <c r="AF84" s="90"/>
      <c r="AG84" s="90"/>
      <c r="AH84" s="90"/>
    </row>
    <row r="85" spans="1:34" ht="15.75" customHeight="1" x14ac:dyDescent="0.2">
      <c r="A85" s="128"/>
      <c r="B85" s="90"/>
      <c r="C85" s="90"/>
      <c r="D85" s="90"/>
      <c r="E85" s="90"/>
      <c r="F85" s="90"/>
      <c r="G85" s="90"/>
      <c r="H85" s="128"/>
      <c r="I85" s="90"/>
      <c r="J85" s="90"/>
      <c r="K85" s="90"/>
      <c r="L85" s="128"/>
      <c r="M85" s="128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128"/>
      <c r="Y85" s="128"/>
      <c r="Z85" s="90"/>
      <c r="AA85" s="90"/>
      <c r="AB85" s="90"/>
      <c r="AC85" s="90"/>
      <c r="AD85" s="90"/>
      <c r="AE85" s="90"/>
      <c r="AF85" s="90"/>
      <c r="AG85" s="90"/>
      <c r="AH85" s="90"/>
    </row>
    <row r="86" spans="1:34" ht="15.75" customHeight="1" x14ac:dyDescent="0.2">
      <c r="A86" s="128"/>
      <c r="B86" s="90"/>
      <c r="C86" s="90"/>
      <c r="D86" s="90"/>
      <c r="E86" s="90"/>
      <c r="F86" s="90"/>
      <c r="G86" s="90"/>
      <c r="H86" s="128"/>
      <c r="I86" s="90"/>
      <c r="J86" s="90"/>
      <c r="K86" s="90"/>
      <c r="L86" s="128"/>
      <c r="M86" s="128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128"/>
      <c r="Y86" s="128"/>
      <c r="Z86" s="90"/>
      <c r="AA86" s="90"/>
      <c r="AB86" s="90"/>
      <c r="AC86" s="90"/>
      <c r="AD86" s="90"/>
      <c r="AE86" s="90"/>
      <c r="AF86" s="90"/>
      <c r="AG86" s="90"/>
      <c r="AH86" s="90"/>
    </row>
    <row r="87" spans="1:34" ht="15.75" customHeight="1" x14ac:dyDescent="0.2">
      <c r="A87" s="128"/>
      <c r="B87" s="90"/>
      <c r="C87" s="90"/>
      <c r="D87" s="90"/>
      <c r="E87" s="90"/>
      <c r="F87" s="90"/>
      <c r="G87" s="90"/>
      <c r="H87" s="128"/>
      <c r="I87" s="90"/>
      <c r="J87" s="90"/>
      <c r="K87" s="90"/>
      <c r="L87" s="128"/>
      <c r="M87" s="128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128"/>
      <c r="Y87" s="128"/>
      <c r="Z87" s="90"/>
      <c r="AA87" s="90"/>
      <c r="AB87" s="90"/>
      <c r="AC87" s="90"/>
      <c r="AD87" s="90"/>
      <c r="AE87" s="90"/>
      <c r="AF87" s="90"/>
      <c r="AG87" s="90"/>
      <c r="AH87" s="90"/>
    </row>
    <row r="88" spans="1:34" ht="15.75" customHeight="1" x14ac:dyDescent="0.2">
      <c r="A88" s="128"/>
      <c r="B88" s="90"/>
      <c r="C88" s="90"/>
      <c r="D88" s="90"/>
      <c r="E88" s="90"/>
      <c r="F88" s="90"/>
      <c r="G88" s="90"/>
      <c r="H88" s="128"/>
      <c r="I88" s="90"/>
      <c r="J88" s="90"/>
      <c r="K88" s="90"/>
      <c r="L88" s="128"/>
      <c r="M88" s="128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128"/>
      <c r="Y88" s="128"/>
      <c r="Z88" s="90"/>
      <c r="AA88" s="90"/>
      <c r="AB88" s="90"/>
      <c r="AC88" s="90"/>
      <c r="AD88" s="90"/>
      <c r="AE88" s="90"/>
      <c r="AF88" s="90"/>
      <c r="AG88" s="90"/>
      <c r="AH88" s="90"/>
    </row>
    <row r="89" spans="1:34" ht="15.75" customHeight="1" x14ac:dyDescent="0.2">
      <c r="A89" s="128"/>
      <c r="B89" s="90"/>
      <c r="C89" s="90"/>
      <c r="D89" s="90"/>
      <c r="E89" s="90"/>
      <c r="F89" s="90"/>
      <c r="G89" s="90"/>
      <c r="H89" s="128"/>
      <c r="I89" s="90"/>
      <c r="J89" s="90"/>
      <c r="K89" s="90"/>
      <c r="L89" s="128"/>
      <c r="M89" s="128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128"/>
      <c r="Y89" s="128"/>
      <c r="Z89" s="90"/>
      <c r="AA89" s="90"/>
      <c r="AB89" s="90"/>
      <c r="AC89" s="90"/>
      <c r="AD89" s="90"/>
      <c r="AE89" s="90"/>
      <c r="AF89" s="90"/>
      <c r="AG89" s="90"/>
      <c r="AH89" s="90"/>
    </row>
    <row r="90" spans="1:34" ht="15.75" customHeight="1" x14ac:dyDescent="0.2">
      <c r="A90" s="128"/>
      <c r="B90" s="90"/>
      <c r="C90" s="90"/>
      <c r="D90" s="90"/>
      <c r="E90" s="90"/>
      <c r="F90" s="90"/>
      <c r="G90" s="90"/>
      <c r="H90" s="128"/>
      <c r="I90" s="90"/>
      <c r="J90" s="90"/>
      <c r="K90" s="90"/>
      <c r="L90" s="128"/>
      <c r="M90" s="128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128"/>
      <c r="Y90" s="128"/>
      <c r="Z90" s="90"/>
      <c r="AA90" s="90"/>
      <c r="AB90" s="90"/>
      <c r="AC90" s="90"/>
      <c r="AD90" s="90"/>
      <c r="AE90" s="90"/>
      <c r="AF90" s="90"/>
      <c r="AG90" s="90"/>
      <c r="AH90" s="90"/>
    </row>
    <row r="91" spans="1:34" ht="15.75" customHeight="1" x14ac:dyDescent="0.2">
      <c r="A91" s="128"/>
      <c r="B91" s="90"/>
      <c r="C91" s="90"/>
      <c r="D91" s="90"/>
      <c r="E91" s="90"/>
      <c r="F91" s="90"/>
      <c r="G91" s="90"/>
      <c r="H91" s="128"/>
      <c r="I91" s="90"/>
      <c r="J91" s="90"/>
      <c r="K91" s="90"/>
      <c r="L91" s="128"/>
      <c r="M91" s="128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128"/>
      <c r="Y91" s="128"/>
      <c r="Z91" s="90"/>
      <c r="AA91" s="90"/>
      <c r="AB91" s="90"/>
      <c r="AC91" s="90"/>
      <c r="AD91" s="90"/>
      <c r="AE91" s="90"/>
      <c r="AF91" s="90"/>
      <c r="AG91" s="90"/>
      <c r="AH91" s="90"/>
    </row>
    <row r="92" spans="1:34" ht="15.75" customHeight="1" x14ac:dyDescent="0.2">
      <c r="A92" s="128"/>
      <c r="B92" s="90"/>
      <c r="C92" s="90"/>
      <c r="D92" s="90"/>
      <c r="E92" s="90"/>
      <c r="F92" s="90"/>
      <c r="G92" s="90"/>
      <c r="H92" s="128"/>
      <c r="I92" s="90"/>
      <c r="J92" s="90"/>
      <c r="K92" s="90"/>
      <c r="L92" s="128"/>
      <c r="M92" s="128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128"/>
      <c r="Y92" s="128"/>
      <c r="Z92" s="90"/>
      <c r="AA92" s="90"/>
      <c r="AB92" s="90"/>
      <c r="AC92" s="90"/>
      <c r="AD92" s="90"/>
      <c r="AE92" s="90"/>
      <c r="AF92" s="90"/>
      <c r="AG92" s="90"/>
      <c r="AH92" s="90"/>
    </row>
    <row r="93" spans="1:34" ht="15.75" customHeight="1" x14ac:dyDescent="0.2">
      <c r="A93" s="128"/>
      <c r="B93" s="90"/>
      <c r="C93" s="90"/>
      <c r="D93" s="90"/>
      <c r="E93" s="90"/>
      <c r="F93" s="90"/>
      <c r="G93" s="90"/>
      <c r="H93" s="128"/>
      <c r="I93" s="90"/>
      <c r="J93" s="90"/>
      <c r="K93" s="90"/>
      <c r="L93" s="128"/>
      <c r="M93" s="128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128"/>
      <c r="Y93" s="128"/>
      <c r="Z93" s="90"/>
      <c r="AA93" s="90"/>
      <c r="AB93" s="90"/>
      <c r="AC93" s="90"/>
      <c r="AD93" s="90"/>
      <c r="AE93" s="90"/>
      <c r="AF93" s="90"/>
      <c r="AG93" s="90"/>
      <c r="AH93" s="90"/>
    </row>
    <row r="94" spans="1:34" ht="15.75" customHeight="1" x14ac:dyDescent="0.2">
      <c r="A94" s="128"/>
      <c r="B94" s="90"/>
      <c r="C94" s="90"/>
      <c r="D94" s="90"/>
      <c r="E94" s="90"/>
      <c r="F94" s="90"/>
      <c r="G94" s="90"/>
      <c r="H94" s="128"/>
      <c r="I94" s="90"/>
      <c r="J94" s="90"/>
      <c r="K94" s="90"/>
      <c r="L94" s="128"/>
      <c r="M94" s="128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128"/>
      <c r="Y94" s="128"/>
      <c r="Z94" s="90"/>
      <c r="AA94" s="90"/>
      <c r="AB94" s="90"/>
      <c r="AC94" s="90"/>
      <c r="AD94" s="90"/>
      <c r="AE94" s="90"/>
      <c r="AF94" s="90"/>
      <c r="AG94" s="90"/>
      <c r="AH94" s="90"/>
    </row>
    <row r="95" spans="1:34" ht="15.75" customHeight="1" x14ac:dyDescent="0.2">
      <c r="A95" s="128"/>
      <c r="B95" s="90"/>
      <c r="C95" s="90"/>
      <c r="D95" s="90"/>
      <c r="E95" s="90"/>
      <c r="F95" s="90"/>
      <c r="G95" s="90"/>
      <c r="H95" s="128"/>
      <c r="I95" s="90"/>
      <c r="J95" s="90"/>
      <c r="K95" s="90"/>
      <c r="L95" s="128"/>
      <c r="M95" s="128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128"/>
      <c r="Y95" s="128"/>
      <c r="Z95" s="90"/>
      <c r="AA95" s="90"/>
      <c r="AB95" s="90"/>
      <c r="AC95" s="90"/>
      <c r="AD95" s="90"/>
      <c r="AE95" s="90"/>
      <c r="AF95" s="90"/>
      <c r="AG95" s="90"/>
      <c r="AH95" s="90"/>
    </row>
    <row r="96" spans="1:34" ht="15.75" customHeight="1" x14ac:dyDescent="0.2">
      <c r="A96" s="128"/>
      <c r="B96" s="90"/>
      <c r="C96" s="90"/>
      <c r="D96" s="90"/>
      <c r="E96" s="90"/>
      <c r="F96" s="90"/>
      <c r="G96" s="90"/>
      <c r="H96" s="128"/>
      <c r="I96" s="90"/>
      <c r="J96" s="90"/>
      <c r="K96" s="90"/>
      <c r="L96" s="128"/>
      <c r="M96" s="128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128"/>
      <c r="Y96" s="128"/>
      <c r="Z96" s="90"/>
      <c r="AA96" s="90"/>
      <c r="AB96" s="90"/>
      <c r="AC96" s="90"/>
      <c r="AD96" s="90"/>
      <c r="AE96" s="90"/>
      <c r="AF96" s="90"/>
      <c r="AG96" s="90"/>
      <c r="AH96" s="90"/>
    </row>
    <row r="97" spans="1:34" ht="15.75" customHeight="1" x14ac:dyDescent="0.2">
      <c r="A97" s="128"/>
      <c r="B97" s="90"/>
      <c r="C97" s="90"/>
      <c r="D97" s="90"/>
      <c r="E97" s="90"/>
      <c r="F97" s="90"/>
      <c r="G97" s="90"/>
      <c r="H97" s="128"/>
      <c r="I97" s="90"/>
      <c r="J97" s="90"/>
      <c r="K97" s="90"/>
      <c r="L97" s="128"/>
      <c r="M97" s="128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128"/>
      <c r="Y97" s="128"/>
      <c r="Z97" s="90"/>
      <c r="AA97" s="90"/>
      <c r="AB97" s="90"/>
      <c r="AC97" s="90"/>
      <c r="AD97" s="90"/>
      <c r="AE97" s="90"/>
      <c r="AF97" s="90"/>
      <c r="AG97" s="90"/>
      <c r="AH97" s="90"/>
    </row>
    <row r="98" spans="1:34" ht="15.75" customHeight="1" x14ac:dyDescent="0.2">
      <c r="A98" s="128"/>
      <c r="B98" s="90"/>
      <c r="C98" s="90"/>
      <c r="D98" s="90"/>
      <c r="E98" s="90"/>
      <c r="F98" s="90"/>
      <c r="G98" s="90"/>
      <c r="H98" s="128"/>
      <c r="I98" s="90"/>
      <c r="J98" s="90"/>
      <c r="K98" s="90"/>
      <c r="L98" s="128"/>
      <c r="M98" s="128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128"/>
      <c r="Y98" s="128"/>
      <c r="Z98" s="90"/>
      <c r="AA98" s="90"/>
      <c r="AB98" s="90"/>
      <c r="AC98" s="90"/>
      <c r="AD98" s="90"/>
      <c r="AE98" s="90"/>
      <c r="AF98" s="90"/>
      <c r="AG98" s="90"/>
      <c r="AH98" s="90"/>
    </row>
    <row r="99" spans="1:34" ht="15.75" customHeight="1" x14ac:dyDescent="0.2">
      <c r="A99" s="128"/>
      <c r="B99" s="90"/>
      <c r="C99" s="90"/>
      <c r="D99" s="90"/>
      <c r="E99" s="90"/>
      <c r="F99" s="90"/>
      <c r="G99" s="90"/>
      <c r="H99" s="128"/>
      <c r="I99" s="90"/>
      <c r="J99" s="90"/>
      <c r="K99" s="90"/>
      <c r="L99" s="128"/>
      <c r="M99" s="128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128"/>
      <c r="Y99" s="128"/>
      <c r="Z99" s="90"/>
      <c r="AA99" s="90"/>
      <c r="AB99" s="90"/>
      <c r="AC99" s="90"/>
      <c r="AD99" s="90"/>
      <c r="AE99" s="90"/>
      <c r="AF99" s="90"/>
      <c r="AG99" s="90"/>
      <c r="AH99" s="90"/>
    </row>
    <row r="100" spans="1:34" ht="15.75" customHeight="1" x14ac:dyDescent="0.2">
      <c r="A100" s="128"/>
      <c r="B100" s="90"/>
      <c r="C100" s="90"/>
      <c r="D100" s="90"/>
      <c r="E100" s="90"/>
      <c r="F100" s="90"/>
      <c r="G100" s="90"/>
      <c r="H100" s="128"/>
      <c r="I100" s="90"/>
      <c r="J100" s="90"/>
      <c r="K100" s="90"/>
      <c r="L100" s="128"/>
      <c r="M100" s="128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128"/>
      <c r="Y100" s="128"/>
      <c r="Z100" s="90"/>
      <c r="AA100" s="90"/>
      <c r="AB100" s="90"/>
      <c r="AC100" s="90"/>
      <c r="AD100" s="90"/>
      <c r="AE100" s="90"/>
      <c r="AF100" s="90"/>
      <c r="AG100" s="90"/>
      <c r="AH100" s="90"/>
    </row>
    <row r="101" spans="1:34" ht="15.75" customHeight="1" x14ac:dyDescent="0.2">
      <c r="A101" s="128"/>
      <c r="B101" s="90"/>
      <c r="C101" s="90"/>
      <c r="D101" s="90"/>
      <c r="E101" s="90"/>
      <c r="F101" s="90"/>
      <c r="G101" s="90"/>
      <c r="H101" s="128"/>
      <c r="I101" s="90"/>
      <c r="J101" s="90"/>
      <c r="K101" s="90"/>
      <c r="L101" s="128"/>
      <c r="M101" s="128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128"/>
      <c r="Y101" s="128"/>
      <c r="Z101" s="90"/>
      <c r="AA101" s="90"/>
      <c r="AB101" s="90"/>
      <c r="AC101" s="90"/>
      <c r="AD101" s="90"/>
      <c r="AE101" s="90"/>
      <c r="AF101" s="90"/>
      <c r="AG101" s="90"/>
      <c r="AH101" s="90"/>
    </row>
    <row r="102" spans="1:34" ht="15.75" customHeight="1" x14ac:dyDescent="0.2">
      <c r="A102" s="128"/>
      <c r="B102" s="90"/>
      <c r="C102" s="90"/>
      <c r="D102" s="90"/>
      <c r="E102" s="90"/>
      <c r="F102" s="90"/>
      <c r="G102" s="90"/>
      <c r="H102" s="128"/>
      <c r="I102" s="90"/>
      <c r="J102" s="90"/>
      <c r="K102" s="90"/>
      <c r="L102" s="128"/>
      <c r="M102" s="128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128"/>
      <c r="Y102" s="128"/>
      <c r="Z102" s="90"/>
      <c r="AA102" s="90"/>
      <c r="AB102" s="90"/>
      <c r="AC102" s="90"/>
      <c r="AD102" s="90"/>
      <c r="AE102" s="90"/>
      <c r="AF102" s="90"/>
      <c r="AG102" s="90"/>
      <c r="AH102" s="90"/>
    </row>
    <row r="103" spans="1:34" ht="15.75" customHeight="1" x14ac:dyDescent="0.2">
      <c r="A103" s="128"/>
      <c r="B103" s="90"/>
      <c r="C103" s="90"/>
      <c r="D103" s="90"/>
      <c r="E103" s="90"/>
      <c r="F103" s="90"/>
      <c r="G103" s="90"/>
      <c r="H103" s="128"/>
      <c r="I103" s="90"/>
      <c r="J103" s="90"/>
      <c r="K103" s="90"/>
      <c r="L103" s="128"/>
      <c r="M103" s="128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128"/>
      <c r="Y103" s="128"/>
      <c r="Z103" s="90"/>
      <c r="AA103" s="90"/>
      <c r="AB103" s="90"/>
      <c r="AC103" s="90"/>
      <c r="AD103" s="90"/>
      <c r="AE103" s="90"/>
      <c r="AF103" s="90"/>
      <c r="AG103" s="90"/>
      <c r="AH103" s="90"/>
    </row>
    <row r="104" spans="1:34" ht="15.75" customHeight="1" x14ac:dyDescent="0.2">
      <c r="A104" s="128"/>
      <c r="B104" s="90"/>
      <c r="C104" s="90"/>
      <c r="D104" s="90"/>
      <c r="E104" s="90"/>
      <c r="F104" s="90"/>
      <c r="G104" s="90"/>
      <c r="H104" s="128"/>
      <c r="I104" s="90"/>
      <c r="J104" s="90"/>
      <c r="K104" s="90"/>
      <c r="L104" s="128"/>
      <c r="M104" s="128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128"/>
      <c r="Y104" s="128"/>
      <c r="Z104" s="90"/>
      <c r="AA104" s="90"/>
      <c r="AB104" s="90"/>
      <c r="AC104" s="90"/>
      <c r="AD104" s="90"/>
      <c r="AE104" s="90"/>
      <c r="AF104" s="90"/>
      <c r="AG104" s="90"/>
      <c r="AH104" s="90"/>
    </row>
    <row r="105" spans="1:34" ht="15.75" customHeight="1" x14ac:dyDescent="0.2">
      <c r="A105" s="128"/>
      <c r="B105" s="90"/>
      <c r="C105" s="90"/>
      <c r="D105" s="90"/>
      <c r="E105" s="90"/>
      <c r="F105" s="90"/>
      <c r="G105" s="90"/>
      <c r="H105" s="128"/>
      <c r="I105" s="90"/>
      <c r="J105" s="90"/>
      <c r="K105" s="90"/>
      <c r="L105" s="128"/>
      <c r="M105" s="128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128"/>
      <c r="Y105" s="128"/>
      <c r="Z105" s="90"/>
      <c r="AA105" s="90"/>
      <c r="AB105" s="90"/>
      <c r="AC105" s="90"/>
      <c r="AD105" s="90"/>
      <c r="AE105" s="90"/>
      <c r="AF105" s="90"/>
      <c r="AG105" s="90"/>
      <c r="AH105" s="90"/>
    </row>
    <row r="106" spans="1:34" ht="15.75" customHeight="1" x14ac:dyDescent="0.2">
      <c r="A106" s="128"/>
      <c r="B106" s="90"/>
      <c r="C106" s="90"/>
      <c r="D106" s="90"/>
      <c r="E106" s="90"/>
      <c r="F106" s="90"/>
      <c r="G106" s="90"/>
      <c r="H106" s="128"/>
      <c r="I106" s="90"/>
      <c r="J106" s="90"/>
      <c r="K106" s="90"/>
      <c r="L106" s="128"/>
      <c r="M106" s="128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128"/>
      <c r="Y106" s="128"/>
      <c r="Z106" s="90"/>
      <c r="AA106" s="90"/>
      <c r="AB106" s="90"/>
      <c r="AC106" s="90"/>
      <c r="AD106" s="90"/>
      <c r="AE106" s="90"/>
      <c r="AF106" s="90"/>
      <c r="AG106" s="90"/>
      <c r="AH106" s="90"/>
    </row>
    <row r="107" spans="1:34" ht="15.75" customHeight="1" x14ac:dyDescent="0.2">
      <c r="A107" s="128"/>
      <c r="B107" s="90"/>
      <c r="C107" s="90"/>
      <c r="D107" s="90"/>
      <c r="E107" s="90"/>
      <c r="F107" s="90"/>
      <c r="G107" s="90"/>
      <c r="H107" s="128"/>
      <c r="I107" s="90"/>
      <c r="J107" s="90"/>
      <c r="K107" s="90"/>
      <c r="L107" s="128"/>
      <c r="M107" s="128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128"/>
      <c r="Y107" s="128"/>
      <c r="Z107" s="90"/>
      <c r="AA107" s="90"/>
      <c r="AB107" s="90"/>
      <c r="AC107" s="90"/>
      <c r="AD107" s="90"/>
      <c r="AE107" s="90"/>
      <c r="AF107" s="90"/>
      <c r="AG107" s="90"/>
      <c r="AH107" s="90"/>
    </row>
    <row r="108" spans="1:34" ht="15.75" customHeight="1" x14ac:dyDescent="0.2">
      <c r="A108" s="128"/>
      <c r="B108" s="90"/>
      <c r="C108" s="90"/>
      <c r="D108" s="90"/>
      <c r="E108" s="90"/>
      <c r="F108" s="90"/>
      <c r="G108" s="90"/>
      <c r="H108" s="128"/>
      <c r="I108" s="90"/>
      <c r="J108" s="90"/>
      <c r="K108" s="90"/>
      <c r="L108" s="128"/>
      <c r="M108" s="128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128"/>
      <c r="Y108" s="128"/>
      <c r="Z108" s="90"/>
      <c r="AA108" s="90"/>
      <c r="AB108" s="90"/>
      <c r="AC108" s="90"/>
      <c r="AD108" s="90"/>
      <c r="AE108" s="90"/>
      <c r="AF108" s="90"/>
      <c r="AG108" s="90"/>
      <c r="AH108" s="90"/>
    </row>
    <row r="109" spans="1:34" ht="15.75" customHeight="1" x14ac:dyDescent="0.2">
      <c r="A109" s="128"/>
      <c r="B109" s="90"/>
      <c r="C109" s="90"/>
      <c r="D109" s="90"/>
      <c r="E109" s="90"/>
      <c r="F109" s="90"/>
      <c r="G109" s="90"/>
      <c r="H109" s="128"/>
      <c r="I109" s="90"/>
      <c r="J109" s="90"/>
      <c r="K109" s="90"/>
      <c r="L109" s="128"/>
      <c r="M109" s="128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128"/>
      <c r="Y109" s="128"/>
      <c r="Z109" s="90"/>
      <c r="AA109" s="90"/>
      <c r="AB109" s="90"/>
      <c r="AC109" s="90"/>
      <c r="AD109" s="90"/>
      <c r="AE109" s="90"/>
      <c r="AF109" s="90"/>
      <c r="AG109" s="90"/>
      <c r="AH109" s="90"/>
    </row>
    <row r="110" spans="1:34" ht="15.75" customHeight="1" x14ac:dyDescent="0.2">
      <c r="A110" s="128"/>
      <c r="B110" s="90"/>
      <c r="C110" s="90"/>
      <c r="D110" s="90"/>
      <c r="E110" s="90"/>
      <c r="F110" s="90"/>
      <c r="G110" s="90"/>
      <c r="H110" s="128"/>
      <c r="I110" s="90"/>
      <c r="J110" s="90"/>
      <c r="K110" s="90"/>
      <c r="L110" s="128"/>
      <c r="M110" s="128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128"/>
      <c r="Y110" s="128"/>
      <c r="Z110" s="90"/>
      <c r="AA110" s="90"/>
      <c r="AB110" s="90"/>
      <c r="AC110" s="90"/>
      <c r="AD110" s="90"/>
      <c r="AE110" s="90"/>
      <c r="AF110" s="90"/>
      <c r="AG110" s="90"/>
      <c r="AH110" s="90"/>
    </row>
    <row r="111" spans="1:34" ht="15.75" customHeight="1" x14ac:dyDescent="0.2">
      <c r="A111" s="128"/>
      <c r="B111" s="90"/>
      <c r="C111" s="90"/>
      <c r="D111" s="90"/>
      <c r="E111" s="90"/>
      <c r="F111" s="90"/>
      <c r="G111" s="90"/>
      <c r="H111" s="128"/>
      <c r="I111" s="90"/>
      <c r="J111" s="90"/>
      <c r="K111" s="90"/>
      <c r="L111" s="128"/>
      <c r="M111" s="128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128"/>
      <c r="Y111" s="128"/>
      <c r="Z111" s="90"/>
      <c r="AA111" s="90"/>
      <c r="AB111" s="90"/>
      <c r="AC111" s="90"/>
      <c r="AD111" s="90"/>
      <c r="AE111" s="90"/>
      <c r="AF111" s="90"/>
      <c r="AG111" s="90"/>
      <c r="AH111" s="90"/>
    </row>
    <row r="112" spans="1:34" ht="15.75" customHeight="1" x14ac:dyDescent="0.2">
      <c r="A112" s="128"/>
      <c r="B112" s="90"/>
      <c r="C112" s="90"/>
      <c r="D112" s="90"/>
      <c r="E112" s="90"/>
      <c r="F112" s="90"/>
      <c r="G112" s="90"/>
      <c r="H112" s="128"/>
      <c r="I112" s="90"/>
      <c r="J112" s="90"/>
      <c r="K112" s="90"/>
      <c r="L112" s="128"/>
      <c r="M112" s="128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128"/>
      <c r="Y112" s="128"/>
      <c r="Z112" s="90"/>
      <c r="AA112" s="90"/>
      <c r="AB112" s="90"/>
      <c r="AC112" s="90"/>
      <c r="AD112" s="90"/>
      <c r="AE112" s="90"/>
      <c r="AF112" s="90"/>
      <c r="AG112" s="90"/>
      <c r="AH112" s="90"/>
    </row>
    <row r="113" spans="1:34" ht="15.75" customHeight="1" x14ac:dyDescent="0.2">
      <c r="A113" s="128"/>
      <c r="B113" s="90"/>
      <c r="C113" s="90"/>
      <c r="D113" s="90"/>
      <c r="E113" s="90"/>
      <c r="F113" s="90"/>
      <c r="G113" s="90"/>
      <c r="H113" s="128"/>
      <c r="I113" s="90"/>
      <c r="J113" s="90"/>
      <c r="K113" s="90"/>
      <c r="L113" s="128"/>
      <c r="M113" s="128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128"/>
      <c r="Y113" s="128"/>
      <c r="Z113" s="90"/>
      <c r="AA113" s="90"/>
      <c r="AB113" s="90"/>
      <c r="AC113" s="90"/>
      <c r="AD113" s="90"/>
      <c r="AE113" s="90"/>
      <c r="AF113" s="90"/>
      <c r="AG113" s="90"/>
      <c r="AH113" s="90"/>
    </row>
    <row r="114" spans="1:34" ht="15.75" customHeight="1" x14ac:dyDescent="0.2">
      <c r="A114" s="128"/>
      <c r="B114" s="90"/>
      <c r="C114" s="90"/>
      <c r="D114" s="90"/>
      <c r="E114" s="90"/>
      <c r="F114" s="90"/>
      <c r="G114" s="90"/>
      <c r="H114" s="128"/>
      <c r="I114" s="90"/>
      <c r="J114" s="90"/>
      <c r="K114" s="90"/>
      <c r="L114" s="128"/>
      <c r="M114" s="128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128"/>
      <c r="Y114" s="128"/>
      <c r="Z114" s="90"/>
      <c r="AA114" s="90"/>
      <c r="AB114" s="90"/>
      <c r="AC114" s="90"/>
      <c r="AD114" s="90"/>
      <c r="AE114" s="90"/>
      <c r="AF114" s="90"/>
      <c r="AG114" s="90"/>
      <c r="AH114" s="90"/>
    </row>
    <row r="115" spans="1:34" ht="15.75" customHeight="1" x14ac:dyDescent="0.2">
      <c r="A115" s="128"/>
      <c r="B115" s="90"/>
      <c r="C115" s="90"/>
      <c r="D115" s="90"/>
      <c r="E115" s="90"/>
      <c r="F115" s="90"/>
      <c r="G115" s="90"/>
      <c r="H115" s="128"/>
      <c r="I115" s="90"/>
      <c r="J115" s="90"/>
      <c r="K115" s="90"/>
      <c r="L115" s="128"/>
      <c r="M115" s="128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128"/>
      <c r="Y115" s="128"/>
      <c r="Z115" s="90"/>
      <c r="AA115" s="90"/>
      <c r="AB115" s="90"/>
      <c r="AC115" s="90"/>
      <c r="AD115" s="90"/>
      <c r="AE115" s="90"/>
      <c r="AF115" s="90"/>
      <c r="AG115" s="90"/>
      <c r="AH115" s="90"/>
    </row>
    <row r="116" spans="1:34" ht="15.75" customHeight="1" x14ac:dyDescent="0.2">
      <c r="A116" s="128"/>
      <c r="B116" s="90"/>
      <c r="C116" s="90"/>
      <c r="D116" s="90"/>
      <c r="E116" s="90"/>
      <c r="F116" s="90"/>
      <c r="G116" s="90"/>
      <c r="H116" s="128"/>
      <c r="I116" s="90"/>
      <c r="J116" s="90"/>
      <c r="K116" s="90"/>
      <c r="L116" s="128"/>
      <c r="M116" s="128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128"/>
      <c r="Y116" s="128"/>
      <c r="Z116" s="90"/>
      <c r="AA116" s="90"/>
      <c r="AB116" s="90"/>
      <c r="AC116" s="90"/>
      <c r="AD116" s="90"/>
      <c r="AE116" s="90"/>
      <c r="AF116" s="90"/>
      <c r="AG116" s="90"/>
      <c r="AH116" s="90"/>
    </row>
    <row r="117" spans="1:34" ht="15.75" customHeight="1" x14ac:dyDescent="0.2">
      <c r="A117" s="128"/>
      <c r="B117" s="90"/>
      <c r="C117" s="90"/>
      <c r="D117" s="90"/>
      <c r="E117" s="90"/>
      <c r="F117" s="90"/>
      <c r="G117" s="90"/>
      <c r="H117" s="128"/>
      <c r="I117" s="90"/>
      <c r="J117" s="90"/>
      <c r="K117" s="90"/>
      <c r="L117" s="128"/>
      <c r="M117" s="128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128"/>
      <c r="Y117" s="128"/>
      <c r="Z117" s="90"/>
      <c r="AA117" s="90"/>
      <c r="AB117" s="90"/>
      <c r="AC117" s="90"/>
      <c r="AD117" s="90"/>
      <c r="AE117" s="90"/>
      <c r="AF117" s="90"/>
      <c r="AG117" s="90"/>
      <c r="AH117" s="90"/>
    </row>
    <row r="118" spans="1:34" ht="15.75" customHeight="1" x14ac:dyDescent="0.2">
      <c r="A118" s="128"/>
      <c r="B118" s="90"/>
      <c r="C118" s="90"/>
      <c r="D118" s="90"/>
      <c r="E118" s="90"/>
      <c r="F118" s="90"/>
      <c r="G118" s="90"/>
      <c r="H118" s="128"/>
      <c r="I118" s="90"/>
      <c r="J118" s="90"/>
      <c r="K118" s="90"/>
      <c r="L118" s="128"/>
      <c r="M118" s="128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128"/>
      <c r="Y118" s="128"/>
      <c r="Z118" s="90"/>
      <c r="AA118" s="90"/>
      <c r="AB118" s="90"/>
      <c r="AC118" s="90"/>
      <c r="AD118" s="90"/>
      <c r="AE118" s="90"/>
      <c r="AF118" s="90"/>
      <c r="AG118" s="90"/>
      <c r="AH118" s="90"/>
    </row>
    <row r="119" spans="1:34" ht="15.75" customHeight="1" x14ac:dyDescent="0.2">
      <c r="A119" s="128"/>
      <c r="B119" s="90"/>
      <c r="C119" s="90"/>
      <c r="D119" s="90"/>
      <c r="E119" s="90"/>
      <c r="F119" s="90"/>
      <c r="G119" s="90"/>
      <c r="H119" s="128"/>
      <c r="I119" s="90"/>
      <c r="J119" s="90"/>
      <c r="K119" s="90"/>
      <c r="L119" s="128"/>
      <c r="M119" s="128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128"/>
      <c r="Y119" s="128"/>
      <c r="Z119" s="90"/>
      <c r="AA119" s="90"/>
      <c r="AB119" s="90"/>
      <c r="AC119" s="90"/>
      <c r="AD119" s="90"/>
      <c r="AE119" s="90"/>
      <c r="AF119" s="90"/>
      <c r="AG119" s="90"/>
      <c r="AH119" s="90"/>
    </row>
    <row r="120" spans="1:34" ht="15.75" customHeight="1" x14ac:dyDescent="0.2">
      <c r="A120" s="128"/>
      <c r="B120" s="90"/>
      <c r="C120" s="90"/>
      <c r="D120" s="90"/>
      <c r="E120" s="90"/>
      <c r="F120" s="90"/>
      <c r="G120" s="90"/>
      <c r="H120" s="128"/>
      <c r="I120" s="90"/>
      <c r="J120" s="90"/>
      <c r="K120" s="90"/>
      <c r="L120" s="128"/>
      <c r="M120" s="128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128"/>
      <c r="Y120" s="128"/>
      <c r="Z120" s="90"/>
      <c r="AA120" s="90"/>
      <c r="AB120" s="90"/>
      <c r="AC120" s="90"/>
      <c r="AD120" s="90"/>
      <c r="AE120" s="90"/>
      <c r="AF120" s="90"/>
      <c r="AG120" s="90"/>
      <c r="AH120" s="90"/>
    </row>
    <row r="121" spans="1:34" ht="15.75" customHeight="1" x14ac:dyDescent="0.2">
      <c r="A121" s="128"/>
      <c r="B121" s="90"/>
      <c r="C121" s="90"/>
      <c r="D121" s="90"/>
      <c r="E121" s="90"/>
      <c r="F121" s="90"/>
      <c r="G121" s="90"/>
      <c r="H121" s="128"/>
      <c r="I121" s="90"/>
      <c r="J121" s="90"/>
      <c r="K121" s="90"/>
      <c r="L121" s="128"/>
      <c r="M121" s="128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128"/>
      <c r="Y121" s="128"/>
      <c r="Z121" s="90"/>
      <c r="AA121" s="90"/>
      <c r="AB121" s="90"/>
      <c r="AC121" s="90"/>
      <c r="AD121" s="90"/>
      <c r="AE121" s="90"/>
      <c r="AF121" s="90"/>
      <c r="AG121" s="90"/>
      <c r="AH121" s="90"/>
    </row>
    <row r="122" spans="1:34" ht="15.75" customHeight="1" x14ac:dyDescent="0.2">
      <c r="A122" s="128"/>
      <c r="B122" s="90"/>
      <c r="C122" s="90"/>
      <c r="D122" s="90"/>
      <c r="E122" s="90"/>
      <c r="F122" s="90"/>
      <c r="G122" s="90"/>
      <c r="H122" s="128"/>
      <c r="I122" s="90"/>
      <c r="J122" s="90"/>
      <c r="K122" s="90"/>
      <c r="L122" s="128"/>
      <c r="M122" s="128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128"/>
      <c r="Y122" s="128"/>
      <c r="Z122" s="90"/>
      <c r="AA122" s="90"/>
      <c r="AB122" s="90"/>
      <c r="AC122" s="90"/>
      <c r="AD122" s="90"/>
      <c r="AE122" s="90"/>
      <c r="AF122" s="90"/>
      <c r="AG122" s="90"/>
      <c r="AH122" s="90"/>
    </row>
    <row r="123" spans="1:34" ht="15.75" customHeight="1" x14ac:dyDescent="0.2">
      <c r="A123" s="128"/>
      <c r="B123" s="90"/>
      <c r="C123" s="90"/>
      <c r="D123" s="90"/>
      <c r="E123" s="90"/>
      <c r="F123" s="90"/>
      <c r="G123" s="90"/>
      <c r="H123" s="128"/>
      <c r="I123" s="90"/>
      <c r="J123" s="90"/>
      <c r="K123" s="90"/>
      <c r="L123" s="128"/>
      <c r="M123" s="128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128"/>
      <c r="Y123" s="128"/>
      <c r="Z123" s="90"/>
      <c r="AA123" s="90"/>
      <c r="AB123" s="90"/>
      <c r="AC123" s="90"/>
      <c r="AD123" s="90"/>
      <c r="AE123" s="90"/>
      <c r="AF123" s="90"/>
      <c r="AG123" s="90"/>
      <c r="AH123" s="90"/>
    </row>
    <row r="124" spans="1:34" ht="15.75" customHeight="1" x14ac:dyDescent="0.2">
      <c r="A124" s="128"/>
      <c r="B124" s="90"/>
      <c r="C124" s="90"/>
      <c r="D124" s="90"/>
      <c r="E124" s="90"/>
      <c r="F124" s="90"/>
      <c r="G124" s="90"/>
      <c r="H124" s="128"/>
      <c r="I124" s="90"/>
      <c r="J124" s="90"/>
      <c r="K124" s="90"/>
      <c r="L124" s="128"/>
      <c r="M124" s="128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128"/>
      <c r="Y124" s="128"/>
      <c r="Z124" s="90"/>
      <c r="AA124" s="90"/>
      <c r="AB124" s="90"/>
      <c r="AC124" s="90"/>
      <c r="AD124" s="90"/>
      <c r="AE124" s="90"/>
      <c r="AF124" s="90"/>
      <c r="AG124" s="90"/>
      <c r="AH124" s="90"/>
    </row>
    <row r="125" spans="1:34" ht="15.75" customHeight="1" x14ac:dyDescent="0.2">
      <c r="A125" s="128"/>
      <c r="B125" s="90"/>
      <c r="C125" s="90"/>
      <c r="D125" s="90"/>
      <c r="E125" s="90"/>
      <c r="F125" s="90"/>
      <c r="G125" s="90"/>
      <c r="H125" s="128"/>
      <c r="I125" s="90"/>
      <c r="J125" s="90"/>
      <c r="K125" s="90"/>
      <c r="L125" s="128"/>
      <c r="M125" s="128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128"/>
      <c r="Y125" s="128"/>
      <c r="Z125" s="90"/>
      <c r="AA125" s="90"/>
      <c r="AB125" s="90"/>
      <c r="AC125" s="90"/>
      <c r="AD125" s="90"/>
      <c r="AE125" s="90"/>
      <c r="AF125" s="90"/>
      <c r="AG125" s="90"/>
      <c r="AH125" s="90"/>
    </row>
    <row r="126" spans="1:34" ht="15.75" customHeight="1" x14ac:dyDescent="0.2">
      <c r="A126" s="128"/>
      <c r="B126" s="90"/>
      <c r="C126" s="90"/>
      <c r="D126" s="90"/>
      <c r="E126" s="90"/>
      <c r="F126" s="90"/>
      <c r="G126" s="90"/>
      <c r="H126" s="128"/>
      <c r="I126" s="90"/>
      <c r="J126" s="90"/>
      <c r="K126" s="90"/>
      <c r="L126" s="128"/>
      <c r="M126" s="128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128"/>
      <c r="Y126" s="128"/>
      <c r="Z126" s="90"/>
      <c r="AA126" s="90"/>
      <c r="AB126" s="90"/>
      <c r="AC126" s="90"/>
      <c r="AD126" s="90"/>
      <c r="AE126" s="90"/>
      <c r="AF126" s="90"/>
      <c r="AG126" s="90"/>
      <c r="AH126" s="90"/>
    </row>
    <row r="127" spans="1:34" ht="15.75" customHeight="1" x14ac:dyDescent="0.2">
      <c r="A127" s="128"/>
      <c r="B127" s="90"/>
      <c r="C127" s="90"/>
      <c r="D127" s="90"/>
      <c r="E127" s="90"/>
      <c r="F127" s="90"/>
      <c r="G127" s="90"/>
      <c r="H127" s="128"/>
      <c r="I127" s="90"/>
      <c r="J127" s="90"/>
      <c r="K127" s="90"/>
      <c r="L127" s="128"/>
      <c r="M127" s="128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128"/>
      <c r="Y127" s="128"/>
      <c r="Z127" s="90"/>
      <c r="AA127" s="90"/>
      <c r="AB127" s="90"/>
      <c r="AC127" s="90"/>
      <c r="AD127" s="90"/>
      <c r="AE127" s="90"/>
      <c r="AF127" s="90"/>
      <c r="AG127" s="90"/>
      <c r="AH127" s="90"/>
    </row>
    <row r="128" spans="1:34" ht="15.75" customHeight="1" x14ac:dyDescent="0.2">
      <c r="A128" s="128"/>
      <c r="B128" s="90"/>
      <c r="C128" s="90"/>
      <c r="D128" s="90"/>
      <c r="E128" s="90"/>
      <c r="F128" s="90"/>
      <c r="G128" s="90"/>
      <c r="H128" s="128"/>
      <c r="I128" s="90"/>
      <c r="J128" s="90"/>
      <c r="K128" s="90"/>
      <c r="L128" s="128"/>
      <c r="M128" s="128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128"/>
      <c r="Y128" s="128"/>
      <c r="Z128" s="90"/>
      <c r="AA128" s="90"/>
      <c r="AB128" s="90"/>
      <c r="AC128" s="90"/>
      <c r="AD128" s="90"/>
      <c r="AE128" s="90"/>
      <c r="AF128" s="90"/>
      <c r="AG128" s="90"/>
      <c r="AH128" s="90"/>
    </row>
    <row r="129" spans="1:34" ht="15.75" customHeight="1" x14ac:dyDescent="0.2">
      <c r="A129" s="128"/>
      <c r="B129" s="90"/>
      <c r="C129" s="90"/>
      <c r="D129" s="90"/>
      <c r="E129" s="90"/>
      <c r="F129" s="90"/>
      <c r="G129" s="90"/>
      <c r="H129" s="128"/>
      <c r="I129" s="90"/>
      <c r="J129" s="90"/>
      <c r="K129" s="90"/>
      <c r="L129" s="128"/>
      <c r="M129" s="128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128"/>
      <c r="Y129" s="128"/>
      <c r="Z129" s="90"/>
      <c r="AA129" s="90"/>
      <c r="AB129" s="90"/>
      <c r="AC129" s="90"/>
      <c r="AD129" s="90"/>
      <c r="AE129" s="90"/>
      <c r="AF129" s="90"/>
      <c r="AG129" s="90"/>
      <c r="AH129" s="90"/>
    </row>
    <row r="130" spans="1:34" ht="15.75" customHeight="1" x14ac:dyDescent="0.2">
      <c r="A130" s="128"/>
      <c r="B130" s="90"/>
      <c r="C130" s="90"/>
      <c r="D130" s="90"/>
      <c r="E130" s="90"/>
      <c r="F130" s="90"/>
      <c r="G130" s="90"/>
      <c r="H130" s="128"/>
      <c r="I130" s="90"/>
      <c r="J130" s="90"/>
      <c r="K130" s="90"/>
      <c r="L130" s="128"/>
      <c r="M130" s="128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128"/>
      <c r="Y130" s="128"/>
      <c r="Z130" s="90"/>
      <c r="AA130" s="90"/>
      <c r="AB130" s="90"/>
      <c r="AC130" s="90"/>
      <c r="AD130" s="90"/>
      <c r="AE130" s="90"/>
      <c r="AF130" s="90"/>
      <c r="AG130" s="90"/>
      <c r="AH130" s="90"/>
    </row>
    <row r="131" spans="1:34" ht="15.75" customHeight="1" x14ac:dyDescent="0.2">
      <c r="A131" s="128"/>
      <c r="B131" s="90"/>
      <c r="C131" s="90"/>
      <c r="D131" s="90"/>
      <c r="E131" s="90"/>
      <c r="F131" s="90"/>
      <c r="G131" s="90"/>
      <c r="H131" s="128"/>
      <c r="I131" s="90"/>
      <c r="J131" s="90"/>
      <c r="K131" s="90"/>
      <c r="L131" s="128"/>
      <c r="M131" s="128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128"/>
      <c r="Y131" s="128"/>
      <c r="Z131" s="90"/>
      <c r="AA131" s="90"/>
      <c r="AB131" s="90"/>
      <c r="AC131" s="90"/>
      <c r="AD131" s="90"/>
      <c r="AE131" s="90"/>
      <c r="AF131" s="90"/>
      <c r="AG131" s="90"/>
      <c r="AH131" s="90"/>
    </row>
    <row r="132" spans="1:34" ht="15.75" customHeight="1" x14ac:dyDescent="0.2">
      <c r="A132" s="128"/>
      <c r="B132" s="90"/>
      <c r="C132" s="90"/>
      <c r="D132" s="90"/>
      <c r="E132" s="90"/>
      <c r="F132" s="90"/>
      <c r="G132" s="90"/>
      <c r="H132" s="128"/>
      <c r="I132" s="90"/>
      <c r="J132" s="90"/>
      <c r="K132" s="90"/>
      <c r="L132" s="128"/>
      <c r="M132" s="128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128"/>
      <c r="Y132" s="128"/>
      <c r="Z132" s="90"/>
      <c r="AA132" s="90"/>
      <c r="AB132" s="90"/>
      <c r="AC132" s="90"/>
      <c r="AD132" s="90"/>
      <c r="AE132" s="90"/>
      <c r="AF132" s="90"/>
      <c r="AG132" s="90"/>
      <c r="AH132" s="90"/>
    </row>
    <row r="133" spans="1:34" ht="15.75" customHeight="1" x14ac:dyDescent="0.2">
      <c r="A133" s="128"/>
      <c r="B133" s="90"/>
      <c r="C133" s="90"/>
      <c r="D133" s="90"/>
      <c r="E133" s="90"/>
      <c r="F133" s="90"/>
      <c r="G133" s="90"/>
      <c r="H133" s="128"/>
      <c r="I133" s="90"/>
      <c r="J133" s="90"/>
      <c r="K133" s="90"/>
      <c r="L133" s="128"/>
      <c r="M133" s="128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128"/>
      <c r="Y133" s="128"/>
      <c r="Z133" s="90"/>
      <c r="AA133" s="90"/>
      <c r="AB133" s="90"/>
      <c r="AC133" s="90"/>
      <c r="AD133" s="90"/>
      <c r="AE133" s="90"/>
      <c r="AF133" s="90"/>
      <c r="AG133" s="90"/>
      <c r="AH133" s="90"/>
    </row>
    <row r="134" spans="1:34" ht="15.75" customHeight="1" x14ac:dyDescent="0.2">
      <c r="A134" s="128"/>
      <c r="B134" s="90"/>
      <c r="C134" s="90"/>
      <c r="D134" s="90"/>
      <c r="E134" s="90"/>
      <c r="F134" s="90"/>
      <c r="G134" s="90"/>
      <c r="H134" s="128"/>
      <c r="I134" s="90"/>
      <c r="J134" s="90"/>
      <c r="K134" s="90"/>
      <c r="L134" s="128"/>
      <c r="M134" s="128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128"/>
      <c r="Y134" s="128"/>
      <c r="Z134" s="90"/>
      <c r="AA134" s="90"/>
      <c r="AB134" s="90"/>
      <c r="AC134" s="90"/>
      <c r="AD134" s="90"/>
      <c r="AE134" s="90"/>
      <c r="AF134" s="90"/>
      <c r="AG134" s="90"/>
      <c r="AH134" s="90"/>
    </row>
    <row r="135" spans="1:34" ht="15.75" customHeight="1" x14ac:dyDescent="0.2">
      <c r="A135" s="128"/>
      <c r="B135" s="90"/>
      <c r="C135" s="90"/>
      <c r="D135" s="90"/>
      <c r="E135" s="90"/>
      <c r="F135" s="90"/>
      <c r="G135" s="90"/>
      <c r="H135" s="128"/>
      <c r="I135" s="90"/>
      <c r="J135" s="90"/>
      <c r="K135" s="90"/>
      <c r="L135" s="128"/>
      <c r="M135" s="128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128"/>
      <c r="Y135" s="128"/>
      <c r="Z135" s="90"/>
      <c r="AA135" s="90"/>
      <c r="AB135" s="90"/>
      <c r="AC135" s="90"/>
      <c r="AD135" s="90"/>
      <c r="AE135" s="90"/>
      <c r="AF135" s="90"/>
      <c r="AG135" s="90"/>
      <c r="AH135" s="90"/>
    </row>
    <row r="136" spans="1:34" ht="15.75" customHeight="1" x14ac:dyDescent="0.2">
      <c r="A136" s="128"/>
      <c r="B136" s="90"/>
      <c r="C136" s="90"/>
      <c r="D136" s="90"/>
      <c r="E136" s="90"/>
      <c r="F136" s="90"/>
      <c r="G136" s="90"/>
      <c r="H136" s="128"/>
      <c r="I136" s="90"/>
      <c r="J136" s="90"/>
      <c r="K136" s="90"/>
      <c r="L136" s="128"/>
      <c r="M136" s="128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128"/>
      <c r="Y136" s="128"/>
      <c r="Z136" s="90"/>
      <c r="AA136" s="90"/>
      <c r="AB136" s="90"/>
      <c r="AC136" s="90"/>
      <c r="AD136" s="90"/>
      <c r="AE136" s="90"/>
      <c r="AF136" s="90"/>
      <c r="AG136" s="90"/>
      <c r="AH136" s="90"/>
    </row>
    <row r="137" spans="1:34" ht="15.75" customHeight="1" x14ac:dyDescent="0.2">
      <c r="A137" s="128"/>
      <c r="B137" s="90"/>
      <c r="C137" s="90"/>
      <c r="D137" s="90"/>
      <c r="E137" s="90"/>
      <c r="F137" s="90"/>
      <c r="G137" s="90"/>
      <c r="H137" s="128"/>
      <c r="I137" s="90"/>
      <c r="J137" s="90"/>
      <c r="K137" s="90"/>
      <c r="L137" s="128"/>
      <c r="M137" s="128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128"/>
      <c r="Y137" s="128"/>
      <c r="Z137" s="90"/>
      <c r="AA137" s="90"/>
      <c r="AB137" s="90"/>
      <c r="AC137" s="90"/>
      <c r="AD137" s="90"/>
      <c r="AE137" s="90"/>
      <c r="AF137" s="90"/>
      <c r="AG137" s="90"/>
      <c r="AH137" s="90"/>
    </row>
    <row r="138" spans="1:34" ht="15.75" customHeight="1" x14ac:dyDescent="0.2">
      <c r="A138" s="128"/>
      <c r="B138" s="90"/>
      <c r="C138" s="90"/>
      <c r="D138" s="90"/>
      <c r="E138" s="90"/>
      <c r="F138" s="90"/>
      <c r="G138" s="90"/>
      <c r="H138" s="128"/>
      <c r="I138" s="90"/>
      <c r="J138" s="90"/>
      <c r="K138" s="90"/>
      <c r="L138" s="128"/>
      <c r="M138" s="128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128"/>
      <c r="Y138" s="128"/>
      <c r="Z138" s="90"/>
      <c r="AA138" s="90"/>
      <c r="AB138" s="90"/>
      <c r="AC138" s="90"/>
      <c r="AD138" s="90"/>
      <c r="AE138" s="90"/>
      <c r="AF138" s="90"/>
      <c r="AG138" s="90"/>
      <c r="AH138" s="90"/>
    </row>
    <row r="139" spans="1:34" ht="15.75" customHeight="1" x14ac:dyDescent="0.2">
      <c r="A139" s="128"/>
      <c r="B139" s="90"/>
      <c r="C139" s="90"/>
      <c r="D139" s="90"/>
      <c r="E139" s="90"/>
      <c r="F139" s="90"/>
      <c r="G139" s="90"/>
      <c r="H139" s="128"/>
      <c r="I139" s="90"/>
      <c r="J139" s="90"/>
      <c r="K139" s="90"/>
      <c r="L139" s="128"/>
      <c r="M139" s="128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128"/>
      <c r="Y139" s="128"/>
      <c r="Z139" s="90"/>
      <c r="AA139" s="90"/>
      <c r="AB139" s="90"/>
      <c r="AC139" s="90"/>
      <c r="AD139" s="90"/>
      <c r="AE139" s="90"/>
      <c r="AF139" s="90"/>
      <c r="AG139" s="90"/>
      <c r="AH139" s="90"/>
    </row>
    <row r="140" spans="1:34" ht="15.75" customHeight="1" x14ac:dyDescent="0.2">
      <c r="A140" s="128"/>
      <c r="B140" s="90"/>
      <c r="C140" s="90"/>
      <c r="D140" s="90"/>
      <c r="E140" s="90"/>
      <c r="F140" s="90"/>
      <c r="G140" s="90"/>
      <c r="H140" s="128"/>
      <c r="I140" s="90"/>
      <c r="J140" s="90"/>
      <c r="K140" s="90"/>
      <c r="L140" s="128"/>
      <c r="M140" s="128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128"/>
      <c r="Y140" s="128"/>
      <c r="Z140" s="90"/>
      <c r="AA140" s="90"/>
      <c r="AB140" s="90"/>
      <c r="AC140" s="90"/>
      <c r="AD140" s="90"/>
      <c r="AE140" s="90"/>
      <c r="AF140" s="90"/>
      <c r="AG140" s="90"/>
      <c r="AH140" s="90"/>
    </row>
    <row r="141" spans="1:34" ht="15.75" customHeight="1" x14ac:dyDescent="0.2">
      <c r="A141" s="128"/>
      <c r="B141" s="90"/>
      <c r="C141" s="90"/>
      <c r="D141" s="90"/>
      <c r="E141" s="90"/>
      <c r="F141" s="90"/>
      <c r="G141" s="90"/>
      <c r="H141" s="128"/>
      <c r="I141" s="90"/>
      <c r="J141" s="90"/>
      <c r="K141" s="90"/>
      <c r="L141" s="128"/>
      <c r="M141" s="128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128"/>
      <c r="Y141" s="128"/>
      <c r="Z141" s="90"/>
      <c r="AA141" s="90"/>
      <c r="AB141" s="90"/>
      <c r="AC141" s="90"/>
      <c r="AD141" s="90"/>
      <c r="AE141" s="90"/>
      <c r="AF141" s="90"/>
      <c r="AG141" s="90"/>
      <c r="AH141" s="90"/>
    </row>
    <row r="142" spans="1:34" ht="15.75" customHeight="1" x14ac:dyDescent="0.2">
      <c r="A142" s="128"/>
      <c r="B142" s="90"/>
      <c r="C142" s="90"/>
      <c r="D142" s="90"/>
      <c r="E142" s="90"/>
      <c r="F142" s="90"/>
      <c r="G142" s="90"/>
      <c r="H142" s="128"/>
      <c r="I142" s="90"/>
      <c r="J142" s="90"/>
      <c r="K142" s="90"/>
      <c r="L142" s="128"/>
      <c r="M142" s="128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128"/>
      <c r="Y142" s="128"/>
      <c r="Z142" s="90"/>
      <c r="AA142" s="90"/>
      <c r="AB142" s="90"/>
      <c r="AC142" s="90"/>
      <c r="AD142" s="90"/>
      <c r="AE142" s="90"/>
      <c r="AF142" s="90"/>
      <c r="AG142" s="90"/>
      <c r="AH142" s="90"/>
    </row>
    <row r="143" spans="1:34" ht="15.75" customHeight="1" x14ac:dyDescent="0.2">
      <c r="A143" s="128"/>
      <c r="B143" s="90"/>
      <c r="C143" s="90"/>
      <c r="D143" s="90"/>
      <c r="E143" s="90"/>
      <c r="F143" s="90"/>
      <c r="G143" s="90"/>
      <c r="H143" s="128"/>
      <c r="I143" s="90"/>
      <c r="J143" s="90"/>
      <c r="K143" s="90"/>
      <c r="L143" s="128"/>
      <c r="M143" s="128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128"/>
      <c r="Y143" s="128"/>
      <c r="Z143" s="90"/>
      <c r="AA143" s="90"/>
      <c r="AB143" s="90"/>
      <c r="AC143" s="90"/>
      <c r="AD143" s="90"/>
      <c r="AE143" s="90"/>
      <c r="AF143" s="90"/>
      <c r="AG143" s="90"/>
      <c r="AH143" s="90"/>
    </row>
    <row r="144" spans="1:34" ht="15.75" customHeight="1" x14ac:dyDescent="0.2">
      <c r="A144" s="128"/>
      <c r="B144" s="90"/>
      <c r="C144" s="90"/>
      <c r="D144" s="90"/>
      <c r="E144" s="90"/>
      <c r="F144" s="90"/>
      <c r="G144" s="90"/>
      <c r="H144" s="128"/>
      <c r="I144" s="90"/>
      <c r="J144" s="90"/>
      <c r="K144" s="90"/>
      <c r="L144" s="128"/>
      <c r="M144" s="128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128"/>
      <c r="Y144" s="128"/>
      <c r="Z144" s="90"/>
      <c r="AA144" s="90"/>
      <c r="AB144" s="90"/>
      <c r="AC144" s="90"/>
      <c r="AD144" s="90"/>
      <c r="AE144" s="90"/>
      <c r="AF144" s="90"/>
      <c r="AG144" s="90"/>
      <c r="AH144" s="90"/>
    </row>
    <row r="145" spans="1:34" ht="15.75" customHeight="1" x14ac:dyDescent="0.2">
      <c r="A145" s="128"/>
      <c r="B145" s="90"/>
      <c r="C145" s="90"/>
      <c r="D145" s="90"/>
      <c r="E145" s="90"/>
      <c r="F145" s="90"/>
      <c r="G145" s="90"/>
      <c r="H145" s="128"/>
      <c r="I145" s="90"/>
      <c r="J145" s="90"/>
      <c r="K145" s="90"/>
      <c r="L145" s="128"/>
      <c r="M145" s="128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128"/>
      <c r="Y145" s="128"/>
      <c r="Z145" s="90"/>
      <c r="AA145" s="90"/>
      <c r="AB145" s="90"/>
      <c r="AC145" s="90"/>
      <c r="AD145" s="90"/>
      <c r="AE145" s="90"/>
      <c r="AF145" s="90"/>
      <c r="AG145" s="90"/>
      <c r="AH145" s="90"/>
    </row>
    <row r="146" spans="1:34" ht="15.75" customHeight="1" x14ac:dyDescent="0.2">
      <c r="A146" s="128"/>
      <c r="B146" s="90"/>
      <c r="C146" s="90"/>
      <c r="D146" s="90"/>
      <c r="E146" s="90"/>
      <c r="F146" s="90"/>
      <c r="G146" s="90"/>
      <c r="H146" s="128"/>
      <c r="I146" s="90"/>
      <c r="J146" s="90"/>
      <c r="K146" s="90"/>
      <c r="L146" s="128"/>
      <c r="M146" s="128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128"/>
      <c r="Y146" s="128"/>
      <c r="Z146" s="90"/>
      <c r="AA146" s="90"/>
      <c r="AB146" s="90"/>
      <c r="AC146" s="90"/>
      <c r="AD146" s="90"/>
      <c r="AE146" s="90"/>
      <c r="AF146" s="90"/>
      <c r="AG146" s="90"/>
      <c r="AH146" s="90"/>
    </row>
    <row r="147" spans="1:34" ht="15.75" customHeight="1" x14ac:dyDescent="0.2">
      <c r="A147" s="128"/>
      <c r="B147" s="90"/>
      <c r="C147" s="90"/>
      <c r="D147" s="90"/>
      <c r="E147" s="90"/>
      <c r="F147" s="90"/>
      <c r="G147" s="90"/>
      <c r="H147" s="128"/>
      <c r="I147" s="90"/>
      <c r="J147" s="90"/>
      <c r="K147" s="90"/>
      <c r="L147" s="128"/>
      <c r="M147" s="128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128"/>
      <c r="Y147" s="128"/>
      <c r="Z147" s="90"/>
      <c r="AA147" s="90"/>
      <c r="AB147" s="90"/>
      <c r="AC147" s="90"/>
      <c r="AD147" s="90"/>
      <c r="AE147" s="90"/>
      <c r="AF147" s="90"/>
      <c r="AG147" s="90"/>
      <c r="AH147" s="90"/>
    </row>
    <row r="148" spans="1:34" ht="15.75" customHeight="1" x14ac:dyDescent="0.2">
      <c r="A148" s="128"/>
      <c r="B148" s="90"/>
      <c r="C148" s="90"/>
      <c r="D148" s="90"/>
      <c r="E148" s="90"/>
      <c r="F148" s="90"/>
      <c r="G148" s="90"/>
      <c r="H148" s="128"/>
      <c r="I148" s="90"/>
      <c r="J148" s="90"/>
      <c r="K148" s="90"/>
      <c r="L148" s="128"/>
      <c r="M148" s="128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128"/>
      <c r="Y148" s="128"/>
      <c r="Z148" s="90"/>
      <c r="AA148" s="90"/>
      <c r="AB148" s="90"/>
      <c r="AC148" s="90"/>
      <c r="AD148" s="90"/>
      <c r="AE148" s="90"/>
      <c r="AF148" s="90"/>
      <c r="AG148" s="90"/>
      <c r="AH148" s="90"/>
    </row>
    <row r="149" spans="1:34" ht="15.75" customHeight="1" x14ac:dyDescent="0.2">
      <c r="A149" s="128"/>
      <c r="B149" s="90"/>
      <c r="C149" s="90"/>
      <c r="D149" s="90"/>
      <c r="E149" s="90"/>
      <c r="F149" s="90"/>
      <c r="G149" s="90"/>
      <c r="H149" s="128"/>
      <c r="I149" s="90"/>
      <c r="J149" s="90"/>
      <c r="K149" s="90"/>
      <c r="L149" s="128"/>
      <c r="M149" s="128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128"/>
      <c r="Y149" s="128"/>
      <c r="Z149" s="90"/>
      <c r="AA149" s="90"/>
      <c r="AB149" s="90"/>
      <c r="AC149" s="90"/>
      <c r="AD149" s="90"/>
      <c r="AE149" s="90"/>
      <c r="AF149" s="90"/>
      <c r="AG149" s="90"/>
      <c r="AH149" s="90"/>
    </row>
    <row r="150" spans="1:34" ht="15.75" customHeight="1" x14ac:dyDescent="0.2">
      <c r="A150" s="128"/>
      <c r="B150" s="90"/>
      <c r="C150" s="90"/>
      <c r="D150" s="90"/>
      <c r="E150" s="90"/>
      <c r="F150" s="90"/>
      <c r="G150" s="90"/>
      <c r="H150" s="128"/>
      <c r="I150" s="90"/>
      <c r="J150" s="90"/>
      <c r="K150" s="90"/>
      <c r="L150" s="128"/>
      <c r="M150" s="128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128"/>
      <c r="Y150" s="128"/>
      <c r="Z150" s="90"/>
      <c r="AA150" s="90"/>
      <c r="AB150" s="90"/>
      <c r="AC150" s="90"/>
      <c r="AD150" s="90"/>
      <c r="AE150" s="90"/>
      <c r="AF150" s="90"/>
      <c r="AG150" s="90"/>
      <c r="AH150" s="90"/>
    </row>
    <row r="151" spans="1:34" ht="15.75" customHeight="1" x14ac:dyDescent="0.2">
      <c r="A151" s="128"/>
      <c r="B151" s="90"/>
      <c r="C151" s="90"/>
      <c r="D151" s="90"/>
      <c r="E151" s="90"/>
      <c r="F151" s="90"/>
      <c r="G151" s="90"/>
      <c r="H151" s="128"/>
      <c r="I151" s="90"/>
      <c r="J151" s="90"/>
      <c r="K151" s="90"/>
      <c r="L151" s="128"/>
      <c r="M151" s="128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128"/>
      <c r="Y151" s="128"/>
      <c r="Z151" s="90"/>
      <c r="AA151" s="90"/>
      <c r="AB151" s="90"/>
      <c r="AC151" s="90"/>
      <c r="AD151" s="90"/>
      <c r="AE151" s="90"/>
      <c r="AF151" s="90"/>
      <c r="AG151" s="90"/>
      <c r="AH151" s="90"/>
    </row>
    <row r="152" spans="1:34" ht="15.75" customHeight="1" x14ac:dyDescent="0.2">
      <c r="A152" s="128"/>
      <c r="B152" s="90"/>
      <c r="C152" s="90"/>
      <c r="D152" s="90"/>
      <c r="E152" s="90"/>
      <c r="F152" s="90"/>
      <c r="G152" s="90"/>
      <c r="H152" s="128"/>
      <c r="I152" s="90"/>
      <c r="J152" s="90"/>
      <c r="K152" s="90"/>
      <c r="L152" s="128"/>
      <c r="M152" s="128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128"/>
      <c r="Y152" s="128"/>
      <c r="Z152" s="90"/>
      <c r="AA152" s="90"/>
      <c r="AB152" s="90"/>
      <c r="AC152" s="90"/>
      <c r="AD152" s="90"/>
      <c r="AE152" s="90"/>
      <c r="AF152" s="90"/>
      <c r="AG152" s="90"/>
      <c r="AH152" s="90"/>
    </row>
    <row r="153" spans="1:34" ht="15.75" customHeight="1" x14ac:dyDescent="0.2">
      <c r="A153" s="128"/>
      <c r="B153" s="90"/>
      <c r="C153" s="90"/>
      <c r="D153" s="90"/>
      <c r="E153" s="90"/>
      <c r="F153" s="90"/>
      <c r="G153" s="90"/>
      <c r="H153" s="128"/>
      <c r="I153" s="90"/>
      <c r="J153" s="90"/>
      <c r="K153" s="90"/>
      <c r="L153" s="128"/>
      <c r="M153" s="128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128"/>
      <c r="Y153" s="128"/>
      <c r="Z153" s="90"/>
      <c r="AA153" s="90"/>
      <c r="AB153" s="90"/>
      <c r="AC153" s="90"/>
      <c r="AD153" s="90"/>
      <c r="AE153" s="90"/>
      <c r="AF153" s="90"/>
      <c r="AG153" s="90"/>
      <c r="AH153" s="90"/>
    </row>
    <row r="154" spans="1:34" ht="15.75" customHeight="1" x14ac:dyDescent="0.2">
      <c r="A154" s="128"/>
      <c r="B154" s="90"/>
      <c r="C154" s="90"/>
      <c r="D154" s="90"/>
      <c r="E154" s="90"/>
      <c r="F154" s="90"/>
      <c r="G154" s="90"/>
      <c r="H154" s="128"/>
      <c r="I154" s="90"/>
      <c r="J154" s="90"/>
      <c r="K154" s="90"/>
      <c r="L154" s="128"/>
      <c r="M154" s="128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128"/>
      <c r="Y154" s="128"/>
      <c r="Z154" s="90"/>
      <c r="AA154" s="90"/>
      <c r="AB154" s="90"/>
      <c r="AC154" s="90"/>
      <c r="AD154" s="90"/>
      <c r="AE154" s="90"/>
      <c r="AF154" s="90"/>
      <c r="AG154" s="90"/>
      <c r="AH154" s="90"/>
    </row>
    <row r="155" spans="1:34" ht="15.75" customHeight="1" x14ac:dyDescent="0.2">
      <c r="A155" s="128"/>
      <c r="B155" s="90"/>
      <c r="C155" s="90"/>
      <c r="D155" s="90"/>
      <c r="E155" s="90"/>
      <c r="F155" s="90"/>
      <c r="G155" s="90"/>
      <c r="H155" s="128"/>
      <c r="I155" s="90"/>
      <c r="J155" s="90"/>
      <c r="K155" s="90"/>
      <c r="L155" s="128"/>
      <c r="M155" s="128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128"/>
      <c r="Y155" s="128"/>
      <c r="Z155" s="90"/>
      <c r="AA155" s="90"/>
      <c r="AB155" s="90"/>
      <c r="AC155" s="90"/>
      <c r="AD155" s="90"/>
      <c r="AE155" s="90"/>
      <c r="AF155" s="90"/>
      <c r="AG155" s="90"/>
      <c r="AH155" s="90"/>
    </row>
    <row r="156" spans="1:34" ht="15.75" customHeight="1" x14ac:dyDescent="0.2">
      <c r="A156" s="128"/>
      <c r="B156" s="90"/>
      <c r="C156" s="90"/>
      <c r="D156" s="90"/>
      <c r="E156" s="90"/>
      <c r="F156" s="90"/>
      <c r="G156" s="90"/>
      <c r="H156" s="128"/>
      <c r="I156" s="90"/>
      <c r="J156" s="90"/>
      <c r="K156" s="90"/>
      <c r="L156" s="128"/>
      <c r="M156" s="128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128"/>
      <c r="Y156" s="128"/>
      <c r="Z156" s="90"/>
      <c r="AA156" s="90"/>
      <c r="AB156" s="90"/>
      <c r="AC156" s="90"/>
      <c r="AD156" s="90"/>
      <c r="AE156" s="90"/>
      <c r="AF156" s="90"/>
      <c r="AG156" s="90"/>
      <c r="AH156" s="90"/>
    </row>
    <row r="157" spans="1:34" ht="15.75" customHeight="1" x14ac:dyDescent="0.2">
      <c r="A157" s="128"/>
      <c r="B157" s="90"/>
      <c r="C157" s="90"/>
      <c r="D157" s="90"/>
      <c r="E157" s="90"/>
      <c r="F157" s="90"/>
      <c r="G157" s="90"/>
      <c r="H157" s="128"/>
      <c r="I157" s="90"/>
      <c r="J157" s="90"/>
      <c r="K157" s="90"/>
      <c r="L157" s="128"/>
      <c r="M157" s="128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128"/>
      <c r="Y157" s="128"/>
      <c r="Z157" s="90"/>
      <c r="AA157" s="90"/>
      <c r="AB157" s="90"/>
      <c r="AC157" s="90"/>
      <c r="AD157" s="90"/>
      <c r="AE157" s="90"/>
      <c r="AF157" s="90"/>
      <c r="AG157" s="90"/>
      <c r="AH157" s="90"/>
    </row>
    <row r="158" spans="1:34" ht="15.75" customHeight="1" x14ac:dyDescent="0.2">
      <c r="A158" s="128"/>
      <c r="B158" s="90"/>
      <c r="C158" s="90"/>
      <c r="D158" s="90"/>
      <c r="E158" s="90"/>
      <c r="F158" s="90"/>
      <c r="G158" s="90"/>
      <c r="H158" s="128"/>
      <c r="I158" s="90"/>
      <c r="J158" s="90"/>
      <c r="K158" s="90"/>
      <c r="L158" s="128"/>
      <c r="M158" s="128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128"/>
      <c r="Y158" s="128"/>
      <c r="Z158" s="90"/>
      <c r="AA158" s="90"/>
      <c r="AB158" s="90"/>
      <c r="AC158" s="90"/>
      <c r="AD158" s="90"/>
      <c r="AE158" s="90"/>
      <c r="AF158" s="90"/>
      <c r="AG158" s="90"/>
      <c r="AH158" s="90"/>
    </row>
    <row r="159" spans="1:34" ht="15.75" customHeight="1" x14ac:dyDescent="0.2">
      <c r="A159" s="128"/>
      <c r="B159" s="90"/>
      <c r="C159" s="90"/>
      <c r="D159" s="90"/>
      <c r="E159" s="90"/>
      <c r="F159" s="90"/>
      <c r="G159" s="90"/>
      <c r="H159" s="128"/>
      <c r="I159" s="90"/>
      <c r="J159" s="90"/>
      <c r="K159" s="90"/>
      <c r="L159" s="128"/>
      <c r="M159" s="128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128"/>
      <c r="Y159" s="128"/>
      <c r="Z159" s="90"/>
      <c r="AA159" s="90"/>
      <c r="AB159" s="90"/>
      <c r="AC159" s="90"/>
      <c r="AD159" s="90"/>
      <c r="AE159" s="90"/>
      <c r="AF159" s="90"/>
      <c r="AG159" s="90"/>
      <c r="AH159" s="90"/>
    </row>
    <row r="160" spans="1:34" ht="15.75" customHeight="1" x14ac:dyDescent="0.2">
      <c r="A160" s="128"/>
      <c r="B160" s="90"/>
      <c r="C160" s="90"/>
      <c r="D160" s="90"/>
      <c r="E160" s="90"/>
      <c r="F160" s="90"/>
      <c r="G160" s="90"/>
      <c r="H160" s="128"/>
      <c r="I160" s="90"/>
      <c r="J160" s="90"/>
      <c r="K160" s="90"/>
      <c r="L160" s="128"/>
      <c r="M160" s="128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128"/>
      <c r="Y160" s="128"/>
      <c r="Z160" s="90"/>
      <c r="AA160" s="90"/>
      <c r="AB160" s="90"/>
      <c r="AC160" s="90"/>
      <c r="AD160" s="90"/>
      <c r="AE160" s="90"/>
      <c r="AF160" s="90"/>
      <c r="AG160" s="90"/>
      <c r="AH160" s="90"/>
    </row>
    <row r="161" spans="1:34" ht="15.75" customHeight="1" x14ac:dyDescent="0.2">
      <c r="A161" s="128"/>
      <c r="B161" s="90"/>
      <c r="C161" s="90"/>
      <c r="D161" s="90"/>
      <c r="E161" s="90"/>
      <c r="F161" s="90"/>
      <c r="G161" s="90"/>
      <c r="H161" s="128"/>
      <c r="I161" s="90"/>
      <c r="J161" s="90"/>
      <c r="K161" s="90"/>
      <c r="L161" s="128"/>
      <c r="M161" s="128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128"/>
      <c r="Y161" s="128"/>
      <c r="Z161" s="90"/>
      <c r="AA161" s="90"/>
      <c r="AB161" s="90"/>
      <c r="AC161" s="90"/>
      <c r="AD161" s="90"/>
      <c r="AE161" s="90"/>
      <c r="AF161" s="90"/>
      <c r="AG161" s="90"/>
      <c r="AH161" s="90"/>
    </row>
    <row r="162" spans="1:34" ht="15.75" customHeight="1" x14ac:dyDescent="0.2">
      <c r="A162" s="128"/>
      <c r="B162" s="90"/>
      <c r="C162" s="90"/>
      <c r="D162" s="90"/>
      <c r="E162" s="90"/>
      <c r="F162" s="90"/>
      <c r="G162" s="90"/>
      <c r="H162" s="128"/>
      <c r="I162" s="90"/>
      <c r="J162" s="90"/>
      <c r="K162" s="90"/>
      <c r="L162" s="128"/>
      <c r="M162" s="128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128"/>
      <c r="Y162" s="128"/>
      <c r="Z162" s="90"/>
      <c r="AA162" s="90"/>
      <c r="AB162" s="90"/>
      <c r="AC162" s="90"/>
      <c r="AD162" s="90"/>
      <c r="AE162" s="90"/>
      <c r="AF162" s="90"/>
      <c r="AG162" s="90"/>
      <c r="AH162" s="90"/>
    </row>
    <row r="163" spans="1:34" ht="15.75" customHeight="1" x14ac:dyDescent="0.2">
      <c r="A163" s="128"/>
      <c r="B163" s="90"/>
      <c r="C163" s="90"/>
      <c r="D163" s="90"/>
      <c r="E163" s="90"/>
      <c r="F163" s="90"/>
      <c r="G163" s="90"/>
      <c r="H163" s="128"/>
      <c r="I163" s="90"/>
      <c r="J163" s="90"/>
      <c r="K163" s="90"/>
      <c r="L163" s="128"/>
      <c r="M163" s="128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128"/>
      <c r="Y163" s="128"/>
      <c r="Z163" s="90"/>
      <c r="AA163" s="90"/>
      <c r="AB163" s="90"/>
      <c r="AC163" s="90"/>
      <c r="AD163" s="90"/>
      <c r="AE163" s="90"/>
      <c r="AF163" s="90"/>
      <c r="AG163" s="90"/>
      <c r="AH163" s="90"/>
    </row>
    <row r="164" spans="1:34" ht="15.75" customHeight="1" x14ac:dyDescent="0.2">
      <c r="A164" s="128"/>
      <c r="B164" s="90"/>
      <c r="C164" s="90"/>
      <c r="D164" s="90"/>
      <c r="E164" s="90"/>
      <c r="F164" s="90"/>
      <c r="G164" s="90"/>
      <c r="H164" s="128"/>
      <c r="I164" s="90"/>
      <c r="J164" s="90"/>
      <c r="K164" s="90"/>
      <c r="L164" s="128"/>
      <c r="M164" s="128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128"/>
      <c r="Y164" s="128"/>
      <c r="Z164" s="90"/>
      <c r="AA164" s="90"/>
      <c r="AB164" s="90"/>
      <c r="AC164" s="90"/>
      <c r="AD164" s="90"/>
      <c r="AE164" s="90"/>
      <c r="AF164" s="90"/>
      <c r="AG164" s="90"/>
      <c r="AH164" s="90"/>
    </row>
    <row r="165" spans="1:34" ht="15.75" customHeight="1" x14ac:dyDescent="0.2">
      <c r="A165" s="128"/>
      <c r="B165" s="90"/>
      <c r="C165" s="90"/>
      <c r="D165" s="90"/>
      <c r="E165" s="90"/>
      <c r="F165" s="90"/>
      <c r="G165" s="90"/>
      <c r="H165" s="128"/>
      <c r="I165" s="90"/>
      <c r="J165" s="90"/>
      <c r="K165" s="90"/>
      <c r="L165" s="128"/>
      <c r="M165" s="128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128"/>
      <c r="Y165" s="128"/>
      <c r="Z165" s="90"/>
      <c r="AA165" s="90"/>
      <c r="AB165" s="90"/>
      <c r="AC165" s="90"/>
      <c r="AD165" s="90"/>
      <c r="AE165" s="90"/>
      <c r="AF165" s="90"/>
      <c r="AG165" s="90"/>
      <c r="AH165" s="90"/>
    </row>
    <row r="166" spans="1:34" ht="15.75" customHeight="1" x14ac:dyDescent="0.2">
      <c r="A166" s="128"/>
      <c r="B166" s="90"/>
      <c r="C166" s="90"/>
      <c r="D166" s="90"/>
      <c r="E166" s="90"/>
      <c r="F166" s="90"/>
      <c r="G166" s="90"/>
      <c r="H166" s="128"/>
      <c r="I166" s="90"/>
      <c r="J166" s="90"/>
      <c r="K166" s="90"/>
      <c r="L166" s="128"/>
      <c r="M166" s="128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128"/>
      <c r="Y166" s="128"/>
      <c r="Z166" s="90"/>
      <c r="AA166" s="90"/>
      <c r="AB166" s="90"/>
      <c r="AC166" s="90"/>
      <c r="AD166" s="90"/>
      <c r="AE166" s="90"/>
      <c r="AF166" s="90"/>
      <c r="AG166" s="90"/>
      <c r="AH166" s="90"/>
    </row>
    <row r="167" spans="1:34" ht="15.75" customHeight="1" x14ac:dyDescent="0.2">
      <c r="A167" s="128"/>
      <c r="B167" s="90"/>
      <c r="C167" s="90"/>
      <c r="D167" s="90"/>
      <c r="E167" s="90"/>
      <c r="F167" s="90"/>
      <c r="G167" s="90"/>
      <c r="H167" s="128"/>
      <c r="I167" s="90"/>
      <c r="J167" s="90"/>
      <c r="K167" s="90"/>
      <c r="L167" s="128"/>
      <c r="M167" s="128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128"/>
      <c r="Y167" s="128"/>
      <c r="Z167" s="90"/>
      <c r="AA167" s="90"/>
      <c r="AB167" s="90"/>
      <c r="AC167" s="90"/>
      <c r="AD167" s="90"/>
      <c r="AE167" s="90"/>
      <c r="AF167" s="90"/>
      <c r="AG167" s="90"/>
      <c r="AH167" s="90"/>
    </row>
    <row r="168" spans="1:34" ht="15.75" customHeight="1" x14ac:dyDescent="0.2">
      <c r="A168" s="128"/>
      <c r="B168" s="90"/>
      <c r="C168" s="90"/>
      <c r="D168" s="90"/>
      <c r="E168" s="90"/>
      <c r="F168" s="90"/>
      <c r="G168" s="90"/>
      <c r="H168" s="128"/>
      <c r="I168" s="90"/>
      <c r="J168" s="90"/>
      <c r="K168" s="90"/>
      <c r="L168" s="128"/>
      <c r="M168" s="128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128"/>
      <c r="Y168" s="128"/>
      <c r="Z168" s="90"/>
      <c r="AA168" s="90"/>
      <c r="AB168" s="90"/>
      <c r="AC168" s="90"/>
      <c r="AD168" s="90"/>
      <c r="AE168" s="90"/>
      <c r="AF168" s="90"/>
      <c r="AG168" s="90"/>
      <c r="AH168" s="90"/>
    </row>
    <row r="169" spans="1:34" ht="15.75" customHeight="1" x14ac:dyDescent="0.2">
      <c r="A169" s="128"/>
      <c r="B169" s="90"/>
      <c r="C169" s="90"/>
      <c r="D169" s="90"/>
      <c r="E169" s="90"/>
      <c r="F169" s="90"/>
      <c r="G169" s="90"/>
      <c r="H169" s="128"/>
      <c r="I169" s="90"/>
      <c r="J169" s="90"/>
      <c r="K169" s="90"/>
      <c r="L169" s="128"/>
      <c r="M169" s="128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128"/>
      <c r="Y169" s="128"/>
      <c r="Z169" s="90"/>
      <c r="AA169" s="90"/>
      <c r="AB169" s="90"/>
      <c r="AC169" s="90"/>
      <c r="AD169" s="90"/>
      <c r="AE169" s="90"/>
      <c r="AF169" s="90"/>
      <c r="AG169" s="90"/>
      <c r="AH169" s="90"/>
    </row>
    <row r="170" spans="1:34" ht="15.75" customHeight="1" x14ac:dyDescent="0.2">
      <c r="A170" s="128"/>
      <c r="B170" s="90"/>
      <c r="C170" s="90"/>
      <c r="D170" s="90"/>
      <c r="E170" s="90"/>
      <c r="F170" s="90"/>
      <c r="G170" s="90"/>
      <c r="H170" s="128"/>
      <c r="I170" s="90"/>
      <c r="J170" s="90"/>
      <c r="K170" s="90"/>
      <c r="L170" s="128"/>
      <c r="M170" s="128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128"/>
      <c r="Y170" s="128"/>
      <c r="Z170" s="90"/>
      <c r="AA170" s="90"/>
      <c r="AB170" s="90"/>
      <c r="AC170" s="90"/>
      <c r="AD170" s="90"/>
      <c r="AE170" s="90"/>
      <c r="AF170" s="90"/>
      <c r="AG170" s="90"/>
      <c r="AH170" s="90"/>
    </row>
    <row r="171" spans="1:34" ht="15.75" customHeight="1" x14ac:dyDescent="0.2">
      <c r="A171" s="128"/>
      <c r="B171" s="90"/>
      <c r="C171" s="90"/>
      <c r="D171" s="90"/>
      <c r="E171" s="90"/>
      <c r="F171" s="90"/>
      <c r="G171" s="90"/>
      <c r="H171" s="128"/>
      <c r="I171" s="90"/>
      <c r="J171" s="90"/>
      <c r="K171" s="90"/>
      <c r="L171" s="128"/>
      <c r="M171" s="128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128"/>
      <c r="Y171" s="128"/>
      <c r="Z171" s="90"/>
      <c r="AA171" s="90"/>
      <c r="AB171" s="90"/>
      <c r="AC171" s="90"/>
      <c r="AD171" s="90"/>
      <c r="AE171" s="90"/>
      <c r="AF171" s="90"/>
      <c r="AG171" s="90"/>
      <c r="AH171" s="90"/>
    </row>
    <row r="172" spans="1:34" ht="15.75" customHeight="1" x14ac:dyDescent="0.2">
      <c r="A172" s="128"/>
      <c r="B172" s="90"/>
      <c r="C172" s="90"/>
      <c r="D172" s="90"/>
      <c r="E172" s="90"/>
      <c r="F172" s="90"/>
      <c r="G172" s="90"/>
      <c r="H172" s="128"/>
      <c r="I172" s="90"/>
      <c r="J172" s="90"/>
      <c r="K172" s="90"/>
      <c r="L172" s="128"/>
      <c r="M172" s="128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128"/>
      <c r="Y172" s="128"/>
      <c r="Z172" s="90"/>
      <c r="AA172" s="90"/>
      <c r="AB172" s="90"/>
      <c r="AC172" s="90"/>
      <c r="AD172" s="90"/>
      <c r="AE172" s="90"/>
      <c r="AF172" s="90"/>
      <c r="AG172" s="90"/>
      <c r="AH172" s="90"/>
    </row>
    <row r="173" spans="1:34" ht="15.75" customHeight="1" x14ac:dyDescent="0.2">
      <c r="A173" s="128"/>
      <c r="B173" s="90"/>
      <c r="C173" s="90"/>
      <c r="D173" s="90"/>
      <c r="E173" s="90"/>
      <c r="F173" s="90"/>
      <c r="G173" s="90"/>
      <c r="H173" s="128"/>
      <c r="I173" s="90"/>
      <c r="J173" s="90"/>
      <c r="K173" s="90"/>
      <c r="L173" s="128"/>
      <c r="M173" s="128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128"/>
      <c r="Y173" s="128"/>
      <c r="Z173" s="90"/>
      <c r="AA173" s="90"/>
      <c r="AB173" s="90"/>
      <c r="AC173" s="90"/>
      <c r="AD173" s="90"/>
      <c r="AE173" s="90"/>
      <c r="AF173" s="90"/>
      <c r="AG173" s="90"/>
      <c r="AH173" s="90"/>
    </row>
    <row r="174" spans="1:34" ht="15.75" customHeight="1" x14ac:dyDescent="0.2">
      <c r="A174" s="128"/>
      <c r="B174" s="90"/>
      <c r="C174" s="90"/>
      <c r="D174" s="90"/>
      <c r="E174" s="90"/>
      <c r="F174" s="90"/>
      <c r="G174" s="90"/>
      <c r="H174" s="128"/>
      <c r="I174" s="90"/>
      <c r="J174" s="90"/>
      <c r="K174" s="90"/>
      <c r="L174" s="128"/>
      <c r="M174" s="128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128"/>
      <c r="Y174" s="128"/>
      <c r="Z174" s="90"/>
      <c r="AA174" s="90"/>
      <c r="AB174" s="90"/>
      <c r="AC174" s="90"/>
      <c r="AD174" s="90"/>
      <c r="AE174" s="90"/>
      <c r="AF174" s="90"/>
      <c r="AG174" s="90"/>
      <c r="AH174" s="90"/>
    </row>
    <row r="175" spans="1:34" ht="15.75" customHeight="1" x14ac:dyDescent="0.2">
      <c r="A175" s="128"/>
      <c r="B175" s="90"/>
      <c r="C175" s="90"/>
      <c r="D175" s="90"/>
      <c r="E175" s="90"/>
      <c r="F175" s="90"/>
      <c r="G175" s="90"/>
      <c r="H175" s="128"/>
      <c r="I175" s="90"/>
      <c r="J175" s="90"/>
      <c r="K175" s="90"/>
      <c r="L175" s="128"/>
      <c r="M175" s="128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128"/>
      <c r="Y175" s="128"/>
      <c r="Z175" s="90"/>
      <c r="AA175" s="90"/>
      <c r="AB175" s="90"/>
      <c r="AC175" s="90"/>
      <c r="AD175" s="90"/>
      <c r="AE175" s="90"/>
      <c r="AF175" s="90"/>
      <c r="AG175" s="90"/>
      <c r="AH175" s="90"/>
    </row>
    <row r="176" spans="1:34" ht="15.75" customHeight="1" x14ac:dyDescent="0.2">
      <c r="A176" s="128"/>
      <c r="B176" s="90"/>
      <c r="C176" s="90"/>
      <c r="D176" s="90"/>
      <c r="E176" s="90"/>
      <c r="F176" s="90"/>
      <c r="G176" s="90"/>
      <c r="H176" s="128"/>
      <c r="I176" s="90"/>
      <c r="J176" s="90"/>
      <c r="K176" s="90"/>
      <c r="L176" s="128"/>
      <c r="M176" s="128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128"/>
      <c r="Y176" s="128"/>
      <c r="Z176" s="90"/>
      <c r="AA176" s="90"/>
      <c r="AB176" s="90"/>
      <c r="AC176" s="90"/>
      <c r="AD176" s="90"/>
      <c r="AE176" s="90"/>
      <c r="AF176" s="90"/>
      <c r="AG176" s="90"/>
      <c r="AH176" s="90"/>
    </row>
    <row r="177" spans="1:34" ht="15.75" customHeight="1" x14ac:dyDescent="0.2">
      <c r="A177" s="128"/>
      <c r="B177" s="90"/>
      <c r="C177" s="90"/>
      <c r="D177" s="90"/>
      <c r="E177" s="90"/>
      <c r="F177" s="90"/>
      <c r="G177" s="90"/>
      <c r="H177" s="128"/>
      <c r="I177" s="90"/>
      <c r="J177" s="90"/>
      <c r="K177" s="90"/>
      <c r="L177" s="128"/>
      <c r="M177" s="128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128"/>
      <c r="Y177" s="128"/>
      <c r="Z177" s="90"/>
      <c r="AA177" s="90"/>
      <c r="AB177" s="90"/>
      <c r="AC177" s="90"/>
      <c r="AD177" s="90"/>
      <c r="AE177" s="90"/>
      <c r="AF177" s="90"/>
      <c r="AG177" s="90"/>
      <c r="AH177" s="90"/>
    </row>
    <row r="178" spans="1:34" ht="15.75" customHeight="1" x14ac:dyDescent="0.2">
      <c r="A178" s="128"/>
      <c r="B178" s="90"/>
      <c r="C178" s="90"/>
      <c r="D178" s="90"/>
      <c r="E178" s="90"/>
      <c r="F178" s="90"/>
      <c r="G178" s="90"/>
      <c r="H178" s="128"/>
      <c r="I178" s="90"/>
      <c r="J178" s="90"/>
      <c r="K178" s="90"/>
      <c r="L178" s="128"/>
      <c r="M178" s="128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128"/>
      <c r="Y178" s="128"/>
      <c r="Z178" s="90"/>
      <c r="AA178" s="90"/>
      <c r="AB178" s="90"/>
      <c r="AC178" s="90"/>
      <c r="AD178" s="90"/>
      <c r="AE178" s="90"/>
      <c r="AF178" s="90"/>
      <c r="AG178" s="90"/>
      <c r="AH178" s="90"/>
    </row>
    <row r="179" spans="1:34" ht="15.75" customHeight="1" x14ac:dyDescent="0.2">
      <c r="A179" s="128"/>
      <c r="B179" s="90"/>
      <c r="C179" s="90"/>
      <c r="D179" s="90"/>
      <c r="E179" s="90"/>
      <c r="F179" s="90"/>
      <c r="G179" s="90"/>
      <c r="H179" s="128"/>
      <c r="I179" s="90"/>
      <c r="J179" s="90"/>
      <c r="K179" s="90"/>
      <c r="L179" s="128"/>
      <c r="M179" s="128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128"/>
      <c r="Y179" s="128"/>
      <c r="Z179" s="90"/>
      <c r="AA179" s="90"/>
      <c r="AB179" s="90"/>
      <c r="AC179" s="90"/>
      <c r="AD179" s="90"/>
      <c r="AE179" s="90"/>
      <c r="AF179" s="90"/>
      <c r="AG179" s="90"/>
      <c r="AH179" s="90"/>
    </row>
    <row r="180" spans="1:34" ht="15.75" customHeight="1" x14ac:dyDescent="0.2">
      <c r="A180" s="128"/>
      <c r="B180" s="90"/>
      <c r="C180" s="90"/>
      <c r="D180" s="90"/>
      <c r="E180" s="90"/>
      <c r="F180" s="90"/>
      <c r="G180" s="90"/>
      <c r="H180" s="128"/>
      <c r="I180" s="90"/>
      <c r="J180" s="90"/>
      <c r="K180" s="90"/>
      <c r="L180" s="128"/>
      <c r="M180" s="128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128"/>
      <c r="Y180" s="128"/>
      <c r="Z180" s="90"/>
      <c r="AA180" s="90"/>
      <c r="AB180" s="90"/>
      <c r="AC180" s="90"/>
      <c r="AD180" s="90"/>
      <c r="AE180" s="90"/>
      <c r="AF180" s="90"/>
      <c r="AG180" s="90"/>
      <c r="AH180" s="90"/>
    </row>
    <row r="181" spans="1:34" ht="15.75" customHeight="1" x14ac:dyDescent="0.2">
      <c r="A181" s="128"/>
      <c r="B181" s="90"/>
      <c r="C181" s="90"/>
      <c r="D181" s="90"/>
      <c r="E181" s="90"/>
      <c r="F181" s="90"/>
      <c r="G181" s="90"/>
      <c r="H181" s="128"/>
      <c r="I181" s="90"/>
      <c r="J181" s="90"/>
      <c r="K181" s="90"/>
      <c r="L181" s="128"/>
      <c r="M181" s="128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128"/>
      <c r="Y181" s="128"/>
      <c r="Z181" s="90"/>
      <c r="AA181" s="90"/>
      <c r="AB181" s="90"/>
      <c r="AC181" s="90"/>
      <c r="AD181" s="90"/>
      <c r="AE181" s="90"/>
      <c r="AF181" s="90"/>
      <c r="AG181" s="90"/>
      <c r="AH181" s="90"/>
    </row>
    <row r="182" spans="1:34" ht="15.75" customHeight="1" x14ac:dyDescent="0.2">
      <c r="A182" s="128"/>
      <c r="B182" s="90"/>
      <c r="C182" s="90"/>
      <c r="D182" s="90"/>
      <c r="E182" s="90"/>
      <c r="F182" s="90"/>
      <c r="G182" s="90"/>
      <c r="H182" s="128"/>
      <c r="I182" s="90"/>
      <c r="J182" s="90"/>
      <c r="K182" s="90"/>
      <c r="L182" s="128"/>
      <c r="M182" s="128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128"/>
      <c r="Y182" s="128"/>
      <c r="Z182" s="90"/>
      <c r="AA182" s="90"/>
      <c r="AB182" s="90"/>
      <c r="AC182" s="90"/>
      <c r="AD182" s="90"/>
      <c r="AE182" s="90"/>
      <c r="AF182" s="90"/>
      <c r="AG182" s="90"/>
      <c r="AH182" s="90"/>
    </row>
    <row r="183" spans="1:34" ht="15.75" customHeight="1" x14ac:dyDescent="0.2">
      <c r="A183" s="128"/>
      <c r="B183" s="90"/>
      <c r="C183" s="90"/>
      <c r="D183" s="90"/>
      <c r="E183" s="90"/>
      <c r="F183" s="90"/>
      <c r="G183" s="90"/>
      <c r="H183" s="128"/>
      <c r="I183" s="90"/>
      <c r="J183" s="90"/>
      <c r="K183" s="90"/>
      <c r="L183" s="128"/>
      <c r="M183" s="128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128"/>
      <c r="Y183" s="128"/>
      <c r="Z183" s="90"/>
      <c r="AA183" s="90"/>
      <c r="AB183" s="90"/>
      <c r="AC183" s="90"/>
      <c r="AD183" s="90"/>
      <c r="AE183" s="90"/>
      <c r="AF183" s="90"/>
      <c r="AG183" s="90"/>
      <c r="AH183" s="90"/>
    </row>
    <row r="184" spans="1:34" ht="15.75" customHeight="1" x14ac:dyDescent="0.2">
      <c r="A184" s="128"/>
      <c r="B184" s="90"/>
      <c r="C184" s="90"/>
      <c r="D184" s="90"/>
      <c r="E184" s="90"/>
      <c r="F184" s="90"/>
      <c r="G184" s="90"/>
      <c r="H184" s="128"/>
      <c r="I184" s="90"/>
      <c r="J184" s="90"/>
      <c r="K184" s="90"/>
      <c r="L184" s="128"/>
      <c r="M184" s="128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128"/>
      <c r="Y184" s="128"/>
      <c r="Z184" s="90"/>
      <c r="AA184" s="90"/>
      <c r="AB184" s="90"/>
      <c r="AC184" s="90"/>
      <c r="AD184" s="90"/>
      <c r="AE184" s="90"/>
      <c r="AF184" s="90"/>
      <c r="AG184" s="90"/>
      <c r="AH184" s="90"/>
    </row>
    <row r="185" spans="1:34" ht="15.75" customHeight="1" x14ac:dyDescent="0.2">
      <c r="A185" s="128"/>
      <c r="B185" s="90"/>
      <c r="C185" s="90"/>
      <c r="D185" s="90"/>
      <c r="E185" s="90"/>
      <c r="F185" s="90"/>
      <c r="G185" s="90"/>
      <c r="H185" s="128"/>
      <c r="I185" s="90"/>
      <c r="J185" s="90"/>
      <c r="K185" s="90"/>
      <c r="L185" s="128"/>
      <c r="M185" s="128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128"/>
      <c r="Y185" s="128"/>
      <c r="Z185" s="90"/>
      <c r="AA185" s="90"/>
      <c r="AB185" s="90"/>
      <c r="AC185" s="90"/>
      <c r="AD185" s="90"/>
      <c r="AE185" s="90"/>
      <c r="AF185" s="90"/>
      <c r="AG185" s="90"/>
      <c r="AH185" s="90"/>
    </row>
    <row r="186" spans="1:34" ht="15.75" customHeight="1" x14ac:dyDescent="0.2">
      <c r="A186" s="128"/>
      <c r="B186" s="90"/>
      <c r="C186" s="90"/>
      <c r="D186" s="90"/>
      <c r="E186" s="90"/>
      <c r="F186" s="90"/>
      <c r="G186" s="90"/>
      <c r="H186" s="128"/>
      <c r="I186" s="90"/>
      <c r="J186" s="90"/>
      <c r="K186" s="90"/>
      <c r="L186" s="128"/>
      <c r="M186" s="128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128"/>
      <c r="Y186" s="128"/>
      <c r="Z186" s="90"/>
      <c r="AA186" s="90"/>
      <c r="AB186" s="90"/>
      <c r="AC186" s="90"/>
      <c r="AD186" s="90"/>
      <c r="AE186" s="90"/>
      <c r="AF186" s="90"/>
      <c r="AG186" s="90"/>
      <c r="AH186" s="90"/>
    </row>
    <row r="187" spans="1:34" ht="15.75" customHeight="1" x14ac:dyDescent="0.2">
      <c r="A187" s="128"/>
      <c r="B187" s="90"/>
      <c r="C187" s="90"/>
      <c r="D187" s="90"/>
      <c r="E187" s="90"/>
      <c r="F187" s="90"/>
      <c r="G187" s="90"/>
      <c r="H187" s="128"/>
      <c r="I187" s="90"/>
      <c r="J187" s="90"/>
      <c r="K187" s="90"/>
      <c r="L187" s="128"/>
      <c r="M187" s="128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128"/>
      <c r="Y187" s="128"/>
      <c r="Z187" s="90"/>
      <c r="AA187" s="90"/>
      <c r="AB187" s="90"/>
      <c r="AC187" s="90"/>
      <c r="AD187" s="90"/>
      <c r="AE187" s="90"/>
      <c r="AF187" s="90"/>
      <c r="AG187" s="90"/>
      <c r="AH187" s="90"/>
    </row>
    <row r="188" spans="1:34" ht="15.75" customHeight="1" x14ac:dyDescent="0.2">
      <c r="A188" s="128"/>
      <c r="B188" s="90"/>
      <c r="C188" s="90"/>
      <c r="D188" s="90"/>
      <c r="E188" s="90"/>
      <c r="F188" s="90"/>
      <c r="G188" s="90"/>
      <c r="H188" s="128"/>
      <c r="I188" s="90"/>
      <c r="J188" s="90"/>
      <c r="K188" s="90"/>
      <c r="L188" s="128"/>
      <c r="M188" s="128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128"/>
      <c r="Y188" s="128"/>
      <c r="Z188" s="90"/>
      <c r="AA188" s="90"/>
      <c r="AB188" s="90"/>
      <c r="AC188" s="90"/>
      <c r="AD188" s="90"/>
      <c r="AE188" s="90"/>
      <c r="AF188" s="90"/>
      <c r="AG188" s="90"/>
      <c r="AH188" s="90"/>
    </row>
    <row r="189" spans="1:34" ht="15.75" customHeight="1" x14ac:dyDescent="0.2">
      <c r="A189" s="128"/>
      <c r="B189" s="90"/>
      <c r="C189" s="90"/>
      <c r="D189" s="90"/>
      <c r="E189" s="90"/>
      <c r="F189" s="90"/>
      <c r="G189" s="90"/>
      <c r="H189" s="128"/>
      <c r="I189" s="90"/>
      <c r="J189" s="90"/>
      <c r="K189" s="90"/>
      <c r="L189" s="128"/>
      <c r="M189" s="128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128"/>
      <c r="Y189" s="128"/>
      <c r="Z189" s="90"/>
      <c r="AA189" s="90"/>
      <c r="AB189" s="90"/>
      <c r="AC189" s="90"/>
      <c r="AD189" s="90"/>
      <c r="AE189" s="90"/>
      <c r="AF189" s="90"/>
      <c r="AG189" s="90"/>
      <c r="AH189" s="90"/>
    </row>
    <row r="190" spans="1:34" ht="15.75" customHeight="1" x14ac:dyDescent="0.2">
      <c r="A190" s="128"/>
      <c r="B190" s="90"/>
      <c r="C190" s="90"/>
      <c r="D190" s="90"/>
      <c r="E190" s="90"/>
      <c r="F190" s="90"/>
      <c r="G190" s="90"/>
      <c r="H190" s="128"/>
      <c r="I190" s="90"/>
      <c r="J190" s="90"/>
      <c r="K190" s="90"/>
      <c r="L190" s="128"/>
      <c r="M190" s="128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128"/>
      <c r="Y190" s="128"/>
      <c r="Z190" s="90"/>
      <c r="AA190" s="90"/>
      <c r="AB190" s="90"/>
      <c r="AC190" s="90"/>
      <c r="AD190" s="90"/>
      <c r="AE190" s="90"/>
      <c r="AF190" s="90"/>
      <c r="AG190" s="90"/>
      <c r="AH190" s="90"/>
    </row>
    <row r="191" spans="1:34" ht="15.75" customHeight="1" x14ac:dyDescent="0.2">
      <c r="A191" s="128"/>
      <c r="B191" s="90"/>
      <c r="C191" s="90"/>
      <c r="D191" s="90"/>
      <c r="E191" s="90"/>
      <c r="F191" s="90"/>
      <c r="G191" s="90"/>
      <c r="H191" s="128"/>
      <c r="I191" s="90"/>
      <c r="J191" s="90"/>
      <c r="K191" s="90"/>
      <c r="L191" s="128"/>
      <c r="M191" s="128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128"/>
      <c r="Y191" s="128"/>
      <c r="Z191" s="90"/>
      <c r="AA191" s="90"/>
      <c r="AB191" s="90"/>
      <c r="AC191" s="90"/>
      <c r="AD191" s="90"/>
      <c r="AE191" s="90"/>
      <c r="AF191" s="90"/>
      <c r="AG191" s="90"/>
      <c r="AH191" s="90"/>
    </row>
    <row r="192" spans="1:34" ht="15.75" customHeight="1" x14ac:dyDescent="0.2">
      <c r="A192" s="128"/>
      <c r="B192" s="90"/>
      <c r="C192" s="90"/>
      <c r="D192" s="90"/>
      <c r="E192" s="90"/>
      <c r="F192" s="90"/>
      <c r="G192" s="90"/>
      <c r="H192" s="128"/>
      <c r="I192" s="90"/>
      <c r="J192" s="90"/>
      <c r="K192" s="90"/>
      <c r="L192" s="128"/>
      <c r="M192" s="128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128"/>
      <c r="Y192" s="128"/>
      <c r="Z192" s="90"/>
      <c r="AA192" s="90"/>
      <c r="AB192" s="90"/>
      <c r="AC192" s="90"/>
      <c r="AD192" s="90"/>
      <c r="AE192" s="90"/>
      <c r="AF192" s="90"/>
      <c r="AG192" s="90"/>
      <c r="AH192" s="90"/>
    </row>
    <row r="193" spans="1:34" ht="15.75" customHeight="1" x14ac:dyDescent="0.2">
      <c r="A193" s="128"/>
      <c r="B193" s="90"/>
      <c r="C193" s="90"/>
      <c r="D193" s="90"/>
      <c r="E193" s="90"/>
      <c r="F193" s="90"/>
      <c r="G193" s="90"/>
      <c r="H193" s="128"/>
      <c r="I193" s="90"/>
      <c r="J193" s="90"/>
      <c r="K193" s="90"/>
      <c r="L193" s="128"/>
      <c r="M193" s="128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128"/>
      <c r="Y193" s="128"/>
      <c r="Z193" s="90"/>
      <c r="AA193" s="90"/>
      <c r="AB193" s="90"/>
      <c r="AC193" s="90"/>
      <c r="AD193" s="90"/>
      <c r="AE193" s="90"/>
      <c r="AF193" s="90"/>
      <c r="AG193" s="90"/>
      <c r="AH193" s="90"/>
    </row>
    <row r="194" spans="1:34" ht="15.75" customHeight="1" x14ac:dyDescent="0.2">
      <c r="A194" s="128"/>
      <c r="B194" s="90"/>
      <c r="C194" s="90"/>
      <c r="D194" s="90"/>
      <c r="E194" s="90"/>
      <c r="F194" s="90"/>
      <c r="G194" s="90"/>
      <c r="H194" s="128"/>
      <c r="I194" s="90"/>
      <c r="J194" s="90"/>
      <c r="K194" s="90"/>
      <c r="L194" s="128"/>
      <c r="M194" s="128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128"/>
      <c r="Y194" s="128"/>
      <c r="Z194" s="90"/>
      <c r="AA194" s="90"/>
      <c r="AB194" s="90"/>
      <c r="AC194" s="90"/>
      <c r="AD194" s="90"/>
      <c r="AE194" s="90"/>
      <c r="AF194" s="90"/>
      <c r="AG194" s="90"/>
      <c r="AH194" s="90"/>
    </row>
    <row r="195" spans="1:34" ht="15.75" customHeight="1" x14ac:dyDescent="0.2">
      <c r="A195" s="128"/>
      <c r="B195" s="90"/>
      <c r="C195" s="90"/>
      <c r="D195" s="90"/>
      <c r="E195" s="90"/>
      <c r="F195" s="90"/>
      <c r="G195" s="90"/>
      <c r="H195" s="128"/>
      <c r="I195" s="90"/>
      <c r="J195" s="90"/>
      <c r="K195" s="90"/>
      <c r="L195" s="128"/>
      <c r="M195" s="128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128"/>
      <c r="Y195" s="128"/>
      <c r="Z195" s="90"/>
      <c r="AA195" s="90"/>
      <c r="AB195" s="90"/>
      <c r="AC195" s="90"/>
      <c r="AD195" s="90"/>
      <c r="AE195" s="90"/>
      <c r="AF195" s="90"/>
      <c r="AG195" s="90"/>
      <c r="AH195" s="90"/>
    </row>
    <row r="196" spans="1:34" ht="15.75" customHeight="1" x14ac:dyDescent="0.2">
      <c r="A196" s="128"/>
      <c r="B196" s="90"/>
      <c r="C196" s="90"/>
      <c r="D196" s="90"/>
      <c r="E196" s="90"/>
      <c r="F196" s="90"/>
      <c r="G196" s="90"/>
      <c r="H196" s="128"/>
      <c r="I196" s="90"/>
      <c r="J196" s="90"/>
      <c r="K196" s="90"/>
      <c r="L196" s="128"/>
      <c r="M196" s="128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128"/>
      <c r="Y196" s="128"/>
      <c r="Z196" s="90"/>
      <c r="AA196" s="90"/>
      <c r="AB196" s="90"/>
      <c r="AC196" s="90"/>
      <c r="AD196" s="90"/>
      <c r="AE196" s="90"/>
      <c r="AF196" s="90"/>
      <c r="AG196" s="90"/>
      <c r="AH196" s="90"/>
    </row>
    <row r="197" spans="1:34" ht="15.75" customHeight="1" x14ac:dyDescent="0.2">
      <c r="A197" s="128"/>
      <c r="B197" s="90"/>
      <c r="C197" s="90"/>
      <c r="D197" s="90"/>
      <c r="E197" s="90"/>
      <c r="F197" s="90"/>
      <c r="G197" s="90"/>
      <c r="H197" s="128"/>
      <c r="I197" s="90"/>
      <c r="J197" s="90"/>
      <c r="K197" s="90"/>
      <c r="L197" s="128"/>
      <c r="M197" s="128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128"/>
      <c r="Y197" s="128"/>
      <c r="Z197" s="90"/>
      <c r="AA197" s="90"/>
      <c r="AB197" s="90"/>
      <c r="AC197" s="90"/>
      <c r="AD197" s="90"/>
      <c r="AE197" s="90"/>
      <c r="AF197" s="90"/>
      <c r="AG197" s="90"/>
      <c r="AH197" s="90"/>
    </row>
    <row r="198" spans="1:34" ht="15.75" customHeight="1" x14ac:dyDescent="0.2">
      <c r="A198" s="128"/>
      <c r="B198" s="90"/>
      <c r="C198" s="90"/>
      <c r="D198" s="90"/>
      <c r="E198" s="90"/>
      <c r="F198" s="90"/>
      <c r="G198" s="90"/>
      <c r="H198" s="128"/>
      <c r="I198" s="90"/>
      <c r="J198" s="90"/>
      <c r="K198" s="90"/>
      <c r="L198" s="128"/>
      <c r="M198" s="128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128"/>
      <c r="Y198" s="128"/>
      <c r="Z198" s="90"/>
      <c r="AA198" s="90"/>
      <c r="AB198" s="90"/>
      <c r="AC198" s="90"/>
      <c r="AD198" s="90"/>
      <c r="AE198" s="90"/>
      <c r="AF198" s="90"/>
      <c r="AG198" s="90"/>
      <c r="AH198" s="90"/>
    </row>
    <row r="199" spans="1:34" ht="15.75" customHeight="1" x14ac:dyDescent="0.2">
      <c r="A199" s="128"/>
      <c r="B199" s="90"/>
      <c r="C199" s="90"/>
      <c r="D199" s="90"/>
      <c r="E199" s="90"/>
      <c r="F199" s="90"/>
      <c r="G199" s="90"/>
      <c r="H199" s="128"/>
      <c r="I199" s="90"/>
      <c r="J199" s="90"/>
      <c r="K199" s="90"/>
      <c r="L199" s="128"/>
      <c r="M199" s="128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128"/>
      <c r="Y199" s="128"/>
      <c r="Z199" s="90"/>
      <c r="AA199" s="90"/>
      <c r="AB199" s="90"/>
      <c r="AC199" s="90"/>
      <c r="AD199" s="90"/>
      <c r="AE199" s="90"/>
      <c r="AF199" s="90"/>
      <c r="AG199" s="90"/>
      <c r="AH199" s="90"/>
    </row>
    <row r="200" spans="1:34" ht="15.75" customHeight="1" x14ac:dyDescent="0.2">
      <c r="A200" s="128"/>
      <c r="B200" s="90"/>
      <c r="C200" s="90"/>
      <c r="D200" s="90"/>
      <c r="E200" s="90"/>
      <c r="F200" s="90"/>
      <c r="G200" s="90"/>
      <c r="H200" s="128"/>
      <c r="I200" s="90"/>
      <c r="J200" s="90"/>
      <c r="K200" s="90"/>
      <c r="L200" s="128"/>
      <c r="M200" s="128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128"/>
      <c r="Y200" s="128"/>
      <c r="Z200" s="90"/>
      <c r="AA200" s="90"/>
      <c r="AB200" s="90"/>
      <c r="AC200" s="90"/>
      <c r="AD200" s="90"/>
      <c r="AE200" s="90"/>
      <c r="AF200" s="90"/>
      <c r="AG200" s="90"/>
      <c r="AH200" s="90"/>
    </row>
    <row r="201" spans="1:34" ht="15.75" customHeight="1" x14ac:dyDescent="0.2">
      <c r="A201" s="128"/>
      <c r="B201" s="90"/>
      <c r="C201" s="90"/>
      <c r="D201" s="90"/>
      <c r="E201" s="90"/>
      <c r="F201" s="90"/>
      <c r="G201" s="90"/>
      <c r="H201" s="128"/>
      <c r="I201" s="90"/>
      <c r="J201" s="90"/>
      <c r="K201" s="90"/>
      <c r="L201" s="128"/>
      <c r="M201" s="128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128"/>
      <c r="Y201" s="128"/>
      <c r="Z201" s="90"/>
      <c r="AA201" s="90"/>
      <c r="AB201" s="90"/>
      <c r="AC201" s="90"/>
      <c r="AD201" s="90"/>
      <c r="AE201" s="90"/>
      <c r="AF201" s="90"/>
      <c r="AG201" s="90"/>
      <c r="AH201" s="90"/>
    </row>
    <row r="202" spans="1:34" ht="15.75" customHeight="1" x14ac:dyDescent="0.2">
      <c r="A202" s="128"/>
      <c r="B202" s="90"/>
      <c r="C202" s="90"/>
      <c r="D202" s="90"/>
      <c r="E202" s="90"/>
      <c r="F202" s="90"/>
      <c r="G202" s="90"/>
      <c r="H202" s="128"/>
      <c r="I202" s="90"/>
      <c r="J202" s="90"/>
      <c r="K202" s="90"/>
      <c r="L202" s="128"/>
      <c r="M202" s="128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128"/>
      <c r="Y202" s="128"/>
      <c r="Z202" s="90"/>
      <c r="AA202" s="90"/>
      <c r="AB202" s="90"/>
      <c r="AC202" s="90"/>
      <c r="AD202" s="90"/>
      <c r="AE202" s="90"/>
      <c r="AF202" s="90"/>
      <c r="AG202" s="90"/>
      <c r="AH202" s="90"/>
    </row>
    <row r="203" spans="1:34" ht="15.75" customHeight="1" x14ac:dyDescent="0.2">
      <c r="A203" s="128"/>
      <c r="B203" s="90"/>
      <c r="C203" s="90"/>
      <c r="D203" s="90"/>
      <c r="E203" s="90"/>
      <c r="F203" s="90"/>
      <c r="G203" s="90"/>
      <c r="H203" s="128"/>
      <c r="I203" s="90"/>
      <c r="J203" s="90"/>
      <c r="K203" s="90"/>
      <c r="L203" s="128"/>
      <c r="M203" s="128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128"/>
      <c r="Y203" s="128"/>
      <c r="Z203" s="90"/>
      <c r="AA203" s="90"/>
      <c r="AB203" s="90"/>
      <c r="AC203" s="90"/>
      <c r="AD203" s="90"/>
      <c r="AE203" s="90"/>
      <c r="AF203" s="90"/>
      <c r="AG203" s="90"/>
      <c r="AH203" s="90"/>
    </row>
    <row r="204" spans="1:34" ht="15.75" customHeight="1" x14ac:dyDescent="0.2">
      <c r="A204" s="128"/>
      <c r="B204" s="90"/>
      <c r="C204" s="90"/>
      <c r="D204" s="90"/>
      <c r="E204" s="90"/>
      <c r="F204" s="90"/>
      <c r="G204" s="90"/>
      <c r="H204" s="128"/>
      <c r="I204" s="90"/>
      <c r="J204" s="90"/>
      <c r="K204" s="90"/>
      <c r="L204" s="128"/>
      <c r="M204" s="128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128"/>
      <c r="Y204" s="128"/>
      <c r="Z204" s="90"/>
      <c r="AA204" s="90"/>
      <c r="AB204" s="90"/>
      <c r="AC204" s="90"/>
      <c r="AD204" s="90"/>
      <c r="AE204" s="90"/>
      <c r="AF204" s="90"/>
      <c r="AG204" s="90"/>
      <c r="AH204" s="90"/>
    </row>
    <row r="205" spans="1:34" ht="15.75" customHeight="1" x14ac:dyDescent="0.2">
      <c r="A205" s="128"/>
      <c r="B205" s="90"/>
      <c r="C205" s="90"/>
      <c r="D205" s="90"/>
      <c r="E205" s="90"/>
      <c r="F205" s="90"/>
      <c r="G205" s="90"/>
      <c r="H205" s="128"/>
      <c r="I205" s="90"/>
      <c r="J205" s="90"/>
      <c r="K205" s="90"/>
      <c r="L205" s="128"/>
      <c r="M205" s="128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128"/>
      <c r="Y205" s="128"/>
      <c r="Z205" s="90"/>
      <c r="AA205" s="90"/>
      <c r="AB205" s="90"/>
      <c r="AC205" s="90"/>
      <c r="AD205" s="90"/>
      <c r="AE205" s="90"/>
      <c r="AF205" s="90"/>
      <c r="AG205" s="90"/>
      <c r="AH205" s="90"/>
    </row>
    <row r="206" spans="1:34" ht="15.75" customHeight="1" x14ac:dyDescent="0.2">
      <c r="A206" s="128"/>
      <c r="B206" s="90"/>
      <c r="C206" s="90"/>
      <c r="D206" s="90"/>
      <c r="E206" s="90"/>
      <c r="F206" s="90"/>
      <c r="G206" s="90"/>
      <c r="H206" s="128"/>
      <c r="I206" s="90"/>
      <c r="J206" s="90"/>
      <c r="K206" s="90"/>
      <c r="L206" s="128"/>
      <c r="M206" s="128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128"/>
      <c r="Y206" s="128"/>
      <c r="Z206" s="90"/>
      <c r="AA206" s="90"/>
      <c r="AB206" s="90"/>
      <c r="AC206" s="90"/>
      <c r="AD206" s="90"/>
      <c r="AE206" s="90"/>
      <c r="AF206" s="90"/>
      <c r="AG206" s="90"/>
      <c r="AH206" s="90"/>
    </row>
    <row r="207" spans="1:34" ht="15.75" customHeight="1" x14ac:dyDescent="0.2">
      <c r="A207" s="128"/>
      <c r="B207" s="90"/>
      <c r="C207" s="90"/>
      <c r="D207" s="90"/>
      <c r="E207" s="90"/>
      <c r="F207" s="90"/>
      <c r="G207" s="90"/>
      <c r="H207" s="128"/>
      <c r="I207" s="90"/>
      <c r="J207" s="90"/>
      <c r="K207" s="90"/>
      <c r="L207" s="128"/>
      <c r="M207" s="128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128"/>
      <c r="Y207" s="128"/>
      <c r="Z207" s="90"/>
      <c r="AA207" s="90"/>
      <c r="AB207" s="90"/>
      <c r="AC207" s="90"/>
      <c r="AD207" s="90"/>
      <c r="AE207" s="90"/>
      <c r="AF207" s="90"/>
      <c r="AG207" s="90"/>
      <c r="AH207" s="90"/>
    </row>
    <row r="208" spans="1:34" ht="15.75" customHeight="1" x14ac:dyDescent="0.2">
      <c r="A208" s="128"/>
      <c r="B208" s="90"/>
      <c r="C208" s="90"/>
      <c r="D208" s="90"/>
      <c r="E208" s="90"/>
      <c r="F208" s="90"/>
      <c r="G208" s="90"/>
      <c r="H208" s="128"/>
      <c r="I208" s="90"/>
      <c r="J208" s="90"/>
      <c r="K208" s="90"/>
      <c r="L208" s="128"/>
      <c r="M208" s="128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128"/>
      <c r="Y208" s="128"/>
      <c r="Z208" s="90"/>
      <c r="AA208" s="90"/>
      <c r="AB208" s="90"/>
      <c r="AC208" s="90"/>
      <c r="AD208" s="90"/>
      <c r="AE208" s="90"/>
      <c r="AF208" s="90"/>
      <c r="AG208" s="90"/>
      <c r="AH208" s="90"/>
    </row>
    <row r="209" spans="1:34" ht="15.75" customHeight="1" x14ac:dyDescent="0.2">
      <c r="A209" s="128"/>
      <c r="B209" s="90"/>
      <c r="C209" s="90"/>
      <c r="D209" s="90"/>
      <c r="E209" s="90"/>
      <c r="F209" s="90"/>
      <c r="G209" s="90"/>
      <c r="H209" s="128"/>
      <c r="I209" s="90"/>
      <c r="J209" s="90"/>
      <c r="K209" s="90"/>
      <c r="L209" s="128"/>
      <c r="M209" s="128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128"/>
      <c r="Y209" s="128"/>
      <c r="Z209" s="90"/>
      <c r="AA209" s="90"/>
      <c r="AB209" s="90"/>
      <c r="AC209" s="90"/>
      <c r="AD209" s="90"/>
      <c r="AE209" s="90"/>
      <c r="AF209" s="90"/>
      <c r="AG209" s="90"/>
      <c r="AH209" s="90"/>
    </row>
    <row r="210" spans="1:34" ht="15.75" customHeight="1" x14ac:dyDescent="0.2">
      <c r="A210" s="128"/>
      <c r="B210" s="90"/>
      <c r="C210" s="90"/>
      <c r="D210" s="90"/>
      <c r="E210" s="90"/>
      <c r="F210" s="90"/>
      <c r="G210" s="90"/>
      <c r="H210" s="128"/>
      <c r="I210" s="90"/>
      <c r="J210" s="90"/>
      <c r="K210" s="90"/>
      <c r="L210" s="128"/>
      <c r="M210" s="128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128"/>
      <c r="Y210" s="128"/>
      <c r="Z210" s="90"/>
      <c r="AA210" s="90"/>
      <c r="AB210" s="90"/>
      <c r="AC210" s="90"/>
      <c r="AD210" s="90"/>
      <c r="AE210" s="90"/>
      <c r="AF210" s="90"/>
      <c r="AG210" s="90"/>
      <c r="AH210" s="90"/>
    </row>
    <row r="211" spans="1:34" ht="15.75" customHeight="1" x14ac:dyDescent="0.2">
      <c r="A211" s="128"/>
      <c r="B211" s="90"/>
      <c r="C211" s="90"/>
      <c r="D211" s="90"/>
      <c r="E211" s="90"/>
      <c r="F211" s="90"/>
      <c r="G211" s="90"/>
      <c r="H211" s="128"/>
      <c r="I211" s="90"/>
      <c r="J211" s="90"/>
      <c r="K211" s="90"/>
      <c r="L211" s="128"/>
      <c r="M211" s="128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128"/>
      <c r="Y211" s="128"/>
      <c r="Z211" s="90"/>
      <c r="AA211" s="90"/>
      <c r="AB211" s="90"/>
      <c r="AC211" s="90"/>
      <c r="AD211" s="90"/>
      <c r="AE211" s="90"/>
      <c r="AF211" s="90"/>
      <c r="AG211" s="90"/>
      <c r="AH211" s="90"/>
    </row>
    <row r="212" spans="1:34" ht="15.75" customHeight="1" x14ac:dyDescent="0.2">
      <c r="A212" s="128"/>
      <c r="B212" s="90"/>
      <c r="C212" s="90"/>
      <c r="D212" s="90"/>
      <c r="E212" s="90"/>
      <c r="F212" s="90"/>
      <c r="G212" s="90"/>
      <c r="H212" s="128"/>
      <c r="I212" s="90"/>
      <c r="J212" s="90"/>
      <c r="K212" s="90"/>
      <c r="L212" s="128"/>
      <c r="M212" s="128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128"/>
      <c r="Y212" s="128"/>
      <c r="Z212" s="90"/>
      <c r="AA212" s="90"/>
      <c r="AB212" s="90"/>
      <c r="AC212" s="90"/>
      <c r="AD212" s="90"/>
      <c r="AE212" s="90"/>
      <c r="AF212" s="90"/>
      <c r="AG212" s="90"/>
      <c r="AH212" s="90"/>
    </row>
    <row r="213" spans="1:34" ht="15.75" customHeight="1" x14ac:dyDescent="0.2">
      <c r="A213" s="128"/>
      <c r="B213" s="90"/>
      <c r="C213" s="90"/>
      <c r="D213" s="90"/>
      <c r="E213" s="90"/>
      <c r="F213" s="90"/>
      <c r="G213" s="90"/>
      <c r="H213" s="128"/>
      <c r="I213" s="90"/>
      <c r="J213" s="90"/>
      <c r="K213" s="90"/>
      <c r="L213" s="128"/>
      <c r="M213" s="128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128"/>
      <c r="Y213" s="128"/>
      <c r="Z213" s="90"/>
      <c r="AA213" s="90"/>
      <c r="AB213" s="90"/>
      <c r="AC213" s="90"/>
      <c r="AD213" s="90"/>
      <c r="AE213" s="90"/>
      <c r="AF213" s="90"/>
      <c r="AG213" s="90"/>
      <c r="AH213" s="90"/>
    </row>
    <row r="214" spans="1:34" ht="15.75" customHeight="1" x14ac:dyDescent="0.2">
      <c r="A214" s="128"/>
      <c r="B214" s="90"/>
      <c r="C214" s="90"/>
      <c r="D214" s="90"/>
      <c r="E214" s="90"/>
      <c r="F214" s="90"/>
      <c r="G214" s="90"/>
      <c r="H214" s="128"/>
      <c r="I214" s="90"/>
      <c r="J214" s="90"/>
      <c r="K214" s="90"/>
      <c r="L214" s="128"/>
      <c r="M214" s="128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128"/>
      <c r="Y214" s="128"/>
      <c r="Z214" s="90"/>
      <c r="AA214" s="90"/>
      <c r="AB214" s="90"/>
      <c r="AC214" s="90"/>
      <c r="AD214" s="90"/>
      <c r="AE214" s="90"/>
      <c r="AF214" s="90"/>
      <c r="AG214" s="90"/>
      <c r="AH214" s="90"/>
    </row>
    <row r="215" spans="1:34" ht="15.75" customHeight="1" x14ac:dyDescent="0.2">
      <c r="A215" s="128"/>
      <c r="B215" s="90"/>
      <c r="C215" s="90"/>
      <c r="D215" s="90"/>
      <c r="E215" s="90"/>
      <c r="F215" s="90"/>
      <c r="G215" s="90"/>
      <c r="H215" s="128"/>
      <c r="I215" s="90"/>
      <c r="J215" s="90"/>
      <c r="K215" s="90"/>
      <c r="L215" s="128"/>
      <c r="M215" s="128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128"/>
      <c r="Y215" s="128"/>
      <c r="Z215" s="90"/>
      <c r="AA215" s="90"/>
      <c r="AB215" s="90"/>
      <c r="AC215" s="90"/>
      <c r="AD215" s="90"/>
      <c r="AE215" s="90"/>
      <c r="AF215" s="90"/>
      <c r="AG215" s="90"/>
      <c r="AH215" s="90"/>
    </row>
    <row r="216" spans="1:34" ht="15.75" customHeight="1" x14ac:dyDescent="0.2">
      <c r="A216" s="128"/>
      <c r="B216" s="90"/>
      <c r="C216" s="90"/>
      <c r="D216" s="90"/>
      <c r="E216" s="90"/>
      <c r="F216" s="90"/>
      <c r="G216" s="90"/>
      <c r="H216" s="128"/>
      <c r="I216" s="90"/>
      <c r="J216" s="90"/>
      <c r="K216" s="90"/>
      <c r="L216" s="128"/>
      <c r="M216" s="128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128"/>
      <c r="Y216" s="128"/>
      <c r="Z216" s="90"/>
      <c r="AA216" s="90"/>
      <c r="AB216" s="90"/>
      <c r="AC216" s="90"/>
      <c r="AD216" s="90"/>
      <c r="AE216" s="90"/>
      <c r="AF216" s="90"/>
      <c r="AG216" s="90"/>
      <c r="AH216" s="90"/>
    </row>
    <row r="217" spans="1:34" ht="15.75" customHeight="1" x14ac:dyDescent="0.2">
      <c r="A217" s="128"/>
      <c r="B217" s="90"/>
      <c r="C217" s="90"/>
      <c r="D217" s="90"/>
      <c r="E217" s="90"/>
      <c r="F217" s="90"/>
      <c r="G217" s="90"/>
      <c r="H217" s="128"/>
      <c r="I217" s="90"/>
      <c r="J217" s="90"/>
      <c r="K217" s="90"/>
      <c r="L217" s="128"/>
      <c r="M217" s="128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128"/>
      <c r="Y217" s="128"/>
      <c r="Z217" s="90"/>
      <c r="AA217" s="90"/>
      <c r="AB217" s="90"/>
      <c r="AC217" s="90"/>
      <c r="AD217" s="90"/>
      <c r="AE217" s="90"/>
      <c r="AF217" s="90"/>
      <c r="AG217" s="90"/>
      <c r="AH217" s="90"/>
    </row>
    <row r="218" spans="1:34" ht="15.75" customHeight="1" x14ac:dyDescent="0.2">
      <c r="A218" s="128"/>
      <c r="B218" s="90"/>
      <c r="C218" s="90"/>
      <c r="D218" s="90"/>
      <c r="E218" s="90"/>
      <c r="F218" s="90"/>
      <c r="G218" s="90"/>
      <c r="H218" s="128"/>
      <c r="I218" s="90"/>
      <c r="J218" s="90"/>
      <c r="K218" s="90"/>
      <c r="L218" s="128"/>
      <c r="M218" s="128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128"/>
      <c r="Y218" s="128"/>
      <c r="Z218" s="90"/>
      <c r="AA218" s="90"/>
      <c r="AB218" s="90"/>
      <c r="AC218" s="90"/>
      <c r="AD218" s="90"/>
      <c r="AE218" s="90"/>
      <c r="AF218" s="90"/>
      <c r="AG218" s="90"/>
      <c r="AH218" s="90"/>
    </row>
    <row r="219" spans="1:34" ht="15.75" customHeight="1" x14ac:dyDescent="0.2">
      <c r="A219" s="128"/>
      <c r="B219" s="90"/>
      <c r="C219" s="90"/>
      <c r="D219" s="90"/>
      <c r="E219" s="90"/>
      <c r="F219" s="90"/>
      <c r="G219" s="90"/>
      <c r="H219" s="128"/>
      <c r="I219" s="90"/>
      <c r="J219" s="90"/>
      <c r="K219" s="90"/>
      <c r="L219" s="128"/>
      <c r="M219" s="128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128"/>
      <c r="Y219" s="128"/>
      <c r="Z219" s="90"/>
      <c r="AA219" s="90"/>
      <c r="AB219" s="90"/>
      <c r="AC219" s="90"/>
      <c r="AD219" s="90"/>
      <c r="AE219" s="90"/>
      <c r="AF219" s="90"/>
      <c r="AG219" s="90"/>
      <c r="AH219" s="90"/>
    </row>
    <row r="220" spans="1:34" ht="15.75" customHeight="1" x14ac:dyDescent="0.2">
      <c r="A220" s="128"/>
      <c r="B220" s="90"/>
      <c r="C220" s="90"/>
      <c r="D220" s="90"/>
      <c r="E220" s="90"/>
      <c r="F220" s="90"/>
      <c r="G220" s="90"/>
      <c r="H220" s="128"/>
      <c r="I220" s="90"/>
      <c r="J220" s="90"/>
      <c r="K220" s="90"/>
      <c r="L220" s="128"/>
      <c r="M220" s="128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128"/>
      <c r="Y220" s="128"/>
      <c r="Z220" s="90"/>
      <c r="AA220" s="90"/>
      <c r="AB220" s="90"/>
      <c r="AC220" s="90"/>
      <c r="AD220" s="90"/>
      <c r="AE220" s="90"/>
      <c r="AF220" s="90"/>
      <c r="AG220" s="90"/>
      <c r="AH220" s="90"/>
    </row>
    <row r="221" spans="1:34" ht="15.75" customHeight="1" x14ac:dyDescent="0.2">
      <c r="A221" s="128"/>
      <c r="B221" s="90"/>
      <c r="C221" s="90"/>
      <c r="D221" s="90"/>
      <c r="E221" s="90"/>
      <c r="F221" s="90"/>
      <c r="G221" s="90"/>
      <c r="H221" s="128"/>
      <c r="I221" s="90"/>
      <c r="J221" s="90"/>
      <c r="K221" s="90"/>
      <c r="L221" s="128"/>
      <c r="M221" s="128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128"/>
      <c r="Y221" s="128"/>
      <c r="Z221" s="90"/>
      <c r="AA221" s="90"/>
      <c r="AB221" s="90"/>
      <c r="AC221" s="90"/>
      <c r="AD221" s="90"/>
      <c r="AE221" s="90"/>
      <c r="AF221" s="90"/>
      <c r="AG221" s="90"/>
      <c r="AH221" s="90"/>
    </row>
    <row r="222" spans="1:34" ht="15.75" customHeight="1" x14ac:dyDescent="0.2">
      <c r="A222" s="128"/>
      <c r="B222" s="90"/>
      <c r="C222" s="90"/>
      <c r="D222" s="90"/>
      <c r="E222" s="90"/>
      <c r="F222" s="90"/>
      <c r="G222" s="90"/>
      <c r="H222" s="128"/>
      <c r="I222" s="90"/>
      <c r="J222" s="90"/>
      <c r="K222" s="90"/>
      <c r="L222" s="128"/>
      <c r="M222" s="128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128"/>
      <c r="Y222" s="128"/>
      <c r="Z222" s="90"/>
      <c r="AA222" s="90"/>
      <c r="AB222" s="90"/>
      <c r="AC222" s="90"/>
      <c r="AD222" s="90"/>
      <c r="AE222" s="90"/>
      <c r="AF222" s="90"/>
      <c r="AG222" s="90"/>
      <c r="AH222" s="90"/>
    </row>
    <row r="223" spans="1:34" ht="15.75" customHeight="1" x14ac:dyDescent="0.2">
      <c r="A223" s="128"/>
      <c r="B223" s="90"/>
      <c r="C223" s="90"/>
      <c r="D223" s="90"/>
      <c r="E223" s="90"/>
      <c r="F223" s="90"/>
      <c r="G223" s="90"/>
      <c r="H223" s="128"/>
      <c r="I223" s="90"/>
      <c r="J223" s="90"/>
      <c r="K223" s="90"/>
      <c r="L223" s="128"/>
      <c r="M223" s="128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128"/>
      <c r="Y223" s="128"/>
      <c r="Z223" s="90"/>
      <c r="AA223" s="90"/>
      <c r="AB223" s="90"/>
      <c r="AC223" s="90"/>
      <c r="AD223" s="90"/>
      <c r="AE223" s="90"/>
      <c r="AF223" s="90"/>
      <c r="AG223" s="90"/>
      <c r="AH223" s="90"/>
    </row>
    <row r="224" spans="1:34" ht="15.75" customHeight="1" x14ac:dyDescent="0.2">
      <c r="A224" s="128"/>
      <c r="B224" s="90"/>
      <c r="C224" s="90"/>
      <c r="D224" s="90"/>
      <c r="E224" s="90"/>
      <c r="F224" s="90"/>
      <c r="G224" s="90"/>
      <c r="H224" s="128"/>
      <c r="I224" s="90"/>
      <c r="J224" s="90"/>
      <c r="K224" s="90"/>
      <c r="L224" s="128"/>
      <c r="M224" s="128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128"/>
      <c r="Y224" s="128"/>
      <c r="Z224" s="90"/>
      <c r="AA224" s="90"/>
      <c r="AB224" s="90"/>
      <c r="AC224" s="90"/>
      <c r="AD224" s="90"/>
      <c r="AE224" s="90"/>
      <c r="AF224" s="90"/>
      <c r="AG224" s="90"/>
      <c r="AH224" s="90"/>
    </row>
    <row r="225" spans="1:34" ht="15.75" customHeight="1" x14ac:dyDescent="0.2">
      <c r="A225" s="128"/>
      <c r="B225" s="90"/>
      <c r="C225" s="90"/>
      <c r="D225" s="90"/>
      <c r="E225" s="90"/>
      <c r="F225" s="90"/>
      <c r="G225" s="90"/>
      <c r="H225" s="128"/>
      <c r="I225" s="90"/>
      <c r="J225" s="90"/>
      <c r="K225" s="90"/>
      <c r="L225" s="128"/>
      <c r="M225" s="128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128"/>
      <c r="Y225" s="128"/>
      <c r="Z225" s="90"/>
      <c r="AA225" s="90"/>
      <c r="AB225" s="90"/>
      <c r="AC225" s="90"/>
      <c r="AD225" s="90"/>
      <c r="AE225" s="90"/>
      <c r="AF225" s="90"/>
      <c r="AG225" s="90"/>
      <c r="AH225" s="90"/>
    </row>
    <row r="226" spans="1:34" ht="15.75" customHeight="1" x14ac:dyDescent="0.2">
      <c r="A226" s="128"/>
      <c r="B226" s="90"/>
      <c r="C226" s="90"/>
      <c r="D226" s="90"/>
      <c r="E226" s="90"/>
      <c r="F226" s="90"/>
      <c r="G226" s="90"/>
      <c r="H226" s="128"/>
      <c r="I226" s="90"/>
      <c r="J226" s="90"/>
      <c r="K226" s="90"/>
      <c r="L226" s="128"/>
      <c r="M226" s="128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128"/>
      <c r="Y226" s="128"/>
      <c r="Z226" s="90"/>
      <c r="AA226" s="90"/>
      <c r="AB226" s="90"/>
      <c r="AC226" s="90"/>
      <c r="AD226" s="90"/>
      <c r="AE226" s="90"/>
      <c r="AF226" s="90"/>
      <c r="AG226" s="90"/>
      <c r="AH226" s="90"/>
    </row>
    <row r="227" spans="1:34" ht="15.75" customHeight="1" x14ac:dyDescent="0.2">
      <c r="A227" s="128"/>
      <c r="B227" s="90"/>
      <c r="C227" s="90"/>
      <c r="D227" s="90"/>
      <c r="E227" s="90"/>
      <c r="F227" s="90"/>
      <c r="G227" s="90"/>
      <c r="H227" s="128"/>
      <c r="I227" s="90"/>
      <c r="J227" s="90"/>
      <c r="K227" s="90"/>
      <c r="L227" s="128"/>
      <c r="M227" s="128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128"/>
      <c r="Y227" s="128"/>
      <c r="Z227" s="90"/>
      <c r="AA227" s="90"/>
      <c r="AB227" s="90"/>
      <c r="AC227" s="90"/>
      <c r="AD227" s="90"/>
      <c r="AE227" s="90"/>
      <c r="AF227" s="90"/>
      <c r="AG227" s="90"/>
      <c r="AH227" s="90"/>
    </row>
    <row r="228" spans="1:34" ht="15.75" customHeight="1" x14ac:dyDescent="0.2">
      <c r="A228" s="128"/>
      <c r="B228" s="90"/>
      <c r="C228" s="90"/>
      <c r="D228" s="90"/>
      <c r="E228" s="90"/>
      <c r="F228" s="90"/>
      <c r="G228" s="90"/>
      <c r="H228" s="128"/>
      <c r="I228" s="90"/>
      <c r="J228" s="90"/>
      <c r="K228" s="90"/>
      <c r="L228" s="128"/>
      <c r="M228" s="128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128"/>
      <c r="Y228" s="128"/>
      <c r="Z228" s="90"/>
      <c r="AA228" s="90"/>
      <c r="AB228" s="90"/>
      <c r="AC228" s="90"/>
      <c r="AD228" s="90"/>
      <c r="AE228" s="90"/>
      <c r="AF228" s="90"/>
      <c r="AG228" s="90"/>
      <c r="AH228" s="90"/>
    </row>
    <row r="229" spans="1:34" ht="15.75" customHeight="1" x14ac:dyDescent="0.2">
      <c r="A229" s="128"/>
      <c r="B229" s="90"/>
      <c r="C229" s="90"/>
      <c r="D229" s="90"/>
      <c r="E229" s="90"/>
      <c r="F229" s="90"/>
      <c r="G229" s="90"/>
      <c r="H229" s="128"/>
      <c r="I229" s="90"/>
      <c r="J229" s="90"/>
      <c r="K229" s="90"/>
      <c r="L229" s="128"/>
      <c r="M229" s="128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128"/>
      <c r="Y229" s="128"/>
      <c r="Z229" s="90"/>
      <c r="AA229" s="90"/>
      <c r="AB229" s="90"/>
      <c r="AC229" s="90"/>
      <c r="AD229" s="90"/>
      <c r="AE229" s="90"/>
      <c r="AF229" s="90"/>
      <c r="AG229" s="90"/>
      <c r="AH229" s="90"/>
    </row>
    <row r="230" spans="1:34" ht="15.75" customHeight="1" x14ac:dyDescent="0.2">
      <c r="A230" s="128"/>
      <c r="B230" s="90"/>
      <c r="C230" s="90"/>
      <c r="D230" s="90"/>
      <c r="E230" s="90"/>
      <c r="F230" s="90"/>
      <c r="G230" s="90"/>
      <c r="H230" s="128"/>
      <c r="I230" s="90"/>
      <c r="J230" s="90"/>
      <c r="K230" s="90"/>
      <c r="L230" s="128"/>
      <c r="M230" s="128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128"/>
      <c r="Y230" s="128"/>
      <c r="Z230" s="90"/>
      <c r="AA230" s="90"/>
      <c r="AB230" s="90"/>
      <c r="AC230" s="90"/>
      <c r="AD230" s="90"/>
      <c r="AE230" s="90"/>
      <c r="AF230" s="90"/>
      <c r="AG230" s="90"/>
      <c r="AH230" s="90"/>
    </row>
    <row r="231" spans="1:34" ht="15.75" customHeight="1" x14ac:dyDescent="0.2"/>
    <row r="232" spans="1:34" ht="15.75" customHeight="1" x14ac:dyDescent="0.2"/>
    <row r="233" spans="1:34" ht="15.75" customHeight="1" x14ac:dyDescent="0.2"/>
    <row r="234" spans="1:34" ht="15.75" customHeight="1" x14ac:dyDescent="0.2"/>
    <row r="235" spans="1:34" ht="15.75" customHeight="1" x14ac:dyDescent="0.2"/>
    <row r="236" spans="1:34" ht="15.75" customHeight="1" x14ac:dyDescent="0.2"/>
    <row r="237" spans="1:34" ht="15.75" customHeight="1" x14ac:dyDescent="0.2"/>
    <row r="238" spans="1:34" ht="15.75" customHeight="1" x14ac:dyDescent="0.2"/>
    <row r="239" spans="1:34" ht="15.75" customHeight="1" x14ac:dyDescent="0.2"/>
    <row r="240" spans="1:34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I4:AI5"/>
  </mergeCells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I1000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X2" sqref="X2"/>
    </sheetView>
  </sheetViews>
  <sheetFormatPr defaultColWidth="12.5703125" defaultRowHeight="15" customHeight="1" x14ac:dyDescent="0.2"/>
  <cols>
    <col min="1" max="1" width="10.5703125" customWidth="1"/>
    <col min="2" max="2" width="12.140625" customWidth="1"/>
    <col min="3" max="3" width="7.85546875" customWidth="1"/>
    <col min="4" max="4" width="7.28515625" customWidth="1"/>
    <col min="5" max="5" width="11.5703125" customWidth="1"/>
    <col min="6" max="7" width="7.7109375" customWidth="1"/>
    <col min="8" max="8" width="9.140625" customWidth="1"/>
    <col min="9" max="9" width="8.42578125" customWidth="1"/>
    <col min="10" max="10" width="9.42578125" customWidth="1"/>
    <col min="11" max="11" width="9" customWidth="1"/>
    <col min="12" max="12" width="8.42578125" customWidth="1"/>
    <col min="13" max="13" width="10.7109375" customWidth="1"/>
    <col min="14" max="14" width="11.42578125" customWidth="1"/>
    <col min="15" max="17" width="6.42578125" customWidth="1"/>
    <col min="18" max="18" width="5.140625" customWidth="1"/>
    <col min="19" max="19" width="8.42578125" customWidth="1"/>
    <col min="20" max="20" width="6.42578125" customWidth="1"/>
    <col min="21" max="21" width="7.7109375" customWidth="1"/>
    <col min="22" max="22" width="8.85546875" customWidth="1"/>
    <col min="23" max="23" width="8.140625" customWidth="1"/>
    <col min="24" max="25" width="8.42578125" customWidth="1"/>
    <col min="27" max="27" width="25.140625" customWidth="1"/>
    <col min="28" max="28" width="10" customWidth="1"/>
    <col min="29" max="29" width="15.7109375" customWidth="1"/>
    <col min="30" max="30" width="13" customWidth="1"/>
  </cols>
  <sheetData>
    <row r="1" spans="1:35" ht="15.75" customHeight="1" x14ac:dyDescent="0.2">
      <c r="A1" s="129"/>
      <c r="B1" s="130"/>
      <c r="C1" s="130"/>
      <c r="D1" s="130"/>
      <c r="E1" s="130"/>
      <c r="F1" s="130"/>
      <c r="G1" s="131" t="s">
        <v>268</v>
      </c>
      <c r="H1" s="129"/>
      <c r="I1" s="129"/>
      <c r="J1" s="129"/>
      <c r="K1" s="88" t="s">
        <v>1</v>
      </c>
      <c r="L1" s="130"/>
      <c r="M1" s="130"/>
      <c r="N1" s="130"/>
      <c r="O1" s="130"/>
      <c r="P1" s="130"/>
      <c r="Q1" s="130"/>
      <c r="R1" s="130"/>
      <c r="S1" s="130"/>
      <c r="T1" s="130" t="s">
        <v>0</v>
      </c>
      <c r="U1" s="130"/>
      <c r="V1" s="130"/>
      <c r="W1" s="130"/>
      <c r="X1" s="132"/>
      <c r="Y1" s="129"/>
      <c r="Z1" s="130"/>
      <c r="AA1" s="86"/>
      <c r="AB1" s="130"/>
      <c r="AC1" s="86"/>
      <c r="AD1" s="130"/>
      <c r="AE1" s="130"/>
      <c r="AF1" s="130"/>
      <c r="AG1" s="130"/>
      <c r="AH1" s="130"/>
    </row>
    <row r="2" spans="1:35" ht="15.75" customHeight="1" x14ac:dyDescent="0.2">
      <c r="A2" s="129"/>
      <c r="B2" s="130"/>
      <c r="C2" s="130"/>
      <c r="D2" s="130"/>
      <c r="E2" s="130"/>
      <c r="F2" s="130"/>
      <c r="G2" s="131">
        <v>10000</v>
      </c>
      <c r="H2" s="133" t="s">
        <v>2</v>
      </c>
      <c r="I2" s="133">
        <v>12000</v>
      </c>
      <c r="J2" s="134"/>
      <c r="K2" s="135">
        <v>200000</v>
      </c>
      <c r="L2" s="130"/>
      <c r="M2" s="9">
        <v>0</v>
      </c>
      <c r="N2" s="130"/>
      <c r="O2" s="130">
        <v>250</v>
      </c>
      <c r="P2" s="130">
        <v>200</v>
      </c>
      <c r="Q2" s="130">
        <v>150</v>
      </c>
      <c r="R2" s="130"/>
      <c r="S2" s="130"/>
      <c r="T2" s="130"/>
      <c r="U2" s="130">
        <v>0.12</v>
      </c>
      <c r="V2" s="130"/>
      <c r="W2" s="9">
        <v>7.0000000000000007E-2</v>
      </c>
      <c r="X2" s="132"/>
      <c r="Y2" s="129"/>
      <c r="Z2" s="130"/>
      <c r="AA2" s="86"/>
      <c r="AB2" s="130"/>
      <c r="AC2" s="86"/>
      <c r="AD2" s="130"/>
      <c r="AE2" s="130"/>
      <c r="AF2" s="130"/>
      <c r="AG2" s="130"/>
      <c r="AH2" s="130"/>
    </row>
    <row r="3" spans="1:35" ht="15.75" customHeight="1" x14ac:dyDescent="0.2">
      <c r="A3" s="136" t="s">
        <v>198</v>
      </c>
      <c r="B3" s="94" t="s">
        <v>4</v>
      </c>
      <c r="C3" s="136" t="s">
        <v>199</v>
      </c>
      <c r="D3" s="10" t="s">
        <v>6</v>
      </c>
      <c r="E3" s="10" t="s">
        <v>269</v>
      </c>
      <c r="F3" s="10" t="s">
        <v>201</v>
      </c>
      <c r="G3" s="10" t="s">
        <v>9</v>
      </c>
      <c r="H3" s="136" t="s">
        <v>10</v>
      </c>
      <c r="I3" s="136" t="s">
        <v>11</v>
      </c>
      <c r="J3" s="10" t="s">
        <v>12</v>
      </c>
      <c r="K3" s="136" t="s">
        <v>13</v>
      </c>
      <c r="L3" s="136" t="s">
        <v>14</v>
      </c>
      <c r="M3" s="136"/>
      <c r="N3" s="136" t="s">
        <v>15</v>
      </c>
      <c r="O3" s="136" t="s">
        <v>16</v>
      </c>
      <c r="P3" s="136" t="s">
        <v>17</v>
      </c>
      <c r="Q3" s="10" t="s">
        <v>18</v>
      </c>
      <c r="R3" s="136"/>
      <c r="S3" s="136" t="s">
        <v>19</v>
      </c>
      <c r="T3" s="136" t="s">
        <v>20</v>
      </c>
      <c r="U3" s="136" t="s">
        <v>21</v>
      </c>
      <c r="V3" s="136" t="s">
        <v>22</v>
      </c>
      <c r="W3" s="136" t="s">
        <v>23</v>
      </c>
      <c r="X3" s="136" t="s">
        <v>24</v>
      </c>
      <c r="Y3" s="136" t="s">
        <v>25</v>
      </c>
      <c r="Z3" s="136"/>
      <c r="AA3" s="95" t="s">
        <v>26</v>
      </c>
      <c r="AB3" s="10" t="s">
        <v>27</v>
      </c>
      <c r="AC3" s="95" t="s">
        <v>28</v>
      </c>
      <c r="AD3" s="10" t="s">
        <v>29</v>
      </c>
      <c r="AE3" s="10" t="s">
        <v>30</v>
      </c>
      <c r="AF3" s="45" t="s">
        <v>31</v>
      </c>
      <c r="AG3" s="45" t="s">
        <v>32</v>
      </c>
      <c r="AH3" s="45" t="s">
        <v>33</v>
      </c>
      <c r="AI3" s="45" t="s">
        <v>34</v>
      </c>
    </row>
    <row r="4" spans="1:35" ht="15.75" customHeight="1" x14ac:dyDescent="0.2">
      <c r="A4" s="137" t="s">
        <v>270</v>
      </c>
      <c r="B4" s="138">
        <f t="shared" ref="B4:B31" si="0">C4+E4</f>
        <v>137.54</v>
      </c>
      <c r="C4" s="138">
        <v>137.54</v>
      </c>
      <c r="D4" s="138">
        <f t="shared" ref="D4:D32" si="1">C4*10.764</f>
        <v>1480.4805599999997</v>
      </c>
      <c r="E4" s="138">
        <v>0</v>
      </c>
      <c r="F4" s="139">
        <f t="shared" ref="F4:F32" si="2">E4*10.764</f>
        <v>0</v>
      </c>
      <c r="G4" s="138">
        <f t="shared" ref="G4:G32" si="3">D4+F4</f>
        <v>1480.4805599999997</v>
      </c>
      <c r="H4" s="140">
        <f t="shared" ref="H4:H31" si="4">(D4+F4)*1.5</f>
        <v>2220.7208399999995</v>
      </c>
      <c r="I4" s="141">
        <f t="shared" ref="I4:I31" si="5">H4*$I$2</f>
        <v>26648650.079999994</v>
      </c>
      <c r="J4" s="141">
        <v>500000</v>
      </c>
      <c r="K4" s="142">
        <v>1000000</v>
      </c>
      <c r="L4" s="141">
        <f t="shared" ref="L4:L32" si="6">SUM(I4:K4)</f>
        <v>28148650.079999994</v>
      </c>
      <c r="M4" s="141">
        <f t="shared" ref="M4:M32" si="7">($M$2*L4)</f>
        <v>0</v>
      </c>
      <c r="N4" s="141">
        <f t="shared" ref="N4:N32" si="8">L4-M4</f>
        <v>28148650.079999994</v>
      </c>
      <c r="O4" s="141">
        <f t="shared" ref="O4:O32" si="9">H4*$O$2</f>
        <v>555180.20999999985</v>
      </c>
      <c r="P4" s="141">
        <f t="shared" ref="P4:P32" si="10">H4*$P$2</f>
        <v>444144.16799999989</v>
      </c>
      <c r="Q4" s="141">
        <f t="shared" ref="Q4:Q32" si="11">H4*$Q$2</f>
        <v>333108.12599999993</v>
      </c>
      <c r="R4" s="141">
        <v>0</v>
      </c>
      <c r="S4" s="141">
        <f t="shared" ref="S4:S32" si="12">SUM(N4:R4)</f>
        <v>29481082.583999995</v>
      </c>
      <c r="T4" s="141">
        <v>30000</v>
      </c>
      <c r="U4" s="141">
        <f t="shared" ref="U4:U32" si="13">$U$2*N4</f>
        <v>3377838.0095999991</v>
      </c>
      <c r="V4" s="141">
        <f t="shared" ref="V4:V32" si="14">(12%*O4)+(12%*P4)+(12%*Q4)</f>
        <v>159891.90047999995</v>
      </c>
      <c r="W4" s="141">
        <f t="shared" ref="W4:W32" si="15">CEILING(($W$2*N4),100)</f>
        <v>1970500</v>
      </c>
      <c r="X4" s="143">
        <v>6000</v>
      </c>
      <c r="Y4" s="143">
        <f t="shared" ref="Y4:Y32" si="16">SUM(S4:X4)</f>
        <v>35025312.494079992</v>
      </c>
      <c r="Z4" s="144"/>
      <c r="AA4" s="127"/>
      <c r="AB4" s="144"/>
      <c r="AC4" s="127"/>
      <c r="AD4" s="144"/>
      <c r="AE4" s="145" t="s">
        <v>271</v>
      </c>
      <c r="AF4" s="146" t="s">
        <v>272</v>
      </c>
      <c r="AG4" s="147" t="s">
        <v>273</v>
      </c>
      <c r="AH4" s="146" t="s">
        <v>274</v>
      </c>
      <c r="AI4" s="145" t="s">
        <v>275</v>
      </c>
    </row>
    <row r="5" spans="1:35" ht="15.75" customHeight="1" x14ac:dyDescent="0.2">
      <c r="A5" s="137" t="s">
        <v>276</v>
      </c>
      <c r="B5" s="138">
        <f t="shared" si="0"/>
        <v>113.25</v>
      </c>
      <c r="C5" s="138">
        <v>113.25</v>
      </c>
      <c r="D5" s="138">
        <f t="shared" si="1"/>
        <v>1219.0229999999999</v>
      </c>
      <c r="E5" s="139">
        <v>0</v>
      </c>
      <c r="F5" s="139">
        <f t="shared" si="2"/>
        <v>0</v>
      </c>
      <c r="G5" s="138">
        <f t="shared" si="3"/>
        <v>1219.0229999999999</v>
      </c>
      <c r="H5" s="140">
        <f t="shared" si="4"/>
        <v>1828.5344999999998</v>
      </c>
      <c r="I5" s="141">
        <f t="shared" si="5"/>
        <v>21942413.999999996</v>
      </c>
      <c r="J5" s="141">
        <v>500000</v>
      </c>
      <c r="K5" s="142">
        <v>1000000</v>
      </c>
      <c r="L5" s="141">
        <f t="shared" si="6"/>
        <v>23442413.999999996</v>
      </c>
      <c r="M5" s="141">
        <f t="shared" si="7"/>
        <v>0</v>
      </c>
      <c r="N5" s="141">
        <f t="shared" si="8"/>
        <v>23442413.999999996</v>
      </c>
      <c r="O5" s="141">
        <f t="shared" si="9"/>
        <v>457133.62499999994</v>
      </c>
      <c r="P5" s="141">
        <f t="shared" si="10"/>
        <v>365706.89999999997</v>
      </c>
      <c r="Q5" s="141">
        <f t="shared" si="11"/>
        <v>274280.17499999999</v>
      </c>
      <c r="R5" s="141">
        <v>0</v>
      </c>
      <c r="S5" s="141">
        <f t="shared" si="12"/>
        <v>24539534.699999996</v>
      </c>
      <c r="T5" s="141">
        <v>30000</v>
      </c>
      <c r="U5" s="141">
        <f t="shared" si="13"/>
        <v>2813089.6799999992</v>
      </c>
      <c r="V5" s="141">
        <f t="shared" si="14"/>
        <v>131654.484</v>
      </c>
      <c r="W5" s="141">
        <f t="shared" si="15"/>
        <v>1641000</v>
      </c>
      <c r="X5" s="143">
        <v>6000</v>
      </c>
      <c r="Y5" s="143">
        <f t="shared" si="16"/>
        <v>29161278.863999996</v>
      </c>
      <c r="Z5" s="144"/>
      <c r="AA5" s="127"/>
      <c r="AB5" s="144"/>
      <c r="AC5" s="127"/>
      <c r="AD5" s="144"/>
      <c r="AE5" s="147" t="s">
        <v>277</v>
      </c>
      <c r="AF5" s="146" t="s">
        <v>278</v>
      </c>
      <c r="AG5" s="147" t="s">
        <v>273</v>
      </c>
      <c r="AH5" s="146" t="s">
        <v>274</v>
      </c>
      <c r="AI5" s="145" t="s">
        <v>275</v>
      </c>
    </row>
    <row r="6" spans="1:35" ht="15.75" customHeight="1" x14ac:dyDescent="0.2">
      <c r="A6" s="137" t="s">
        <v>279</v>
      </c>
      <c r="B6" s="138">
        <f t="shared" si="0"/>
        <v>91.68</v>
      </c>
      <c r="C6" s="138">
        <v>91.68</v>
      </c>
      <c r="D6" s="138">
        <f t="shared" si="1"/>
        <v>986.84352000000001</v>
      </c>
      <c r="E6" s="139">
        <v>0</v>
      </c>
      <c r="F6" s="139">
        <f t="shared" si="2"/>
        <v>0</v>
      </c>
      <c r="G6" s="138">
        <f t="shared" si="3"/>
        <v>986.84352000000001</v>
      </c>
      <c r="H6" s="140">
        <f t="shared" si="4"/>
        <v>1480.2652800000001</v>
      </c>
      <c r="I6" s="141">
        <f t="shared" si="5"/>
        <v>17763183.359999999</v>
      </c>
      <c r="J6" s="141">
        <v>500000</v>
      </c>
      <c r="K6" s="142">
        <v>1000000</v>
      </c>
      <c r="L6" s="141">
        <f t="shared" si="6"/>
        <v>19263183.359999999</v>
      </c>
      <c r="M6" s="141">
        <f t="shared" si="7"/>
        <v>0</v>
      </c>
      <c r="N6" s="141">
        <f t="shared" si="8"/>
        <v>19263183.359999999</v>
      </c>
      <c r="O6" s="141">
        <f t="shared" si="9"/>
        <v>370066.32</v>
      </c>
      <c r="P6" s="141">
        <f t="shared" si="10"/>
        <v>296053.05600000004</v>
      </c>
      <c r="Q6" s="141">
        <f t="shared" si="11"/>
        <v>222039.79200000002</v>
      </c>
      <c r="R6" s="141">
        <v>0</v>
      </c>
      <c r="S6" s="141">
        <f t="shared" si="12"/>
        <v>20151342.528000001</v>
      </c>
      <c r="T6" s="141">
        <v>30000</v>
      </c>
      <c r="U6" s="141">
        <f t="shared" si="13"/>
        <v>2311582.0031999997</v>
      </c>
      <c r="V6" s="141">
        <f t="shared" si="14"/>
        <v>106579.10016</v>
      </c>
      <c r="W6" s="141">
        <f t="shared" si="15"/>
        <v>1348500</v>
      </c>
      <c r="X6" s="143">
        <v>6000</v>
      </c>
      <c r="Y6" s="143">
        <f t="shared" si="16"/>
        <v>23954003.631359998</v>
      </c>
      <c r="Z6" s="144"/>
      <c r="AA6" s="127"/>
      <c r="AB6" s="144"/>
      <c r="AC6" s="127"/>
      <c r="AD6" s="144"/>
      <c r="AE6" s="147" t="s">
        <v>280</v>
      </c>
      <c r="AF6" s="146" t="s">
        <v>281</v>
      </c>
      <c r="AG6" s="147" t="s">
        <v>273</v>
      </c>
      <c r="AH6" s="146" t="s">
        <v>274</v>
      </c>
      <c r="AI6" s="145" t="s">
        <v>275</v>
      </c>
    </row>
    <row r="7" spans="1:35" ht="15.75" customHeight="1" x14ac:dyDescent="0.2">
      <c r="A7" s="137" t="s">
        <v>282</v>
      </c>
      <c r="B7" s="138">
        <f t="shared" si="0"/>
        <v>92.86</v>
      </c>
      <c r="C7" s="138">
        <v>92.86</v>
      </c>
      <c r="D7" s="138">
        <f t="shared" si="1"/>
        <v>999.54503999999997</v>
      </c>
      <c r="E7" s="139">
        <v>0</v>
      </c>
      <c r="F7" s="139">
        <f t="shared" si="2"/>
        <v>0</v>
      </c>
      <c r="G7" s="138">
        <f t="shared" si="3"/>
        <v>999.54503999999997</v>
      </c>
      <c r="H7" s="140">
        <f t="shared" si="4"/>
        <v>1499.31756</v>
      </c>
      <c r="I7" s="141">
        <f t="shared" si="5"/>
        <v>17991810.719999999</v>
      </c>
      <c r="J7" s="141">
        <v>500000</v>
      </c>
      <c r="K7" s="142">
        <v>1000000</v>
      </c>
      <c r="L7" s="141">
        <f t="shared" si="6"/>
        <v>19491810.719999999</v>
      </c>
      <c r="M7" s="141">
        <f t="shared" si="7"/>
        <v>0</v>
      </c>
      <c r="N7" s="141">
        <f t="shared" si="8"/>
        <v>19491810.719999999</v>
      </c>
      <c r="O7" s="141">
        <f t="shared" si="9"/>
        <v>374829.39</v>
      </c>
      <c r="P7" s="141">
        <f t="shared" si="10"/>
        <v>299863.51199999999</v>
      </c>
      <c r="Q7" s="141">
        <f t="shared" si="11"/>
        <v>224897.63399999999</v>
      </c>
      <c r="R7" s="141">
        <v>0</v>
      </c>
      <c r="S7" s="141">
        <f t="shared" si="12"/>
        <v>20391401.255999997</v>
      </c>
      <c r="T7" s="141">
        <v>30000</v>
      </c>
      <c r="U7" s="141">
        <f t="shared" si="13"/>
        <v>2339017.2863999996</v>
      </c>
      <c r="V7" s="141">
        <f t="shared" si="14"/>
        <v>107950.86431999999</v>
      </c>
      <c r="W7" s="141">
        <f t="shared" si="15"/>
        <v>1364500</v>
      </c>
      <c r="X7" s="143">
        <v>6000</v>
      </c>
      <c r="Y7" s="143">
        <f t="shared" si="16"/>
        <v>24238869.406719994</v>
      </c>
      <c r="Z7" s="144"/>
      <c r="AA7" s="127"/>
      <c r="AB7" s="144"/>
      <c r="AC7" s="127"/>
      <c r="AD7" s="144"/>
      <c r="AE7" s="147" t="s">
        <v>283</v>
      </c>
      <c r="AF7" s="146" t="s">
        <v>284</v>
      </c>
      <c r="AG7" s="147" t="s">
        <v>273</v>
      </c>
      <c r="AH7" s="146" t="s">
        <v>274</v>
      </c>
      <c r="AI7" s="147" t="s">
        <v>285</v>
      </c>
    </row>
    <row r="8" spans="1:35" ht="15.75" customHeight="1" x14ac:dyDescent="0.2">
      <c r="A8" s="137" t="s">
        <v>286</v>
      </c>
      <c r="B8" s="138">
        <f t="shared" si="0"/>
        <v>92.66</v>
      </c>
      <c r="C8" s="138">
        <v>92.66</v>
      </c>
      <c r="D8" s="138">
        <f t="shared" si="1"/>
        <v>997.3922399999999</v>
      </c>
      <c r="E8" s="139">
        <v>0</v>
      </c>
      <c r="F8" s="139">
        <f t="shared" si="2"/>
        <v>0</v>
      </c>
      <c r="G8" s="138">
        <f t="shared" si="3"/>
        <v>997.3922399999999</v>
      </c>
      <c r="H8" s="140">
        <f t="shared" si="4"/>
        <v>1496.0883599999997</v>
      </c>
      <c r="I8" s="141">
        <f t="shared" si="5"/>
        <v>17953060.319999997</v>
      </c>
      <c r="J8" s="141">
        <v>500000</v>
      </c>
      <c r="K8" s="142">
        <v>1000000</v>
      </c>
      <c r="L8" s="141">
        <f t="shared" si="6"/>
        <v>19453060.319999997</v>
      </c>
      <c r="M8" s="141">
        <f t="shared" si="7"/>
        <v>0</v>
      </c>
      <c r="N8" s="141">
        <f t="shared" si="8"/>
        <v>19453060.319999997</v>
      </c>
      <c r="O8" s="141">
        <f t="shared" si="9"/>
        <v>374022.08999999991</v>
      </c>
      <c r="P8" s="141">
        <f t="shared" si="10"/>
        <v>299217.67199999996</v>
      </c>
      <c r="Q8" s="141">
        <f t="shared" si="11"/>
        <v>224413.25399999996</v>
      </c>
      <c r="R8" s="141">
        <v>0</v>
      </c>
      <c r="S8" s="141">
        <f t="shared" si="12"/>
        <v>20350713.335999995</v>
      </c>
      <c r="T8" s="141">
        <v>30000</v>
      </c>
      <c r="U8" s="141">
        <f t="shared" si="13"/>
        <v>2334367.2383999997</v>
      </c>
      <c r="V8" s="141">
        <f t="shared" si="14"/>
        <v>107718.36191999998</v>
      </c>
      <c r="W8" s="141">
        <f t="shared" si="15"/>
        <v>1361800</v>
      </c>
      <c r="X8" s="143">
        <v>6000</v>
      </c>
      <c r="Y8" s="143">
        <f t="shared" si="16"/>
        <v>24190598.936319996</v>
      </c>
      <c r="Z8" s="144"/>
      <c r="AA8" s="127"/>
      <c r="AB8" s="144"/>
      <c r="AC8" s="127"/>
      <c r="AD8" s="144"/>
      <c r="AE8" s="148" t="s">
        <v>287</v>
      </c>
      <c r="AF8" s="146" t="s">
        <v>288</v>
      </c>
      <c r="AG8" s="147" t="s">
        <v>273</v>
      </c>
      <c r="AH8" s="146" t="s">
        <v>274</v>
      </c>
      <c r="AI8" s="147" t="s">
        <v>285</v>
      </c>
    </row>
    <row r="9" spans="1:35" ht="15.75" customHeight="1" x14ac:dyDescent="0.2">
      <c r="A9" s="149" t="s">
        <v>210</v>
      </c>
      <c r="B9" s="13">
        <f t="shared" si="0"/>
        <v>34.25</v>
      </c>
      <c r="C9" s="13">
        <v>34.25</v>
      </c>
      <c r="D9" s="13">
        <f t="shared" si="1"/>
        <v>368.66699999999997</v>
      </c>
      <c r="E9" s="150">
        <v>0</v>
      </c>
      <c r="F9" s="150">
        <f t="shared" si="2"/>
        <v>0</v>
      </c>
      <c r="G9" s="13">
        <f t="shared" si="3"/>
        <v>368.66699999999997</v>
      </c>
      <c r="H9" s="106">
        <f t="shared" si="4"/>
        <v>553.00049999999999</v>
      </c>
      <c r="I9" s="15">
        <f t="shared" si="5"/>
        <v>6636006</v>
      </c>
      <c r="J9" s="15">
        <v>500000</v>
      </c>
      <c r="K9" s="30">
        <v>35000</v>
      </c>
      <c r="L9" s="15">
        <f t="shared" si="6"/>
        <v>7171006</v>
      </c>
      <c r="M9" s="15">
        <f t="shared" si="7"/>
        <v>0</v>
      </c>
      <c r="N9" s="15">
        <f t="shared" si="8"/>
        <v>7171006</v>
      </c>
      <c r="O9" s="15">
        <f t="shared" si="9"/>
        <v>138250.125</v>
      </c>
      <c r="P9" s="15">
        <f t="shared" si="10"/>
        <v>110600.09999999999</v>
      </c>
      <c r="Q9" s="15">
        <f t="shared" si="11"/>
        <v>82950.074999999997</v>
      </c>
      <c r="R9" s="15">
        <v>0</v>
      </c>
      <c r="S9" s="15">
        <f t="shared" si="12"/>
        <v>7502806.2999999998</v>
      </c>
      <c r="T9" s="15">
        <v>30000</v>
      </c>
      <c r="U9" s="15">
        <f t="shared" si="13"/>
        <v>860520.72</v>
      </c>
      <c r="V9" s="15">
        <f t="shared" si="14"/>
        <v>39816.036</v>
      </c>
      <c r="W9" s="15">
        <f t="shared" si="15"/>
        <v>502000</v>
      </c>
      <c r="X9" s="16">
        <v>6000</v>
      </c>
      <c r="Y9" s="16">
        <f t="shared" si="16"/>
        <v>8941143.0559999999</v>
      </c>
      <c r="Z9" s="151"/>
      <c r="AA9" s="32" t="s">
        <v>289</v>
      </c>
      <c r="AB9" s="151" t="s">
        <v>37</v>
      </c>
      <c r="AC9" s="32" t="s">
        <v>290</v>
      </c>
      <c r="AD9" s="151">
        <v>10353</v>
      </c>
      <c r="AE9" s="151" t="s">
        <v>291</v>
      </c>
      <c r="AF9" s="152">
        <v>175</v>
      </c>
      <c r="AG9" s="151" t="s">
        <v>45</v>
      </c>
      <c r="AH9" s="152" t="s">
        <v>40</v>
      </c>
      <c r="AI9" s="152" t="s">
        <v>292</v>
      </c>
    </row>
    <row r="10" spans="1:35" ht="15.75" customHeight="1" x14ac:dyDescent="0.2">
      <c r="A10" s="149" t="s">
        <v>212</v>
      </c>
      <c r="B10" s="13">
        <f t="shared" si="0"/>
        <v>34.1</v>
      </c>
      <c r="C10" s="13">
        <v>34.1</v>
      </c>
      <c r="D10" s="13">
        <f t="shared" si="1"/>
        <v>367.05239999999998</v>
      </c>
      <c r="E10" s="150">
        <v>0</v>
      </c>
      <c r="F10" s="150">
        <f t="shared" si="2"/>
        <v>0</v>
      </c>
      <c r="G10" s="13">
        <f t="shared" si="3"/>
        <v>367.05239999999998</v>
      </c>
      <c r="H10" s="106">
        <f t="shared" si="4"/>
        <v>550.57859999999994</v>
      </c>
      <c r="I10" s="15">
        <f t="shared" si="5"/>
        <v>6606943.1999999993</v>
      </c>
      <c r="J10" s="15">
        <v>500000</v>
      </c>
      <c r="K10" s="30">
        <v>70000</v>
      </c>
      <c r="L10" s="15">
        <f t="shared" si="6"/>
        <v>7176943.1999999993</v>
      </c>
      <c r="M10" s="15">
        <f t="shared" si="7"/>
        <v>0</v>
      </c>
      <c r="N10" s="15">
        <f t="shared" si="8"/>
        <v>7176943.1999999993</v>
      </c>
      <c r="O10" s="15">
        <f t="shared" si="9"/>
        <v>137644.65</v>
      </c>
      <c r="P10" s="15">
        <f t="shared" si="10"/>
        <v>110115.71999999999</v>
      </c>
      <c r="Q10" s="15">
        <f t="shared" si="11"/>
        <v>82586.789999999994</v>
      </c>
      <c r="R10" s="15">
        <v>0</v>
      </c>
      <c r="S10" s="15">
        <f t="shared" si="12"/>
        <v>7507290.3599999994</v>
      </c>
      <c r="T10" s="15">
        <v>30000</v>
      </c>
      <c r="U10" s="15">
        <f t="shared" si="13"/>
        <v>861233.18399999989</v>
      </c>
      <c r="V10" s="15">
        <f t="shared" si="14"/>
        <v>39641.659199999995</v>
      </c>
      <c r="W10" s="15">
        <f t="shared" si="15"/>
        <v>502400</v>
      </c>
      <c r="X10" s="16">
        <v>6000</v>
      </c>
      <c r="Y10" s="16">
        <f t="shared" si="16"/>
        <v>8946565.2031999994</v>
      </c>
      <c r="Z10" s="151"/>
      <c r="AA10" s="32" t="s">
        <v>293</v>
      </c>
      <c r="AB10" s="151" t="s">
        <v>37</v>
      </c>
      <c r="AC10" s="32" t="s">
        <v>83</v>
      </c>
      <c r="AD10" s="151">
        <v>9650</v>
      </c>
      <c r="AE10" s="151" t="s">
        <v>294</v>
      </c>
      <c r="AF10" s="151" t="s">
        <v>295</v>
      </c>
      <c r="AG10" s="151" t="s">
        <v>45</v>
      </c>
      <c r="AH10" s="152" t="s">
        <v>40</v>
      </c>
      <c r="AI10" s="151" t="s">
        <v>46</v>
      </c>
    </row>
    <row r="11" spans="1:35" ht="16.5" customHeight="1" x14ac:dyDescent="0.2">
      <c r="A11" s="153" t="s">
        <v>217</v>
      </c>
      <c r="B11" s="13">
        <f t="shared" si="0"/>
        <v>16.86</v>
      </c>
      <c r="C11" s="13">
        <v>16.86</v>
      </c>
      <c r="D11" s="13">
        <f t="shared" si="1"/>
        <v>181.48103999999998</v>
      </c>
      <c r="E11" s="150">
        <v>0</v>
      </c>
      <c r="F11" s="150">
        <f t="shared" si="2"/>
        <v>0</v>
      </c>
      <c r="G11" s="13">
        <f t="shared" si="3"/>
        <v>181.48103999999998</v>
      </c>
      <c r="H11" s="106">
        <f t="shared" si="4"/>
        <v>272.22155999999995</v>
      </c>
      <c r="I11" s="15">
        <f t="shared" si="5"/>
        <v>3266658.7199999993</v>
      </c>
      <c r="J11" s="15">
        <v>0</v>
      </c>
      <c r="K11" s="30">
        <v>35000</v>
      </c>
      <c r="L11" s="15">
        <f t="shared" si="6"/>
        <v>3301658.7199999993</v>
      </c>
      <c r="M11" s="15">
        <f t="shared" si="7"/>
        <v>0</v>
      </c>
      <c r="N11" s="15">
        <f t="shared" si="8"/>
        <v>3301658.7199999993</v>
      </c>
      <c r="O11" s="15">
        <f t="shared" si="9"/>
        <v>68055.389999999985</v>
      </c>
      <c r="P11" s="15">
        <f t="shared" si="10"/>
        <v>54444.311999999991</v>
      </c>
      <c r="Q11" s="15">
        <f t="shared" si="11"/>
        <v>40833.233999999997</v>
      </c>
      <c r="R11" s="15">
        <v>0</v>
      </c>
      <c r="S11" s="15">
        <f t="shared" si="12"/>
        <v>3464991.6559999995</v>
      </c>
      <c r="T11" s="15">
        <v>30000</v>
      </c>
      <c r="U11" s="15">
        <f t="shared" si="13"/>
        <v>396199.04639999988</v>
      </c>
      <c r="V11" s="15">
        <f t="shared" si="14"/>
        <v>19599.952319999997</v>
      </c>
      <c r="W11" s="15">
        <f t="shared" si="15"/>
        <v>231200</v>
      </c>
      <c r="X11" s="16">
        <v>6000</v>
      </c>
      <c r="Y11" s="16">
        <f t="shared" si="16"/>
        <v>4147990.6547199995</v>
      </c>
      <c r="Z11" s="151"/>
      <c r="AA11" s="32" t="s">
        <v>296</v>
      </c>
      <c r="AB11" s="151" t="s">
        <v>37</v>
      </c>
      <c r="AC11" s="32" t="s">
        <v>297</v>
      </c>
      <c r="AD11" s="151">
        <v>9000</v>
      </c>
      <c r="AE11" s="151"/>
      <c r="AF11" s="151">
        <v>134</v>
      </c>
      <c r="AG11" s="151"/>
      <c r="AH11" s="152" t="s">
        <v>40</v>
      </c>
      <c r="AI11" s="151" t="s">
        <v>46</v>
      </c>
    </row>
    <row r="12" spans="1:35" ht="15.75" customHeight="1" x14ac:dyDescent="0.2">
      <c r="A12" s="153" t="s">
        <v>220</v>
      </c>
      <c r="B12" s="13">
        <f t="shared" si="0"/>
        <v>16.989999999999998</v>
      </c>
      <c r="C12" s="13">
        <v>16.989999999999998</v>
      </c>
      <c r="D12" s="13">
        <f t="shared" si="1"/>
        <v>182.88035999999997</v>
      </c>
      <c r="E12" s="150">
        <v>0</v>
      </c>
      <c r="F12" s="150">
        <f t="shared" si="2"/>
        <v>0</v>
      </c>
      <c r="G12" s="13">
        <f t="shared" si="3"/>
        <v>182.88035999999997</v>
      </c>
      <c r="H12" s="106">
        <f t="shared" si="4"/>
        <v>274.32053999999994</v>
      </c>
      <c r="I12" s="15">
        <f t="shared" si="5"/>
        <v>3291846.4799999991</v>
      </c>
      <c r="J12" s="15">
        <v>0</v>
      </c>
      <c r="K12" s="30">
        <v>35000</v>
      </c>
      <c r="L12" s="15">
        <f t="shared" si="6"/>
        <v>3326846.4799999991</v>
      </c>
      <c r="M12" s="15">
        <f t="shared" si="7"/>
        <v>0</v>
      </c>
      <c r="N12" s="15">
        <f t="shared" si="8"/>
        <v>3326846.4799999991</v>
      </c>
      <c r="O12" s="15">
        <f t="shared" si="9"/>
        <v>68580.13499999998</v>
      </c>
      <c r="P12" s="15">
        <f t="shared" si="10"/>
        <v>54864.107999999986</v>
      </c>
      <c r="Q12" s="15">
        <f t="shared" si="11"/>
        <v>41148.080999999991</v>
      </c>
      <c r="R12" s="15">
        <v>0</v>
      </c>
      <c r="S12" s="15">
        <f t="shared" si="12"/>
        <v>3491438.8039999986</v>
      </c>
      <c r="T12" s="15">
        <v>30000</v>
      </c>
      <c r="U12" s="15">
        <f t="shared" si="13"/>
        <v>399221.57759999984</v>
      </c>
      <c r="V12" s="15">
        <f t="shared" si="14"/>
        <v>19751.078879999994</v>
      </c>
      <c r="W12" s="15">
        <f t="shared" si="15"/>
        <v>232900</v>
      </c>
      <c r="X12" s="16">
        <v>6000</v>
      </c>
      <c r="Y12" s="16">
        <f t="shared" si="16"/>
        <v>4179311.4604799985</v>
      </c>
      <c r="Z12" s="151"/>
      <c r="AA12" s="32" t="s">
        <v>298</v>
      </c>
      <c r="AB12" s="151" t="s">
        <v>37</v>
      </c>
      <c r="AC12" s="32" t="s">
        <v>297</v>
      </c>
      <c r="AD12" s="151">
        <v>9000</v>
      </c>
      <c r="AE12" s="151"/>
      <c r="AF12" s="151">
        <v>137</v>
      </c>
      <c r="AG12" s="151"/>
      <c r="AH12" s="152" t="s">
        <v>40</v>
      </c>
      <c r="AI12" s="151" t="s">
        <v>46</v>
      </c>
    </row>
    <row r="13" spans="1:35" ht="15" customHeight="1" x14ac:dyDescent="0.2">
      <c r="A13" s="153" t="s">
        <v>75</v>
      </c>
      <c r="B13" s="13">
        <f t="shared" si="0"/>
        <v>16.989999999999998</v>
      </c>
      <c r="C13" s="13">
        <v>16.989999999999998</v>
      </c>
      <c r="D13" s="13">
        <f t="shared" si="1"/>
        <v>182.88035999999997</v>
      </c>
      <c r="E13" s="150">
        <v>0</v>
      </c>
      <c r="F13" s="150">
        <f t="shared" si="2"/>
        <v>0</v>
      </c>
      <c r="G13" s="13">
        <f t="shared" si="3"/>
        <v>182.88035999999997</v>
      </c>
      <c r="H13" s="106">
        <f t="shared" si="4"/>
        <v>274.32053999999994</v>
      </c>
      <c r="I13" s="15">
        <f t="shared" si="5"/>
        <v>3291846.4799999991</v>
      </c>
      <c r="J13" s="15">
        <v>0</v>
      </c>
      <c r="K13" s="30">
        <v>35000</v>
      </c>
      <c r="L13" s="15">
        <f t="shared" si="6"/>
        <v>3326846.4799999991</v>
      </c>
      <c r="M13" s="15">
        <f t="shared" si="7"/>
        <v>0</v>
      </c>
      <c r="N13" s="15">
        <f t="shared" si="8"/>
        <v>3326846.4799999991</v>
      </c>
      <c r="O13" s="15">
        <f t="shared" si="9"/>
        <v>68580.13499999998</v>
      </c>
      <c r="P13" s="15">
        <f t="shared" si="10"/>
        <v>54864.107999999986</v>
      </c>
      <c r="Q13" s="15">
        <f t="shared" si="11"/>
        <v>41148.080999999991</v>
      </c>
      <c r="R13" s="15">
        <v>0</v>
      </c>
      <c r="S13" s="15">
        <f t="shared" si="12"/>
        <v>3491438.8039999986</v>
      </c>
      <c r="T13" s="15">
        <v>30000</v>
      </c>
      <c r="U13" s="15">
        <f t="shared" si="13"/>
        <v>399221.57759999984</v>
      </c>
      <c r="V13" s="15">
        <f t="shared" si="14"/>
        <v>19751.078879999994</v>
      </c>
      <c r="W13" s="15">
        <f t="shared" si="15"/>
        <v>232900</v>
      </c>
      <c r="X13" s="16">
        <v>6000</v>
      </c>
      <c r="Y13" s="16">
        <f t="shared" si="16"/>
        <v>4179311.4604799985</v>
      </c>
      <c r="Z13" s="151"/>
      <c r="AA13" s="32" t="s">
        <v>299</v>
      </c>
      <c r="AB13" s="151" t="s">
        <v>37</v>
      </c>
      <c r="AC13" s="32" t="s">
        <v>297</v>
      </c>
      <c r="AD13" s="151">
        <v>9000</v>
      </c>
      <c r="AE13" s="151"/>
      <c r="AF13" s="151">
        <v>136</v>
      </c>
      <c r="AG13" s="151"/>
      <c r="AH13" s="152" t="s">
        <v>40</v>
      </c>
      <c r="AI13" s="151" t="s">
        <v>46</v>
      </c>
    </row>
    <row r="14" spans="1:35" ht="15.75" customHeight="1" x14ac:dyDescent="0.2">
      <c r="A14" s="149" t="s">
        <v>78</v>
      </c>
      <c r="B14" s="13">
        <f t="shared" si="0"/>
        <v>20.71</v>
      </c>
      <c r="C14" s="13">
        <v>20.71</v>
      </c>
      <c r="D14" s="13">
        <f t="shared" si="1"/>
        <v>222.92243999999999</v>
      </c>
      <c r="E14" s="150">
        <v>0</v>
      </c>
      <c r="F14" s="150">
        <f t="shared" si="2"/>
        <v>0</v>
      </c>
      <c r="G14" s="13">
        <f t="shared" si="3"/>
        <v>222.92243999999999</v>
      </c>
      <c r="H14" s="106">
        <f t="shared" si="4"/>
        <v>334.38365999999996</v>
      </c>
      <c r="I14" s="15">
        <f t="shared" si="5"/>
        <v>4012603.9199999995</v>
      </c>
      <c r="J14" s="15">
        <v>0</v>
      </c>
      <c r="K14" s="30">
        <v>35000</v>
      </c>
      <c r="L14" s="15">
        <f t="shared" si="6"/>
        <v>4047603.9199999995</v>
      </c>
      <c r="M14" s="15">
        <f t="shared" si="7"/>
        <v>0</v>
      </c>
      <c r="N14" s="15">
        <f t="shared" si="8"/>
        <v>4047603.9199999995</v>
      </c>
      <c r="O14" s="15">
        <f t="shared" si="9"/>
        <v>83595.914999999994</v>
      </c>
      <c r="P14" s="15">
        <f t="shared" si="10"/>
        <v>66876.731999999989</v>
      </c>
      <c r="Q14" s="15">
        <f t="shared" si="11"/>
        <v>50157.548999999992</v>
      </c>
      <c r="R14" s="15">
        <v>0</v>
      </c>
      <c r="S14" s="15">
        <f t="shared" si="12"/>
        <v>4248234.1159999995</v>
      </c>
      <c r="T14" s="15">
        <v>30000</v>
      </c>
      <c r="U14" s="15">
        <f t="shared" si="13"/>
        <v>485712.47039999993</v>
      </c>
      <c r="V14" s="15">
        <f t="shared" si="14"/>
        <v>24075.623519999994</v>
      </c>
      <c r="W14" s="15">
        <f t="shared" si="15"/>
        <v>283400</v>
      </c>
      <c r="X14" s="16">
        <v>6000</v>
      </c>
      <c r="Y14" s="16">
        <f t="shared" si="16"/>
        <v>5077422.2099199994</v>
      </c>
      <c r="Z14" s="151"/>
      <c r="AA14" s="32" t="s">
        <v>300</v>
      </c>
      <c r="AB14" s="151" t="s">
        <v>37</v>
      </c>
      <c r="AC14" s="32" t="s">
        <v>301</v>
      </c>
      <c r="AD14" s="151">
        <v>9000</v>
      </c>
      <c r="AE14" s="151" t="s">
        <v>302</v>
      </c>
      <c r="AF14" s="151">
        <v>5</v>
      </c>
      <c r="AG14" s="151" t="s">
        <v>45</v>
      </c>
      <c r="AH14" s="152" t="s">
        <v>40</v>
      </c>
      <c r="AI14" s="151" t="s">
        <v>46</v>
      </c>
    </row>
    <row r="15" spans="1:35" ht="15.75" customHeight="1" x14ac:dyDescent="0.2">
      <c r="A15" s="153" t="s">
        <v>81</v>
      </c>
      <c r="B15" s="13">
        <f t="shared" si="0"/>
        <v>20.84</v>
      </c>
      <c r="C15" s="13">
        <v>20.84</v>
      </c>
      <c r="D15" s="13">
        <f t="shared" si="1"/>
        <v>224.32175999999998</v>
      </c>
      <c r="E15" s="150">
        <v>0</v>
      </c>
      <c r="F15" s="150">
        <f t="shared" si="2"/>
        <v>0</v>
      </c>
      <c r="G15" s="13">
        <f t="shared" si="3"/>
        <v>224.32175999999998</v>
      </c>
      <c r="H15" s="106">
        <f t="shared" si="4"/>
        <v>336.48263999999995</v>
      </c>
      <c r="I15" s="15">
        <f t="shared" si="5"/>
        <v>4037791.6799999992</v>
      </c>
      <c r="J15" s="15">
        <v>0</v>
      </c>
      <c r="K15" s="30">
        <v>35000</v>
      </c>
      <c r="L15" s="15">
        <f t="shared" si="6"/>
        <v>4072791.6799999992</v>
      </c>
      <c r="M15" s="15">
        <f t="shared" si="7"/>
        <v>0</v>
      </c>
      <c r="N15" s="15">
        <f t="shared" si="8"/>
        <v>4072791.6799999992</v>
      </c>
      <c r="O15" s="15">
        <f t="shared" si="9"/>
        <v>84120.659999999989</v>
      </c>
      <c r="P15" s="15">
        <f t="shared" si="10"/>
        <v>67296.527999999991</v>
      </c>
      <c r="Q15" s="15">
        <f t="shared" si="11"/>
        <v>50472.395999999993</v>
      </c>
      <c r="R15" s="15">
        <v>0</v>
      </c>
      <c r="S15" s="15">
        <f t="shared" si="12"/>
        <v>4274681.2639999995</v>
      </c>
      <c r="T15" s="15">
        <v>30000</v>
      </c>
      <c r="U15" s="15">
        <f t="shared" si="13"/>
        <v>488735.0015999999</v>
      </c>
      <c r="V15" s="15">
        <f t="shared" si="14"/>
        <v>24226.750079999998</v>
      </c>
      <c r="W15" s="15">
        <f t="shared" si="15"/>
        <v>285100</v>
      </c>
      <c r="X15" s="16">
        <v>6000</v>
      </c>
      <c r="Y15" s="16">
        <f t="shared" si="16"/>
        <v>5108743.0156799993</v>
      </c>
      <c r="Z15" s="151"/>
      <c r="AA15" s="32" t="s">
        <v>303</v>
      </c>
      <c r="AB15" s="151" t="s">
        <v>37</v>
      </c>
      <c r="AC15" s="32" t="s">
        <v>304</v>
      </c>
      <c r="AD15" s="151">
        <v>9251</v>
      </c>
      <c r="AE15" s="151"/>
      <c r="AF15" s="151">
        <v>3</v>
      </c>
      <c r="AG15" s="151"/>
      <c r="AH15" s="152" t="s">
        <v>40</v>
      </c>
      <c r="AI15" s="151" t="s">
        <v>46</v>
      </c>
    </row>
    <row r="16" spans="1:35" ht="16.5" customHeight="1" x14ac:dyDescent="0.2">
      <c r="A16" s="149" t="s">
        <v>85</v>
      </c>
      <c r="B16" s="13">
        <f t="shared" si="0"/>
        <v>17.13</v>
      </c>
      <c r="C16" s="13">
        <v>17.13</v>
      </c>
      <c r="D16" s="13">
        <f t="shared" si="1"/>
        <v>184.38731999999999</v>
      </c>
      <c r="E16" s="150">
        <v>0</v>
      </c>
      <c r="F16" s="150">
        <f t="shared" si="2"/>
        <v>0</v>
      </c>
      <c r="G16" s="13">
        <f t="shared" si="3"/>
        <v>184.38731999999999</v>
      </c>
      <c r="H16" s="106">
        <f t="shared" si="4"/>
        <v>276.58097999999995</v>
      </c>
      <c r="I16" s="15">
        <f t="shared" si="5"/>
        <v>3318971.7599999993</v>
      </c>
      <c r="J16" s="15">
        <v>0</v>
      </c>
      <c r="K16" s="30">
        <v>0</v>
      </c>
      <c r="L16" s="15">
        <f t="shared" si="6"/>
        <v>3318971.7599999993</v>
      </c>
      <c r="M16" s="15">
        <f t="shared" si="7"/>
        <v>0</v>
      </c>
      <c r="N16" s="15">
        <f t="shared" si="8"/>
        <v>3318971.7599999993</v>
      </c>
      <c r="O16" s="15">
        <f t="shared" si="9"/>
        <v>69145.244999999995</v>
      </c>
      <c r="P16" s="15">
        <f t="shared" si="10"/>
        <v>55316.195999999989</v>
      </c>
      <c r="Q16" s="15">
        <f t="shared" si="11"/>
        <v>41487.14699999999</v>
      </c>
      <c r="R16" s="15">
        <v>0</v>
      </c>
      <c r="S16" s="15">
        <f t="shared" si="12"/>
        <v>3484920.3479999993</v>
      </c>
      <c r="T16" s="15">
        <v>30000</v>
      </c>
      <c r="U16" s="15">
        <f t="shared" si="13"/>
        <v>398276.61119999993</v>
      </c>
      <c r="V16" s="15">
        <f t="shared" si="14"/>
        <v>19913.830559999995</v>
      </c>
      <c r="W16" s="15">
        <f t="shared" si="15"/>
        <v>232400</v>
      </c>
      <c r="X16" s="16">
        <v>6000</v>
      </c>
      <c r="Y16" s="16">
        <f t="shared" si="16"/>
        <v>4171510.7897599996</v>
      </c>
      <c r="Z16" s="151"/>
      <c r="AA16" s="32" t="s">
        <v>89</v>
      </c>
      <c r="AB16" s="151" t="s">
        <v>37</v>
      </c>
      <c r="AC16" s="32" t="s">
        <v>83</v>
      </c>
      <c r="AD16" s="151">
        <v>9940</v>
      </c>
      <c r="AE16" s="152">
        <v>0</v>
      </c>
      <c r="AF16" s="152">
        <v>0</v>
      </c>
      <c r="AG16" s="152">
        <v>0</v>
      </c>
      <c r="AH16" s="152">
        <v>0</v>
      </c>
      <c r="AI16" s="152">
        <v>0</v>
      </c>
    </row>
    <row r="17" spans="1:35" ht="14.25" customHeight="1" x14ac:dyDescent="0.2">
      <c r="A17" s="153" t="s">
        <v>88</v>
      </c>
      <c r="B17" s="13">
        <f t="shared" si="0"/>
        <v>16.989999999999998</v>
      </c>
      <c r="C17" s="13">
        <v>16.989999999999998</v>
      </c>
      <c r="D17" s="13">
        <f t="shared" si="1"/>
        <v>182.88035999999997</v>
      </c>
      <c r="E17" s="150">
        <v>0</v>
      </c>
      <c r="F17" s="150">
        <f t="shared" si="2"/>
        <v>0</v>
      </c>
      <c r="G17" s="13">
        <f t="shared" si="3"/>
        <v>182.88035999999997</v>
      </c>
      <c r="H17" s="106">
        <f t="shared" si="4"/>
        <v>274.32053999999994</v>
      </c>
      <c r="I17" s="15">
        <f t="shared" si="5"/>
        <v>3291846.4799999991</v>
      </c>
      <c r="J17" s="15">
        <v>0</v>
      </c>
      <c r="K17" s="30">
        <v>35000</v>
      </c>
      <c r="L17" s="15">
        <f t="shared" si="6"/>
        <v>3326846.4799999991</v>
      </c>
      <c r="M17" s="15">
        <f t="shared" si="7"/>
        <v>0</v>
      </c>
      <c r="N17" s="15">
        <f t="shared" si="8"/>
        <v>3326846.4799999991</v>
      </c>
      <c r="O17" s="15">
        <f t="shared" si="9"/>
        <v>68580.13499999998</v>
      </c>
      <c r="P17" s="15">
        <f t="shared" si="10"/>
        <v>54864.107999999986</v>
      </c>
      <c r="Q17" s="15">
        <f t="shared" si="11"/>
        <v>41148.080999999991</v>
      </c>
      <c r="R17" s="15">
        <v>0</v>
      </c>
      <c r="S17" s="15">
        <f t="shared" si="12"/>
        <v>3491438.8039999986</v>
      </c>
      <c r="T17" s="15">
        <v>30000</v>
      </c>
      <c r="U17" s="15">
        <f t="shared" si="13"/>
        <v>399221.57759999984</v>
      </c>
      <c r="V17" s="15">
        <f t="shared" si="14"/>
        <v>19751.078879999994</v>
      </c>
      <c r="W17" s="15">
        <f t="shared" si="15"/>
        <v>232900</v>
      </c>
      <c r="X17" s="16">
        <v>6000</v>
      </c>
      <c r="Y17" s="16">
        <f t="shared" si="16"/>
        <v>4179311.4604799985</v>
      </c>
      <c r="Z17" s="151"/>
      <c r="AA17" s="32" t="s">
        <v>305</v>
      </c>
      <c r="AB17" s="151" t="s">
        <v>306</v>
      </c>
      <c r="AC17" s="32" t="s">
        <v>307</v>
      </c>
      <c r="AD17" s="151">
        <v>11243</v>
      </c>
      <c r="AE17" s="151"/>
      <c r="AF17" s="151">
        <v>123</v>
      </c>
      <c r="AG17" s="151"/>
      <c r="AH17" s="152" t="s">
        <v>40</v>
      </c>
      <c r="AI17" s="151" t="s">
        <v>46</v>
      </c>
    </row>
    <row r="18" spans="1:35" ht="17.25" customHeight="1" x14ac:dyDescent="0.2">
      <c r="A18" s="153" t="s">
        <v>90</v>
      </c>
      <c r="B18" s="13">
        <f t="shared" si="0"/>
        <v>17.13</v>
      </c>
      <c r="C18" s="13">
        <v>17.13</v>
      </c>
      <c r="D18" s="13">
        <f t="shared" si="1"/>
        <v>184.38731999999999</v>
      </c>
      <c r="E18" s="150">
        <v>0</v>
      </c>
      <c r="F18" s="150">
        <f t="shared" si="2"/>
        <v>0</v>
      </c>
      <c r="G18" s="13">
        <f t="shared" si="3"/>
        <v>184.38731999999999</v>
      </c>
      <c r="H18" s="106">
        <f t="shared" si="4"/>
        <v>276.58097999999995</v>
      </c>
      <c r="I18" s="15">
        <f t="shared" si="5"/>
        <v>3318971.7599999993</v>
      </c>
      <c r="J18" s="15">
        <v>0</v>
      </c>
      <c r="K18" s="30">
        <v>35000</v>
      </c>
      <c r="L18" s="15">
        <f t="shared" si="6"/>
        <v>3353971.7599999993</v>
      </c>
      <c r="M18" s="15">
        <f t="shared" si="7"/>
        <v>0</v>
      </c>
      <c r="N18" s="15">
        <f t="shared" si="8"/>
        <v>3353971.7599999993</v>
      </c>
      <c r="O18" s="15">
        <f t="shared" si="9"/>
        <v>69145.244999999995</v>
      </c>
      <c r="P18" s="15">
        <f t="shared" si="10"/>
        <v>55316.195999999989</v>
      </c>
      <c r="Q18" s="15">
        <f t="shared" si="11"/>
        <v>41487.14699999999</v>
      </c>
      <c r="R18" s="15">
        <v>0</v>
      </c>
      <c r="S18" s="15">
        <f t="shared" si="12"/>
        <v>3519920.3479999993</v>
      </c>
      <c r="T18" s="15">
        <v>30000</v>
      </c>
      <c r="U18" s="15">
        <f t="shared" si="13"/>
        <v>402476.61119999993</v>
      </c>
      <c r="V18" s="15">
        <f t="shared" si="14"/>
        <v>19913.830559999995</v>
      </c>
      <c r="W18" s="15">
        <f t="shared" si="15"/>
        <v>234800</v>
      </c>
      <c r="X18" s="16">
        <v>6000</v>
      </c>
      <c r="Y18" s="16">
        <f t="shared" si="16"/>
        <v>4213110.7897599991</v>
      </c>
      <c r="Z18" s="151"/>
      <c r="AA18" s="32" t="s">
        <v>308</v>
      </c>
      <c r="AB18" s="151" t="s">
        <v>37</v>
      </c>
      <c r="AC18" s="32" t="s">
        <v>309</v>
      </c>
      <c r="AD18" s="151">
        <v>9051</v>
      </c>
      <c r="AE18" s="151"/>
      <c r="AF18" s="151">
        <v>135</v>
      </c>
      <c r="AG18" s="151"/>
      <c r="AH18" s="152" t="s">
        <v>40</v>
      </c>
      <c r="AI18" s="151" t="s">
        <v>46</v>
      </c>
    </row>
    <row r="19" spans="1:35" ht="15.75" customHeight="1" x14ac:dyDescent="0.2">
      <c r="A19" s="153" t="s">
        <v>95</v>
      </c>
      <c r="B19" s="13">
        <f t="shared" si="0"/>
        <v>25.71</v>
      </c>
      <c r="C19" s="13">
        <v>25.71</v>
      </c>
      <c r="D19" s="13">
        <f t="shared" si="1"/>
        <v>276.74243999999999</v>
      </c>
      <c r="E19" s="150">
        <v>0</v>
      </c>
      <c r="F19" s="150">
        <f t="shared" si="2"/>
        <v>0</v>
      </c>
      <c r="G19" s="13">
        <f t="shared" si="3"/>
        <v>276.74243999999999</v>
      </c>
      <c r="H19" s="106">
        <f t="shared" si="4"/>
        <v>415.11365999999998</v>
      </c>
      <c r="I19" s="15">
        <f t="shared" si="5"/>
        <v>4981363.92</v>
      </c>
      <c r="J19" s="15">
        <v>500000</v>
      </c>
      <c r="K19" s="30">
        <v>35000</v>
      </c>
      <c r="L19" s="15">
        <f t="shared" si="6"/>
        <v>5516363.9199999999</v>
      </c>
      <c r="M19" s="15">
        <f t="shared" si="7"/>
        <v>0</v>
      </c>
      <c r="N19" s="15">
        <f t="shared" si="8"/>
        <v>5516363.9199999999</v>
      </c>
      <c r="O19" s="15">
        <f t="shared" si="9"/>
        <v>103778.41499999999</v>
      </c>
      <c r="P19" s="15">
        <f t="shared" si="10"/>
        <v>83022.731999999989</v>
      </c>
      <c r="Q19" s="15">
        <f t="shared" si="11"/>
        <v>62267.048999999999</v>
      </c>
      <c r="R19" s="15">
        <v>0</v>
      </c>
      <c r="S19" s="15">
        <f t="shared" si="12"/>
        <v>5765432.1159999995</v>
      </c>
      <c r="T19" s="15">
        <v>30000</v>
      </c>
      <c r="U19" s="15">
        <f t="shared" si="13"/>
        <v>661963.67039999994</v>
      </c>
      <c r="V19" s="15">
        <f t="shared" si="14"/>
        <v>29888.183519999999</v>
      </c>
      <c r="W19" s="15">
        <f t="shared" si="15"/>
        <v>386200</v>
      </c>
      <c r="X19" s="16">
        <v>6000</v>
      </c>
      <c r="Y19" s="16">
        <f t="shared" si="16"/>
        <v>6879483.9699200001</v>
      </c>
      <c r="Z19" s="151"/>
      <c r="AA19" s="32" t="s">
        <v>310</v>
      </c>
      <c r="AB19" s="151" t="s">
        <v>37</v>
      </c>
      <c r="AC19" s="32" t="s">
        <v>97</v>
      </c>
      <c r="AD19" s="151">
        <v>9093</v>
      </c>
      <c r="AE19" s="151"/>
      <c r="AF19" s="152">
        <v>147</v>
      </c>
      <c r="AG19" s="151"/>
      <c r="AH19" s="152" t="s">
        <v>40</v>
      </c>
      <c r="AI19" s="151" t="s">
        <v>46</v>
      </c>
    </row>
    <row r="20" spans="1:35" ht="15.75" customHeight="1" x14ac:dyDescent="0.2">
      <c r="A20" s="153" t="s">
        <v>234</v>
      </c>
      <c r="B20" s="13">
        <f t="shared" si="0"/>
        <v>23.69</v>
      </c>
      <c r="C20" s="13">
        <v>23.69</v>
      </c>
      <c r="D20" s="13">
        <f t="shared" si="1"/>
        <v>254.99915999999999</v>
      </c>
      <c r="E20" s="150">
        <v>0</v>
      </c>
      <c r="F20" s="150">
        <f t="shared" si="2"/>
        <v>0</v>
      </c>
      <c r="G20" s="13">
        <f t="shared" si="3"/>
        <v>254.99915999999999</v>
      </c>
      <c r="H20" s="106">
        <f t="shared" si="4"/>
        <v>382.49874</v>
      </c>
      <c r="I20" s="15">
        <f t="shared" si="5"/>
        <v>4589984.88</v>
      </c>
      <c r="J20" s="15">
        <v>500000</v>
      </c>
      <c r="K20" s="30">
        <v>35000</v>
      </c>
      <c r="L20" s="15">
        <f t="shared" si="6"/>
        <v>5124984.88</v>
      </c>
      <c r="M20" s="15">
        <f t="shared" si="7"/>
        <v>0</v>
      </c>
      <c r="N20" s="15">
        <f t="shared" si="8"/>
        <v>5124984.88</v>
      </c>
      <c r="O20" s="15">
        <f t="shared" si="9"/>
        <v>95624.684999999998</v>
      </c>
      <c r="P20" s="15">
        <f t="shared" si="10"/>
        <v>76499.747999999992</v>
      </c>
      <c r="Q20" s="15">
        <f t="shared" si="11"/>
        <v>57374.811000000002</v>
      </c>
      <c r="R20" s="15">
        <v>0</v>
      </c>
      <c r="S20" s="15">
        <f t="shared" si="12"/>
        <v>5354484.1239999989</v>
      </c>
      <c r="T20" s="15">
        <v>30000</v>
      </c>
      <c r="U20" s="15">
        <f t="shared" si="13"/>
        <v>614998.18559999997</v>
      </c>
      <c r="V20" s="15">
        <f t="shared" si="14"/>
        <v>27539.90928</v>
      </c>
      <c r="W20" s="15">
        <f t="shared" si="15"/>
        <v>358800</v>
      </c>
      <c r="X20" s="16">
        <v>6000</v>
      </c>
      <c r="Y20" s="16">
        <f t="shared" si="16"/>
        <v>6391822.2188799996</v>
      </c>
      <c r="Z20" s="151"/>
      <c r="AA20" s="32" t="s">
        <v>311</v>
      </c>
      <c r="AB20" s="151" t="s">
        <v>37</v>
      </c>
      <c r="AC20" s="32" t="s">
        <v>312</v>
      </c>
      <c r="AD20" s="151">
        <v>9000</v>
      </c>
      <c r="AE20" s="151" t="s">
        <v>313</v>
      </c>
      <c r="AF20" s="152">
        <v>115</v>
      </c>
      <c r="AG20" s="151" t="s">
        <v>45</v>
      </c>
      <c r="AH20" s="152" t="s">
        <v>40</v>
      </c>
      <c r="AI20" s="151" t="s">
        <v>46</v>
      </c>
    </row>
    <row r="21" spans="1:35" ht="15.75" customHeight="1" x14ac:dyDescent="0.2">
      <c r="A21" s="153" t="s">
        <v>238</v>
      </c>
      <c r="B21" s="13">
        <f t="shared" si="0"/>
        <v>21.47</v>
      </c>
      <c r="C21" s="13">
        <v>21.47</v>
      </c>
      <c r="D21" s="13">
        <f t="shared" si="1"/>
        <v>231.10307999999998</v>
      </c>
      <c r="E21" s="150">
        <v>0</v>
      </c>
      <c r="F21" s="150">
        <f t="shared" si="2"/>
        <v>0</v>
      </c>
      <c r="G21" s="13">
        <f t="shared" si="3"/>
        <v>231.10307999999998</v>
      </c>
      <c r="H21" s="106">
        <f t="shared" si="4"/>
        <v>346.65461999999997</v>
      </c>
      <c r="I21" s="15">
        <f t="shared" si="5"/>
        <v>4159855.4399999995</v>
      </c>
      <c r="J21" s="15">
        <v>500000</v>
      </c>
      <c r="K21" s="30">
        <v>35000</v>
      </c>
      <c r="L21" s="15">
        <f t="shared" si="6"/>
        <v>4694855.4399999995</v>
      </c>
      <c r="M21" s="15">
        <f t="shared" si="7"/>
        <v>0</v>
      </c>
      <c r="N21" s="15">
        <f t="shared" si="8"/>
        <v>4694855.4399999995</v>
      </c>
      <c r="O21" s="15">
        <f t="shared" si="9"/>
        <v>86663.654999999984</v>
      </c>
      <c r="P21" s="15">
        <f t="shared" si="10"/>
        <v>69330.923999999999</v>
      </c>
      <c r="Q21" s="15">
        <f t="shared" si="11"/>
        <v>51998.192999999992</v>
      </c>
      <c r="R21" s="15">
        <v>0</v>
      </c>
      <c r="S21" s="15">
        <f t="shared" si="12"/>
        <v>4902848.2119999994</v>
      </c>
      <c r="T21" s="15">
        <v>30000</v>
      </c>
      <c r="U21" s="15">
        <f t="shared" si="13"/>
        <v>563382.65279999992</v>
      </c>
      <c r="V21" s="15">
        <f t="shared" si="14"/>
        <v>24959.132639999996</v>
      </c>
      <c r="W21" s="15">
        <f t="shared" si="15"/>
        <v>328700</v>
      </c>
      <c r="X21" s="16">
        <v>6000</v>
      </c>
      <c r="Y21" s="16">
        <f t="shared" si="16"/>
        <v>5855889.9974400001</v>
      </c>
      <c r="Z21" s="151"/>
      <c r="AA21" s="32" t="s">
        <v>314</v>
      </c>
      <c r="AB21" s="151" t="s">
        <v>37</v>
      </c>
      <c r="AC21" s="32" t="s">
        <v>315</v>
      </c>
      <c r="AD21" s="151">
        <v>8627</v>
      </c>
      <c r="AE21" s="151"/>
      <c r="AF21" s="152">
        <v>164</v>
      </c>
      <c r="AG21" s="151"/>
      <c r="AH21" s="152" t="s">
        <v>40</v>
      </c>
      <c r="AI21" s="152" t="s">
        <v>84</v>
      </c>
    </row>
    <row r="22" spans="1:35" ht="15.75" customHeight="1" x14ac:dyDescent="0.2">
      <c r="A22" s="153" t="s">
        <v>166</v>
      </c>
      <c r="B22" s="13">
        <f t="shared" si="0"/>
        <v>20.059999999999999</v>
      </c>
      <c r="C22" s="13">
        <v>20.059999999999999</v>
      </c>
      <c r="D22" s="13">
        <f t="shared" si="1"/>
        <v>215.92583999999997</v>
      </c>
      <c r="E22" s="150">
        <v>0</v>
      </c>
      <c r="F22" s="150">
        <f t="shared" si="2"/>
        <v>0</v>
      </c>
      <c r="G22" s="13">
        <f t="shared" si="3"/>
        <v>215.92583999999997</v>
      </c>
      <c r="H22" s="106">
        <f t="shared" si="4"/>
        <v>323.88875999999993</v>
      </c>
      <c r="I22" s="15">
        <f t="shared" si="5"/>
        <v>3886665.1199999992</v>
      </c>
      <c r="J22" s="15">
        <v>0</v>
      </c>
      <c r="K22" s="30">
        <v>35000</v>
      </c>
      <c r="L22" s="15">
        <f t="shared" si="6"/>
        <v>3921665.1199999992</v>
      </c>
      <c r="M22" s="15">
        <f t="shared" si="7"/>
        <v>0</v>
      </c>
      <c r="N22" s="15">
        <f t="shared" si="8"/>
        <v>3921665.1199999992</v>
      </c>
      <c r="O22" s="15">
        <f t="shared" si="9"/>
        <v>80972.189999999988</v>
      </c>
      <c r="P22" s="15">
        <f t="shared" si="10"/>
        <v>64777.751999999986</v>
      </c>
      <c r="Q22" s="15">
        <f t="shared" si="11"/>
        <v>48583.313999999991</v>
      </c>
      <c r="R22" s="15">
        <v>0</v>
      </c>
      <c r="S22" s="15">
        <f t="shared" si="12"/>
        <v>4115998.3759999988</v>
      </c>
      <c r="T22" s="15">
        <v>30000</v>
      </c>
      <c r="U22" s="15">
        <f t="shared" si="13"/>
        <v>470599.81439999986</v>
      </c>
      <c r="V22" s="15">
        <f t="shared" si="14"/>
        <v>23319.990719999994</v>
      </c>
      <c r="W22" s="15">
        <f t="shared" si="15"/>
        <v>274600</v>
      </c>
      <c r="X22" s="16">
        <v>6000</v>
      </c>
      <c r="Y22" s="16">
        <f t="shared" si="16"/>
        <v>4920518.1811199989</v>
      </c>
      <c r="Z22" s="151"/>
      <c r="AA22" s="32" t="s">
        <v>316</v>
      </c>
      <c r="AB22" s="151" t="s">
        <v>37</v>
      </c>
      <c r="AC22" s="32" t="s">
        <v>317</v>
      </c>
      <c r="AD22" s="151">
        <v>10260</v>
      </c>
      <c r="AE22" s="151"/>
      <c r="AF22" s="151">
        <v>126</v>
      </c>
      <c r="AG22" s="151"/>
      <c r="AH22" s="152" t="s">
        <v>40</v>
      </c>
      <c r="AI22" s="151" t="s">
        <v>46</v>
      </c>
    </row>
    <row r="23" spans="1:35" ht="15.75" customHeight="1" x14ac:dyDescent="0.2">
      <c r="A23" s="149" t="s">
        <v>243</v>
      </c>
      <c r="B23" s="13">
        <f t="shared" si="0"/>
        <v>23.69</v>
      </c>
      <c r="C23" s="13">
        <v>23.69</v>
      </c>
      <c r="D23" s="13">
        <f t="shared" si="1"/>
        <v>254.99915999999999</v>
      </c>
      <c r="E23" s="150">
        <v>0</v>
      </c>
      <c r="F23" s="150">
        <f t="shared" si="2"/>
        <v>0</v>
      </c>
      <c r="G23" s="13">
        <f t="shared" si="3"/>
        <v>254.99915999999999</v>
      </c>
      <c r="H23" s="106">
        <f t="shared" si="4"/>
        <v>382.49874</v>
      </c>
      <c r="I23" s="15">
        <f t="shared" si="5"/>
        <v>4589984.88</v>
      </c>
      <c r="J23" s="15">
        <v>0</v>
      </c>
      <c r="K23" s="30">
        <v>35000</v>
      </c>
      <c r="L23" s="15">
        <f t="shared" si="6"/>
        <v>4624984.88</v>
      </c>
      <c r="M23" s="15">
        <f t="shared" si="7"/>
        <v>0</v>
      </c>
      <c r="N23" s="15">
        <f t="shared" si="8"/>
        <v>4624984.88</v>
      </c>
      <c r="O23" s="15">
        <f t="shared" si="9"/>
        <v>95624.684999999998</v>
      </c>
      <c r="P23" s="15">
        <f t="shared" si="10"/>
        <v>76499.747999999992</v>
      </c>
      <c r="Q23" s="15">
        <f t="shared" si="11"/>
        <v>57374.811000000002</v>
      </c>
      <c r="R23" s="15">
        <v>0</v>
      </c>
      <c r="S23" s="15">
        <f t="shared" si="12"/>
        <v>4854484.1239999989</v>
      </c>
      <c r="T23" s="15">
        <v>30000</v>
      </c>
      <c r="U23" s="15">
        <f t="shared" si="13"/>
        <v>554998.18559999997</v>
      </c>
      <c r="V23" s="15">
        <f t="shared" si="14"/>
        <v>27539.90928</v>
      </c>
      <c r="W23" s="15">
        <f t="shared" si="15"/>
        <v>323800</v>
      </c>
      <c r="X23" s="16">
        <v>6000</v>
      </c>
      <c r="Y23" s="16">
        <f t="shared" si="16"/>
        <v>5796822.2188799996</v>
      </c>
      <c r="Z23" s="151"/>
      <c r="AA23" s="32" t="s">
        <v>318</v>
      </c>
      <c r="AB23" s="151" t="s">
        <v>37</v>
      </c>
      <c r="AC23" s="32" t="s">
        <v>83</v>
      </c>
      <c r="AD23" s="151">
        <v>9600</v>
      </c>
      <c r="AE23" s="151" t="s">
        <v>319</v>
      </c>
      <c r="AF23" s="152">
        <v>165</v>
      </c>
      <c r="AG23" s="151"/>
      <c r="AH23" s="152" t="s">
        <v>40</v>
      </c>
      <c r="AI23" s="151" t="s">
        <v>84</v>
      </c>
    </row>
    <row r="24" spans="1:35" ht="15.75" customHeight="1" x14ac:dyDescent="0.2">
      <c r="A24" s="149" t="s">
        <v>247</v>
      </c>
      <c r="B24" s="13">
        <f t="shared" si="0"/>
        <v>21.47</v>
      </c>
      <c r="C24" s="13">
        <v>21.47</v>
      </c>
      <c r="D24" s="13">
        <f t="shared" si="1"/>
        <v>231.10307999999998</v>
      </c>
      <c r="E24" s="150">
        <v>0</v>
      </c>
      <c r="F24" s="150">
        <f t="shared" si="2"/>
        <v>0</v>
      </c>
      <c r="G24" s="13">
        <f t="shared" si="3"/>
        <v>231.10307999999998</v>
      </c>
      <c r="H24" s="106">
        <f t="shared" si="4"/>
        <v>346.65461999999997</v>
      </c>
      <c r="I24" s="15">
        <f t="shared" si="5"/>
        <v>4159855.4399999995</v>
      </c>
      <c r="J24" s="15">
        <v>500000</v>
      </c>
      <c r="K24" s="30">
        <v>35000</v>
      </c>
      <c r="L24" s="15">
        <f t="shared" si="6"/>
        <v>4694855.4399999995</v>
      </c>
      <c r="M24" s="15">
        <f t="shared" si="7"/>
        <v>0</v>
      </c>
      <c r="N24" s="15">
        <f t="shared" si="8"/>
        <v>4694855.4399999995</v>
      </c>
      <c r="O24" s="15">
        <f t="shared" si="9"/>
        <v>86663.654999999984</v>
      </c>
      <c r="P24" s="15">
        <f t="shared" si="10"/>
        <v>69330.923999999999</v>
      </c>
      <c r="Q24" s="15">
        <f t="shared" si="11"/>
        <v>51998.192999999992</v>
      </c>
      <c r="R24" s="15">
        <v>0</v>
      </c>
      <c r="S24" s="15">
        <f t="shared" si="12"/>
        <v>4902848.2119999994</v>
      </c>
      <c r="T24" s="15">
        <v>30000</v>
      </c>
      <c r="U24" s="15">
        <f t="shared" si="13"/>
        <v>563382.65279999992</v>
      </c>
      <c r="V24" s="15">
        <f t="shared" si="14"/>
        <v>24959.132639999996</v>
      </c>
      <c r="W24" s="15">
        <f t="shared" si="15"/>
        <v>328700</v>
      </c>
      <c r="X24" s="16">
        <v>6000</v>
      </c>
      <c r="Y24" s="16">
        <f t="shared" si="16"/>
        <v>5855889.9974400001</v>
      </c>
      <c r="Z24" s="32"/>
      <c r="AA24" s="32" t="s">
        <v>320</v>
      </c>
      <c r="AB24" s="151" t="s">
        <v>37</v>
      </c>
      <c r="AC24" s="32" t="s">
        <v>315</v>
      </c>
      <c r="AD24" s="151">
        <v>8750</v>
      </c>
      <c r="AE24" s="151"/>
      <c r="AF24" s="152">
        <v>167</v>
      </c>
      <c r="AG24" s="151"/>
      <c r="AH24" s="152" t="s">
        <v>40</v>
      </c>
      <c r="AI24" s="151" t="s">
        <v>84</v>
      </c>
    </row>
    <row r="25" spans="1:35" ht="15.75" customHeight="1" x14ac:dyDescent="0.2">
      <c r="A25" s="153" t="s">
        <v>173</v>
      </c>
      <c r="B25" s="13">
        <f t="shared" si="0"/>
        <v>20.059999999999999</v>
      </c>
      <c r="C25" s="13">
        <v>20.059999999999999</v>
      </c>
      <c r="D25" s="13">
        <f t="shared" si="1"/>
        <v>215.92583999999997</v>
      </c>
      <c r="E25" s="150">
        <v>0</v>
      </c>
      <c r="F25" s="150">
        <f t="shared" si="2"/>
        <v>0</v>
      </c>
      <c r="G25" s="13">
        <f t="shared" si="3"/>
        <v>215.92583999999997</v>
      </c>
      <c r="H25" s="106">
        <f t="shared" si="4"/>
        <v>323.88875999999993</v>
      </c>
      <c r="I25" s="15">
        <f t="shared" si="5"/>
        <v>3886665.1199999992</v>
      </c>
      <c r="J25" s="15">
        <v>500000</v>
      </c>
      <c r="K25" s="30">
        <v>35000</v>
      </c>
      <c r="L25" s="15">
        <f t="shared" si="6"/>
        <v>4421665.1199999992</v>
      </c>
      <c r="M25" s="15">
        <f t="shared" si="7"/>
        <v>0</v>
      </c>
      <c r="N25" s="15">
        <f t="shared" si="8"/>
        <v>4421665.1199999992</v>
      </c>
      <c r="O25" s="15">
        <f t="shared" si="9"/>
        <v>80972.189999999988</v>
      </c>
      <c r="P25" s="15">
        <f t="shared" si="10"/>
        <v>64777.751999999986</v>
      </c>
      <c r="Q25" s="15">
        <f t="shared" si="11"/>
        <v>48583.313999999991</v>
      </c>
      <c r="R25" s="15">
        <v>0</v>
      </c>
      <c r="S25" s="15">
        <f t="shared" si="12"/>
        <v>4615998.3760000002</v>
      </c>
      <c r="T25" s="15">
        <v>30000</v>
      </c>
      <c r="U25" s="15">
        <f t="shared" si="13"/>
        <v>530599.81439999992</v>
      </c>
      <c r="V25" s="15">
        <f t="shared" si="14"/>
        <v>23319.990719999994</v>
      </c>
      <c r="W25" s="15">
        <f t="shared" si="15"/>
        <v>309600</v>
      </c>
      <c r="X25" s="16">
        <v>6000</v>
      </c>
      <c r="Y25" s="16">
        <f t="shared" si="16"/>
        <v>5515518.1811199998</v>
      </c>
      <c r="Z25" s="151"/>
      <c r="AA25" s="32" t="s">
        <v>321</v>
      </c>
      <c r="AB25" s="151" t="s">
        <v>37</v>
      </c>
      <c r="AC25" s="32" t="s">
        <v>322</v>
      </c>
      <c r="AD25" s="151">
        <v>9000</v>
      </c>
      <c r="AE25" s="151" t="s">
        <v>323</v>
      </c>
      <c r="AF25" s="151">
        <v>152</v>
      </c>
      <c r="AG25" s="151" t="s">
        <v>205</v>
      </c>
      <c r="AH25" s="152" t="s">
        <v>40</v>
      </c>
      <c r="AI25" s="151" t="s">
        <v>46</v>
      </c>
    </row>
    <row r="26" spans="1:35" ht="15.75" customHeight="1" x14ac:dyDescent="0.2">
      <c r="A26" s="153" t="s">
        <v>251</v>
      </c>
      <c r="B26" s="13">
        <f t="shared" si="0"/>
        <v>17.440000000000001</v>
      </c>
      <c r="C26" s="13">
        <v>17.440000000000001</v>
      </c>
      <c r="D26" s="13">
        <f t="shared" si="1"/>
        <v>187.72416000000001</v>
      </c>
      <c r="E26" s="150">
        <v>0</v>
      </c>
      <c r="F26" s="150">
        <f t="shared" si="2"/>
        <v>0</v>
      </c>
      <c r="G26" s="13">
        <f t="shared" si="3"/>
        <v>187.72416000000001</v>
      </c>
      <c r="H26" s="106">
        <f t="shared" si="4"/>
        <v>281.58624000000003</v>
      </c>
      <c r="I26" s="15">
        <f t="shared" si="5"/>
        <v>3379034.8800000004</v>
      </c>
      <c r="J26" s="15">
        <v>0</v>
      </c>
      <c r="K26" s="30">
        <v>35000</v>
      </c>
      <c r="L26" s="15">
        <f t="shared" si="6"/>
        <v>3414034.8800000004</v>
      </c>
      <c r="M26" s="15">
        <f t="shared" si="7"/>
        <v>0</v>
      </c>
      <c r="N26" s="15">
        <f t="shared" si="8"/>
        <v>3414034.8800000004</v>
      </c>
      <c r="O26" s="15">
        <f t="shared" si="9"/>
        <v>70396.560000000012</v>
      </c>
      <c r="P26" s="15">
        <f t="shared" si="10"/>
        <v>56317.248000000007</v>
      </c>
      <c r="Q26" s="15">
        <f t="shared" si="11"/>
        <v>42237.936000000002</v>
      </c>
      <c r="R26" s="15">
        <v>0</v>
      </c>
      <c r="S26" s="15">
        <f t="shared" si="12"/>
        <v>3582986.6240000008</v>
      </c>
      <c r="T26" s="15">
        <v>30000</v>
      </c>
      <c r="U26" s="15">
        <f t="shared" si="13"/>
        <v>409684.18560000003</v>
      </c>
      <c r="V26" s="15">
        <f t="shared" si="14"/>
        <v>20274.209280000003</v>
      </c>
      <c r="W26" s="15">
        <f t="shared" si="15"/>
        <v>239000</v>
      </c>
      <c r="X26" s="16">
        <v>6000</v>
      </c>
      <c r="Y26" s="16">
        <f t="shared" si="16"/>
        <v>4287945.0188800003</v>
      </c>
      <c r="Z26" s="151"/>
      <c r="AA26" s="32" t="s">
        <v>324</v>
      </c>
      <c r="AB26" s="151" t="s">
        <v>37</v>
      </c>
      <c r="AC26" s="32" t="s">
        <v>219</v>
      </c>
      <c r="AD26" s="151">
        <v>10000</v>
      </c>
      <c r="AE26" s="151" t="s">
        <v>325</v>
      </c>
      <c r="AF26" s="151">
        <v>153</v>
      </c>
      <c r="AG26" s="151" t="s">
        <v>205</v>
      </c>
      <c r="AH26" s="152" t="s">
        <v>40</v>
      </c>
      <c r="AI26" s="151" t="s">
        <v>46</v>
      </c>
    </row>
    <row r="27" spans="1:35" ht="15.75" customHeight="1" x14ac:dyDescent="0.2">
      <c r="A27" s="153" t="s">
        <v>253</v>
      </c>
      <c r="B27" s="13">
        <f t="shared" si="0"/>
        <v>17.600000000000001</v>
      </c>
      <c r="C27" s="13">
        <v>17.600000000000001</v>
      </c>
      <c r="D27" s="13">
        <f t="shared" si="1"/>
        <v>189.44640000000001</v>
      </c>
      <c r="E27" s="150">
        <v>0</v>
      </c>
      <c r="F27" s="150">
        <f t="shared" si="2"/>
        <v>0</v>
      </c>
      <c r="G27" s="13">
        <f t="shared" si="3"/>
        <v>189.44640000000001</v>
      </c>
      <c r="H27" s="106">
        <f t="shared" si="4"/>
        <v>284.1696</v>
      </c>
      <c r="I27" s="15">
        <f t="shared" si="5"/>
        <v>3410035.2</v>
      </c>
      <c r="J27" s="15">
        <v>500000</v>
      </c>
      <c r="K27" s="30">
        <v>35000</v>
      </c>
      <c r="L27" s="15">
        <f t="shared" si="6"/>
        <v>3945035.2</v>
      </c>
      <c r="M27" s="15">
        <f t="shared" si="7"/>
        <v>0</v>
      </c>
      <c r="N27" s="15">
        <f t="shared" si="8"/>
        <v>3945035.2</v>
      </c>
      <c r="O27" s="15">
        <f t="shared" si="9"/>
        <v>71042.399999999994</v>
      </c>
      <c r="P27" s="15">
        <f t="shared" si="10"/>
        <v>56833.919999999998</v>
      </c>
      <c r="Q27" s="15">
        <f t="shared" si="11"/>
        <v>42625.440000000002</v>
      </c>
      <c r="R27" s="15">
        <v>0</v>
      </c>
      <c r="S27" s="15">
        <f t="shared" si="12"/>
        <v>4115536.96</v>
      </c>
      <c r="T27" s="15">
        <v>30000</v>
      </c>
      <c r="U27" s="15">
        <f t="shared" si="13"/>
        <v>473404.22399999999</v>
      </c>
      <c r="V27" s="15">
        <f t="shared" si="14"/>
        <v>20460.211200000002</v>
      </c>
      <c r="W27" s="15">
        <f t="shared" si="15"/>
        <v>276200</v>
      </c>
      <c r="X27" s="16">
        <v>6000</v>
      </c>
      <c r="Y27" s="16">
        <f t="shared" si="16"/>
        <v>4921601.3952000001</v>
      </c>
      <c r="Z27" s="151"/>
      <c r="AA27" s="32" t="s">
        <v>326</v>
      </c>
      <c r="AB27" s="151" t="s">
        <v>37</v>
      </c>
      <c r="AC27" s="32" t="s">
        <v>327</v>
      </c>
      <c r="AD27" s="151">
        <v>10000</v>
      </c>
      <c r="AE27" s="151"/>
      <c r="AF27" s="152">
        <v>149</v>
      </c>
      <c r="AG27" s="151"/>
      <c r="AH27" s="152" t="s">
        <v>40</v>
      </c>
      <c r="AI27" s="151" t="s">
        <v>84</v>
      </c>
    </row>
    <row r="28" spans="1:35" ht="15.75" customHeight="1" x14ac:dyDescent="0.2">
      <c r="A28" s="153" t="s">
        <v>256</v>
      </c>
      <c r="B28" s="13">
        <f t="shared" si="0"/>
        <v>17.670000000000002</v>
      </c>
      <c r="C28" s="13">
        <v>17.670000000000002</v>
      </c>
      <c r="D28" s="13">
        <f t="shared" si="1"/>
        <v>190.19988000000001</v>
      </c>
      <c r="E28" s="150">
        <v>0</v>
      </c>
      <c r="F28" s="150">
        <f t="shared" si="2"/>
        <v>0</v>
      </c>
      <c r="G28" s="13">
        <f t="shared" si="3"/>
        <v>190.19988000000001</v>
      </c>
      <c r="H28" s="106">
        <f t="shared" si="4"/>
        <v>285.29982000000001</v>
      </c>
      <c r="I28" s="15">
        <f t="shared" si="5"/>
        <v>3423597.8400000003</v>
      </c>
      <c r="J28" s="15">
        <v>500000</v>
      </c>
      <c r="K28" s="30">
        <v>35000</v>
      </c>
      <c r="L28" s="15">
        <f t="shared" si="6"/>
        <v>3958597.8400000003</v>
      </c>
      <c r="M28" s="15">
        <f t="shared" si="7"/>
        <v>0</v>
      </c>
      <c r="N28" s="15">
        <f t="shared" si="8"/>
        <v>3958597.8400000003</v>
      </c>
      <c r="O28" s="15">
        <f t="shared" si="9"/>
        <v>71324.955000000002</v>
      </c>
      <c r="P28" s="15">
        <f t="shared" si="10"/>
        <v>57059.964</v>
      </c>
      <c r="Q28" s="15">
        <f t="shared" si="11"/>
        <v>42794.972999999998</v>
      </c>
      <c r="R28" s="15">
        <v>0</v>
      </c>
      <c r="S28" s="15">
        <f t="shared" si="12"/>
        <v>4129777.7320000008</v>
      </c>
      <c r="T28" s="15">
        <v>30000</v>
      </c>
      <c r="U28" s="15">
        <f t="shared" si="13"/>
        <v>475031.74080000003</v>
      </c>
      <c r="V28" s="15">
        <f t="shared" si="14"/>
        <v>20541.587039999999</v>
      </c>
      <c r="W28" s="15">
        <f t="shared" si="15"/>
        <v>277200</v>
      </c>
      <c r="X28" s="16">
        <v>6000</v>
      </c>
      <c r="Y28" s="16">
        <f t="shared" si="16"/>
        <v>4938551.0598400002</v>
      </c>
      <c r="Z28" s="151"/>
      <c r="AA28" s="32" t="s">
        <v>328</v>
      </c>
      <c r="AB28" s="151" t="s">
        <v>37</v>
      </c>
      <c r="AC28" s="32" t="s">
        <v>160</v>
      </c>
      <c r="AD28" s="151">
        <v>8500</v>
      </c>
      <c r="AE28" s="151"/>
      <c r="AF28" s="152">
        <v>122</v>
      </c>
      <c r="AG28" s="151"/>
      <c r="AH28" s="152" t="s">
        <v>40</v>
      </c>
      <c r="AI28" s="151" t="s">
        <v>84</v>
      </c>
    </row>
    <row r="29" spans="1:35" ht="15.75" customHeight="1" x14ac:dyDescent="0.2">
      <c r="A29" s="153" t="s">
        <v>258</v>
      </c>
      <c r="B29" s="13">
        <f t="shared" si="0"/>
        <v>25.46</v>
      </c>
      <c r="C29" s="13">
        <v>25.46</v>
      </c>
      <c r="D29" s="13">
        <f t="shared" si="1"/>
        <v>274.05144000000001</v>
      </c>
      <c r="E29" s="150">
        <v>0</v>
      </c>
      <c r="F29" s="150">
        <f t="shared" si="2"/>
        <v>0</v>
      </c>
      <c r="G29" s="13">
        <f t="shared" si="3"/>
        <v>274.05144000000001</v>
      </c>
      <c r="H29" s="106">
        <f t="shared" si="4"/>
        <v>411.07716000000005</v>
      </c>
      <c r="I29" s="15">
        <f t="shared" si="5"/>
        <v>4932925.9200000009</v>
      </c>
      <c r="J29" s="15">
        <v>500000</v>
      </c>
      <c r="K29" s="30">
        <v>35000</v>
      </c>
      <c r="L29" s="15">
        <f t="shared" si="6"/>
        <v>5467925.9200000009</v>
      </c>
      <c r="M29" s="15">
        <f t="shared" si="7"/>
        <v>0</v>
      </c>
      <c r="N29" s="15">
        <f t="shared" si="8"/>
        <v>5467925.9200000009</v>
      </c>
      <c r="O29" s="15">
        <f t="shared" si="9"/>
        <v>102769.29000000001</v>
      </c>
      <c r="P29" s="15">
        <f t="shared" si="10"/>
        <v>82215.432000000015</v>
      </c>
      <c r="Q29" s="15">
        <f t="shared" si="11"/>
        <v>61661.574000000008</v>
      </c>
      <c r="R29" s="15">
        <v>0</v>
      </c>
      <c r="S29" s="15">
        <f t="shared" si="12"/>
        <v>5714572.2160000009</v>
      </c>
      <c r="T29" s="15">
        <v>30000</v>
      </c>
      <c r="U29" s="15">
        <f t="shared" si="13"/>
        <v>656151.11040000012</v>
      </c>
      <c r="V29" s="15">
        <f t="shared" si="14"/>
        <v>29597.555520000002</v>
      </c>
      <c r="W29" s="15">
        <f t="shared" si="15"/>
        <v>382800</v>
      </c>
      <c r="X29" s="16">
        <v>6000</v>
      </c>
      <c r="Y29" s="16">
        <f t="shared" si="16"/>
        <v>6819120.8819200005</v>
      </c>
      <c r="Z29" s="151"/>
      <c r="AA29" s="32" t="s">
        <v>329</v>
      </c>
      <c r="AB29" s="151" t="s">
        <v>37</v>
      </c>
      <c r="AC29" s="32" t="s">
        <v>83</v>
      </c>
      <c r="AD29" s="151">
        <v>9840</v>
      </c>
      <c r="AE29" s="151"/>
      <c r="AF29" s="151">
        <v>4</v>
      </c>
      <c r="AG29" s="151"/>
      <c r="AH29" s="152" t="s">
        <v>40</v>
      </c>
      <c r="AI29" s="151" t="s">
        <v>46</v>
      </c>
    </row>
    <row r="30" spans="1:35" ht="15.75" customHeight="1" x14ac:dyDescent="0.2">
      <c r="A30" s="153" t="s">
        <v>260</v>
      </c>
      <c r="B30" s="13">
        <f t="shared" si="0"/>
        <v>25.71</v>
      </c>
      <c r="C30" s="13">
        <v>25.71</v>
      </c>
      <c r="D30" s="13">
        <f t="shared" si="1"/>
        <v>276.74243999999999</v>
      </c>
      <c r="E30" s="150">
        <v>0</v>
      </c>
      <c r="F30" s="150">
        <f t="shared" si="2"/>
        <v>0</v>
      </c>
      <c r="G30" s="13">
        <f t="shared" si="3"/>
        <v>276.74243999999999</v>
      </c>
      <c r="H30" s="106">
        <f t="shared" si="4"/>
        <v>415.11365999999998</v>
      </c>
      <c r="I30" s="15">
        <f t="shared" si="5"/>
        <v>4981363.92</v>
      </c>
      <c r="J30" s="15">
        <v>500000</v>
      </c>
      <c r="K30" s="30">
        <v>35000</v>
      </c>
      <c r="L30" s="15">
        <f t="shared" si="6"/>
        <v>5516363.9199999999</v>
      </c>
      <c r="M30" s="15">
        <f t="shared" si="7"/>
        <v>0</v>
      </c>
      <c r="N30" s="15">
        <f t="shared" si="8"/>
        <v>5516363.9199999999</v>
      </c>
      <c r="O30" s="15">
        <f t="shared" si="9"/>
        <v>103778.41499999999</v>
      </c>
      <c r="P30" s="15">
        <f t="shared" si="10"/>
        <v>83022.731999999989</v>
      </c>
      <c r="Q30" s="15">
        <f t="shared" si="11"/>
        <v>62267.048999999999</v>
      </c>
      <c r="R30" s="15">
        <v>0</v>
      </c>
      <c r="S30" s="15">
        <f t="shared" si="12"/>
        <v>5765432.1159999995</v>
      </c>
      <c r="T30" s="15">
        <v>30000</v>
      </c>
      <c r="U30" s="15">
        <f t="shared" si="13"/>
        <v>661963.67039999994</v>
      </c>
      <c r="V30" s="15">
        <f t="shared" si="14"/>
        <v>29888.183519999999</v>
      </c>
      <c r="W30" s="15">
        <f t="shared" si="15"/>
        <v>386200</v>
      </c>
      <c r="X30" s="16">
        <v>6000</v>
      </c>
      <c r="Y30" s="16">
        <f t="shared" si="16"/>
        <v>6879483.9699200001</v>
      </c>
      <c r="Z30" s="151"/>
      <c r="AA30" s="32" t="s">
        <v>330</v>
      </c>
      <c r="AB30" s="151" t="s">
        <v>37</v>
      </c>
      <c r="AC30" s="32" t="s">
        <v>331</v>
      </c>
      <c r="AD30" s="151">
        <v>8716</v>
      </c>
      <c r="AE30" s="151"/>
      <c r="AF30" s="152">
        <v>162</v>
      </c>
      <c r="AG30" s="151"/>
      <c r="AH30" s="152" t="s">
        <v>40</v>
      </c>
      <c r="AI30" s="151" t="s">
        <v>46</v>
      </c>
    </row>
    <row r="31" spans="1:35" ht="15.75" customHeight="1" x14ac:dyDescent="0.2">
      <c r="A31" s="153" t="s">
        <v>263</v>
      </c>
      <c r="B31" s="13">
        <f t="shared" si="0"/>
        <v>25.8</v>
      </c>
      <c r="C31" s="13">
        <v>25.8</v>
      </c>
      <c r="D31" s="13">
        <f t="shared" si="1"/>
        <v>277.71119999999996</v>
      </c>
      <c r="E31" s="150">
        <v>0</v>
      </c>
      <c r="F31" s="150">
        <f t="shared" si="2"/>
        <v>0</v>
      </c>
      <c r="G31" s="13">
        <f t="shared" si="3"/>
        <v>277.71119999999996</v>
      </c>
      <c r="H31" s="106">
        <f t="shared" si="4"/>
        <v>416.56679999999994</v>
      </c>
      <c r="I31" s="15">
        <f t="shared" si="5"/>
        <v>4998801.5999999996</v>
      </c>
      <c r="J31" s="15">
        <v>500000</v>
      </c>
      <c r="K31" s="30">
        <v>35000</v>
      </c>
      <c r="L31" s="15">
        <f t="shared" si="6"/>
        <v>5533801.5999999996</v>
      </c>
      <c r="M31" s="15">
        <f t="shared" si="7"/>
        <v>0</v>
      </c>
      <c r="N31" s="15">
        <f t="shared" si="8"/>
        <v>5533801.5999999996</v>
      </c>
      <c r="O31" s="15">
        <f t="shared" si="9"/>
        <v>104141.69999999998</v>
      </c>
      <c r="P31" s="15">
        <f t="shared" si="10"/>
        <v>83313.359999999986</v>
      </c>
      <c r="Q31" s="15">
        <f t="shared" si="11"/>
        <v>62485.01999999999</v>
      </c>
      <c r="R31" s="15">
        <v>0</v>
      </c>
      <c r="S31" s="15">
        <f t="shared" si="12"/>
        <v>5783741.6799999997</v>
      </c>
      <c r="T31" s="15">
        <v>30000</v>
      </c>
      <c r="U31" s="15">
        <f t="shared" si="13"/>
        <v>664056.19199999992</v>
      </c>
      <c r="V31" s="15">
        <f t="shared" si="14"/>
        <v>29992.809599999993</v>
      </c>
      <c r="W31" s="15">
        <f t="shared" si="15"/>
        <v>387400</v>
      </c>
      <c r="X31" s="16">
        <v>6000</v>
      </c>
      <c r="Y31" s="16">
        <f t="shared" si="16"/>
        <v>6901190.6815999998</v>
      </c>
      <c r="Z31" s="151"/>
      <c r="AA31" s="32" t="s">
        <v>332</v>
      </c>
      <c r="AB31" s="151" t="s">
        <v>37</v>
      </c>
      <c r="AC31" s="32" t="s">
        <v>331</v>
      </c>
      <c r="AD31" s="151">
        <v>8700</v>
      </c>
      <c r="AE31" s="151"/>
      <c r="AF31" s="152">
        <v>32</v>
      </c>
      <c r="AG31" s="151"/>
      <c r="AH31" s="152" t="s">
        <v>40</v>
      </c>
      <c r="AI31" s="151" t="s">
        <v>46</v>
      </c>
    </row>
    <row r="32" spans="1:35" ht="15.75" customHeight="1" x14ac:dyDescent="0.2">
      <c r="A32" s="154" t="s">
        <v>265</v>
      </c>
      <c r="B32" s="155">
        <v>79.180000000000007</v>
      </c>
      <c r="C32" s="155">
        <v>53.16</v>
      </c>
      <c r="D32" s="156">
        <f t="shared" si="1"/>
        <v>572.2142399999999</v>
      </c>
      <c r="E32" s="155">
        <v>26.02</v>
      </c>
      <c r="F32" s="157">
        <f t="shared" si="2"/>
        <v>280.07927999999998</v>
      </c>
      <c r="G32" s="156">
        <f t="shared" si="3"/>
        <v>852.29351999999994</v>
      </c>
      <c r="H32" s="119">
        <f>(D32+F32)*1.45</f>
        <v>1235.8256039999999</v>
      </c>
      <c r="I32" s="158">
        <f>H32*G2</f>
        <v>12358256.039999999</v>
      </c>
      <c r="J32" s="158">
        <v>400000</v>
      </c>
      <c r="K32" s="159">
        <v>400000</v>
      </c>
      <c r="L32" s="158">
        <f t="shared" si="6"/>
        <v>13158256.039999999</v>
      </c>
      <c r="M32" s="158">
        <f t="shared" si="7"/>
        <v>0</v>
      </c>
      <c r="N32" s="158">
        <f t="shared" si="8"/>
        <v>13158256.039999999</v>
      </c>
      <c r="O32" s="158">
        <f t="shared" si="9"/>
        <v>308956.40099999995</v>
      </c>
      <c r="P32" s="158">
        <f t="shared" si="10"/>
        <v>247165.12079999998</v>
      </c>
      <c r="Q32" s="158">
        <f t="shared" si="11"/>
        <v>185373.8406</v>
      </c>
      <c r="R32" s="158">
        <v>0</v>
      </c>
      <c r="S32" s="158">
        <f t="shared" si="12"/>
        <v>13899751.4024</v>
      </c>
      <c r="T32" s="158">
        <v>30000</v>
      </c>
      <c r="U32" s="158">
        <f t="shared" si="13"/>
        <v>1578990.7247999997</v>
      </c>
      <c r="V32" s="158">
        <f t="shared" si="14"/>
        <v>88979.44348799999</v>
      </c>
      <c r="W32" s="158">
        <f t="shared" si="15"/>
        <v>921100</v>
      </c>
      <c r="X32" s="160">
        <v>6000</v>
      </c>
      <c r="Y32" s="160">
        <f t="shared" si="16"/>
        <v>16524821.570688</v>
      </c>
      <c r="Z32" s="161"/>
      <c r="AA32" s="123"/>
      <c r="AB32" s="161"/>
      <c r="AC32" s="123"/>
      <c r="AD32" s="161"/>
      <c r="AE32" s="161">
        <v>121</v>
      </c>
      <c r="AF32" s="162" t="s">
        <v>333</v>
      </c>
      <c r="AG32" s="162" t="s">
        <v>40</v>
      </c>
      <c r="AH32" s="162" t="s">
        <v>334</v>
      </c>
      <c r="AI32" s="162" t="s">
        <v>335</v>
      </c>
    </row>
    <row r="33" spans="1:34" ht="15.75" customHeight="1" x14ac:dyDescent="0.2">
      <c r="A33" s="163"/>
      <c r="B33" s="164"/>
      <c r="C33" s="164">
        <f t="shared" ref="C33:D33" si="17">SUM(C4:C32)</f>
        <v>1078.9700000000005</v>
      </c>
      <c r="D33" s="164">
        <f t="shared" si="17"/>
        <v>11614.033079999997</v>
      </c>
      <c r="E33" s="164"/>
      <c r="F33" s="164">
        <f t="shared" ref="F33:H33" si="18">SUM(F4:F32)</f>
        <v>280.07927999999998</v>
      </c>
      <c r="G33" s="164">
        <f t="shared" si="18"/>
        <v>11894.112359999997</v>
      </c>
      <c r="H33" s="165">
        <f t="shared" si="18"/>
        <v>17798.553864000001</v>
      </c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163"/>
      <c r="Y33" s="166"/>
      <c r="Z33" s="41"/>
      <c r="AA33" s="90"/>
      <c r="AB33" s="41"/>
      <c r="AC33" s="90"/>
      <c r="AD33" s="41"/>
      <c r="AE33" s="41"/>
      <c r="AF33" s="41"/>
      <c r="AG33" s="41"/>
      <c r="AH33" s="41"/>
    </row>
    <row r="34" spans="1:34" ht="15.75" customHeight="1" x14ac:dyDescent="0.2">
      <c r="A34" s="166"/>
      <c r="B34" s="41"/>
      <c r="C34" s="41"/>
      <c r="D34" s="41"/>
      <c r="E34" s="41"/>
      <c r="F34" s="41"/>
      <c r="G34" s="41"/>
      <c r="H34" s="166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163"/>
      <c r="Y34" s="166"/>
      <c r="Z34" s="41"/>
      <c r="AA34" s="90"/>
      <c r="AB34" s="41"/>
      <c r="AC34" s="90"/>
      <c r="AD34" s="41"/>
      <c r="AE34" s="41"/>
      <c r="AF34" s="41"/>
      <c r="AG34" s="41"/>
      <c r="AH34" s="41"/>
    </row>
    <row r="35" spans="1:34" ht="15.75" customHeight="1" x14ac:dyDescent="0.2">
      <c r="A35" s="166"/>
      <c r="B35" s="41"/>
      <c r="C35" s="41"/>
      <c r="D35" s="41"/>
      <c r="E35" s="41"/>
      <c r="F35" s="41"/>
      <c r="G35" s="41">
        <f>SUM(H4:H8)</f>
        <v>8524.9265399999986</v>
      </c>
      <c r="H35" s="166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163"/>
      <c r="Y35" s="166"/>
      <c r="Z35" s="41"/>
      <c r="AA35" s="90"/>
      <c r="AB35" s="41"/>
      <c r="AC35" s="90"/>
      <c r="AD35" s="41"/>
      <c r="AE35" s="41"/>
      <c r="AF35" s="41"/>
      <c r="AG35" s="41"/>
      <c r="AH35" s="41"/>
    </row>
    <row r="36" spans="1:34" ht="15.75" customHeight="1" x14ac:dyDescent="0.2">
      <c r="A36" s="166"/>
      <c r="B36" s="41"/>
      <c r="C36" s="41"/>
      <c r="D36" s="41"/>
      <c r="E36" s="41"/>
      <c r="F36" s="41"/>
      <c r="G36" s="41"/>
      <c r="H36" s="166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163"/>
      <c r="Y36" s="166"/>
      <c r="Z36" s="41"/>
      <c r="AA36" s="90"/>
      <c r="AB36" s="41"/>
      <c r="AC36" s="90"/>
      <c r="AD36" s="41"/>
      <c r="AE36" s="41"/>
      <c r="AF36" s="41"/>
      <c r="AG36" s="41"/>
      <c r="AH36" s="41"/>
    </row>
    <row r="37" spans="1:34" ht="15.75" customHeight="1" x14ac:dyDescent="0.2">
      <c r="A37" s="166"/>
      <c r="B37" s="41"/>
      <c r="C37" s="41"/>
      <c r="D37" s="41"/>
      <c r="E37" s="41"/>
      <c r="F37" s="41"/>
      <c r="G37" s="41"/>
      <c r="H37" s="166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163"/>
      <c r="Y37" s="166"/>
      <c r="Z37" s="41"/>
      <c r="AA37" s="90"/>
      <c r="AB37" s="41"/>
      <c r="AC37" s="90"/>
      <c r="AD37" s="41"/>
      <c r="AE37" s="41"/>
      <c r="AF37" s="41"/>
      <c r="AG37" s="41"/>
      <c r="AH37" s="41"/>
    </row>
    <row r="38" spans="1:34" ht="15.75" customHeight="1" x14ac:dyDescent="0.2">
      <c r="A38" s="166"/>
      <c r="B38" s="41"/>
      <c r="C38" s="41"/>
      <c r="D38" s="41"/>
      <c r="E38" s="41"/>
      <c r="F38" s="41"/>
      <c r="G38" s="41"/>
      <c r="H38" s="166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163"/>
      <c r="Y38" s="166"/>
      <c r="Z38" s="41"/>
      <c r="AA38" s="90"/>
      <c r="AB38" s="41"/>
      <c r="AC38" s="90"/>
      <c r="AD38" s="41"/>
      <c r="AE38" s="41"/>
      <c r="AF38" s="41"/>
      <c r="AG38" s="41"/>
      <c r="AH38" s="41"/>
    </row>
    <row r="39" spans="1:34" ht="15.75" customHeight="1" x14ac:dyDescent="0.2">
      <c r="A39" s="166"/>
      <c r="B39" s="41"/>
      <c r="C39" s="41"/>
      <c r="D39" s="41"/>
      <c r="E39" s="41"/>
      <c r="F39" s="41"/>
      <c r="G39" s="41"/>
      <c r="H39" s="166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163"/>
      <c r="Y39" s="166"/>
      <c r="Z39" s="41"/>
      <c r="AA39" s="90"/>
      <c r="AB39" s="41"/>
      <c r="AC39" s="90"/>
      <c r="AD39" s="41"/>
      <c r="AE39" s="41"/>
      <c r="AF39" s="41"/>
      <c r="AG39" s="41"/>
      <c r="AH39" s="41"/>
    </row>
    <row r="40" spans="1:34" ht="15.75" customHeight="1" x14ac:dyDescent="0.2">
      <c r="A40" s="166"/>
      <c r="B40" s="41"/>
      <c r="C40" s="41"/>
      <c r="D40" s="41"/>
      <c r="E40" s="41"/>
      <c r="F40" s="41"/>
      <c r="G40" s="41"/>
      <c r="H40" s="166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163"/>
      <c r="Y40" s="166"/>
      <c r="Z40" s="41"/>
      <c r="AA40" s="90"/>
      <c r="AB40" s="41"/>
      <c r="AC40" s="90"/>
      <c r="AD40" s="41"/>
      <c r="AE40" s="41"/>
      <c r="AF40" s="41"/>
      <c r="AG40" s="41"/>
      <c r="AH40" s="41"/>
    </row>
    <row r="41" spans="1:34" ht="15.75" customHeight="1" x14ac:dyDescent="0.2">
      <c r="A41" s="166"/>
      <c r="B41" s="41"/>
      <c r="C41" s="41"/>
      <c r="D41" s="41"/>
      <c r="E41" s="41"/>
      <c r="F41" s="41"/>
      <c r="G41" s="41"/>
      <c r="H41" s="166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163"/>
      <c r="Y41" s="166"/>
      <c r="Z41" s="41"/>
      <c r="AA41" s="90"/>
      <c r="AB41" s="41"/>
      <c r="AC41" s="90"/>
      <c r="AD41" s="41"/>
      <c r="AE41" s="41"/>
      <c r="AF41" s="41"/>
      <c r="AG41" s="41"/>
      <c r="AH41" s="41"/>
    </row>
    <row r="42" spans="1:34" ht="15.75" customHeight="1" x14ac:dyDescent="0.2">
      <c r="A42" s="166"/>
      <c r="B42" s="41"/>
      <c r="C42" s="41"/>
      <c r="D42" s="41"/>
      <c r="E42" s="41"/>
      <c r="F42" s="41"/>
      <c r="G42" s="41"/>
      <c r="H42" s="166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163"/>
      <c r="Y42" s="166"/>
      <c r="Z42" s="41"/>
      <c r="AA42" s="90"/>
      <c r="AB42" s="41"/>
      <c r="AC42" s="90"/>
      <c r="AD42" s="41"/>
      <c r="AE42" s="41"/>
      <c r="AF42" s="41"/>
      <c r="AG42" s="41"/>
      <c r="AH42" s="41"/>
    </row>
    <row r="43" spans="1:34" ht="15.75" customHeight="1" x14ac:dyDescent="0.2">
      <c r="A43" s="166"/>
      <c r="B43" s="41"/>
      <c r="C43" s="41"/>
      <c r="D43" s="41"/>
      <c r="E43" s="41"/>
      <c r="F43" s="41"/>
      <c r="G43" s="41"/>
      <c r="H43" s="166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163"/>
      <c r="Y43" s="166"/>
      <c r="Z43" s="41"/>
      <c r="AA43" s="90"/>
      <c r="AB43" s="41"/>
      <c r="AC43" s="90"/>
      <c r="AD43" s="41"/>
      <c r="AE43" s="41"/>
      <c r="AF43" s="41"/>
      <c r="AG43" s="41"/>
      <c r="AH43" s="41"/>
    </row>
    <row r="44" spans="1:34" ht="15.75" customHeight="1" x14ac:dyDescent="0.2">
      <c r="A44" s="166"/>
      <c r="B44" s="41"/>
      <c r="C44" s="41"/>
      <c r="D44" s="41"/>
      <c r="E44" s="41"/>
      <c r="F44" s="41"/>
      <c r="G44" s="41"/>
      <c r="H44" s="166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163"/>
      <c r="Y44" s="166"/>
      <c r="Z44" s="41"/>
      <c r="AA44" s="90"/>
      <c r="AB44" s="41"/>
      <c r="AC44" s="90"/>
      <c r="AD44" s="41"/>
      <c r="AE44" s="41"/>
      <c r="AF44" s="41"/>
      <c r="AG44" s="41"/>
      <c r="AH44" s="41"/>
    </row>
    <row r="45" spans="1:34" ht="15.75" customHeight="1" x14ac:dyDescent="0.2">
      <c r="A45" s="166"/>
      <c r="B45" s="41"/>
      <c r="C45" s="41"/>
      <c r="D45" s="41"/>
      <c r="E45" s="41"/>
      <c r="F45" s="41"/>
      <c r="G45" s="41"/>
      <c r="H45" s="166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163"/>
      <c r="Y45" s="166"/>
      <c r="Z45" s="41"/>
      <c r="AA45" s="90"/>
      <c r="AB45" s="41"/>
      <c r="AC45" s="90"/>
      <c r="AD45" s="41"/>
      <c r="AE45" s="41"/>
      <c r="AF45" s="41"/>
      <c r="AG45" s="41"/>
      <c r="AH45" s="41"/>
    </row>
    <row r="46" spans="1:34" ht="15.75" customHeight="1" x14ac:dyDescent="0.2">
      <c r="A46" s="166"/>
      <c r="B46" s="41"/>
      <c r="C46" s="41"/>
      <c r="D46" s="41"/>
      <c r="E46" s="41"/>
      <c r="F46" s="41"/>
      <c r="G46" s="41"/>
      <c r="H46" s="166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163"/>
      <c r="Y46" s="166"/>
      <c r="Z46" s="41"/>
      <c r="AA46" s="90"/>
      <c r="AB46" s="41"/>
      <c r="AC46" s="90"/>
      <c r="AD46" s="41"/>
      <c r="AE46" s="41"/>
      <c r="AF46" s="41"/>
      <c r="AG46" s="41"/>
      <c r="AH46" s="41"/>
    </row>
    <row r="47" spans="1:34" ht="15.75" customHeight="1" x14ac:dyDescent="0.2">
      <c r="A47" s="166"/>
      <c r="B47" s="41"/>
      <c r="C47" s="41"/>
      <c r="D47" s="41"/>
      <c r="E47" s="41"/>
      <c r="F47" s="41"/>
      <c r="G47" s="41"/>
      <c r="H47" s="166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163"/>
      <c r="Y47" s="166"/>
      <c r="Z47" s="41"/>
      <c r="AA47" s="90"/>
      <c r="AB47" s="41"/>
      <c r="AC47" s="90"/>
      <c r="AD47" s="41"/>
      <c r="AE47" s="41"/>
      <c r="AF47" s="41"/>
      <c r="AG47" s="41"/>
      <c r="AH47" s="41"/>
    </row>
    <row r="48" spans="1:34" ht="15.75" customHeight="1" x14ac:dyDescent="0.2">
      <c r="A48" s="166"/>
      <c r="B48" s="41"/>
      <c r="C48" s="41"/>
      <c r="D48" s="41"/>
      <c r="E48" s="41"/>
      <c r="F48" s="41"/>
      <c r="G48" s="41"/>
      <c r="H48" s="166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163"/>
      <c r="Y48" s="166"/>
      <c r="Z48" s="41"/>
      <c r="AA48" s="90"/>
      <c r="AB48" s="41"/>
      <c r="AC48" s="90"/>
      <c r="AD48" s="41"/>
      <c r="AE48" s="41"/>
      <c r="AF48" s="41"/>
      <c r="AG48" s="41"/>
      <c r="AH48" s="41"/>
    </row>
    <row r="49" spans="1:34" ht="15.75" customHeight="1" x14ac:dyDescent="0.2">
      <c r="A49" s="166"/>
      <c r="B49" s="41"/>
      <c r="C49" s="41"/>
      <c r="D49" s="41"/>
      <c r="E49" s="41"/>
      <c r="F49" s="41"/>
      <c r="G49" s="41"/>
      <c r="H49" s="166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163"/>
      <c r="Y49" s="166"/>
      <c r="Z49" s="41"/>
      <c r="AA49" s="90"/>
      <c r="AB49" s="41"/>
      <c r="AC49" s="90"/>
      <c r="AD49" s="41"/>
      <c r="AE49" s="41"/>
      <c r="AF49" s="41"/>
      <c r="AG49" s="41"/>
      <c r="AH49" s="41"/>
    </row>
    <row r="50" spans="1:34" ht="15.75" customHeight="1" x14ac:dyDescent="0.2">
      <c r="A50" s="166"/>
      <c r="B50" s="41"/>
      <c r="C50" s="41"/>
      <c r="D50" s="41"/>
      <c r="E50" s="41"/>
      <c r="F50" s="41"/>
      <c r="G50" s="41"/>
      <c r="H50" s="166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163"/>
      <c r="Y50" s="166"/>
      <c r="Z50" s="41"/>
      <c r="AA50" s="90"/>
      <c r="AB50" s="41"/>
      <c r="AC50" s="90"/>
      <c r="AD50" s="41"/>
      <c r="AE50" s="41"/>
      <c r="AF50" s="41"/>
      <c r="AG50" s="41"/>
      <c r="AH50" s="41"/>
    </row>
    <row r="51" spans="1:34" ht="15.75" customHeight="1" x14ac:dyDescent="0.2">
      <c r="A51" s="166"/>
      <c r="B51" s="41"/>
      <c r="C51" s="41"/>
      <c r="D51" s="41"/>
      <c r="E51" s="41"/>
      <c r="F51" s="41"/>
      <c r="G51" s="41"/>
      <c r="H51" s="166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163"/>
      <c r="Y51" s="166"/>
      <c r="Z51" s="41"/>
      <c r="AA51" s="90"/>
      <c r="AB51" s="41"/>
      <c r="AC51" s="90"/>
      <c r="AD51" s="41"/>
      <c r="AE51" s="41"/>
      <c r="AF51" s="41"/>
      <c r="AG51" s="41"/>
      <c r="AH51" s="41"/>
    </row>
    <row r="52" spans="1:34" ht="15.75" customHeight="1" x14ac:dyDescent="0.2">
      <c r="A52" s="166"/>
      <c r="B52" s="41"/>
      <c r="C52" s="41"/>
      <c r="D52" s="41"/>
      <c r="E52" s="41"/>
      <c r="F52" s="41"/>
      <c r="G52" s="41"/>
      <c r="H52" s="166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163"/>
      <c r="Y52" s="166"/>
      <c r="Z52" s="41"/>
      <c r="AA52" s="90"/>
      <c r="AB52" s="41"/>
      <c r="AC52" s="90"/>
      <c r="AD52" s="41"/>
      <c r="AE52" s="41"/>
      <c r="AF52" s="41"/>
      <c r="AG52" s="41"/>
      <c r="AH52" s="41"/>
    </row>
    <row r="53" spans="1:34" ht="15.75" customHeight="1" x14ac:dyDescent="0.2">
      <c r="A53" s="166"/>
      <c r="B53" s="41"/>
      <c r="C53" s="41"/>
      <c r="D53" s="41"/>
      <c r="E53" s="41"/>
      <c r="F53" s="41"/>
      <c r="G53" s="41"/>
      <c r="H53" s="166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163"/>
      <c r="Y53" s="166"/>
      <c r="Z53" s="41"/>
      <c r="AA53" s="90"/>
      <c r="AB53" s="41"/>
      <c r="AC53" s="90"/>
      <c r="AD53" s="41"/>
      <c r="AE53" s="41"/>
      <c r="AF53" s="41"/>
      <c r="AG53" s="41"/>
      <c r="AH53" s="41"/>
    </row>
    <row r="54" spans="1:34" ht="15.75" customHeight="1" x14ac:dyDescent="0.2">
      <c r="A54" s="166"/>
      <c r="B54" s="41"/>
      <c r="C54" s="41"/>
      <c r="D54" s="41"/>
      <c r="E54" s="41"/>
      <c r="F54" s="41"/>
      <c r="G54" s="41"/>
      <c r="H54" s="166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163"/>
      <c r="Y54" s="166"/>
      <c r="Z54" s="41"/>
      <c r="AA54" s="90"/>
      <c r="AB54" s="41"/>
      <c r="AC54" s="90"/>
      <c r="AD54" s="41"/>
      <c r="AE54" s="41"/>
      <c r="AF54" s="41"/>
      <c r="AG54" s="41"/>
      <c r="AH54" s="41"/>
    </row>
    <row r="55" spans="1:34" ht="15.75" customHeight="1" x14ac:dyDescent="0.2">
      <c r="A55" s="166"/>
      <c r="B55" s="41"/>
      <c r="C55" s="41"/>
      <c r="D55" s="41"/>
      <c r="E55" s="41"/>
      <c r="F55" s="41"/>
      <c r="G55" s="41"/>
      <c r="H55" s="166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163"/>
      <c r="Y55" s="166"/>
      <c r="Z55" s="41"/>
      <c r="AA55" s="90"/>
      <c r="AB55" s="41"/>
      <c r="AC55" s="90"/>
      <c r="AD55" s="41"/>
      <c r="AE55" s="41"/>
      <c r="AF55" s="41"/>
      <c r="AG55" s="41"/>
      <c r="AH55" s="41"/>
    </row>
    <row r="56" spans="1:34" ht="15.75" customHeight="1" x14ac:dyDescent="0.2">
      <c r="A56" s="166"/>
      <c r="B56" s="41"/>
      <c r="C56" s="41"/>
      <c r="D56" s="41"/>
      <c r="E56" s="41"/>
      <c r="F56" s="41"/>
      <c r="G56" s="41"/>
      <c r="H56" s="166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163"/>
      <c r="Y56" s="166"/>
      <c r="Z56" s="41"/>
      <c r="AA56" s="90"/>
      <c r="AB56" s="41"/>
      <c r="AC56" s="90"/>
      <c r="AD56" s="41"/>
      <c r="AE56" s="41"/>
      <c r="AF56" s="41"/>
      <c r="AG56" s="41"/>
      <c r="AH56" s="41"/>
    </row>
    <row r="57" spans="1:34" ht="15.75" customHeight="1" x14ac:dyDescent="0.2">
      <c r="A57" s="166"/>
      <c r="B57" s="41"/>
      <c r="C57" s="41"/>
      <c r="D57" s="41"/>
      <c r="E57" s="41"/>
      <c r="F57" s="41"/>
      <c r="G57" s="41"/>
      <c r="H57" s="166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163"/>
      <c r="Y57" s="166"/>
      <c r="Z57" s="41"/>
      <c r="AA57" s="90"/>
      <c r="AB57" s="41"/>
      <c r="AC57" s="90"/>
      <c r="AD57" s="41"/>
      <c r="AE57" s="41"/>
      <c r="AF57" s="41"/>
      <c r="AG57" s="41"/>
      <c r="AH57" s="41"/>
    </row>
    <row r="58" spans="1:34" ht="15.75" customHeight="1" x14ac:dyDescent="0.2">
      <c r="A58" s="166"/>
      <c r="B58" s="41"/>
      <c r="C58" s="41"/>
      <c r="D58" s="41"/>
      <c r="E58" s="41"/>
      <c r="F58" s="41"/>
      <c r="G58" s="41"/>
      <c r="H58" s="166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163"/>
      <c r="Y58" s="166"/>
      <c r="Z58" s="41"/>
      <c r="AA58" s="90"/>
      <c r="AB58" s="41"/>
      <c r="AC58" s="90"/>
      <c r="AD58" s="41"/>
      <c r="AE58" s="41"/>
      <c r="AF58" s="41"/>
      <c r="AG58" s="41"/>
      <c r="AH58" s="41"/>
    </row>
    <row r="59" spans="1:34" ht="15.75" customHeight="1" x14ac:dyDescent="0.2">
      <c r="A59" s="166"/>
      <c r="B59" s="41"/>
      <c r="C59" s="41"/>
      <c r="D59" s="41"/>
      <c r="E59" s="41"/>
      <c r="F59" s="41"/>
      <c r="G59" s="41"/>
      <c r="H59" s="166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163"/>
      <c r="Y59" s="166"/>
      <c r="Z59" s="41"/>
      <c r="AA59" s="90"/>
      <c r="AB59" s="41"/>
      <c r="AC59" s="90"/>
      <c r="AD59" s="41"/>
      <c r="AE59" s="41"/>
      <c r="AF59" s="41"/>
      <c r="AG59" s="41"/>
      <c r="AH59" s="41"/>
    </row>
    <row r="60" spans="1:34" ht="15.75" customHeight="1" x14ac:dyDescent="0.2">
      <c r="A60" s="166"/>
      <c r="B60" s="41"/>
      <c r="C60" s="41"/>
      <c r="D60" s="41"/>
      <c r="E60" s="41"/>
      <c r="F60" s="41"/>
      <c r="G60" s="41"/>
      <c r="H60" s="166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163"/>
      <c r="Y60" s="166"/>
      <c r="Z60" s="41"/>
      <c r="AA60" s="90"/>
      <c r="AB60" s="41"/>
      <c r="AC60" s="90"/>
      <c r="AD60" s="41"/>
      <c r="AE60" s="41"/>
      <c r="AF60" s="41"/>
      <c r="AG60" s="41"/>
      <c r="AH60" s="41"/>
    </row>
    <row r="61" spans="1:34" ht="15.75" customHeight="1" x14ac:dyDescent="0.2">
      <c r="A61" s="166"/>
      <c r="B61" s="41"/>
      <c r="C61" s="41"/>
      <c r="D61" s="41"/>
      <c r="E61" s="41"/>
      <c r="F61" s="41"/>
      <c r="G61" s="41"/>
      <c r="H61" s="166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163"/>
      <c r="Y61" s="166"/>
      <c r="Z61" s="41"/>
      <c r="AA61" s="90"/>
      <c r="AB61" s="41"/>
      <c r="AC61" s="90"/>
      <c r="AD61" s="41"/>
      <c r="AE61" s="41"/>
      <c r="AF61" s="41"/>
      <c r="AG61" s="41"/>
      <c r="AH61" s="41"/>
    </row>
    <row r="62" spans="1:34" ht="15.75" customHeight="1" x14ac:dyDescent="0.2">
      <c r="A62" s="166"/>
      <c r="B62" s="41"/>
      <c r="C62" s="41"/>
      <c r="D62" s="41"/>
      <c r="E62" s="41"/>
      <c r="F62" s="41"/>
      <c r="G62" s="41"/>
      <c r="H62" s="166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163"/>
      <c r="Y62" s="166"/>
      <c r="Z62" s="41"/>
      <c r="AA62" s="90"/>
      <c r="AB62" s="41"/>
      <c r="AC62" s="90"/>
      <c r="AD62" s="41"/>
      <c r="AE62" s="41"/>
      <c r="AF62" s="41"/>
      <c r="AG62" s="41"/>
      <c r="AH62" s="41"/>
    </row>
    <row r="63" spans="1:34" ht="15.75" customHeight="1" x14ac:dyDescent="0.2">
      <c r="A63" s="166"/>
      <c r="B63" s="41"/>
      <c r="C63" s="41"/>
      <c r="D63" s="41"/>
      <c r="E63" s="41"/>
      <c r="F63" s="41"/>
      <c r="G63" s="41"/>
      <c r="H63" s="166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163"/>
      <c r="Y63" s="166"/>
      <c r="Z63" s="41"/>
      <c r="AA63" s="90"/>
      <c r="AB63" s="41"/>
      <c r="AC63" s="90"/>
      <c r="AD63" s="41"/>
      <c r="AE63" s="41"/>
      <c r="AF63" s="41"/>
      <c r="AG63" s="41"/>
      <c r="AH63" s="41"/>
    </row>
    <row r="64" spans="1:34" ht="15.75" customHeight="1" x14ac:dyDescent="0.2">
      <c r="A64" s="166"/>
      <c r="B64" s="41"/>
      <c r="C64" s="41"/>
      <c r="D64" s="41"/>
      <c r="E64" s="41"/>
      <c r="F64" s="41"/>
      <c r="G64" s="41"/>
      <c r="H64" s="166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163"/>
      <c r="Y64" s="166"/>
      <c r="Z64" s="41"/>
      <c r="AA64" s="90"/>
      <c r="AB64" s="41"/>
      <c r="AC64" s="90"/>
      <c r="AD64" s="41"/>
      <c r="AE64" s="41"/>
      <c r="AF64" s="41"/>
      <c r="AG64" s="41"/>
      <c r="AH64" s="41"/>
    </row>
    <row r="65" spans="1:34" ht="15.75" customHeight="1" x14ac:dyDescent="0.2">
      <c r="A65" s="166"/>
      <c r="B65" s="41"/>
      <c r="C65" s="41"/>
      <c r="D65" s="41"/>
      <c r="E65" s="41"/>
      <c r="F65" s="41"/>
      <c r="G65" s="41"/>
      <c r="H65" s="166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163"/>
      <c r="Y65" s="166"/>
      <c r="Z65" s="41"/>
      <c r="AA65" s="90"/>
      <c r="AB65" s="41"/>
      <c r="AC65" s="90"/>
      <c r="AD65" s="41"/>
      <c r="AE65" s="41"/>
      <c r="AF65" s="41"/>
      <c r="AG65" s="41"/>
      <c r="AH65" s="41"/>
    </row>
    <row r="66" spans="1:34" ht="15.75" customHeight="1" x14ac:dyDescent="0.2">
      <c r="A66" s="166"/>
      <c r="B66" s="41"/>
      <c r="C66" s="41"/>
      <c r="D66" s="41"/>
      <c r="E66" s="41"/>
      <c r="F66" s="41"/>
      <c r="G66" s="41"/>
      <c r="H66" s="166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163"/>
      <c r="Y66" s="166"/>
      <c r="Z66" s="41"/>
      <c r="AA66" s="90"/>
      <c r="AB66" s="41"/>
      <c r="AC66" s="90"/>
      <c r="AD66" s="41"/>
      <c r="AE66" s="41"/>
      <c r="AF66" s="41"/>
      <c r="AG66" s="41"/>
      <c r="AH66" s="41"/>
    </row>
    <row r="67" spans="1:34" ht="15.75" customHeight="1" x14ac:dyDescent="0.2">
      <c r="A67" s="166"/>
      <c r="B67" s="41"/>
      <c r="C67" s="41"/>
      <c r="D67" s="41"/>
      <c r="E67" s="41"/>
      <c r="F67" s="41"/>
      <c r="G67" s="41"/>
      <c r="H67" s="166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163"/>
      <c r="Y67" s="166"/>
      <c r="Z67" s="41"/>
      <c r="AA67" s="90"/>
      <c r="AB67" s="41"/>
      <c r="AC67" s="90"/>
      <c r="AD67" s="41"/>
      <c r="AE67" s="41"/>
      <c r="AF67" s="41"/>
      <c r="AG67" s="41"/>
      <c r="AH67" s="41"/>
    </row>
    <row r="68" spans="1:34" ht="15.75" customHeight="1" x14ac:dyDescent="0.2">
      <c r="A68" s="166"/>
      <c r="B68" s="41"/>
      <c r="C68" s="41"/>
      <c r="D68" s="41"/>
      <c r="E68" s="41"/>
      <c r="F68" s="41"/>
      <c r="G68" s="41"/>
      <c r="H68" s="166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163"/>
      <c r="Y68" s="166"/>
      <c r="Z68" s="41"/>
      <c r="AA68" s="90"/>
      <c r="AB68" s="41"/>
      <c r="AC68" s="90"/>
      <c r="AD68" s="41"/>
      <c r="AE68" s="41"/>
      <c r="AF68" s="41"/>
      <c r="AG68" s="41"/>
      <c r="AH68" s="41"/>
    </row>
    <row r="69" spans="1:34" ht="15.75" customHeight="1" x14ac:dyDescent="0.2">
      <c r="A69" s="166"/>
      <c r="B69" s="41"/>
      <c r="C69" s="41"/>
      <c r="D69" s="41"/>
      <c r="E69" s="41"/>
      <c r="F69" s="41"/>
      <c r="G69" s="41"/>
      <c r="H69" s="166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163"/>
      <c r="Y69" s="166"/>
      <c r="Z69" s="41"/>
      <c r="AA69" s="90"/>
      <c r="AB69" s="41"/>
      <c r="AC69" s="90"/>
      <c r="AD69" s="41"/>
      <c r="AE69" s="41"/>
      <c r="AF69" s="41"/>
      <c r="AG69" s="41"/>
      <c r="AH69" s="41"/>
    </row>
    <row r="70" spans="1:34" ht="15.75" customHeight="1" x14ac:dyDescent="0.2">
      <c r="A70" s="166"/>
      <c r="B70" s="41"/>
      <c r="C70" s="41"/>
      <c r="D70" s="41"/>
      <c r="E70" s="41"/>
      <c r="F70" s="41"/>
      <c r="G70" s="41"/>
      <c r="H70" s="166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163"/>
      <c r="Y70" s="166"/>
      <c r="Z70" s="41"/>
      <c r="AA70" s="90"/>
      <c r="AB70" s="41"/>
      <c r="AC70" s="90"/>
      <c r="AD70" s="41"/>
      <c r="AE70" s="41"/>
      <c r="AF70" s="41"/>
      <c r="AG70" s="41"/>
      <c r="AH70" s="41"/>
    </row>
    <row r="71" spans="1:34" ht="15.75" customHeight="1" x14ac:dyDescent="0.2">
      <c r="A71" s="166"/>
      <c r="B71" s="41"/>
      <c r="C71" s="41"/>
      <c r="D71" s="41"/>
      <c r="E71" s="41"/>
      <c r="F71" s="41"/>
      <c r="G71" s="41"/>
      <c r="H71" s="166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163"/>
      <c r="Y71" s="166"/>
      <c r="Z71" s="41"/>
      <c r="AA71" s="90"/>
      <c r="AB71" s="41"/>
      <c r="AC71" s="90"/>
      <c r="AD71" s="41"/>
      <c r="AE71" s="41"/>
      <c r="AF71" s="41"/>
      <c r="AG71" s="41"/>
      <c r="AH71" s="41"/>
    </row>
    <row r="72" spans="1:34" ht="15.75" customHeight="1" x14ac:dyDescent="0.2">
      <c r="A72" s="166"/>
      <c r="B72" s="41"/>
      <c r="C72" s="41"/>
      <c r="D72" s="41"/>
      <c r="E72" s="41"/>
      <c r="F72" s="41"/>
      <c r="G72" s="41"/>
      <c r="H72" s="166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163"/>
      <c r="Y72" s="166"/>
      <c r="Z72" s="41"/>
      <c r="AA72" s="90"/>
      <c r="AB72" s="41"/>
      <c r="AC72" s="90"/>
      <c r="AD72" s="41"/>
      <c r="AE72" s="41"/>
      <c r="AF72" s="41"/>
      <c r="AG72" s="41"/>
      <c r="AH72" s="41"/>
    </row>
    <row r="73" spans="1:34" ht="15.75" customHeight="1" x14ac:dyDescent="0.2">
      <c r="A73" s="166"/>
      <c r="B73" s="41"/>
      <c r="C73" s="41"/>
      <c r="D73" s="41"/>
      <c r="E73" s="41"/>
      <c r="F73" s="41"/>
      <c r="G73" s="41"/>
      <c r="H73" s="166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163"/>
      <c r="Y73" s="166"/>
      <c r="Z73" s="41"/>
      <c r="AA73" s="90"/>
      <c r="AB73" s="41"/>
      <c r="AC73" s="90"/>
      <c r="AD73" s="41"/>
      <c r="AE73" s="41"/>
      <c r="AF73" s="41"/>
      <c r="AG73" s="41"/>
      <c r="AH73" s="41"/>
    </row>
    <row r="74" spans="1:34" ht="15.75" customHeight="1" x14ac:dyDescent="0.2">
      <c r="A74" s="166"/>
      <c r="B74" s="41"/>
      <c r="C74" s="41"/>
      <c r="D74" s="41"/>
      <c r="E74" s="41"/>
      <c r="F74" s="41"/>
      <c r="G74" s="41"/>
      <c r="H74" s="166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163"/>
      <c r="Y74" s="166"/>
      <c r="Z74" s="41"/>
      <c r="AA74" s="90"/>
      <c r="AB74" s="41"/>
      <c r="AC74" s="90"/>
      <c r="AD74" s="41"/>
      <c r="AE74" s="41"/>
      <c r="AF74" s="41"/>
      <c r="AG74" s="41"/>
      <c r="AH74" s="41"/>
    </row>
    <row r="75" spans="1:34" ht="15.75" customHeight="1" x14ac:dyDescent="0.2">
      <c r="A75" s="166"/>
      <c r="B75" s="41"/>
      <c r="C75" s="41"/>
      <c r="D75" s="41"/>
      <c r="E75" s="41"/>
      <c r="F75" s="41"/>
      <c r="G75" s="41"/>
      <c r="H75" s="166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163"/>
      <c r="Y75" s="166"/>
      <c r="Z75" s="41"/>
      <c r="AA75" s="90"/>
      <c r="AB75" s="41"/>
      <c r="AC75" s="90"/>
      <c r="AD75" s="41"/>
      <c r="AE75" s="41"/>
      <c r="AF75" s="41"/>
      <c r="AG75" s="41"/>
      <c r="AH75" s="41"/>
    </row>
    <row r="76" spans="1:34" ht="15.75" customHeight="1" x14ac:dyDescent="0.2">
      <c r="A76" s="166"/>
      <c r="B76" s="41"/>
      <c r="C76" s="41"/>
      <c r="D76" s="41"/>
      <c r="E76" s="41"/>
      <c r="F76" s="41"/>
      <c r="G76" s="41"/>
      <c r="H76" s="166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163"/>
      <c r="Y76" s="166"/>
      <c r="Z76" s="41"/>
      <c r="AA76" s="90"/>
      <c r="AB76" s="41"/>
      <c r="AC76" s="90"/>
      <c r="AD76" s="41"/>
      <c r="AE76" s="41"/>
      <c r="AF76" s="41"/>
      <c r="AG76" s="41"/>
      <c r="AH76" s="41"/>
    </row>
    <row r="77" spans="1:34" ht="15.75" customHeight="1" x14ac:dyDescent="0.2">
      <c r="A77" s="166"/>
      <c r="B77" s="41"/>
      <c r="C77" s="41"/>
      <c r="D77" s="41"/>
      <c r="E77" s="41"/>
      <c r="F77" s="41"/>
      <c r="G77" s="41"/>
      <c r="H77" s="166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163"/>
      <c r="Y77" s="166"/>
      <c r="Z77" s="41"/>
      <c r="AA77" s="90"/>
      <c r="AB77" s="41"/>
      <c r="AC77" s="90"/>
      <c r="AD77" s="41"/>
      <c r="AE77" s="41"/>
      <c r="AF77" s="41"/>
      <c r="AG77" s="41"/>
      <c r="AH77" s="41"/>
    </row>
    <row r="78" spans="1:34" ht="15.75" customHeight="1" x14ac:dyDescent="0.2">
      <c r="A78" s="166"/>
      <c r="B78" s="41"/>
      <c r="C78" s="41"/>
      <c r="D78" s="41"/>
      <c r="E78" s="41"/>
      <c r="F78" s="41"/>
      <c r="G78" s="41"/>
      <c r="H78" s="166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163"/>
      <c r="Y78" s="166"/>
      <c r="Z78" s="41"/>
      <c r="AA78" s="90"/>
      <c r="AB78" s="41"/>
      <c r="AC78" s="90"/>
      <c r="AD78" s="41"/>
      <c r="AE78" s="41"/>
      <c r="AF78" s="41"/>
      <c r="AG78" s="41"/>
      <c r="AH78" s="41"/>
    </row>
    <row r="79" spans="1:34" ht="15.75" customHeight="1" x14ac:dyDescent="0.2">
      <c r="A79" s="166"/>
      <c r="B79" s="41"/>
      <c r="C79" s="41"/>
      <c r="D79" s="41"/>
      <c r="E79" s="41"/>
      <c r="F79" s="41"/>
      <c r="G79" s="41"/>
      <c r="H79" s="166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163"/>
      <c r="Y79" s="166"/>
      <c r="Z79" s="41"/>
      <c r="AA79" s="90"/>
      <c r="AB79" s="41"/>
      <c r="AC79" s="90"/>
      <c r="AD79" s="41"/>
      <c r="AE79" s="41"/>
      <c r="AF79" s="41"/>
      <c r="AG79" s="41"/>
      <c r="AH79" s="41"/>
    </row>
    <row r="80" spans="1:34" ht="15.75" customHeight="1" x14ac:dyDescent="0.2">
      <c r="A80" s="166"/>
      <c r="B80" s="41"/>
      <c r="C80" s="41"/>
      <c r="D80" s="41"/>
      <c r="E80" s="41"/>
      <c r="F80" s="41"/>
      <c r="G80" s="41"/>
      <c r="H80" s="166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163"/>
      <c r="Y80" s="166"/>
      <c r="Z80" s="41"/>
      <c r="AA80" s="90"/>
      <c r="AB80" s="41"/>
      <c r="AC80" s="90"/>
      <c r="AD80" s="41"/>
      <c r="AE80" s="41"/>
      <c r="AF80" s="41"/>
      <c r="AG80" s="41"/>
      <c r="AH80" s="41"/>
    </row>
    <row r="81" spans="1:34" ht="15.75" customHeight="1" x14ac:dyDescent="0.2">
      <c r="A81" s="166"/>
      <c r="B81" s="41"/>
      <c r="C81" s="41"/>
      <c r="D81" s="41"/>
      <c r="E81" s="41"/>
      <c r="F81" s="41"/>
      <c r="G81" s="41"/>
      <c r="H81" s="166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163"/>
      <c r="Y81" s="166"/>
      <c r="Z81" s="41"/>
      <c r="AA81" s="90"/>
      <c r="AB81" s="41"/>
      <c r="AC81" s="90"/>
      <c r="AD81" s="41"/>
      <c r="AE81" s="41"/>
      <c r="AF81" s="41"/>
      <c r="AG81" s="41"/>
      <c r="AH81" s="41"/>
    </row>
    <row r="82" spans="1:34" ht="15.75" customHeight="1" x14ac:dyDescent="0.2">
      <c r="A82" s="166"/>
      <c r="B82" s="41"/>
      <c r="C82" s="41"/>
      <c r="D82" s="41"/>
      <c r="E82" s="41"/>
      <c r="F82" s="41"/>
      <c r="G82" s="41"/>
      <c r="H82" s="166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163"/>
      <c r="Y82" s="166"/>
      <c r="Z82" s="41"/>
      <c r="AA82" s="90"/>
      <c r="AB82" s="41"/>
      <c r="AC82" s="90"/>
      <c r="AD82" s="41"/>
      <c r="AE82" s="41"/>
      <c r="AF82" s="41"/>
      <c r="AG82" s="41"/>
      <c r="AH82" s="41"/>
    </row>
    <row r="83" spans="1:34" ht="15.75" customHeight="1" x14ac:dyDescent="0.2">
      <c r="A83" s="166"/>
      <c r="B83" s="41"/>
      <c r="C83" s="41"/>
      <c r="D83" s="41"/>
      <c r="E83" s="41"/>
      <c r="F83" s="41"/>
      <c r="G83" s="41"/>
      <c r="H83" s="166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163"/>
      <c r="Y83" s="166"/>
      <c r="Z83" s="41"/>
      <c r="AA83" s="90"/>
      <c r="AB83" s="41"/>
      <c r="AC83" s="90"/>
      <c r="AD83" s="41"/>
      <c r="AE83" s="41"/>
      <c r="AF83" s="41"/>
      <c r="AG83" s="41"/>
      <c r="AH83" s="41"/>
    </row>
    <row r="84" spans="1:34" ht="15.75" customHeight="1" x14ac:dyDescent="0.2">
      <c r="A84" s="166"/>
      <c r="B84" s="41"/>
      <c r="C84" s="41"/>
      <c r="D84" s="41"/>
      <c r="E84" s="41"/>
      <c r="F84" s="41"/>
      <c r="G84" s="41"/>
      <c r="H84" s="166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163"/>
      <c r="Y84" s="166"/>
      <c r="Z84" s="41"/>
      <c r="AA84" s="90"/>
      <c r="AB84" s="41"/>
      <c r="AC84" s="90"/>
      <c r="AD84" s="41"/>
      <c r="AE84" s="41"/>
      <c r="AF84" s="41"/>
      <c r="AG84" s="41"/>
      <c r="AH84" s="41"/>
    </row>
    <row r="85" spans="1:34" ht="15.75" customHeight="1" x14ac:dyDescent="0.2">
      <c r="A85" s="166"/>
      <c r="B85" s="41"/>
      <c r="C85" s="41"/>
      <c r="D85" s="41"/>
      <c r="E85" s="41"/>
      <c r="F85" s="41"/>
      <c r="G85" s="41"/>
      <c r="H85" s="166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163"/>
      <c r="Y85" s="166"/>
      <c r="Z85" s="41"/>
      <c r="AA85" s="90"/>
      <c r="AB85" s="41"/>
      <c r="AC85" s="90"/>
      <c r="AD85" s="41"/>
      <c r="AE85" s="41"/>
      <c r="AF85" s="41"/>
      <c r="AG85" s="41"/>
      <c r="AH85" s="41"/>
    </row>
    <row r="86" spans="1:34" ht="15.75" customHeight="1" x14ac:dyDescent="0.2">
      <c r="A86" s="166"/>
      <c r="B86" s="41"/>
      <c r="C86" s="41"/>
      <c r="D86" s="41"/>
      <c r="E86" s="41"/>
      <c r="F86" s="41"/>
      <c r="G86" s="41"/>
      <c r="H86" s="166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163"/>
      <c r="Y86" s="166"/>
      <c r="Z86" s="41"/>
      <c r="AA86" s="90"/>
      <c r="AB86" s="41"/>
      <c r="AC86" s="90"/>
      <c r="AD86" s="41"/>
      <c r="AE86" s="41"/>
      <c r="AF86" s="41"/>
      <c r="AG86" s="41"/>
      <c r="AH86" s="41"/>
    </row>
    <row r="87" spans="1:34" ht="15.75" customHeight="1" x14ac:dyDescent="0.2">
      <c r="A87" s="166"/>
      <c r="B87" s="41"/>
      <c r="C87" s="41"/>
      <c r="D87" s="41"/>
      <c r="E87" s="41"/>
      <c r="F87" s="41"/>
      <c r="G87" s="41"/>
      <c r="H87" s="166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163"/>
      <c r="Y87" s="166"/>
      <c r="Z87" s="41"/>
      <c r="AA87" s="90"/>
      <c r="AB87" s="41"/>
      <c r="AC87" s="90"/>
      <c r="AD87" s="41"/>
      <c r="AE87" s="41"/>
      <c r="AF87" s="41"/>
      <c r="AG87" s="41"/>
      <c r="AH87" s="41"/>
    </row>
    <row r="88" spans="1:34" ht="15.75" customHeight="1" x14ac:dyDescent="0.2">
      <c r="A88" s="166"/>
      <c r="B88" s="41"/>
      <c r="C88" s="41"/>
      <c r="D88" s="41"/>
      <c r="E88" s="41"/>
      <c r="F88" s="41"/>
      <c r="G88" s="41"/>
      <c r="H88" s="166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163"/>
      <c r="Y88" s="166"/>
      <c r="Z88" s="41"/>
      <c r="AA88" s="90"/>
      <c r="AB88" s="41"/>
      <c r="AC88" s="90"/>
      <c r="AD88" s="41"/>
      <c r="AE88" s="41"/>
      <c r="AF88" s="41"/>
      <c r="AG88" s="41"/>
      <c r="AH88" s="41"/>
    </row>
    <row r="89" spans="1:34" ht="15.75" customHeight="1" x14ac:dyDescent="0.2">
      <c r="A89" s="166"/>
      <c r="B89" s="41"/>
      <c r="C89" s="41"/>
      <c r="D89" s="41"/>
      <c r="E89" s="41"/>
      <c r="F89" s="41"/>
      <c r="G89" s="41"/>
      <c r="H89" s="166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163"/>
      <c r="Y89" s="166"/>
      <c r="Z89" s="41"/>
      <c r="AA89" s="90"/>
      <c r="AB89" s="41"/>
      <c r="AC89" s="90"/>
      <c r="AD89" s="41"/>
      <c r="AE89" s="41"/>
      <c r="AF89" s="41"/>
      <c r="AG89" s="41"/>
      <c r="AH89" s="41"/>
    </row>
    <row r="90" spans="1:34" ht="15.75" customHeight="1" x14ac:dyDescent="0.2">
      <c r="A90" s="166"/>
      <c r="B90" s="41"/>
      <c r="C90" s="41"/>
      <c r="D90" s="41"/>
      <c r="E90" s="41"/>
      <c r="F90" s="41"/>
      <c r="G90" s="41"/>
      <c r="H90" s="166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163"/>
      <c r="Y90" s="166"/>
      <c r="Z90" s="41"/>
      <c r="AA90" s="90"/>
      <c r="AB90" s="41"/>
      <c r="AC90" s="90"/>
      <c r="AD90" s="41"/>
      <c r="AE90" s="41"/>
      <c r="AF90" s="41"/>
      <c r="AG90" s="41"/>
      <c r="AH90" s="41"/>
    </row>
    <row r="91" spans="1:34" ht="15.75" customHeight="1" x14ac:dyDescent="0.2">
      <c r="A91" s="166"/>
      <c r="B91" s="41"/>
      <c r="C91" s="41"/>
      <c r="D91" s="41"/>
      <c r="E91" s="41"/>
      <c r="F91" s="41"/>
      <c r="G91" s="41"/>
      <c r="H91" s="166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163"/>
      <c r="Y91" s="166"/>
      <c r="Z91" s="41"/>
      <c r="AA91" s="90"/>
      <c r="AB91" s="41"/>
      <c r="AC91" s="90"/>
      <c r="AD91" s="41"/>
      <c r="AE91" s="41"/>
      <c r="AF91" s="41"/>
      <c r="AG91" s="41"/>
      <c r="AH91" s="41"/>
    </row>
    <row r="92" spans="1:34" ht="15.75" customHeight="1" x14ac:dyDescent="0.2">
      <c r="A92" s="166"/>
      <c r="B92" s="41"/>
      <c r="C92" s="41"/>
      <c r="D92" s="41"/>
      <c r="E92" s="41"/>
      <c r="F92" s="41"/>
      <c r="G92" s="41"/>
      <c r="H92" s="166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163"/>
      <c r="Y92" s="166"/>
      <c r="Z92" s="41"/>
      <c r="AA92" s="90"/>
      <c r="AB92" s="41"/>
      <c r="AC92" s="90"/>
      <c r="AD92" s="41"/>
      <c r="AE92" s="41"/>
      <c r="AF92" s="41"/>
      <c r="AG92" s="41"/>
      <c r="AH92" s="41"/>
    </row>
    <row r="93" spans="1:34" ht="15.75" customHeight="1" x14ac:dyDescent="0.2">
      <c r="A93" s="166"/>
      <c r="B93" s="41"/>
      <c r="C93" s="41"/>
      <c r="D93" s="41"/>
      <c r="E93" s="41"/>
      <c r="F93" s="41"/>
      <c r="G93" s="41"/>
      <c r="H93" s="166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163"/>
      <c r="Y93" s="166"/>
      <c r="Z93" s="41"/>
      <c r="AA93" s="90"/>
      <c r="AB93" s="41"/>
      <c r="AC93" s="90"/>
      <c r="AD93" s="41"/>
      <c r="AE93" s="41"/>
      <c r="AF93" s="41"/>
      <c r="AG93" s="41"/>
      <c r="AH93" s="41"/>
    </row>
    <row r="94" spans="1:34" ht="15.75" customHeight="1" x14ac:dyDescent="0.2">
      <c r="A94" s="166"/>
      <c r="B94" s="41"/>
      <c r="C94" s="41"/>
      <c r="D94" s="41"/>
      <c r="E94" s="41"/>
      <c r="F94" s="41"/>
      <c r="G94" s="41"/>
      <c r="H94" s="166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163"/>
      <c r="Y94" s="166"/>
      <c r="Z94" s="41"/>
      <c r="AA94" s="90"/>
      <c r="AB94" s="41"/>
      <c r="AC94" s="90"/>
      <c r="AD94" s="41"/>
      <c r="AE94" s="41"/>
      <c r="AF94" s="41"/>
      <c r="AG94" s="41"/>
      <c r="AH94" s="41"/>
    </row>
    <row r="95" spans="1:34" ht="15.75" customHeight="1" x14ac:dyDescent="0.2">
      <c r="A95" s="166"/>
      <c r="B95" s="41"/>
      <c r="C95" s="41"/>
      <c r="D95" s="41"/>
      <c r="E95" s="41"/>
      <c r="F95" s="41"/>
      <c r="G95" s="41"/>
      <c r="H95" s="166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163"/>
      <c r="Y95" s="166"/>
      <c r="Z95" s="41"/>
      <c r="AA95" s="90"/>
      <c r="AB95" s="41"/>
      <c r="AC95" s="90"/>
      <c r="AD95" s="41"/>
      <c r="AE95" s="41"/>
      <c r="AF95" s="41"/>
      <c r="AG95" s="41"/>
      <c r="AH95" s="41"/>
    </row>
    <row r="96" spans="1:34" ht="15.75" customHeight="1" x14ac:dyDescent="0.2">
      <c r="A96" s="166"/>
      <c r="B96" s="41"/>
      <c r="C96" s="41"/>
      <c r="D96" s="41"/>
      <c r="E96" s="41"/>
      <c r="F96" s="41"/>
      <c r="G96" s="41"/>
      <c r="H96" s="166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163"/>
      <c r="Y96" s="166"/>
      <c r="Z96" s="41"/>
      <c r="AA96" s="90"/>
      <c r="AB96" s="41"/>
      <c r="AC96" s="90"/>
      <c r="AD96" s="41"/>
      <c r="AE96" s="41"/>
      <c r="AF96" s="41"/>
      <c r="AG96" s="41"/>
      <c r="AH96" s="41"/>
    </row>
    <row r="97" spans="1:34" ht="15.75" customHeight="1" x14ac:dyDescent="0.2">
      <c r="A97" s="166"/>
      <c r="B97" s="41"/>
      <c r="C97" s="41"/>
      <c r="D97" s="41"/>
      <c r="E97" s="41"/>
      <c r="F97" s="41"/>
      <c r="G97" s="41"/>
      <c r="H97" s="166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163"/>
      <c r="Y97" s="166"/>
      <c r="Z97" s="41"/>
      <c r="AA97" s="90"/>
      <c r="AB97" s="41"/>
      <c r="AC97" s="90"/>
      <c r="AD97" s="41"/>
      <c r="AE97" s="41"/>
      <c r="AF97" s="41"/>
      <c r="AG97" s="41"/>
      <c r="AH97" s="41"/>
    </row>
    <row r="98" spans="1:34" ht="15.75" customHeight="1" x14ac:dyDescent="0.2">
      <c r="A98" s="166"/>
      <c r="B98" s="41"/>
      <c r="C98" s="41"/>
      <c r="D98" s="41"/>
      <c r="E98" s="41"/>
      <c r="F98" s="41"/>
      <c r="G98" s="41"/>
      <c r="H98" s="166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163"/>
      <c r="Y98" s="166"/>
      <c r="Z98" s="41"/>
      <c r="AA98" s="90"/>
      <c r="AB98" s="41"/>
      <c r="AC98" s="90"/>
      <c r="AD98" s="41"/>
      <c r="AE98" s="41"/>
      <c r="AF98" s="41"/>
      <c r="AG98" s="41"/>
      <c r="AH98" s="41"/>
    </row>
    <row r="99" spans="1:34" ht="15.75" customHeight="1" x14ac:dyDescent="0.2">
      <c r="A99" s="166"/>
      <c r="B99" s="41"/>
      <c r="C99" s="41"/>
      <c r="D99" s="41"/>
      <c r="E99" s="41"/>
      <c r="F99" s="41"/>
      <c r="G99" s="41"/>
      <c r="H99" s="166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163"/>
      <c r="Y99" s="166"/>
      <c r="Z99" s="41"/>
      <c r="AA99" s="90"/>
      <c r="AB99" s="41"/>
      <c r="AC99" s="90"/>
      <c r="AD99" s="41"/>
      <c r="AE99" s="41"/>
      <c r="AF99" s="41"/>
      <c r="AG99" s="41"/>
      <c r="AH99" s="41"/>
    </row>
    <row r="100" spans="1:34" ht="15.75" customHeight="1" x14ac:dyDescent="0.2">
      <c r="A100" s="166"/>
      <c r="B100" s="41"/>
      <c r="C100" s="41"/>
      <c r="D100" s="41"/>
      <c r="E100" s="41"/>
      <c r="F100" s="41"/>
      <c r="G100" s="41"/>
      <c r="H100" s="166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163"/>
      <c r="Y100" s="166"/>
      <c r="Z100" s="41"/>
      <c r="AA100" s="90"/>
      <c r="AB100" s="41"/>
      <c r="AC100" s="90"/>
      <c r="AD100" s="41"/>
      <c r="AE100" s="41"/>
      <c r="AF100" s="41"/>
      <c r="AG100" s="41"/>
      <c r="AH100" s="41"/>
    </row>
    <row r="101" spans="1:34" ht="15.75" customHeight="1" x14ac:dyDescent="0.2">
      <c r="A101" s="166"/>
      <c r="B101" s="41"/>
      <c r="C101" s="41"/>
      <c r="D101" s="41"/>
      <c r="E101" s="41"/>
      <c r="F101" s="41"/>
      <c r="G101" s="41"/>
      <c r="H101" s="166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163"/>
      <c r="Y101" s="166"/>
      <c r="Z101" s="41"/>
      <c r="AA101" s="90"/>
      <c r="AB101" s="41"/>
      <c r="AC101" s="90"/>
      <c r="AD101" s="41"/>
      <c r="AE101" s="41"/>
      <c r="AF101" s="41"/>
      <c r="AG101" s="41"/>
      <c r="AH101" s="41"/>
    </row>
    <row r="102" spans="1:34" ht="15.75" customHeight="1" x14ac:dyDescent="0.2">
      <c r="A102" s="166"/>
      <c r="B102" s="41"/>
      <c r="C102" s="41"/>
      <c r="D102" s="41"/>
      <c r="E102" s="41"/>
      <c r="F102" s="41"/>
      <c r="G102" s="41"/>
      <c r="H102" s="166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163"/>
      <c r="Y102" s="166"/>
      <c r="Z102" s="41"/>
      <c r="AA102" s="90"/>
      <c r="AB102" s="41"/>
      <c r="AC102" s="90"/>
      <c r="AD102" s="41"/>
      <c r="AE102" s="41"/>
      <c r="AF102" s="41"/>
      <c r="AG102" s="41"/>
      <c r="AH102" s="41"/>
    </row>
    <row r="103" spans="1:34" ht="15.75" customHeight="1" x14ac:dyDescent="0.2">
      <c r="A103" s="166"/>
      <c r="B103" s="41"/>
      <c r="C103" s="41"/>
      <c r="D103" s="41"/>
      <c r="E103" s="41"/>
      <c r="F103" s="41"/>
      <c r="G103" s="41"/>
      <c r="H103" s="166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163"/>
      <c r="Y103" s="166"/>
      <c r="Z103" s="41"/>
      <c r="AA103" s="90"/>
      <c r="AB103" s="41"/>
      <c r="AC103" s="90"/>
      <c r="AD103" s="41"/>
      <c r="AE103" s="41"/>
      <c r="AF103" s="41"/>
      <c r="AG103" s="41"/>
      <c r="AH103" s="41"/>
    </row>
    <row r="104" spans="1:34" ht="15.75" customHeight="1" x14ac:dyDescent="0.2">
      <c r="A104" s="166"/>
      <c r="B104" s="41"/>
      <c r="C104" s="41"/>
      <c r="D104" s="41"/>
      <c r="E104" s="41"/>
      <c r="F104" s="41"/>
      <c r="G104" s="41"/>
      <c r="H104" s="166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163"/>
      <c r="Y104" s="166"/>
      <c r="Z104" s="41"/>
      <c r="AA104" s="90"/>
      <c r="AB104" s="41"/>
      <c r="AC104" s="90"/>
      <c r="AD104" s="41"/>
      <c r="AE104" s="41"/>
      <c r="AF104" s="41"/>
      <c r="AG104" s="41"/>
      <c r="AH104" s="41"/>
    </row>
    <row r="105" spans="1:34" ht="15.75" customHeight="1" x14ac:dyDescent="0.2">
      <c r="A105" s="166"/>
      <c r="B105" s="41"/>
      <c r="C105" s="41"/>
      <c r="D105" s="41"/>
      <c r="E105" s="41"/>
      <c r="F105" s="41"/>
      <c r="G105" s="41"/>
      <c r="H105" s="166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163"/>
      <c r="Y105" s="166"/>
      <c r="Z105" s="41"/>
      <c r="AA105" s="90"/>
      <c r="AB105" s="41"/>
      <c r="AC105" s="90"/>
      <c r="AD105" s="41"/>
      <c r="AE105" s="41"/>
      <c r="AF105" s="41"/>
      <c r="AG105" s="41"/>
      <c r="AH105" s="41"/>
    </row>
    <row r="106" spans="1:34" ht="15.75" customHeight="1" x14ac:dyDescent="0.2">
      <c r="A106" s="166"/>
      <c r="B106" s="41"/>
      <c r="C106" s="41"/>
      <c r="D106" s="41"/>
      <c r="E106" s="41"/>
      <c r="F106" s="41"/>
      <c r="G106" s="41"/>
      <c r="H106" s="166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163"/>
      <c r="Y106" s="166"/>
      <c r="Z106" s="41"/>
      <c r="AA106" s="90"/>
      <c r="AB106" s="41"/>
      <c r="AC106" s="90"/>
      <c r="AD106" s="41"/>
      <c r="AE106" s="41"/>
      <c r="AF106" s="41"/>
      <c r="AG106" s="41"/>
      <c r="AH106" s="41"/>
    </row>
    <row r="107" spans="1:34" ht="15.75" customHeight="1" x14ac:dyDescent="0.2">
      <c r="A107" s="166"/>
      <c r="B107" s="41"/>
      <c r="C107" s="41"/>
      <c r="D107" s="41"/>
      <c r="E107" s="41"/>
      <c r="F107" s="41"/>
      <c r="G107" s="41"/>
      <c r="H107" s="166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163"/>
      <c r="Y107" s="166"/>
      <c r="Z107" s="41"/>
      <c r="AA107" s="90"/>
      <c r="AB107" s="41"/>
      <c r="AC107" s="90"/>
      <c r="AD107" s="41"/>
      <c r="AE107" s="41"/>
      <c r="AF107" s="41"/>
      <c r="AG107" s="41"/>
      <c r="AH107" s="41"/>
    </row>
    <row r="108" spans="1:34" ht="15.75" customHeight="1" x14ac:dyDescent="0.2">
      <c r="A108" s="166"/>
      <c r="B108" s="41"/>
      <c r="C108" s="41"/>
      <c r="D108" s="41"/>
      <c r="E108" s="41"/>
      <c r="F108" s="41"/>
      <c r="G108" s="41"/>
      <c r="H108" s="166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163"/>
      <c r="Y108" s="166"/>
      <c r="Z108" s="41"/>
      <c r="AA108" s="90"/>
      <c r="AB108" s="41"/>
      <c r="AC108" s="90"/>
      <c r="AD108" s="41"/>
      <c r="AE108" s="41"/>
      <c r="AF108" s="41"/>
      <c r="AG108" s="41"/>
      <c r="AH108" s="41"/>
    </row>
    <row r="109" spans="1:34" ht="15.75" customHeight="1" x14ac:dyDescent="0.2">
      <c r="A109" s="166"/>
      <c r="B109" s="41"/>
      <c r="C109" s="41"/>
      <c r="D109" s="41"/>
      <c r="E109" s="41"/>
      <c r="F109" s="41"/>
      <c r="G109" s="41"/>
      <c r="H109" s="166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163"/>
      <c r="Y109" s="166"/>
      <c r="Z109" s="41"/>
      <c r="AA109" s="90"/>
      <c r="AB109" s="41"/>
      <c r="AC109" s="90"/>
      <c r="AD109" s="41"/>
      <c r="AE109" s="41"/>
      <c r="AF109" s="41"/>
      <c r="AG109" s="41"/>
      <c r="AH109" s="41"/>
    </row>
    <row r="110" spans="1:34" ht="15.75" customHeight="1" x14ac:dyDescent="0.2">
      <c r="A110" s="166"/>
      <c r="B110" s="41"/>
      <c r="C110" s="41"/>
      <c r="D110" s="41"/>
      <c r="E110" s="41"/>
      <c r="F110" s="41"/>
      <c r="G110" s="41"/>
      <c r="H110" s="166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163"/>
      <c r="Y110" s="166"/>
      <c r="Z110" s="41"/>
      <c r="AA110" s="90"/>
      <c r="AB110" s="41"/>
      <c r="AC110" s="90"/>
      <c r="AD110" s="41"/>
      <c r="AE110" s="41"/>
      <c r="AF110" s="41"/>
      <c r="AG110" s="41"/>
      <c r="AH110" s="41"/>
    </row>
    <row r="111" spans="1:34" ht="15.75" customHeight="1" x14ac:dyDescent="0.2">
      <c r="A111" s="166"/>
      <c r="B111" s="41"/>
      <c r="C111" s="41"/>
      <c r="D111" s="41"/>
      <c r="E111" s="41"/>
      <c r="F111" s="41"/>
      <c r="G111" s="41"/>
      <c r="H111" s="166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163"/>
      <c r="Y111" s="166"/>
      <c r="Z111" s="41"/>
      <c r="AA111" s="90"/>
      <c r="AB111" s="41"/>
      <c r="AC111" s="90"/>
      <c r="AD111" s="41"/>
      <c r="AE111" s="41"/>
      <c r="AF111" s="41"/>
      <c r="AG111" s="41"/>
      <c r="AH111" s="41"/>
    </row>
    <row r="112" spans="1:34" ht="15.75" customHeight="1" x14ac:dyDescent="0.2">
      <c r="A112" s="166"/>
      <c r="B112" s="41"/>
      <c r="C112" s="41"/>
      <c r="D112" s="41"/>
      <c r="E112" s="41"/>
      <c r="F112" s="41"/>
      <c r="G112" s="41"/>
      <c r="H112" s="166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163"/>
      <c r="Y112" s="166"/>
      <c r="Z112" s="41"/>
      <c r="AA112" s="90"/>
      <c r="AB112" s="41"/>
      <c r="AC112" s="90"/>
      <c r="AD112" s="41"/>
      <c r="AE112" s="41"/>
      <c r="AF112" s="41"/>
      <c r="AG112" s="41"/>
      <c r="AH112" s="41"/>
    </row>
    <row r="113" spans="1:34" ht="15.75" customHeight="1" x14ac:dyDescent="0.2">
      <c r="A113" s="166"/>
      <c r="B113" s="41"/>
      <c r="C113" s="41"/>
      <c r="D113" s="41"/>
      <c r="E113" s="41"/>
      <c r="F113" s="41"/>
      <c r="G113" s="41"/>
      <c r="H113" s="166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163"/>
      <c r="Y113" s="166"/>
      <c r="Z113" s="41"/>
      <c r="AA113" s="90"/>
      <c r="AB113" s="41"/>
      <c r="AC113" s="90"/>
      <c r="AD113" s="41"/>
      <c r="AE113" s="41"/>
      <c r="AF113" s="41"/>
      <c r="AG113" s="41"/>
      <c r="AH113" s="41"/>
    </row>
    <row r="114" spans="1:34" ht="15.75" customHeight="1" x14ac:dyDescent="0.2">
      <c r="A114" s="166"/>
      <c r="B114" s="41"/>
      <c r="C114" s="41"/>
      <c r="D114" s="41"/>
      <c r="E114" s="41"/>
      <c r="F114" s="41"/>
      <c r="G114" s="41"/>
      <c r="H114" s="166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163"/>
      <c r="Y114" s="166"/>
      <c r="Z114" s="41"/>
      <c r="AA114" s="90"/>
      <c r="AB114" s="41"/>
      <c r="AC114" s="90"/>
      <c r="AD114" s="41"/>
      <c r="AE114" s="41"/>
      <c r="AF114" s="41"/>
      <c r="AG114" s="41"/>
      <c r="AH114" s="41"/>
    </row>
    <row r="115" spans="1:34" ht="15.75" customHeight="1" x14ac:dyDescent="0.2">
      <c r="A115" s="166"/>
      <c r="B115" s="41"/>
      <c r="C115" s="41"/>
      <c r="D115" s="41"/>
      <c r="E115" s="41"/>
      <c r="F115" s="41"/>
      <c r="G115" s="41"/>
      <c r="H115" s="166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163"/>
      <c r="Y115" s="166"/>
      <c r="Z115" s="41"/>
      <c r="AA115" s="90"/>
      <c r="AB115" s="41"/>
      <c r="AC115" s="90"/>
      <c r="AD115" s="41"/>
      <c r="AE115" s="41"/>
      <c r="AF115" s="41"/>
      <c r="AG115" s="41"/>
      <c r="AH115" s="41"/>
    </row>
    <row r="116" spans="1:34" ht="15.75" customHeight="1" x14ac:dyDescent="0.2">
      <c r="A116" s="166"/>
      <c r="B116" s="41"/>
      <c r="C116" s="41"/>
      <c r="D116" s="41"/>
      <c r="E116" s="41"/>
      <c r="F116" s="41"/>
      <c r="G116" s="41"/>
      <c r="H116" s="166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163"/>
      <c r="Y116" s="166"/>
      <c r="Z116" s="41"/>
      <c r="AA116" s="90"/>
      <c r="AB116" s="41"/>
      <c r="AC116" s="90"/>
      <c r="AD116" s="41"/>
      <c r="AE116" s="41"/>
      <c r="AF116" s="41"/>
      <c r="AG116" s="41"/>
      <c r="AH116" s="41"/>
    </row>
    <row r="117" spans="1:34" ht="15.75" customHeight="1" x14ac:dyDescent="0.2">
      <c r="A117" s="166"/>
      <c r="B117" s="41"/>
      <c r="C117" s="41"/>
      <c r="D117" s="41"/>
      <c r="E117" s="41"/>
      <c r="F117" s="41"/>
      <c r="G117" s="41"/>
      <c r="H117" s="166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163"/>
      <c r="Y117" s="166"/>
      <c r="Z117" s="41"/>
      <c r="AA117" s="90"/>
      <c r="AB117" s="41"/>
      <c r="AC117" s="90"/>
      <c r="AD117" s="41"/>
      <c r="AE117" s="41"/>
      <c r="AF117" s="41"/>
      <c r="AG117" s="41"/>
      <c r="AH117" s="41"/>
    </row>
    <row r="118" spans="1:34" ht="15.75" customHeight="1" x14ac:dyDescent="0.2">
      <c r="A118" s="166"/>
      <c r="B118" s="41"/>
      <c r="C118" s="41"/>
      <c r="D118" s="41"/>
      <c r="E118" s="41"/>
      <c r="F118" s="41"/>
      <c r="G118" s="41"/>
      <c r="H118" s="166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163"/>
      <c r="Y118" s="166"/>
      <c r="Z118" s="41"/>
      <c r="AA118" s="90"/>
      <c r="AB118" s="41"/>
      <c r="AC118" s="90"/>
      <c r="AD118" s="41"/>
      <c r="AE118" s="41"/>
      <c r="AF118" s="41"/>
      <c r="AG118" s="41"/>
      <c r="AH118" s="41"/>
    </row>
    <row r="119" spans="1:34" ht="15.75" customHeight="1" x14ac:dyDescent="0.2">
      <c r="A119" s="166"/>
      <c r="B119" s="41"/>
      <c r="C119" s="41"/>
      <c r="D119" s="41"/>
      <c r="E119" s="41"/>
      <c r="F119" s="41"/>
      <c r="G119" s="41"/>
      <c r="H119" s="166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163"/>
      <c r="Y119" s="166"/>
      <c r="Z119" s="41"/>
      <c r="AA119" s="90"/>
      <c r="AB119" s="41"/>
      <c r="AC119" s="90"/>
      <c r="AD119" s="41"/>
      <c r="AE119" s="41"/>
      <c r="AF119" s="41"/>
      <c r="AG119" s="41"/>
      <c r="AH119" s="41"/>
    </row>
    <row r="120" spans="1:34" ht="15.75" customHeight="1" x14ac:dyDescent="0.2">
      <c r="A120" s="166"/>
      <c r="B120" s="41"/>
      <c r="C120" s="41"/>
      <c r="D120" s="41"/>
      <c r="E120" s="41"/>
      <c r="F120" s="41"/>
      <c r="G120" s="41"/>
      <c r="H120" s="166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163"/>
      <c r="Y120" s="166"/>
      <c r="Z120" s="41"/>
      <c r="AA120" s="90"/>
      <c r="AB120" s="41"/>
      <c r="AC120" s="90"/>
      <c r="AD120" s="41"/>
      <c r="AE120" s="41"/>
      <c r="AF120" s="41"/>
      <c r="AG120" s="41"/>
      <c r="AH120" s="41"/>
    </row>
    <row r="121" spans="1:34" ht="15.75" customHeight="1" x14ac:dyDescent="0.2">
      <c r="A121" s="166"/>
      <c r="B121" s="41"/>
      <c r="C121" s="41"/>
      <c r="D121" s="41"/>
      <c r="E121" s="41"/>
      <c r="F121" s="41"/>
      <c r="G121" s="41"/>
      <c r="H121" s="166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163"/>
      <c r="Y121" s="166"/>
      <c r="Z121" s="41"/>
      <c r="AA121" s="90"/>
      <c r="AB121" s="41"/>
      <c r="AC121" s="90"/>
      <c r="AD121" s="41"/>
      <c r="AE121" s="41"/>
      <c r="AF121" s="41"/>
      <c r="AG121" s="41"/>
      <c r="AH121" s="41"/>
    </row>
    <row r="122" spans="1:34" ht="15.75" customHeight="1" x14ac:dyDescent="0.2">
      <c r="A122" s="166"/>
      <c r="B122" s="41"/>
      <c r="C122" s="41"/>
      <c r="D122" s="41"/>
      <c r="E122" s="41"/>
      <c r="F122" s="41"/>
      <c r="G122" s="41"/>
      <c r="H122" s="166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163"/>
      <c r="Y122" s="166"/>
      <c r="Z122" s="41"/>
      <c r="AA122" s="90"/>
      <c r="AB122" s="41"/>
      <c r="AC122" s="90"/>
      <c r="AD122" s="41"/>
      <c r="AE122" s="41"/>
      <c r="AF122" s="41"/>
      <c r="AG122" s="41"/>
      <c r="AH122" s="41"/>
    </row>
    <row r="123" spans="1:34" ht="15.75" customHeight="1" x14ac:dyDescent="0.2">
      <c r="A123" s="166"/>
      <c r="B123" s="41"/>
      <c r="C123" s="41"/>
      <c r="D123" s="41"/>
      <c r="E123" s="41"/>
      <c r="F123" s="41"/>
      <c r="G123" s="41"/>
      <c r="H123" s="166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163"/>
      <c r="Y123" s="166"/>
      <c r="Z123" s="41"/>
      <c r="AA123" s="90"/>
      <c r="AB123" s="41"/>
      <c r="AC123" s="90"/>
      <c r="AD123" s="41"/>
      <c r="AE123" s="41"/>
      <c r="AF123" s="41"/>
      <c r="AG123" s="41"/>
      <c r="AH123" s="41"/>
    </row>
    <row r="124" spans="1:34" ht="15.75" customHeight="1" x14ac:dyDescent="0.2">
      <c r="A124" s="166"/>
      <c r="B124" s="41"/>
      <c r="C124" s="41"/>
      <c r="D124" s="41"/>
      <c r="E124" s="41"/>
      <c r="F124" s="41"/>
      <c r="G124" s="41"/>
      <c r="H124" s="166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163"/>
      <c r="Y124" s="166"/>
      <c r="Z124" s="41"/>
      <c r="AA124" s="90"/>
      <c r="AB124" s="41"/>
      <c r="AC124" s="90"/>
      <c r="AD124" s="41"/>
      <c r="AE124" s="41"/>
      <c r="AF124" s="41"/>
      <c r="AG124" s="41"/>
      <c r="AH124" s="41"/>
    </row>
    <row r="125" spans="1:34" ht="15.75" customHeight="1" x14ac:dyDescent="0.2">
      <c r="A125" s="166"/>
      <c r="B125" s="41"/>
      <c r="C125" s="41"/>
      <c r="D125" s="41"/>
      <c r="E125" s="41"/>
      <c r="F125" s="41"/>
      <c r="G125" s="41"/>
      <c r="H125" s="166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163"/>
      <c r="Y125" s="166"/>
      <c r="Z125" s="41"/>
      <c r="AA125" s="90"/>
      <c r="AB125" s="41"/>
      <c r="AC125" s="90"/>
      <c r="AD125" s="41"/>
      <c r="AE125" s="41"/>
      <c r="AF125" s="41"/>
      <c r="AG125" s="41"/>
      <c r="AH125" s="41"/>
    </row>
    <row r="126" spans="1:34" ht="15.75" customHeight="1" x14ac:dyDescent="0.2">
      <c r="A126" s="166"/>
      <c r="B126" s="41"/>
      <c r="C126" s="41"/>
      <c r="D126" s="41"/>
      <c r="E126" s="41"/>
      <c r="F126" s="41"/>
      <c r="G126" s="41"/>
      <c r="H126" s="166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163"/>
      <c r="Y126" s="166"/>
      <c r="Z126" s="41"/>
      <c r="AA126" s="90"/>
      <c r="AB126" s="41"/>
      <c r="AC126" s="90"/>
      <c r="AD126" s="41"/>
      <c r="AE126" s="41"/>
      <c r="AF126" s="41"/>
      <c r="AG126" s="41"/>
      <c r="AH126" s="41"/>
    </row>
    <row r="127" spans="1:34" ht="15.75" customHeight="1" x14ac:dyDescent="0.2">
      <c r="A127" s="166"/>
      <c r="B127" s="41"/>
      <c r="C127" s="41"/>
      <c r="D127" s="41"/>
      <c r="E127" s="41"/>
      <c r="F127" s="41"/>
      <c r="G127" s="41"/>
      <c r="H127" s="166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163"/>
      <c r="Y127" s="166"/>
      <c r="Z127" s="41"/>
      <c r="AA127" s="90"/>
      <c r="AB127" s="41"/>
      <c r="AC127" s="90"/>
      <c r="AD127" s="41"/>
      <c r="AE127" s="41"/>
      <c r="AF127" s="41"/>
      <c r="AG127" s="41"/>
      <c r="AH127" s="41"/>
    </row>
    <row r="128" spans="1:34" ht="15.75" customHeight="1" x14ac:dyDescent="0.2">
      <c r="A128" s="166"/>
      <c r="B128" s="41"/>
      <c r="C128" s="41"/>
      <c r="D128" s="41"/>
      <c r="E128" s="41"/>
      <c r="F128" s="41"/>
      <c r="G128" s="41"/>
      <c r="H128" s="166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163"/>
      <c r="Y128" s="166"/>
      <c r="Z128" s="41"/>
      <c r="AA128" s="90"/>
      <c r="AB128" s="41"/>
      <c r="AC128" s="90"/>
      <c r="AD128" s="41"/>
      <c r="AE128" s="41"/>
      <c r="AF128" s="41"/>
      <c r="AG128" s="41"/>
      <c r="AH128" s="41"/>
    </row>
    <row r="129" spans="1:34" ht="15.75" customHeight="1" x14ac:dyDescent="0.2">
      <c r="A129" s="166"/>
      <c r="B129" s="41"/>
      <c r="C129" s="41"/>
      <c r="D129" s="41"/>
      <c r="E129" s="41"/>
      <c r="F129" s="41"/>
      <c r="G129" s="41"/>
      <c r="H129" s="166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163"/>
      <c r="Y129" s="166"/>
      <c r="Z129" s="41"/>
      <c r="AA129" s="90"/>
      <c r="AB129" s="41"/>
      <c r="AC129" s="90"/>
      <c r="AD129" s="41"/>
      <c r="AE129" s="41"/>
      <c r="AF129" s="41"/>
      <c r="AG129" s="41"/>
      <c r="AH129" s="41"/>
    </row>
    <row r="130" spans="1:34" ht="15.75" customHeight="1" x14ac:dyDescent="0.2">
      <c r="A130" s="166"/>
      <c r="B130" s="41"/>
      <c r="C130" s="41"/>
      <c r="D130" s="41"/>
      <c r="E130" s="41"/>
      <c r="F130" s="41"/>
      <c r="G130" s="41"/>
      <c r="H130" s="166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163"/>
      <c r="Y130" s="166"/>
      <c r="Z130" s="41"/>
      <c r="AA130" s="90"/>
      <c r="AB130" s="41"/>
      <c r="AC130" s="90"/>
      <c r="AD130" s="41"/>
      <c r="AE130" s="41"/>
      <c r="AF130" s="41"/>
      <c r="AG130" s="41"/>
      <c r="AH130" s="41"/>
    </row>
    <row r="131" spans="1:34" ht="15.75" customHeight="1" x14ac:dyDescent="0.2">
      <c r="A131" s="166"/>
      <c r="B131" s="41"/>
      <c r="C131" s="41"/>
      <c r="D131" s="41"/>
      <c r="E131" s="41"/>
      <c r="F131" s="41"/>
      <c r="G131" s="41"/>
      <c r="H131" s="166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163"/>
      <c r="Y131" s="166"/>
      <c r="Z131" s="41"/>
      <c r="AA131" s="90"/>
      <c r="AB131" s="41"/>
      <c r="AC131" s="90"/>
      <c r="AD131" s="41"/>
      <c r="AE131" s="41"/>
      <c r="AF131" s="41"/>
      <c r="AG131" s="41"/>
      <c r="AH131" s="41"/>
    </row>
    <row r="132" spans="1:34" ht="15.75" customHeight="1" x14ac:dyDescent="0.2">
      <c r="A132" s="166"/>
      <c r="B132" s="41"/>
      <c r="C132" s="41"/>
      <c r="D132" s="41"/>
      <c r="E132" s="41"/>
      <c r="F132" s="41"/>
      <c r="G132" s="41"/>
      <c r="H132" s="166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163"/>
      <c r="Y132" s="166"/>
      <c r="Z132" s="41"/>
      <c r="AA132" s="90"/>
      <c r="AB132" s="41"/>
      <c r="AC132" s="90"/>
      <c r="AD132" s="41"/>
      <c r="AE132" s="41"/>
      <c r="AF132" s="41"/>
      <c r="AG132" s="41"/>
      <c r="AH132" s="41"/>
    </row>
    <row r="133" spans="1:34" ht="15.75" customHeight="1" x14ac:dyDescent="0.2">
      <c r="A133" s="166"/>
      <c r="B133" s="41"/>
      <c r="C133" s="41"/>
      <c r="D133" s="41"/>
      <c r="E133" s="41"/>
      <c r="F133" s="41"/>
      <c r="G133" s="41"/>
      <c r="H133" s="166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163"/>
      <c r="Y133" s="166"/>
      <c r="Z133" s="41"/>
      <c r="AA133" s="90"/>
      <c r="AB133" s="41"/>
      <c r="AC133" s="90"/>
      <c r="AD133" s="41"/>
      <c r="AE133" s="41"/>
      <c r="AF133" s="41"/>
      <c r="AG133" s="41"/>
      <c r="AH133" s="41"/>
    </row>
    <row r="134" spans="1:34" ht="15.75" customHeight="1" x14ac:dyDescent="0.2">
      <c r="A134" s="166"/>
      <c r="B134" s="41"/>
      <c r="C134" s="41"/>
      <c r="D134" s="41"/>
      <c r="E134" s="41"/>
      <c r="F134" s="41"/>
      <c r="G134" s="41"/>
      <c r="H134" s="166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163"/>
      <c r="Y134" s="166"/>
      <c r="Z134" s="41"/>
      <c r="AA134" s="90"/>
      <c r="AB134" s="41"/>
      <c r="AC134" s="90"/>
      <c r="AD134" s="41"/>
      <c r="AE134" s="41"/>
      <c r="AF134" s="41"/>
      <c r="AG134" s="41"/>
      <c r="AH134" s="41"/>
    </row>
    <row r="135" spans="1:34" ht="15.75" customHeight="1" x14ac:dyDescent="0.2">
      <c r="A135" s="166"/>
      <c r="B135" s="41"/>
      <c r="C135" s="41"/>
      <c r="D135" s="41"/>
      <c r="E135" s="41"/>
      <c r="F135" s="41"/>
      <c r="G135" s="41"/>
      <c r="H135" s="166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163"/>
      <c r="Y135" s="166"/>
      <c r="Z135" s="41"/>
      <c r="AA135" s="90"/>
      <c r="AB135" s="41"/>
      <c r="AC135" s="90"/>
      <c r="AD135" s="41"/>
      <c r="AE135" s="41"/>
      <c r="AF135" s="41"/>
      <c r="AG135" s="41"/>
      <c r="AH135" s="41"/>
    </row>
    <row r="136" spans="1:34" ht="15.75" customHeight="1" x14ac:dyDescent="0.2">
      <c r="A136" s="166"/>
      <c r="B136" s="41"/>
      <c r="C136" s="41"/>
      <c r="D136" s="41"/>
      <c r="E136" s="41"/>
      <c r="F136" s="41"/>
      <c r="G136" s="41"/>
      <c r="H136" s="166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163"/>
      <c r="Y136" s="166"/>
      <c r="Z136" s="41"/>
      <c r="AA136" s="90"/>
      <c r="AB136" s="41"/>
      <c r="AC136" s="90"/>
      <c r="AD136" s="41"/>
      <c r="AE136" s="41"/>
      <c r="AF136" s="41"/>
      <c r="AG136" s="41"/>
      <c r="AH136" s="41"/>
    </row>
    <row r="137" spans="1:34" ht="15.75" customHeight="1" x14ac:dyDescent="0.2">
      <c r="A137" s="166"/>
      <c r="B137" s="41"/>
      <c r="C137" s="41"/>
      <c r="D137" s="41"/>
      <c r="E137" s="41"/>
      <c r="F137" s="41"/>
      <c r="G137" s="41"/>
      <c r="H137" s="166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163"/>
      <c r="Y137" s="166"/>
      <c r="Z137" s="41"/>
      <c r="AA137" s="90"/>
      <c r="AB137" s="41"/>
      <c r="AC137" s="90"/>
      <c r="AD137" s="41"/>
      <c r="AE137" s="41"/>
      <c r="AF137" s="41"/>
      <c r="AG137" s="41"/>
      <c r="AH137" s="41"/>
    </row>
    <row r="138" spans="1:34" ht="15.75" customHeight="1" x14ac:dyDescent="0.2">
      <c r="A138" s="166"/>
      <c r="B138" s="41"/>
      <c r="C138" s="41"/>
      <c r="D138" s="41"/>
      <c r="E138" s="41"/>
      <c r="F138" s="41"/>
      <c r="G138" s="41"/>
      <c r="H138" s="166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163"/>
      <c r="Y138" s="166"/>
      <c r="Z138" s="41"/>
      <c r="AA138" s="90"/>
      <c r="AB138" s="41"/>
      <c r="AC138" s="90"/>
      <c r="AD138" s="41"/>
      <c r="AE138" s="41"/>
      <c r="AF138" s="41"/>
      <c r="AG138" s="41"/>
      <c r="AH138" s="41"/>
    </row>
    <row r="139" spans="1:34" ht="15.75" customHeight="1" x14ac:dyDescent="0.2">
      <c r="A139" s="166"/>
      <c r="B139" s="41"/>
      <c r="C139" s="41"/>
      <c r="D139" s="41"/>
      <c r="E139" s="41"/>
      <c r="F139" s="41"/>
      <c r="G139" s="41"/>
      <c r="H139" s="166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163"/>
      <c r="Y139" s="166"/>
      <c r="Z139" s="41"/>
      <c r="AA139" s="90"/>
      <c r="AB139" s="41"/>
      <c r="AC139" s="90"/>
      <c r="AD139" s="41"/>
      <c r="AE139" s="41"/>
      <c r="AF139" s="41"/>
      <c r="AG139" s="41"/>
      <c r="AH139" s="41"/>
    </row>
    <row r="140" spans="1:34" ht="15.75" customHeight="1" x14ac:dyDescent="0.2">
      <c r="A140" s="166"/>
      <c r="B140" s="41"/>
      <c r="C140" s="41"/>
      <c r="D140" s="41"/>
      <c r="E140" s="41"/>
      <c r="F140" s="41"/>
      <c r="G140" s="41"/>
      <c r="H140" s="166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163"/>
      <c r="Y140" s="166"/>
      <c r="Z140" s="41"/>
      <c r="AA140" s="90"/>
      <c r="AB140" s="41"/>
      <c r="AC140" s="90"/>
      <c r="AD140" s="41"/>
      <c r="AE140" s="41"/>
      <c r="AF140" s="41"/>
      <c r="AG140" s="41"/>
      <c r="AH140" s="41"/>
    </row>
    <row r="141" spans="1:34" ht="15.75" customHeight="1" x14ac:dyDescent="0.2">
      <c r="A141" s="166"/>
      <c r="B141" s="41"/>
      <c r="C141" s="41"/>
      <c r="D141" s="41"/>
      <c r="E141" s="41"/>
      <c r="F141" s="41"/>
      <c r="G141" s="41"/>
      <c r="H141" s="166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163"/>
      <c r="Y141" s="166"/>
      <c r="Z141" s="41"/>
      <c r="AA141" s="90"/>
      <c r="AB141" s="41"/>
      <c r="AC141" s="90"/>
      <c r="AD141" s="41"/>
      <c r="AE141" s="41"/>
      <c r="AF141" s="41"/>
      <c r="AG141" s="41"/>
      <c r="AH141" s="41"/>
    </row>
    <row r="142" spans="1:34" ht="15.75" customHeight="1" x14ac:dyDescent="0.2">
      <c r="A142" s="166"/>
      <c r="B142" s="41"/>
      <c r="C142" s="41"/>
      <c r="D142" s="41"/>
      <c r="E142" s="41"/>
      <c r="F142" s="41"/>
      <c r="G142" s="41"/>
      <c r="H142" s="166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163"/>
      <c r="Y142" s="166"/>
      <c r="Z142" s="41"/>
      <c r="AA142" s="90"/>
      <c r="AB142" s="41"/>
      <c r="AC142" s="90"/>
      <c r="AD142" s="41"/>
      <c r="AE142" s="41"/>
      <c r="AF142" s="41"/>
      <c r="AG142" s="41"/>
      <c r="AH142" s="41"/>
    </row>
    <row r="143" spans="1:34" ht="15.75" customHeight="1" x14ac:dyDescent="0.2">
      <c r="A143" s="166"/>
      <c r="B143" s="41"/>
      <c r="C143" s="41"/>
      <c r="D143" s="41"/>
      <c r="E143" s="41"/>
      <c r="F143" s="41"/>
      <c r="G143" s="41"/>
      <c r="H143" s="166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163"/>
      <c r="Y143" s="166"/>
      <c r="Z143" s="41"/>
      <c r="AA143" s="90"/>
      <c r="AB143" s="41"/>
      <c r="AC143" s="90"/>
      <c r="AD143" s="41"/>
      <c r="AE143" s="41"/>
      <c r="AF143" s="41"/>
      <c r="AG143" s="41"/>
      <c r="AH143" s="41"/>
    </row>
    <row r="144" spans="1:34" ht="15.75" customHeight="1" x14ac:dyDescent="0.2">
      <c r="A144" s="166"/>
      <c r="B144" s="41"/>
      <c r="C144" s="41"/>
      <c r="D144" s="41"/>
      <c r="E144" s="41"/>
      <c r="F144" s="41"/>
      <c r="G144" s="41"/>
      <c r="H144" s="166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163"/>
      <c r="Y144" s="166"/>
      <c r="Z144" s="41"/>
      <c r="AA144" s="90"/>
      <c r="AB144" s="41"/>
      <c r="AC144" s="90"/>
      <c r="AD144" s="41"/>
      <c r="AE144" s="41"/>
      <c r="AF144" s="41"/>
      <c r="AG144" s="41"/>
      <c r="AH144" s="41"/>
    </row>
    <row r="145" spans="1:34" ht="15.75" customHeight="1" x14ac:dyDescent="0.2">
      <c r="A145" s="166"/>
      <c r="B145" s="41"/>
      <c r="C145" s="41"/>
      <c r="D145" s="41"/>
      <c r="E145" s="41"/>
      <c r="F145" s="41"/>
      <c r="G145" s="41"/>
      <c r="H145" s="166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163"/>
      <c r="Y145" s="166"/>
      <c r="Z145" s="41"/>
      <c r="AA145" s="90"/>
      <c r="AB145" s="41"/>
      <c r="AC145" s="90"/>
      <c r="AD145" s="41"/>
      <c r="AE145" s="41"/>
      <c r="AF145" s="41"/>
      <c r="AG145" s="41"/>
      <c r="AH145" s="41"/>
    </row>
    <row r="146" spans="1:34" ht="15.75" customHeight="1" x14ac:dyDescent="0.2">
      <c r="A146" s="166"/>
      <c r="B146" s="41"/>
      <c r="C146" s="41"/>
      <c r="D146" s="41"/>
      <c r="E146" s="41"/>
      <c r="F146" s="41"/>
      <c r="G146" s="41"/>
      <c r="H146" s="166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163"/>
      <c r="Y146" s="166"/>
      <c r="Z146" s="41"/>
      <c r="AA146" s="90"/>
      <c r="AB146" s="41"/>
      <c r="AC146" s="90"/>
      <c r="AD146" s="41"/>
      <c r="AE146" s="41"/>
      <c r="AF146" s="41"/>
      <c r="AG146" s="41"/>
      <c r="AH146" s="41"/>
    </row>
    <row r="147" spans="1:34" ht="15.75" customHeight="1" x14ac:dyDescent="0.2">
      <c r="A147" s="166"/>
      <c r="B147" s="41"/>
      <c r="C147" s="41"/>
      <c r="D147" s="41"/>
      <c r="E147" s="41"/>
      <c r="F147" s="41"/>
      <c r="G147" s="41"/>
      <c r="H147" s="166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163"/>
      <c r="Y147" s="166"/>
      <c r="Z147" s="41"/>
      <c r="AA147" s="90"/>
      <c r="AB147" s="41"/>
      <c r="AC147" s="90"/>
      <c r="AD147" s="41"/>
      <c r="AE147" s="41"/>
      <c r="AF147" s="41"/>
      <c r="AG147" s="41"/>
      <c r="AH147" s="41"/>
    </row>
    <row r="148" spans="1:34" ht="15.75" customHeight="1" x14ac:dyDescent="0.2">
      <c r="A148" s="166"/>
      <c r="B148" s="41"/>
      <c r="C148" s="41"/>
      <c r="D148" s="41"/>
      <c r="E148" s="41"/>
      <c r="F148" s="41"/>
      <c r="G148" s="41"/>
      <c r="H148" s="166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163"/>
      <c r="Y148" s="166"/>
      <c r="Z148" s="41"/>
      <c r="AA148" s="90"/>
      <c r="AB148" s="41"/>
      <c r="AC148" s="90"/>
      <c r="AD148" s="41"/>
      <c r="AE148" s="41"/>
      <c r="AF148" s="41"/>
      <c r="AG148" s="41"/>
      <c r="AH148" s="41"/>
    </row>
    <row r="149" spans="1:34" ht="15.75" customHeight="1" x14ac:dyDescent="0.2">
      <c r="A149" s="166"/>
      <c r="B149" s="41"/>
      <c r="C149" s="41"/>
      <c r="D149" s="41"/>
      <c r="E149" s="41"/>
      <c r="F149" s="41"/>
      <c r="G149" s="41"/>
      <c r="H149" s="166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163"/>
      <c r="Y149" s="166"/>
      <c r="Z149" s="41"/>
      <c r="AA149" s="90"/>
      <c r="AB149" s="41"/>
      <c r="AC149" s="90"/>
      <c r="AD149" s="41"/>
      <c r="AE149" s="41"/>
      <c r="AF149" s="41"/>
      <c r="AG149" s="41"/>
      <c r="AH149" s="41"/>
    </row>
    <row r="150" spans="1:34" ht="15.75" customHeight="1" x14ac:dyDescent="0.2">
      <c r="A150" s="166"/>
      <c r="B150" s="41"/>
      <c r="C150" s="41"/>
      <c r="D150" s="41"/>
      <c r="E150" s="41"/>
      <c r="F150" s="41"/>
      <c r="G150" s="41"/>
      <c r="H150" s="166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163"/>
      <c r="Y150" s="166"/>
      <c r="Z150" s="41"/>
      <c r="AA150" s="90"/>
      <c r="AB150" s="41"/>
      <c r="AC150" s="90"/>
      <c r="AD150" s="41"/>
      <c r="AE150" s="41"/>
      <c r="AF150" s="41"/>
      <c r="AG150" s="41"/>
      <c r="AH150" s="41"/>
    </row>
    <row r="151" spans="1:34" ht="15.75" customHeight="1" x14ac:dyDescent="0.2">
      <c r="A151" s="166"/>
      <c r="B151" s="41"/>
      <c r="C151" s="41"/>
      <c r="D151" s="41"/>
      <c r="E151" s="41"/>
      <c r="F151" s="41"/>
      <c r="G151" s="41"/>
      <c r="H151" s="166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163"/>
      <c r="Y151" s="166"/>
      <c r="Z151" s="41"/>
      <c r="AA151" s="90"/>
      <c r="AB151" s="41"/>
      <c r="AC151" s="90"/>
      <c r="AD151" s="41"/>
      <c r="AE151" s="41"/>
      <c r="AF151" s="41"/>
      <c r="AG151" s="41"/>
      <c r="AH151" s="41"/>
    </row>
    <row r="152" spans="1:34" ht="15.75" customHeight="1" x14ac:dyDescent="0.2">
      <c r="A152" s="166"/>
      <c r="B152" s="41"/>
      <c r="C152" s="41"/>
      <c r="D152" s="41"/>
      <c r="E152" s="41"/>
      <c r="F152" s="41"/>
      <c r="G152" s="41"/>
      <c r="H152" s="166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163"/>
      <c r="Y152" s="166"/>
      <c r="Z152" s="41"/>
      <c r="AA152" s="90"/>
      <c r="AB152" s="41"/>
      <c r="AC152" s="90"/>
      <c r="AD152" s="41"/>
      <c r="AE152" s="41"/>
      <c r="AF152" s="41"/>
      <c r="AG152" s="41"/>
      <c r="AH152" s="41"/>
    </row>
    <row r="153" spans="1:34" ht="15.75" customHeight="1" x14ac:dyDescent="0.2">
      <c r="A153" s="166"/>
      <c r="B153" s="41"/>
      <c r="C153" s="41"/>
      <c r="D153" s="41"/>
      <c r="E153" s="41"/>
      <c r="F153" s="41"/>
      <c r="G153" s="41"/>
      <c r="H153" s="166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163"/>
      <c r="Y153" s="166"/>
      <c r="Z153" s="41"/>
      <c r="AA153" s="90"/>
      <c r="AB153" s="41"/>
      <c r="AC153" s="90"/>
      <c r="AD153" s="41"/>
      <c r="AE153" s="41"/>
      <c r="AF153" s="41"/>
      <c r="AG153" s="41"/>
      <c r="AH153" s="41"/>
    </row>
    <row r="154" spans="1:34" ht="15.75" customHeight="1" x14ac:dyDescent="0.2">
      <c r="A154" s="166"/>
      <c r="B154" s="41"/>
      <c r="C154" s="41"/>
      <c r="D154" s="41"/>
      <c r="E154" s="41"/>
      <c r="F154" s="41"/>
      <c r="G154" s="41"/>
      <c r="H154" s="166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163"/>
      <c r="Y154" s="166"/>
      <c r="Z154" s="41"/>
      <c r="AA154" s="90"/>
      <c r="AB154" s="41"/>
      <c r="AC154" s="90"/>
      <c r="AD154" s="41"/>
      <c r="AE154" s="41"/>
      <c r="AF154" s="41"/>
      <c r="AG154" s="41"/>
      <c r="AH154" s="41"/>
    </row>
    <row r="155" spans="1:34" ht="15.75" customHeight="1" x14ac:dyDescent="0.2">
      <c r="A155" s="166"/>
      <c r="B155" s="41"/>
      <c r="C155" s="41"/>
      <c r="D155" s="41"/>
      <c r="E155" s="41"/>
      <c r="F155" s="41"/>
      <c r="G155" s="41"/>
      <c r="H155" s="166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163"/>
      <c r="Y155" s="166"/>
      <c r="Z155" s="41"/>
      <c r="AA155" s="90"/>
      <c r="AB155" s="41"/>
      <c r="AC155" s="90"/>
      <c r="AD155" s="41"/>
      <c r="AE155" s="41"/>
      <c r="AF155" s="41"/>
      <c r="AG155" s="41"/>
      <c r="AH155" s="41"/>
    </row>
    <row r="156" spans="1:34" ht="15.75" customHeight="1" x14ac:dyDescent="0.2">
      <c r="A156" s="166"/>
      <c r="B156" s="41"/>
      <c r="C156" s="41"/>
      <c r="D156" s="41"/>
      <c r="E156" s="41"/>
      <c r="F156" s="41"/>
      <c r="G156" s="41"/>
      <c r="H156" s="166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163"/>
      <c r="Y156" s="166"/>
      <c r="Z156" s="41"/>
      <c r="AA156" s="90"/>
      <c r="AB156" s="41"/>
      <c r="AC156" s="90"/>
      <c r="AD156" s="41"/>
      <c r="AE156" s="41"/>
      <c r="AF156" s="41"/>
      <c r="AG156" s="41"/>
      <c r="AH156" s="41"/>
    </row>
    <row r="157" spans="1:34" ht="15.75" customHeight="1" x14ac:dyDescent="0.2">
      <c r="A157" s="166"/>
      <c r="B157" s="41"/>
      <c r="C157" s="41"/>
      <c r="D157" s="41"/>
      <c r="E157" s="41"/>
      <c r="F157" s="41"/>
      <c r="G157" s="41"/>
      <c r="H157" s="166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163"/>
      <c r="Y157" s="166"/>
      <c r="Z157" s="41"/>
      <c r="AA157" s="90"/>
      <c r="AB157" s="41"/>
      <c r="AC157" s="90"/>
      <c r="AD157" s="41"/>
      <c r="AE157" s="41"/>
      <c r="AF157" s="41"/>
      <c r="AG157" s="41"/>
      <c r="AH157" s="41"/>
    </row>
    <row r="158" spans="1:34" ht="15.75" customHeight="1" x14ac:dyDescent="0.2">
      <c r="A158" s="166"/>
      <c r="B158" s="41"/>
      <c r="C158" s="41"/>
      <c r="D158" s="41"/>
      <c r="E158" s="41"/>
      <c r="F158" s="41"/>
      <c r="G158" s="41"/>
      <c r="H158" s="166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163"/>
      <c r="Y158" s="166"/>
      <c r="Z158" s="41"/>
      <c r="AA158" s="90"/>
      <c r="AB158" s="41"/>
      <c r="AC158" s="90"/>
      <c r="AD158" s="41"/>
      <c r="AE158" s="41"/>
      <c r="AF158" s="41"/>
      <c r="AG158" s="41"/>
      <c r="AH158" s="41"/>
    </row>
    <row r="159" spans="1:34" ht="15.75" customHeight="1" x14ac:dyDescent="0.2">
      <c r="A159" s="166"/>
      <c r="B159" s="41"/>
      <c r="C159" s="41"/>
      <c r="D159" s="41"/>
      <c r="E159" s="41"/>
      <c r="F159" s="41"/>
      <c r="G159" s="41"/>
      <c r="H159" s="166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163"/>
      <c r="Y159" s="166"/>
      <c r="Z159" s="41"/>
      <c r="AA159" s="90"/>
      <c r="AB159" s="41"/>
      <c r="AC159" s="90"/>
      <c r="AD159" s="41"/>
      <c r="AE159" s="41"/>
      <c r="AF159" s="41"/>
      <c r="AG159" s="41"/>
      <c r="AH159" s="41"/>
    </row>
    <row r="160" spans="1:34" ht="15.75" customHeight="1" x14ac:dyDescent="0.2">
      <c r="A160" s="166"/>
      <c r="B160" s="41"/>
      <c r="C160" s="41"/>
      <c r="D160" s="41"/>
      <c r="E160" s="41"/>
      <c r="F160" s="41"/>
      <c r="G160" s="41"/>
      <c r="H160" s="166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163"/>
      <c r="Y160" s="166"/>
      <c r="Z160" s="41"/>
      <c r="AA160" s="90"/>
      <c r="AB160" s="41"/>
      <c r="AC160" s="90"/>
      <c r="AD160" s="41"/>
      <c r="AE160" s="41"/>
      <c r="AF160" s="41"/>
      <c r="AG160" s="41"/>
      <c r="AH160" s="41"/>
    </row>
    <row r="161" spans="1:34" ht="15.75" customHeight="1" x14ac:dyDescent="0.2">
      <c r="A161" s="166"/>
      <c r="B161" s="41"/>
      <c r="C161" s="41"/>
      <c r="D161" s="41"/>
      <c r="E161" s="41"/>
      <c r="F161" s="41"/>
      <c r="G161" s="41"/>
      <c r="H161" s="166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163"/>
      <c r="Y161" s="166"/>
      <c r="Z161" s="41"/>
      <c r="AA161" s="90"/>
      <c r="AB161" s="41"/>
      <c r="AC161" s="90"/>
      <c r="AD161" s="41"/>
      <c r="AE161" s="41"/>
      <c r="AF161" s="41"/>
      <c r="AG161" s="41"/>
      <c r="AH161" s="41"/>
    </row>
    <row r="162" spans="1:34" ht="15.75" customHeight="1" x14ac:dyDescent="0.2">
      <c r="A162" s="166"/>
      <c r="B162" s="41"/>
      <c r="C162" s="41"/>
      <c r="D162" s="41"/>
      <c r="E162" s="41"/>
      <c r="F162" s="41"/>
      <c r="G162" s="41"/>
      <c r="H162" s="166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163"/>
      <c r="Y162" s="166"/>
      <c r="Z162" s="41"/>
      <c r="AA162" s="90"/>
      <c r="AB162" s="41"/>
      <c r="AC162" s="90"/>
      <c r="AD162" s="41"/>
      <c r="AE162" s="41"/>
      <c r="AF162" s="41"/>
      <c r="AG162" s="41"/>
      <c r="AH162" s="41"/>
    </row>
    <row r="163" spans="1:34" ht="15.75" customHeight="1" x14ac:dyDescent="0.2">
      <c r="A163" s="166"/>
      <c r="B163" s="41"/>
      <c r="C163" s="41"/>
      <c r="D163" s="41"/>
      <c r="E163" s="41"/>
      <c r="F163" s="41"/>
      <c r="G163" s="41"/>
      <c r="H163" s="166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163"/>
      <c r="Y163" s="166"/>
      <c r="Z163" s="41"/>
      <c r="AA163" s="90"/>
      <c r="AB163" s="41"/>
      <c r="AC163" s="90"/>
      <c r="AD163" s="41"/>
      <c r="AE163" s="41"/>
      <c r="AF163" s="41"/>
      <c r="AG163" s="41"/>
      <c r="AH163" s="41"/>
    </row>
    <row r="164" spans="1:34" ht="15.75" customHeight="1" x14ac:dyDescent="0.2">
      <c r="A164" s="166"/>
      <c r="B164" s="41"/>
      <c r="C164" s="41"/>
      <c r="D164" s="41"/>
      <c r="E164" s="41"/>
      <c r="F164" s="41"/>
      <c r="G164" s="41"/>
      <c r="H164" s="166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163"/>
      <c r="Y164" s="166"/>
      <c r="Z164" s="41"/>
      <c r="AA164" s="90"/>
      <c r="AB164" s="41"/>
      <c r="AC164" s="90"/>
      <c r="AD164" s="41"/>
      <c r="AE164" s="41"/>
      <c r="AF164" s="41"/>
      <c r="AG164" s="41"/>
      <c r="AH164" s="41"/>
    </row>
    <row r="165" spans="1:34" ht="15.75" customHeight="1" x14ac:dyDescent="0.2">
      <c r="A165" s="166"/>
      <c r="B165" s="41"/>
      <c r="C165" s="41"/>
      <c r="D165" s="41"/>
      <c r="E165" s="41"/>
      <c r="F165" s="41"/>
      <c r="G165" s="41"/>
      <c r="H165" s="166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163"/>
      <c r="Y165" s="166"/>
      <c r="Z165" s="41"/>
      <c r="AA165" s="90"/>
      <c r="AB165" s="41"/>
      <c r="AC165" s="90"/>
      <c r="AD165" s="41"/>
      <c r="AE165" s="41"/>
      <c r="AF165" s="41"/>
      <c r="AG165" s="41"/>
      <c r="AH165" s="41"/>
    </row>
    <row r="166" spans="1:34" ht="15.75" customHeight="1" x14ac:dyDescent="0.2">
      <c r="A166" s="166"/>
      <c r="B166" s="41"/>
      <c r="C166" s="41"/>
      <c r="D166" s="41"/>
      <c r="E166" s="41"/>
      <c r="F166" s="41"/>
      <c r="G166" s="41"/>
      <c r="H166" s="166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163"/>
      <c r="Y166" s="166"/>
      <c r="Z166" s="41"/>
      <c r="AA166" s="90"/>
      <c r="AB166" s="41"/>
      <c r="AC166" s="90"/>
      <c r="AD166" s="41"/>
      <c r="AE166" s="41"/>
      <c r="AF166" s="41"/>
      <c r="AG166" s="41"/>
      <c r="AH166" s="41"/>
    </row>
    <row r="167" spans="1:34" ht="15.75" customHeight="1" x14ac:dyDescent="0.2">
      <c r="A167" s="166"/>
      <c r="B167" s="41"/>
      <c r="C167" s="41"/>
      <c r="D167" s="41"/>
      <c r="E167" s="41"/>
      <c r="F167" s="41"/>
      <c r="G167" s="41"/>
      <c r="H167" s="166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163"/>
      <c r="Y167" s="166"/>
      <c r="Z167" s="41"/>
      <c r="AA167" s="90"/>
      <c r="AB167" s="41"/>
      <c r="AC167" s="90"/>
      <c r="AD167" s="41"/>
      <c r="AE167" s="41"/>
      <c r="AF167" s="41"/>
      <c r="AG167" s="41"/>
      <c r="AH167" s="41"/>
    </row>
    <row r="168" spans="1:34" ht="15.75" customHeight="1" x14ac:dyDescent="0.2">
      <c r="A168" s="166"/>
      <c r="B168" s="41"/>
      <c r="C168" s="41"/>
      <c r="D168" s="41"/>
      <c r="E168" s="41"/>
      <c r="F168" s="41"/>
      <c r="G168" s="41"/>
      <c r="H168" s="166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163"/>
      <c r="Y168" s="166"/>
      <c r="Z168" s="41"/>
      <c r="AA168" s="90"/>
      <c r="AB168" s="41"/>
      <c r="AC168" s="90"/>
      <c r="AD168" s="41"/>
      <c r="AE168" s="41"/>
      <c r="AF168" s="41"/>
      <c r="AG168" s="41"/>
      <c r="AH168" s="41"/>
    </row>
    <row r="169" spans="1:34" ht="15.75" customHeight="1" x14ac:dyDescent="0.2">
      <c r="A169" s="166"/>
      <c r="B169" s="41"/>
      <c r="C169" s="41"/>
      <c r="D169" s="41"/>
      <c r="E169" s="41"/>
      <c r="F169" s="41"/>
      <c r="G169" s="41"/>
      <c r="H169" s="166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163"/>
      <c r="Y169" s="166"/>
      <c r="Z169" s="41"/>
      <c r="AA169" s="90"/>
      <c r="AB169" s="41"/>
      <c r="AC169" s="90"/>
      <c r="AD169" s="41"/>
      <c r="AE169" s="41"/>
      <c r="AF169" s="41"/>
      <c r="AG169" s="41"/>
      <c r="AH169" s="41"/>
    </row>
    <row r="170" spans="1:34" ht="15.75" customHeight="1" x14ac:dyDescent="0.2">
      <c r="A170" s="166"/>
      <c r="B170" s="41"/>
      <c r="C170" s="41"/>
      <c r="D170" s="41"/>
      <c r="E170" s="41"/>
      <c r="F170" s="41"/>
      <c r="G170" s="41"/>
      <c r="H170" s="166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163"/>
      <c r="Y170" s="166"/>
      <c r="Z170" s="41"/>
      <c r="AA170" s="90"/>
      <c r="AB170" s="41"/>
      <c r="AC170" s="90"/>
      <c r="AD170" s="41"/>
      <c r="AE170" s="41"/>
      <c r="AF170" s="41"/>
      <c r="AG170" s="41"/>
      <c r="AH170" s="41"/>
    </row>
    <row r="171" spans="1:34" ht="15.75" customHeight="1" x14ac:dyDescent="0.2">
      <c r="A171" s="166"/>
      <c r="B171" s="41"/>
      <c r="C171" s="41"/>
      <c r="D171" s="41"/>
      <c r="E171" s="41"/>
      <c r="F171" s="41"/>
      <c r="G171" s="41"/>
      <c r="H171" s="166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163"/>
      <c r="Y171" s="166"/>
      <c r="Z171" s="41"/>
      <c r="AA171" s="90"/>
      <c r="AB171" s="41"/>
      <c r="AC171" s="90"/>
      <c r="AD171" s="41"/>
      <c r="AE171" s="41"/>
      <c r="AF171" s="41"/>
      <c r="AG171" s="41"/>
      <c r="AH171" s="41"/>
    </row>
    <row r="172" spans="1:34" ht="15.75" customHeight="1" x14ac:dyDescent="0.2">
      <c r="A172" s="166"/>
      <c r="B172" s="41"/>
      <c r="C172" s="41"/>
      <c r="D172" s="41"/>
      <c r="E172" s="41"/>
      <c r="F172" s="41"/>
      <c r="G172" s="41"/>
      <c r="H172" s="166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163"/>
      <c r="Y172" s="166"/>
      <c r="Z172" s="41"/>
      <c r="AA172" s="90"/>
      <c r="AB172" s="41"/>
      <c r="AC172" s="90"/>
      <c r="AD172" s="41"/>
      <c r="AE172" s="41"/>
      <c r="AF172" s="41"/>
      <c r="AG172" s="41"/>
      <c r="AH172" s="41"/>
    </row>
    <row r="173" spans="1:34" ht="15.75" customHeight="1" x14ac:dyDescent="0.2">
      <c r="A173" s="166"/>
      <c r="B173" s="41"/>
      <c r="C173" s="41"/>
      <c r="D173" s="41"/>
      <c r="E173" s="41"/>
      <c r="F173" s="41"/>
      <c r="G173" s="41"/>
      <c r="H173" s="166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163"/>
      <c r="Y173" s="166"/>
      <c r="Z173" s="41"/>
      <c r="AA173" s="90"/>
      <c r="AB173" s="41"/>
      <c r="AC173" s="90"/>
      <c r="AD173" s="41"/>
      <c r="AE173" s="41"/>
      <c r="AF173" s="41"/>
      <c r="AG173" s="41"/>
      <c r="AH173" s="41"/>
    </row>
    <row r="174" spans="1:34" ht="15.75" customHeight="1" x14ac:dyDescent="0.2">
      <c r="A174" s="166"/>
      <c r="B174" s="41"/>
      <c r="C174" s="41"/>
      <c r="D174" s="41"/>
      <c r="E174" s="41"/>
      <c r="F174" s="41"/>
      <c r="G174" s="41"/>
      <c r="H174" s="166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163"/>
      <c r="Y174" s="166"/>
      <c r="Z174" s="41"/>
      <c r="AA174" s="90"/>
      <c r="AB174" s="41"/>
      <c r="AC174" s="90"/>
      <c r="AD174" s="41"/>
      <c r="AE174" s="41"/>
      <c r="AF174" s="41"/>
      <c r="AG174" s="41"/>
      <c r="AH174" s="41"/>
    </row>
    <row r="175" spans="1:34" ht="15.75" customHeight="1" x14ac:dyDescent="0.2">
      <c r="A175" s="166"/>
      <c r="B175" s="41"/>
      <c r="C175" s="41"/>
      <c r="D175" s="41"/>
      <c r="E175" s="41"/>
      <c r="F175" s="41"/>
      <c r="G175" s="41"/>
      <c r="H175" s="166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163"/>
      <c r="Y175" s="166"/>
      <c r="Z175" s="41"/>
      <c r="AA175" s="90"/>
      <c r="AB175" s="41"/>
      <c r="AC175" s="90"/>
      <c r="AD175" s="41"/>
      <c r="AE175" s="41"/>
      <c r="AF175" s="41"/>
      <c r="AG175" s="41"/>
      <c r="AH175" s="41"/>
    </row>
    <row r="176" spans="1:34" ht="15.75" customHeight="1" x14ac:dyDescent="0.2">
      <c r="A176" s="166"/>
      <c r="B176" s="41"/>
      <c r="C176" s="41"/>
      <c r="D176" s="41"/>
      <c r="E176" s="41"/>
      <c r="F176" s="41"/>
      <c r="G176" s="41"/>
      <c r="H176" s="166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163"/>
      <c r="Y176" s="166"/>
      <c r="Z176" s="41"/>
      <c r="AA176" s="90"/>
      <c r="AB176" s="41"/>
      <c r="AC176" s="90"/>
      <c r="AD176" s="41"/>
      <c r="AE176" s="41"/>
      <c r="AF176" s="41"/>
      <c r="AG176" s="41"/>
      <c r="AH176" s="41"/>
    </row>
    <row r="177" spans="1:34" ht="15.75" customHeight="1" x14ac:dyDescent="0.2">
      <c r="A177" s="166"/>
      <c r="B177" s="41"/>
      <c r="C177" s="41"/>
      <c r="D177" s="41"/>
      <c r="E177" s="41"/>
      <c r="F177" s="41"/>
      <c r="G177" s="41"/>
      <c r="H177" s="166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163"/>
      <c r="Y177" s="166"/>
      <c r="Z177" s="41"/>
      <c r="AA177" s="90"/>
      <c r="AB177" s="41"/>
      <c r="AC177" s="90"/>
      <c r="AD177" s="41"/>
      <c r="AE177" s="41"/>
      <c r="AF177" s="41"/>
      <c r="AG177" s="41"/>
      <c r="AH177" s="41"/>
    </row>
    <row r="178" spans="1:34" ht="15.75" customHeight="1" x14ac:dyDescent="0.2">
      <c r="A178" s="166"/>
      <c r="B178" s="41"/>
      <c r="C178" s="41"/>
      <c r="D178" s="41"/>
      <c r="E178" s="41"/>
      <c r="F178" s="41"/>
      <c r="G178" s="41"/>
      <c r="H178" s="166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163"/>
      <c r="Y178" s="166"/>
      <c r="Z178" s="41"/>
      <c r="AA178" s="90"/>
      <c r="AB178" s="41"/>
      <c r="AC178" s="90"/>
      <c r="AD178" s="41"/>
      <c r="AE178" s="41"/>
      <c r="AF178" s="41"/>
      <c r="AG178" s="41"/>
      <c r="AH178" s="41"/>
    </row>
    <row r="179" spans="1:34" ht="15.75" customHeight="1" x14ac:dyDescent="0.2">
      <c r="A179" s="166"/>
      <c r="B179" s="41"/>
      <c r="C179" s="41"/>
      <c r="D179" s="41"/>
      <c r="E179" s="41"/>
      <c r="F179" s="41"/>
      <c r="G179" s="41"/>
      <c r="H179" s="166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163"/>
      <c r="Y179" s="166"/>
      <c r="Z179" s="41"/>
      <c r="AA179" s="90"/>
      <c r="AB179" s="41"/>
      <c r="AC179" s="90"/>
      <c r="AD179" s="41"/>
      <c r="AE179" s="41"/>
      <c r="AF179" s="41"/>
      <c r="AG179" s="41"/>
      <c r="AH179" s="41"/>
    </row>
    <row r="180" spans="1:34" ht="15.75" customHeight="1" x14ac:dyDescent="0.2">
      <c r="A180" s="166"/>
      <c r="B180" s="41"/>
      <c r="C180" s="41"/>
      <c r="D180" s="41"/>
      <c r="E180" s="41"/>
      <c r="F180" s="41"/>
      <c r="G180" s="41"/>
      <c r="H180" s="166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163"/>
      <c r="Y180" s="166"/>
      <c r="Z180" s="41"/>
      <c r="AA180" s="90"/>
      <c r="AB180" s="41"/>
      <c r="AC180" s="90"/>
      <c r="AD180" s="41"/>
      <c r="AE180" s="41"/>
      <c r="AF180" s="41"/>
      <c r="AG180" s="41"/>
      <c r="AH180" s="41"/>
    </row>
    <row r="181" spans="1:34" ht="15.75" customHeight="1" x14ac:dyDescent="0.2">
      <c r="A181" s="166"/>
      <c r="B181" s="41"/>
      <c r="C181" s="41"/>
      <c r="D181" s="41"/>
      <c r="E181" s="41"/>
      <c r="F181" s="41"/>
      <c r="G181" s="41"/>
      <c r="H181" s="166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163"/>
      <c r="Y181" s="166"/>
      <c r="Z181" s="41"/>
      <c r="AA181" s="90"/>
      <c r="AB181" s="41"/>
      <c r="AC181" s="90"/>
      <c r="AD181" s="41"/>
      <c r="AE181" s="41"/>
      <c r="AF181" s="41"/>
      <c r="AG181" s="41"/>
      <c r="AH181" s="41"/>
    </row>
    <row r="182" spans="1:34" ht="15.75" customHeight="1" x14ac:dyDescent="0.2">
      <c r="A182" s="166"/>
      <c r="B182" s="41"/>
      <c r="C182" s="41"/>
      <c r="D182" s="41"/>
      <c r="E182" s="41"/>
      <c r="F182" s="41"/>
      <c r="G182" s="41"/>
      <c r="H182" s="166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163"/>
      <c r="Y182" s="166"/>
      <c r="Z182" s="41"/>
      <c r="AA182" s="90"/>
      <c r="AB182" s="41"/>
      <c r="AC182" s="90"/>
      <c r="AD182" s="41"/>
      <c r="AE182" s="41"/>
      <c r="AF182" s="41"/>
      <c r="AG182" s="41"/>
      <c r="AH182" s="41"/>
    </row>
    <row r="183" spans="1:34" ht="15.75" customHeight="1" x14ac:dyDescent="0.2">
      <c r="A183" s="166"/>
      <c r="B183" s="41"/>
      <c r="C183" s="41"/>
      <c r="D183" s="41"/>
      <c r="E183" s="41"/>
      <c r="F183" s="41"/>
      <c r="G183" s="41"/>
      <c r="H183" s="166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163"/>
      <c r="Y183" s="166"/>
      <c r="Z183" s="41"/>
      <c r="AA183" s="90"/>
      <c r="AB183" s="41"/>
      <c r="AC183" s="90"/>
      <c r="AD183" s="41"/>
      <c r="AE183" s="41"/>
      <c r="AF183" s="41"/>
      <c r="AG183" s="41"/>
      <c r="AH183" s="41"/>
    </row>
    <row r="184" spans="1:34" ht="15.75" customHeight="1" x14ac:dyDescent="0.2">
      <c r="A184" s="166"/>
      <c r="B184" s="41"/>
      <c r="C184" s="41"/>
      <c r="D184" s="41"/>
      <c r="E184" s="41"/>
      <c r="F184" s="41"/>
      <c r="G184" s="41"/>
      <c r="H184" s="166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163"/>
      <c r="Y184" s="166"/>
      <c r="Z184" s="41"/>
      <c r="AA184" s="90"/>
      <c r="AB184" s="41"/>
      <c r="AC184" s="90"/>
      <c r="AD184" s="41"/>
      <c r="AE184" s="41"/>
      <c r="AF184" s="41"/>
      <c r="AG184" s="41"/>
      <c r="AH184" s="41"/>
    </row>
    <row r="185" spans="1:34" ht="15.75" customHeight="1" x14ac:dyDescent="0.2">
      <c r="A185" s="166"/>
      <c r="B185" s="41"/>
      <c r="C185" s="41"/>
      <c r="D185" s="41"/>
      <c r="E185" s="41"/>
      <c r="F185" s="41"/>
      <c r="G185" s="41"/>
      <c r="H185" s="166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163"/>
      <c r="Y185" s="166"/>
      <c r="Z185" s="41"/>
      <c r="AA185" s="90"/>
      <c r="AB185" s="41"/>
      <c r="AC185" s="90"/>
      <c r="AD185" s="41"/>
      <c r="AE185" s="41"/>
      <c r="AF185" s="41"/>
      <c r="AG185" s="41"/>
      <c r="AH185" s="41"/>
    </row>
    <row r="186" spans="1:34" ht="15.75" customHeight="1" x14ac:dyDescent="0.2">
      <c r="A186" s="166"/>
      <c r="B186" s="41"/>
      <c r="C186" s="41"/>
      <c r="D186" s="41"/>
      <c r="E186" s="41"/>
      <c r="F186" s="41"/>
      <c r="G186" s="41"/>
      <c r="H186" s="166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163"/>
      <c r="Y186" s="166"/>
      <c r="Z186" s="41"/>
      <c r="AA186" s="90"/>
      <c r="AB186" s="41"/>
      <c r="AC186" s="90"/>
      <c r="AD186" s="41"/>
      <c r="AE186" s="41"/>
      <c r="AF186" s="41"/>
      <c r="AG186" s="41"/>
      <c r="AH186" s="41"/>
    </row>
    <row r="187" spans="1:34" ht="15.75" customHeight="1" x14ac:dyDescent="0.2">
      <c r="A187" s="166"/>
      <c r="B187" s="41"/>
      <c r="C187" s="41"/>
      <c r="D187" s="41"/>
      <c r="E187" s="41"/>
      <c r="F187" s="41"/>
      <c r="G187" s="41"/>
      <c r="H187" s="166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163"/>
      <c r="Y187" s="166"/>
      <c r="Z187" s="41"/>
      <c r="AA187" s="90"/>
      <c r="AB187" s="41"/>
      <c r="AC187" s="90"/>
      <c r="AD187" s="41"/>
      <c r="AE187" s="41"/>
      <c r="AF187" s="41"/>
      <c r="AG187" s="41"/>
      <c r="AH187" s="41"/>
    </row>
    <row r="188" spans="1:34" ht="15.75" customHeight="1" x14ac:dyDescent="0.2">
      <c r="A188" s="166"/>
      <c r="B188" s="41"/>
      <c r="C188" s="41"/>
      <c r="D188" s="41"/>
      <c r="E188" s="41"/>
      <c r="F188" s="41"/>
      <c r="G188" s="41"/>
      <c r="H188" s="166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163"/>
      <c r="Y188" s="166"/>
      <c r="Z188" s="41"/>
      <c r="AA188" s="90"/>
      <c r="AB188" s="41"/>
      <c r="AC188" s="90"/>
      <c r="AD188" s="41"/>
      <c r="AE188" s="41"/>
      <c r="AF188" s="41"/>
      <c r="AG188" s="41"/>
      <c r="AH188" s="41"/>
    </row>
    <row r="189" spans="1:34" ht="15.75" customHeight="1" x14ac:dyDescent="0.2">
      <c r="A189" s="166"/>
      <c r="B189" s="41"/>
      <c r="C189" s="41"/>
      <c r="D189" s="41"/>
      <c r="E189" s="41"/>
      <c r="F189" s="41"/>
      <c r="G189" s="41"/>
      <c r="H189" s="166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163"/>
      <c r="Y189" s="166"/>
      <c r="Z189" s="41"/>
      <c r="AA189" s="90"/>
      <c r="AB189" s="41"/>
      <c r="AC189" s="90"/>
      <c r="AD189" s="41"/>
      <c r="AE189" s="41"/>
      <c r="AF189" s="41"/>
      <c r="AG189" s="41"/>
      <c r="AH189" s="41"/>
    </row>
    <row r="190" spans="1:34" ht="15.75" customHeight="1" x14ac:dyDescent="0.2">
      <c r="A190" s="166"/>
      <c r="B190" s="41"/>
      <c r="C190" s="41"/>
      <c r="D190" s="41"/>
      <c r="E190" s="41"/>
      <c r="F190" s="41"/>
      <c r="G190" s="41"/>
      <c r="H190" s="166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163"/>
      <c r="Y190" s="166"/>
      <c r="Z190" s="41"/>
      <c r="AA190" s="90"/>
      <c r="AB190" s="41"/>
      <c r="AC190" s="90"/>
      <c r="AD190" s="41"/>
      <c r="AE190" s="41"/>
      <c r="AF190" s="41"/>
      <c r="AG190" s="41"/>
      <c r="AH190" s="41"/>
    </row>
    <row r="191" spans="1:34" ht="15.75" customHeight="1" x14ac:dyDescent="0.2">
      <c r="A191" s="166"/>
      <c r="B191" s="41"/>
      <c r="C191" s="41"/>
      <c r="D191" s="41"/>
      <c r="E191" s="41"/>
      <c r="F191" s="41"/>
      <c r="G191" s="41"/>
      <c r="H191" s="166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163"/>
      <c r="Y191" s="166"/>
      <c r="Z191" s="41"/>
      <c r="AA191" s="90"/>
      <c r="AB191" s="41"/>
      <c r="AC191" s="90"/>
      <c r="AD191" s="41"/>
      <c r="AE191" s="41"/>
      <c r="AF191" s="41"/>
      <c r="AG191" s="41"/>
      <c r="AH191" s="41"/>
    </row>
    <row r="192" spans="1:34" ht="15.75" customHeight="1" x14ac:dyDescent="0.2">
      <c r="A192" s="166"/>
      <c r="B192" s="41"/>
      <c r="C192" s="41"/>
      <c r="D192" s="41"/>
      <c r="E192" s="41"/>
      <c r="F192" s="41"/>
      <c r="G192" s="41"/>
      <c r="H192" s="166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163"/>
      <c r="Y192" s="166"/>
      <c r="Z192" s="41"/>
      <c r="AA192" s="90"/>
      <c r="AB192" s="41"/>
      <c r="AC192" s="90"/>
      <c r="AD192" s="41"/>
      <c r="AE192" s="41"/>
      <c r="AF192" s="41"/>
      <c r="AG192" s="41"/>
      <c r="AH192" s="41"/>
    </row>
    <row r="193" spans="1:34" ht="15.75" customHeight="1" x14ac:dyDescent="0.2">
      <c r="A193" s="166"/>
      <c r="B193" s="41"/>
      <c r="C193" s="41"/>
      <c r="D193" s="41"/>
      <c r="E193" s="41"/>
      <c r="F193" s="41"/>
      <c r="G193" s="41"/>
      <c r="H193" s="166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163"/>
      <c r="Y193" s="166"/>
      <c r="Z193" s="41"/>
      <c r="AA193" s="90"/>
      <c r="AB193" s="41"/>
      <c r="AC193" s="90"/>
      <c r="AD193" s="41"/>
      <c r="AE193" s="41"/>
      <c r="AF193" s="41"/>
      <c r="AG193" s="41"/>
      <c r="AH193" s="41"/>
    </row>
    <row r="194" spans="1:34" ht="15.75" customHeight="1" x14ac:dyDescent="0.2">
      <c r="A194" s="166"/>
      <c r="B194" s="41"/>
      <c r="C194" s="41"/>
      <c r="D194" s="41"/>
      <c r="E194" s="41"/>
      <c r="F194" s="41"/>
      <c r="G194" s="41"/>
      <c r="H194" s="166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163"/>
      <c r="Y194" s="166"/>
      <c r="Z194" s="41"/>
      <c r="AA194" s="90"/>
      <c r="AB194" s="41"/>
      <c r="AC194" s="90"/>
      <c r="AD194" s="41"/>
      <c r="AE194" s="41"/>
      <c r="AF194" s="41"/>
      <c r="AG194" s="41"/>
      <c r="AH194" s="41"/>
    </row>
    <row r="195" spans="1:34" ht="15.75" customHeight="1" x14ac:dyDescent="0.2">
      <c r="A195" s="166"/>
      <c r="B195" s="41"/>
      <c r="C195" s="41"/>
      <c r="D195" s="41"/>
      <c r="E195" s="41"/>
      <c r="F195" s="41"/>
      <c r="G195" s="41"/>
      <c r="H195" s="166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163"/>
      <c r="Y195" s="166"/>
      <c r="Z195" s="41"/>
      <c r="AA195" s="90"/>
      <c r="AB195" s="41"/>
      <c r="AC195" s="90"/>
      <c r="AD195" s="41"/>
      <c r="AE195" s="41"/>
      <c r="AF195" s="41"/>
      <c r="AG195" s="41"/>
      <c r="AH195" s="41"/>
    </row>
    <row r="196" spans="1:34" ht="15.75" customHeight="1" x14ac:dyDescent="0.2">
      <c r="A196" s="166"/>
      <c r="B196" s="41"/>
      <c r="C196" s="41"/>
      <c r="D196" s="41"/>
      <c r="E196" s="41"/>
      <c r="F196" s="41"/>
      <c r="G196" s="41"/>
      <c r="H196" s="166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163"/>
      <c r="Y196" s="166"/>
      <c r="Z196" s="41"/>
      <c r="AA196" s="90"/>
      <c r="AB196" s="41"/>
      <c r="AC196" s="90"/>
      <c r="AD196" s="41"/>
      <c r="AE196" s="41"/>
      <c r="AF196" s="41"/>
      <c r="AG196" s="41"/>
      <c r="AH196" s="41"/>
    </row>
    <row r="197" spans="1:34" ht="15.75" customHeight="1" x14ac:dyDescent="0.2">
      <c r="A197" s="166"/>
      <c r="B197" s="41"/>
      <c r="C197" s="41"/>
      <c r="D197" s="41"/>
      <c r="E197" s="41"/>
      <c r="F197" s="41"/>
      <c r="G197" s="41"/>
      <c r="H197" s="166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163"/>
      <c r="Y197" s="166"/>
      <c r="Z197" s="41"/>
      <c r="AA197" s="90"/>
      <c r="AB197" s="41"/>
      <c r="AC197" s="90"/>
      <c r="AD197" s="41"/>
      <c r="AE197" s="41"/>
      <c r="AF197" s="41"/>
      <c r="AG197" s="41"/>
      <c r="AH197" s="41"/>
    </row>
    <row r="198" spans="1:34" ht="15.75" customHeight="1" x14ac:dyDescent="0.2">
      <c r="A198" s="166"/>
      <c r="B198" s="41"/>
      <c r="C198" s="41"/>
      <c r="D198" s="41"/>
      <c r="E198" s="41"/>
      <c r="F198" s="41"/>
      <c r="G198" s="41"/>
      <c r="H198" s="166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163"/>
      <c r="Y198" s="166"/>
      <c r="Z198" s="41"/>
      <c r="AA198" s="90"/>
      <c r="AB198" s="41"/>
      <c r="AC198" s="90"/>
      <c r="AD198" s="41"/>
      <c r="AE198" s="41"/>
      <c r="AF198" s="41"/>
      <c r="AG198" s="41"/>
      <c r="AH198" s="41"/>
    </row>
    <row r="199" spans="1:34" ht="15.75" customHeight="1" x14ac:dyDescent="0.2">
      <c r="A199" s="166"/>
      <c r="B199" s="41"/>
      <c r="C199" s="41"/>
      <c r="D199" s="41"/>
      <c r="E199" s="41"/>
      <c r="F199" s="41"/>
      <c r="G199" s="41"/>
      <c r="H199" s="166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163"/>
      <c r="Y199" s="166"/>
      <c r="Z199" s="41"/>
      <c r="AA199" s="90"/>
      <c r="AB199" s="41"/>
      <c r="AC199" s="90"/>
      <c r="AD199" s="41"/>
      <c r="AE199" s="41"/>
      <c r="AF199" s="41"/>
      <c r="AG199" s="41"/>
      <c r="AH199" s="41"/>
    </row>
    <row r="200" spans="1:34" ht="15.75" customHeight="1" x14ac:dyDescent="0.2">
      <c r="A200" s="166"/>
      <c r="B200" s="41"/>
      <c r="C200" s="41"/>
      <c r="D200" s="41"/>
      <c r="E200" s="41"/>
      <c r="F200" s="41"/>
      <c r="G200" s="41"/>
      <c r="H200" s="166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163"/>
      <c r="Y200" s="166"/>
      <c r="Z200" s="41"/>
      <c r="AA200" s="90"/>
      <c r="AB200" s="41"/>
      <c r="AC200" s="90"/>
      <c r="AD200" s="41"/>
      <c r="AE200" s="41"/>
      <c r="AF200" s="41"/>
      <c r="AG200" s="41"/>
      <c r="AH200" s="41"/>
    </row>
    <row r="201" spans="1:34" ht="15.75" customHeight="1" x14ac:dyDescent="0.2">
      <c r="A201" s="166"/>
      <c r="B201" s="41"/>
      <c r="C201" s="41"/>
      <c r="D201" s="41"/>
      <c r="E201" s="41"/>
      <c r="F201" s="41"/>
      <c r="G201" s="41"/>
      <c r="H201" s="166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163"/>
      <c r="Y201" s="166"/>
      <c r="Z201" s="41"/>
      <c r="AA201" s="90"/>
      <c r="AB201" s="41"/>
      <c r="AC201" s="90"/>
      <c r="AD201" s="41"/>
      <c r="AE201" s="41"/>
      <c r="AF201" s="41"/>
      <c r="AG201" s="41"/>
      <c r="AH201" s="41"/>
    </row>
    <row r="202" spans="1:34" ht="15.75" customHeight="1" x14ac:dyDescent="0.2">
      <c r="A202" s="166"/>
      <c r="B202" s="41"/>
      <c r="C202" s="41"/>
      <c r="D202" s="41"/>
      <c r="E202" s="41"/>
      <c r="F202" s="41"/>
      <c r="G202" s="41"/>
      <c r="H202" s="166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163"/>
      <c r="Y202" s="166"/>
      <c r="Z202" s="41"/>
      <c r="AA202" s="90"/>
      <c r="AB202" s="41"/>
      <c r="AC202" s="90"/>
      <c r="AD202" s="41"/>
      <c r="AE202" s="41"/>
      <c r="AF202" s="41"/>
      <c r="AG202" s="41"/>
      <c r="AH202" s="41"/>
    </row>
    <row r="203" spans="1:34" ht="15.75" customHeight="1" x14ac:dyDescent="0.2">
      <c r="A203" s="166"/>
      <c r="B203" s="41"/>
      <c r="C203" s="41"/>
      <c r="D203" s="41"/>
      <c r="E203" s="41"/>
      <c r="F203" s="41"/>
      <c r="G203" s="41"/>
      <c r="H203" s="166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163"/>
      <c r="Y203" s="166"/>
      <c r="Z203" s="41"/>
      <c r="AA203" s="90"/>
      <c r="AB203" s="41"/>
      <c r="AC203" s="90"/>
      <c r="AD203" s="41"/>
      <c r="AE203" s="41"/>
      <c r="AF203" s="41"/>
      <c r="AG203" s="41"/>
      <c r="AH203" s="41"/>
    </row>
    <row r="204" spans="1:34" ht="15.75" customHeight="1" x14ac:dyDescent="0.2">
      <c r="A204" s="166"/>
      <c r="B204" s="41"/>
      <c r="C204" s="41"/>
      <c r="D204" s="41"/>
      <c r="E204" s="41"/>
      <c r="F204" s="41"/>
      <c r="G204" s="41"/>
      <c r="H204" s="166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163"/>
      <c r="Y204" s="166"/>
      <c r="Z204" s="41"/>
      <c r="AA204" s="90"/>
      <c r="AB204" s="41"/>
      <c r="AC204" s="90"/>
      <c r="AD204" s="41"/>
      <c r="AE204" s="41"/>
      <c r="AF204" s="41"/>
      <c r="AG204" s="41"/>
      <c r="AH204" s="41"/>
    </row>
    <row r="205" spans="1:34" ht="15.75" customHeight="1" x14ac:dyDescent="0.2">
      <c r="A205" s="166"/>
      <c r="B205" s="41"/>
      <c r="C205" s="41"/>
      <c r="D205" s="41"/>
      <c r="E205" s="41"/>
      <c r="F205" s="41"/>
      <c r="G205" s="41"/>
      <c r="H205" s="166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163"/>
      <c r="Y205" s="166"/>
      <c r="Z205" s="41"/>
      <c r="AA205" s="90"/>
      <c r="AB205" s="41"/>
      <c r="AC205" s="90"/>
      <c r="AD205" s="41"/>
      <c r="AE205" s="41"/>
      <c r="AF205" s="41"/>
      <c r="AG205" s="41"/>
      <c r="AH205" s="41"/>
    </row>
    <row r="206" spans="1:34" ht="15.75" customHeight="1" x14ac:dyDescent="0.2">
      <c r="A206" s="166"/>
      <c r="B206" s="41"/>
      <c r="C206" s="41"/>
      <c r="D206" s="41"/>
      <c r="E206" s="41"/>
      <c r="F206" s="41"/>
      <c r="G206" s="41"/>
      <c r="H206" s="166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163"/>
      <c r="Y206" s="166"/>
      <c r="Z206" s="41"/>
      <c r="AA206" s="90"/>
      <c r="AB206" s="41"/>
      <c r="AC206" s="90"/>
      <c r="AD206" s="41"/>
      <c r="AE206" s="41"/>
      <c r="AF206" s="41"/>
      <c r="AG206" s="41"/>
      <c r="AH206" s="41"/>
    </row>
    <row r="207" spans="1:34" ht="15.75" customHeight="1" x14ac:dyDescent="0.2">
      <c r="A207" s="166"/>
      <c r="B207" s="41"/>
      <c r="C207" s="41"/>
      <c r="D207" s="41"/>
      <c r="E207" s="41"/>
      <c r="F207" s="41"/>
      <c r="G207" s="41"/>
      <c r="H207" s="166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163"/>
      <c r="Y207" s="166"/>
      <c r="Z207" s="41"/>
      <c r="AA207" s="90"/>
      <c r="AB207" s="41"/>
      <c r="AC207" s="90"/>
      <c r="AD207" s="41"/>
      <c r="AE207" s="41"/>
      <c r="AF207" s="41"/>
      <c r="AG207" s="41"/>
      <c r="AH207" s="41"/>
    </row>
    <row r="208" spans="1:34" ht="15.75" customHeight="1" x14ac:dyDescent="0.2">
      <c r="A208" s="166"/>
      <c r="B208" s="41"/>
      <c r="C208" s="41"/>
      <c r="D208" s="41"/>
      <c r="E208" s="41"/>
      <c r="F208" s="41"/>
      <c r="G208" s="41"/>
      <c r="H208" s="166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163"/>
      <c r="Y208" s="166"/>
      <c r="Z208" s="41"/>
      <c r="AA208" s="90"/>
      <c r="AB208" s="41"/>
      <c r="AC208" s="90"/>
      <c r="AD208" s="41"/>
      <c r="AE208" s="41"/>
      <c r="AF208" s="41"/>
      <c r="AG208" s="41"/>
      <c r="AH208" s="41"/>
    </row>
    <row r="209" spans="1:34" ht="15.75" customHeight="1" x14ac:dyDescent="0.2">
      <c r="A209" s="166"/>
      <c r="B209" s="41"/>
      <c r="C209" s="41"/>
      <c r="D209" s="41"/>
      <c r="E209" s="41"/>
      <c r="F209" s="41"/>
      <c r="G209" s="41"/>
      <c r="H209" s="166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163"/>
      <c r="Y209" s="166"/>
      <c r="Z209" s="41"/>
      <c r="AA209" s="90"/>
      <c r="AB209" s="41"/>
      <c r="AC209" s="90"/>
      <c r="AD209" s="41"/>
      <c r="AE209" s="41"/>
      <c r="AF209" s="41"/>
      <c r="AG209" s="41"/>
      <c r="AH209" s="41"/>
    </row>
    <row r="210" spans="1:34" ht="15.75" customHeight="1" x14ac:dyDescent="0.2">
      <c r="A210" s="166"/>
      <c r="B210" s="41"/>
      <c r="C210" s="41"/>
      <c r="D210" s="41"/>
      <c r="E210" s="41"/>
      <c r="F210" s="41"/>
      <c r="G210" s="41"/>
      <c r="H210" s="166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163"/>
      <c r="Y210" s="166"/>
      <c r="Z210" s="41"/>
      <c r="AA210" s="90"/>
      <c r="AB210" s="41"/>
      <c r="AC210" s="90"/>
      <c r="AD210" s="41"/>
      <c r="AE210" s="41"/>
      <c r="AF210" s="41"/>
      <c r="AG210" s="41"/>
      <c r="AH210" s="41"/>
    </row>
    <row r="211" spans="1:34" ht="15.75" customHeight="1" x14ac:dyDescent="0.2">
      <c r="A211" s="166"/>
      <c r="B211" s="41"/>
      <c r="C211" s="41"/>
      <c r="D211" s="41"/>
      <c r="E211" s="41"/>
      <c r="F211" s="41"/>
      <c r="G211" s="41"/>
      <c r="H211" s="166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163"/>
      <c r="Y211" s="166"/>
      <c r="Z211" s="41"/>
      <c r="AA211" s="90"/>
      <c r="AB211" s="41"/>
      <c r="AC211" s="90"/>
      <c r="AD211" s="41"/>
      <c r="AE211" s="41"/>
      <c r="AF211" s="41"/>
      <c r="AG211" s="41"/>
      <c r="AH211" s="41"/>
    </row>
    <row r="212" spans="1:34" ht="15.75" customHeight="1" x14ac:dyDescent="0.2">
      <c r="A212" s="166"/>
      <c r="B212" s="41"/>
      <c r="C212" s="41"/>
      <c r="D212" s="41"/>
      <c r="E212" s="41"/>
      <c r="F212" s="41"/>
      <c r="G212" s="41"/>
      <c r="H212" s="166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163"/>
      <c r="Y212" s="166"/>
      <c r="Z212" s="41"/>
      <c r="AA212" s="90"/>
      <c r="AB212" s="41"/>
      <c r="AC212" s="90"/>
      <c r="AD212" s="41"/>
      <c r="AE212" s="41"/>
      <c r="AF212" s="41"/>
      <c r="AG212" s="41"/>
      <c r="AH212" s="41"/>
    </row>
    <row r="213" spans="1:34" ht="15.75" customHeight="1" x14ac:dyDescent="0.2">
      <c r="A213" s="166"/>
      <c r="B213" s="41"/>
      <c r="C213" s="41"/>
      <c r="D213" s="41"/>
      <c r="E213" s="41"/>
      <c r="F213" s="41"/>
      <c r="G213" s="41"/>
      <c r="H213" s="166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163"/>
      <c r="Y213" s="166"/>
      <c r="Z213" s="41"/>
      <c r="AA213" s="90"/>
      <c r="AB213" s="41"/>
      <c r="AC213" s="90"/>
      <c r="AD213" s="41"/>
      <c r="AE213" s="41"/>
      <c r="AF213" s="41"/>
      <c r="AG213" s="41"/>
      <c r="AH213" s="41"/>
    </row>
    <row r="214" spans="1:34" ht="15.75" customHeight="1" x14ac:dyDescent="0.2">
      <c r="A214" s="166"/>
      <c r="B214" s="41"/>
      <c r="C214" s="41"/>
      <c r="D214" s="41"/>
      <c r="E214" s="41"/>
      <c r="F214" s="41"/>
      <c r="G214" s="41"/>
      <c r="H214" s="166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163"/>
      <c r="Y214" s="166"/>
      <c r="Z214" s="41"/>
      <c r="AA214" s="90"/>
      <c r="AB214" s="41"/>
      <c r="AC214" s="90"/>
      <c r="AD214" s="41"/>
      <c r="AE214" s="41"/>
      <c r="AF214" s="41"/>
      <c r="AG214" s="41"/>
      <c r="AH214" s="41"/>
    </row>
    <row r="215" spans="1:34" ht="15.75" customHeight="1" x14ac:dyDescent="0.2">
      <c r="A215" s="166"/>
      <c r="B215" s="41"/>
      <c r="C215" s="41"/>
      <c r="D215" s="41"/>
      <c r="E215" s="41"/>
      <c r="F215" s="41"/>
      <c r="G215" s="41"/>
      <c r="H215" s="166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163"/>
      <c r="Y215" s="166"/>
      <c r="Z215" s="41"/>
      <c r="AA215" s="90"/>
      <c r="AB215" s="41"/>
      <c r="AC215" s="90"/>
      <c r="AD215" s="41"/>
      <c r="AE215" s="41"/>
      <c r="AF215" s="41"/>
      <c r="AG215" s="41"/>
      <c r="AH215" s="41"/>
    </row>
    <row r="216" spans="1:34" ht="15.75" customHeight="1" x14ac:dyDescent="0.2">
      <c r="A216" s="166"/>
      <c r="B216" s="41"/>
      <c r="C216" s="41"/>
      <c r="D216" s="41"/>
      <c r="E216" s="41"/>
      <c r="F216" s="41"/>
      <c r="G216" s="41"/>
      <c r="H216" s="166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163"/>
      <c r="Y216" s="166"/>
      <c r="Z216" s="41"/>
      <c r="AA216" s="90"/>
      <c r="AB216" s="41"/>
      <c r="AC216" s="90"/>
      <c r="AD216" s="41"/>
      <c r="AE216" s="41"/>
      <c r="AF216" s="41"/>
      <c r="AG216" s="41"/>
      <c r="AH216" s="41"/>
    </row>
    <row r="217" spans="1:34" ht="15.75" customHeight="1" x14ac:dyDescent="0.2">
      <c r="A217" s="166"/>
      <c r="B217" s="41"/>
      <c r="C217" s="41"/>
      <c r="D217" s="41"/>
      <c r="E217" s="41"/>
      <c r="F217" s="41"/>
      <c r="G217" s="41"/>
      <c r="H217" s="166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163"/>
      <c r="Y217" s="166"/>
      <c r="Z217" s="41"/>
      <c r="AA217" s="90"/>
      <c r="AB217" s="41"/>
      <c r="AC217" s="90"/>
      <c r="AD217" s="41"/>
      <c r="AE217" s="41"/>
      <c r="AF217" s="41"/>
      <c r="AG217" s="41"/>
      <c r="AH217" s="41"/>
    </row>
    <row r="218" spans="1:34" ht="15.75" customHeight="1" x14ac:dyDescent="0.2">
      <c r="A218" s="166"/>
      <c r="B218" s="41"/>
      <c r="C218" s="41"/>
      <c r="D218" s="41"/>
      <c r="E218" s="41"/>
      <c r="F218" s="41"/>
      <c r="G218" s="41"/>
      <c r="H218" s="166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163"/>
      <c r="Y218" s="166"/>
      <c r="Z218" s="41"/>
      <c r="AA218" s="90"/>
      <c r="AB218" s="41"/>
      <c r="AC218" s="90"/>
      <c r="AD218" s="41"/>
      <c r="AE218" s="41"/>
      <c r="AF218" s="41"/>
      <c r="AG218" s="41"/>
      <c r="AH218" s="41"/>
    </row>
    <row r="219" spans="1:34" ht="15.75" customHeight="1" x14ac:dyDescent="0.2">
      <c r="A219" s="166"/>
      <c r="B219" s="41"/>
      <c r="C219" s="41"/>
      <c r="D219" s="41"/>
      <c r="E219" s="41"/>
      <c r="F219" s="41"/>
      <c r="G219" s="41"/>
      <c r="H219" s="166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163"/>
      <c r="Y219" s="166"/>
      <c r="Z219" s="41"/>
      <c r="AA219" s="90"/>
      <c r="AB219" s="41"/>
      <c r="AC219" s="90"/>
      <c r="AD219" s="41"/>
      <c r="AE219" s="41"/>
      <c r="AF219" s="41"/>
      <c r="AG219" s="41"/>
      <c r="AH219" s="41"/>
    </row>
    <row r="220" spans="1:34" ht="15.75" customHeight="1" x14ac:dyDescent="0.2">
      <c r="A220" s="166"/>
      <c r="B220" s="41"/>
      <c r="C220" s="41"/>
      <c r="D220" s="41"/>
      <c r="E220" s="41"/>
      <c r="F220" s="41"/>
      <c r="G220" s="41"/>
      <c r="H220" s="166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163"/>
      <c r="Y220" s="166"/>
      <c r="Z220" s="41"/>
      <c r="AA220" s="90"/>
      <c r="AB220" s="41"/>
      <c r="AC220" s="90"/>
      <c r="AD220" s="41"/>
      <c r="AE220" s="41"/>
      <c r="AF220" s="41"/>
      <c r="AG220" s="41"/>
      <c r="AH220" s="41"/>
    </row>
    <row r="221" spans="1:34" ht="15.75" customHeight="1" x14ac:dyDescent="0.2">
      <c r="A221" s="166"/>
      <c r="B221" s="41"/>
      <c r="C221" s="41"/>
      <c r="D221" s="41"/>
      <c r="E221" s="41"/>
      <c r="F221" s="41"/>
      <c r="G221" s="41"/>
      <c r="H221" s="166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163"/>
      <c r="Y221" s="166"/>
      <c r="Z221" s="41"/>
      <c r="AA221" s="90"/>
      <c r="AB221" s="41"/>
      <c r="AC221" s="90"/>
      <c r="AD221" s="41"/>
      <c r="AE221" s="41"/>
      <c r="AF221" s="41"/>
      <c r="AG221" s="41"/>
      <c r="AH221" s="41"/>
    </row>
    <row r="222" spans="1:34" ht="15.75" customHeight="1" x14ac:dyDescent="0.2">
      <c r="A222" s="166"/>
      <c r="B222" s="41"/>
      <c r="C222" s="41"/>
      <c r="D222" s="41"/>
      <c r="E222" s="41"/>
      <c r="F222" s="41"/>
      <c r="G222" s="41"/>
      <c r="H222" s="166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163"/>
      <c r="Y222" s="166"/>
      <c r="Z222" s="41"/>
      <c r="AA222" s="90"/>
      <c r="AB222" s="41"/>
      <c r="AC222" s="90"/>
      <c r="AD222" s="41"/>
      <c r="AE222" s="41"/>
      <c r="AF222" s="41"/>
      <c r="AG222" s="41"/>
      <c r="AH222" s="41"/>
    </row>
    <row r="223" spans="1:34" ht="15.75" customHeight="1" x14ac:dyDescent="0.2">
      <c r="A223" s="166"/>
      <c r="B223" s="41"/>
      <c r="C223" s="41"/>
      <c r="D223" s="41"/>
      <c r="E223" s="41"/>
      <c r="F223" s="41"/>
      <c r="G223" s="41"/>
      <c r="H223" s="166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163"/>
      <c r="Y223" s="166"/>
      <c r="Z223" s="41"/>
      <c r="AA223" s="90"/>
      <c r="AB223" s="41"/>
      <c r="AC223" s="90"/>
      <c r="AD223" s="41"/>
      <c r="AE223" s="41"/>
      <c r="AF223" s="41"/>
      <c r="AG223" s="41"/>
      <c r="AH223" s="41"/>
    </row>
    <row r="224" spans="1:34" ht="15.75" customHeight="1" x14ac:dyDescent="0.2">
      <c r="A224" s="166"/>
      <c r="B224" s="41"/>
      <c r="C224" s="41"/>
      <c r="D224" s="41"/>
      <c r="E224" s="41"/>
      <c r="F224" s="41"/>
      <c r="G224" s="41"/>
      <c r="H224" s="166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163"/>
      <c r="Y224" s="166"/>
      <c r="Z224" s="41"/>
      <c r="AA224" s="90"/>
      <c r="AB224" s="41"/>
      <c r="AC224" s="90"/>
      <c r="AD224" s="41"/>
      <c r="AE224" s="41"/>
      <c r="AF224" s="41"/>
      <c r="AG224" s="41"/>
      <c r="AH224" s="41"/>
    </row>
    <row r="225" spans="1:34" ht="15.75" customHeight="1" x14ac:dyDescent="0.2">
      <c r="A225" s="166"/>
      <c r="B225" s="41"/>
      <c r="C225" s="41"/>
      <c r="D225" s="41"/>
      <c r="E225" s="41"/>
      <c r="F225" s="41"/>
      <c r="G225" s="41"/>
      <c r="H225" s="166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163"/>
      <c r="Y225" s="166"/>
      <c r="Z225" s="41"/>
      <c r="AA225" s="90"/>
      <c r="AB225" s="41"/>
      <c r="AC225" s="90"/>
      <c r="AD225" s="41"/>
      <c r="AE225" s="41"/>
      <c r="AF225" s="41"/>
      <c r="AG225" s="41"/>
      <c r="AH225" s="41"/>
    </row>
    <row r="226" spans="1:34" ht="15.75" customHeight="1" x14ac:dyDescent="0.2">
      <c r="A226" s="166"/>
      <c r="B226" s="41"/>
      <c r="C226" s="41"/>
      <c r="D226" s="41"/>
      <c r="E226" s="41"/>
      <c r="F226" s="41"/>
      <c r="G226" s="41"/>
      <c r="H226" s="166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163"/>
      <c r="Y226" s="166"/>
      <c r="Z226" s="41"/>
      <c r="AA226" s="90"/>
      <c r="AB226" s="41"/>
      <c r="AC226" s="90"/>
      <c r="AD226" s="41"/>
      <c r="AE226" s="41"/>
      <c r="AF226" s="41"/>
      <c r="AG226" s="41"/>
      <c r="AH226" s="41"/>
    </row>
    <row r="227" spans="1:34" ht="15.75" customHeight="1" x14ac:dyDescent="0.2">
      <c r="A227" s="166"/>
      <c r="B227" s="41"/>
      <c r="C227" s="41"/>
      <c r="D227" s="41"/>
      <c r="E227" s="41"/>
      <c r="F227" s="41"/>
      <c r="G227" s="41"/>
      <c r="H227" s="166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163"/>
      <c r="Y227" s="166"/>
      <c r="Z227" s="41"/>
      <c r="AA227" s="90"/>
      <c r="AB227" s="41"/>
      <c r="AC227" s="90"/>
      <c r="AD227" s="41"/>
      <c r="AE227" s="41"/>
      <c r="AF227" s="41"/>
      <c r="AG227" s="41"/>
      <c r="AH227" s="41"/>
    </row>
    <row r="228" spans="1:34" ht="15.75" customHeight="1" x14ac:dyDescent="0.2">
      <c r="A228" s="166"/>
      <c r="B228" s="41"/>
      <c r="C228" s="41"/>
      <c r="D228" s="41"/>
      <c r="E228" s="41"/>
      <c r="F228" s="41"/>
      <c r="G228" s="41"/>
      <c r="H228" s="166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163"/>
      <c r="Y228" s="166"/>
      <c r="Z228" s="41"/>
      <c r="AA228" s="90"/>
      <c r="AB228" s="41"/>
      <c r="AC228" s="90"/>
      <c r="AD228" s="41"/>
      <c r="AE228" s="41"/>
      <c r="AF228" s="41"/>
      <c r="AG228" s="41"/>
      <c r="AH228" s="41"/>
    </row>
    <row r="229" spans="1:34" ht="15.75" customHeight="1" x14ac:dyDescent="0.2">
      <c r="A229" s="166"/>
      <c r="B229" s="41"/>
      <c r="C229" s="41"/>
      <c r="D229" s="41"/>
      <c r="E229" s="41"/>
      <c r="F229" s="41"/>
      <c r="G229" s="41"/>
      <c r="H229" s="166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163"/>
      <c r="Y229" s="166"/>
      <c r="Z229" s="41"/>
      <c r="AA229" s="90"/>
      <c r="AB229" s="41"/>
      <c r="AC229" s="90"/>
      <c r="AD229" s="41"/>
      <c r="AE229" s="41"/>
      <c r="AF229" s="41"/>
      <c r="AG229" s="41"/>
      <c r="AH229" s="41"/>
    </row>
    <row r="230" spans="1:34" ht="15.75" customHeight="1" x14ac:dyDescent="0.2">
      <c r="A230" s="166"/>
      <c r="B230" s="41"/>
      <c r="C230" s="41"/>
      <c r="D230" s="41"/>
      <c r="E230" s="41"/>
      <c r="F230" s="41"/>
      <c r="G230" s="41"/>
      <c r="H230" s="166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163"/>
      <c r="Y230" s="166"/>
      <c r="Z230" s="41"/>
      <c r="AA230" s="90"/>
      <c r="AB230" s="41"/>
      <c r="AC230" s="90"/>
      <c r="AD230" s="41"/>
      <c r="AE230" s="41"/>
      <c r="AF230" s="41"/>
      <c r="AG230" s="41"/>
      <c r="AH230" s="41"/>
    </row>
    <row r="231" spans="1:34" ht="15.75" customHeight="1" x14ac:dyDescent="0.2">
      <c r="A231" s="166"/>
      <c r="B231" s="41"/>
      <c r="C231" s="41"/>
      <c r="D231" s="41"/>
      <c r="E231" s="41"/>
      <c r="F231" s="41"/>
      <c r="G231" s="41"/>
      <c r="H231" s="166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163"/>
      <c r="Y231" s="166"/>
      <c r="Z231" s="41"/>
      <c r="AA231" s="90"/>
      <c r="AB231" s="41"/>
      <c r="AC231" s="90"/>
      <c r="AD231" s="41"/>
      <c r="AE231" s="41"/>
      <c r="AF231" s="41"/>
      <c r="AG231" s="41"/>
      <c r="AH231" s="41"/>
    </row>
    <row r="232" spans="1:34" ht="15.75" customHeight="1" x14ac:dyDescent="0.2">
      <c r="A232" s="166"/>
      <c r="B232" s="41"/>
      <c r="C232" s="41"/>
      <c r="D232" s="41"/>
      <c r="E232" s="41"/>
      <c r="F232" s="41"/>
      <c r="G232" s="41"/>
      <c r="H232" s="166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163"/>
      <c r="Y232" s="166"/>
      <c r="Z232" s="41"/>
      <c r="AA232" s="90"/>
      <c r="AB232" s="41"/>
      <c r="AC232" s="90"/>
      <c r="AD232" s="41"/>
      <c r="AE232" s="41"/>
      <c r="AF232" s="41"/>
      <c r="AG232" s="41"/>
      <c r="AH232" s="41"/>
    </row>
    <row r="233" spans="1:34" ht="15.75" customHeight="1" x14ac:dyDescent="0.2">
      <c r="A233" s="166"/>
      <c r="B233" s="41"/>
      <c r="C233" s="41"/>
      <c r="D233" s="41"/>
      <c r="E233" s="41"/>
      <c r="F233" s="41"/>
      <c r="G233" s="41"/>
      <c r="H233" s="166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163"/>
      <c r="Y233" s="166"/>
      <c r="Z233" s="41"/>
      <c r="AA233" s="90"/>
      <c r="AB233" s="41"/>
      <c r="AC233" s="90"/>
      <c r="AD233" s="41"/>
      <c r="AE233" s="41"/>
      <c r="AF233" s="41"/>
      <c r="AG233" s="41"/>
      <c r="AH233" s="41"/>
    </row>
    <row r="234" spans="1:34" ht="15.75" customHeight="1" x14ac:dyDescent="0.2">
      <c r="A234" s="166"/>
      <c r="B234" s="41"/>
      <c r="C234" s="41"/>
      <c r="D234" s="41"/>
      <c r="E234" s="41"/>
      <c r="F234" s="41"/>
      <c r="G234" s="41"/>
      <c r="H234" s="166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163"/>
      <c r="Y234" s="166"/>
      <c r="Z234" s="41"/>
      <c r="AA234" s="90"/>
      <c r="AB234" s="41"/>
      <c r="AC234" s="90"/>
      <c r="AD234" s="41"/>
      <c r="AE234" s="41"/>
      <c r="AF234" s="41"/>
      <c r="AG234" s="41"/>
      <c r="AH234" s="41"/>
    </row>
    <row r="235" spans="1:34" ht="15.75" customHeight="1" x14ac:dyDescent="0.2">
      <c r="A235" s="166"/>
      <c r="B235" s="41"/>
      <c r="C235" s="41"/>
      <c r="D235" s="41"/>
      <c r="E235" s="41"/>
      <c r="F235" s="41"/>
      <c r="G235" s="41"/>
      <c r="H235" s="166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163"/>
      <c r="Y235" s="166"/>
      <c r="Z235" s="41"/>
      <c r="AA235" s="90"/>
      <c r="AB235" s="41"/>
      <c r="AC235" s="90"/>
      <c r="AD235" s="41"/>
      <c r="AE235" s="41"/>
      <c r="AF235" s="41"/>
      <c r="AG235" s="41"/>
      <c r="AH235" s="41"/>
    </row>
    <row r="236" spans="1:34" ht="15.75" customHeight="1" x14ac:dyDescent="0.2"/>
    <row r="237" spans="1:34" ht="15.75" customHeight="1" x14ac:dyDescent="0.2"/>
    <row r="238" spans="1:34" ht="15.75" customHeight="1" x14ac:dyDescent="0.2"/>
    <row r="239" spans="1:34" ht="15.75" customHeight="1" x14ac:dyDescent="0.2"/>
    <row r="240" spans="1:34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rintOptions horizontalCentered="1" gridLines="1"/>
  <pageMargins left="0.25" right="0.25" top="0.75" bottom="0.75" header="0" footer="0"/>
  <pageSetup paperSize="9" fitToHeight="0" pageOrder="overThenDown" orientation="landscape" cellComments="atEnd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K1000"/>
  <sheetViews>
    <sheetView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X3" sqref="X3"/>
    </sheetView>
  </sheetViews>
  <sheetFormatPr defaultColWidth="12.5703125" defaultRowHeight="15" customHeight="1" x14ac:dyDescent="0.2"/>
  <cols>
    <col min="1" max="1" width="18.42578125" customWidth="1"/>
    <col min="2" max="2" width="10.42578125" customWidth="1"/>
    <col min="3" max="3" width="8.28515625" customWidth="1"/>
    <col min="4" max="4" width="8.7109375" customWidth="1"/>
    <col min="5" max="5" width="10.28515625" customWidth="1"/>
    <col min="6" max="6" width="7.5703125" customWidth="1"/>
    <col min="7" max="8" width="9.7109375" customWidth="1"/>
    <col min="9" max="9" width="7.7109375" customWidth="1"/>
    <col min="10" max="10" width="9.140625" customWidth="1"/>
    <col min="11" max="11" width="8.42578125" customWidth="1"/>
    <col min="12" max="12" width="9.42578125" customWidth="1"/>
    <col min="13" max="13" width="9" customWidth="1"/>
    <col min="14" max="14" width="8.42578125" customWidth="1"/>
    <col min="15" max="15" width="10.7109375" hidden="1" customWidth="1"/>
    <col min="16" max="16" width="11.42578125" customWidth="1"/>
    <col min="17" max="19" width="6.42578125" customWidth="1"/>
    <col min="20" max="20" width="9.42578125" customWidth="1"/>
    <col min="21" max="21" width="8.28515625" customWidth="1"/>
    <col min="22" max="22" width="7.7109375" customWidth="1"/>
    <col min="23" max="23" width="8.85546875" customWidth="1"/>
    <col min="24" max="24" width="9.140625" customWidth="1"/>
    <col min="25" max="26" width="12.28515625" customWidth="1"/>
    <col min="28" max="28" width="12.7109375" customWidth="1"/>
    <col min="29" max="29" width="10" customWidth="1"/>
    <col min="30" max="30" width="12.42578125" customWidth="1"/>
    <col min="31" max="31" width="7" customWidth="1"/>
  </cols>
  <sheetData>
    <row r="1" spans="1:37" ht="20.25" customHeight="1" x14ac:dyDescent="0.2">
      <c r="A1" s="167"/>
      <c r="B1" s="168"/>
      <c r="C1" s="168"/>
      <c r="D1" s="130"/>
      <c r="E1" s="168"/>
      <c r="F1" s="168"/>
      <c r="G1" s="130"/>
      <c r="H1" s="130"/>
      <c r="I1" s="130"/>
      <c r="J1" s="129"/>
      <c r="K1" s="129"/>
      <c r="L1" s="129"/>
      <c r="M1" s="88" t="s">
        <v>1</v>
      </c>
      <c r="N1" s="129"/>
      <c r="O1" s="129"/>
      <c r="P1" s="130"/>
      <c r="Q1" s="130"/>
      <c r="R1" s="130"/>
      <c r="S1" s="130"/>
      <c r="T1" s="130"/>
      <c r="U1" s="130"/>
      <c r="V1" s="130"/>
      <c r="W1" s="130"/>
      <c r="X1" s="130"/>
      <c r="Y1" s="129"/>
      <c r="Z1" s="129"/>
      <c r="AA1" s="130"/>
      <c r="AB1" s="130"/>
      <c r="AC1" s="130"/>
      <c r="AD1" s="130"/>
      <c r="AE1" s="130"/>
      <c r="AF1" s="130"/>
      <c r="AG1" s="130"/>
      <c r="AH1" s="130"/>
      <c r="AI1" s="130"/>
    </row>
    <row r="2" spans="1:37" ht="15.75" customHeight="1" x14ac:dyDescent="0.2">
      <c r="A2" s="167"/>
      <c r="B2" s="168"/>
      <c r="C2" s="168"/>
      <c r="D2" s="130"/>
      <c r="E2" s="168"/>
      <c r="F2" s="168"/>
      <c r="G2" s="130"/>
      <c r="H2" s="130"/>
      <c r="I2" s="130"/>
      <c r="J2" s="133" t="s">
        <v>2</v>
      </c>
      <c r="K2" s="169">
        <v>7200</v>
      </c>
      <c r="L2" s="41"/>
      <c r="M2" s="135">
        <v>200000</v>
      </c>
      <c r="N2" s="129"/>
      <c r="O2" s="8">
        <v>0</v>
      </c>
      <c r="P2" s="130"/>
      <c r="Q2" s="130">
        <v>250</v>
      </c>
      <c r="R2" s="130">
        <v>200</v>
      </c>
      <c r="S2" s="130">
        <v>150</v>
      </c>
      <c r="T2" s="130"/>
      <c r="U2" s="130"/>
      <c r="V2" s="9">
        <v>0.12</v>
      </c>
      <c r="W2" s="130"/>
      <c r="X2" s="9">
        <v>7.0000000000000007E-2</v>
      </c>
      <c r="Y2" s="129"/>
      <c r="Z2" s="129"/>
      <c r="AA2" s="130"/>
      <c r="AB2" s="130"/>
      <c r="AC2" s="130"/>
      <c r="AD2" s="130"/>
      <c r="AE2" s="130"/>
      <c r="AF2" s="130"/>
      <c r="AG2" s="130"/>
      <c r="AH2" s="130"/>
      <c r="AI2" s="130"/>
    </row>
    <row r="3" spans="1:37" ht="15.75" customHeight="1" x14ac:dyDescent="0.2">
      <c r="A3" s="170" t="s">
        <v>336</v>
      </c>
      <c r="B3" s="171" t="s">
        <v>4</v>
      </c>
      <c r="C3" s="171" t="s">
        <v>337</v>
      </c>
      <c r="D3" s="136" t="s">
        <v>338</v>
      </c>
      <c r="E3" s="171" t="s">
        <v>339</v>
      </c>
      <c r="F3" s="171" t="s">
        <v>340</v>
      </c>
      <c r="G3" s="136" t="s">
        <v>341</v>
      </c>
      <c r="H3" s="136" t="s">
        <v>342</v>
      </c>
      <c r="I3" s="136" t="s">
        <v>9</v>
      </c>
      <c r="J3" s="136" t="s">
        <v>10</v>
      </c>
      <c r="K3" s="136" t="s">
        <v>11</v>
      </c>
      <c r="L3" s="10" t="s">
        <v>12</v>
      </c>
      <c r="M3" s="136" t="s">
        <v>13</v>
      </c>
      <c r="N3" s="136" t="s">
        <v>14</v>
      </c>
      <c r="O3" s="136"/>
      <c r="P3" s="136" t="s">
        <v>15</v>
      </c>
      <c r="Q3" s="136" t="s">
        <v>16</v>
      </c>
      <c r="R3" s="136" t="s">
        <v>17</v>
      </c>
      <c r="S3" s="10" t="s">
        <v>18</v>
      </c>
      <c r="T3" s="136" t="s">
        <v>19</v>
      </c>
      <c r="U3" s="136" t="s">
        <v>20</v>
      </c>
      <c r="V3" s="136" t="s">
        <v>21</v>
      </c>
      <c r="W3" s="136" t="s">
        <v>22</v>
      </c>
      <c r="X3" s="136" t="s">
        <v>23</v>
      </c>
      <c r="Y3" s="136" t="s">
        <v>24</v>
      </c>
      <c r="Z3" s="136" t="s">
        <v>25</v>
      </c>
      <c r="AA3" s="136"/>
      <c r="AB3" s="136" t="s">
        <v>26</v>
      </c>
      <c r="AC3" s="136" t="s">
        <v>27</v>
      </c>
      <c r="AD3" s="136" t="s">
        <v>28</v>
      </c>
      <c r="AE3" s="136" t="s">
        <v>29</v>
      </c>
      <c r="AF3" s="10" t="s">
        <v>30</v>
      </c>
      <c r="AG3" s="45" t="s">
        <v>31</v>
      </c>
      <c r="AH3" s="45" t="s">
        <v>32</v>
      </c>
      <c r="AI3" s="45" t="s">
        <v>33</v>
      </c>
      <c r="AJ3" s="45" t="s">
        <v>34</v>
      </c>
    </row>
    <row r="4" spans="1:37" ht="15.75" customHeight="1" x14ac:dyDescent="0.2">
      <c r="A4" s="172" t="s">
        <v>343</v>
      </c>
      <c r="B4" s="153">
        <f t="shared" ref="B4:B9" si="0">C4+E4+G4</f>
        <v>175.1</v>
      </c>
      <c r="C4" s="153">
        <v>109.07</v>
      </c>
      <c r="D4" s="173">
        <f t="shared" ref="D4:D9" si="1">C4*10.764</f>
        <v>1174.0294799999999</v>
      </c>
      <c r="E4" s="173">
        <v>0</v>
      </c>
      <c r="F4" s="173">
        <f t="shared" ref="F4:F9" si="2">E4*10.764</f>
        <v>0</v>
      </c>
      <c r="G4" s="173">
        <v>66.03</v>
      </c>
      <c r="H4" s="173">
        <f t="shared" ref="H4:H9" si="3">G4*10.764</f>
        <v>710.74691999999993</v>
      </c>
      <c r="I4" s="173">
        <f t="shared" ref="I4:I9" si="4">D4+F4+H4</f>
        <v>1884.7763999999997</v>
      </c>
      <c r="J4" s="173">
        <f t="shared" ref="J4:J9" si="5">(D4+F4+(H4/2))*1.45</f>
        <v>2217.6342629999999</v>
      </c>
      <c r="K4" s="153">
        <f t="shared" ref="K4:K9" si="6">J4*$K$2</f>
        <v>15966966.693599999</v>
      </c>
      <c r="L4" s="153">
        <v>1000000</v>
      </c>
      <c r="M4" s="174">
        <v>315000</v>
      </c>
      <c r="N4" s="153">
        <f t="shared" ref="N4:N9" si="7">SUM(K4:M4)</f>
        <v>17281966.693599999</v>
      </c>
      <c r="O4" s="153">
        <f t="shared" ref="O4:O9" si="8">($O$2*N4)</f>
        <v>0</v>
      </c>
      <c r="P4" s="153">
        <f t="shared" ref="P4:P9" si="9">N4-O4</f>
        <v>17281966.693599999</v>
      </c>
      <c r="Q4" s="153">
        <f t="shared" ref="Q4:Q9" si="10">J4*$Q$2</f>
        <v>554408.56574999995</v>
      </c>
      <c r="R4" s="153">
        <f t="shared" ref="R4:R9" si="11">J4*$R$2</f>
        <v>443526.85259999998</v>
      </c>
      <c r="S4" s="153">
        <f t="shared" ref="S4:S9" si="12">J4*$S$2</f>
        <v>332645.13945000002</v>
      </c>
      <c r="T4" s="153">
        <f t="shared" ref="T4:T9" si="13">SUM(P4:S4)</f>
        <v>18612547.251399998</v>
      </c>
      <c r="U4" s="153">
        <v>30000</v>
      </c>
      <c r="V4" s="153">
        <f t="shared" ref="V4:V9" si="14">$V$2*P4</f>
        <v>2073836.0032319997</v>
      </c>
      <c r="W4" s="153">
        <f t="shared" ref="W4:W9" si="15">(12%*Q4)+(12%*R4)</f>
        <v>119752.250202</v>
      </c>
      <c r="X4" s="153">
        <f t="shared" ref="X4:X9" si="16">CEILING(($X$2*P4),100)</f>
        <v>1209800</v>
      </c>
      <c r="Y4" s="153">
        <v>6000</v>
      </c>
      <c r="Z4" s="153">
        <f t="shared" ref="Z4:Z9" si="17">SUM(T4:Y4)</f>
        <v>22051935.504833996</v>
      </c>
      <c r="AA4" s="153"/>
      <c r="AB4" s="153" t="s">
        <v>344</v>
      </c>
      <c r="AC4" s="153" t="s">
        <v>37</v>
      </c>
      <c r="AD4" s="153" t="s">
        <v>345</v>
      </c>
      <c r="AE4" s="153">
        <v>6000</v>
      </c>
      <c r="AF4" s="153" t="s">
        <v>346</v>
      </c>
      <c r="AG4" s="174" t="s">
        <v>347</v>
      </c>
      <c r="AH4" s="153" t="s">
        <v>45</v>
      </c>
      <c r="AI4" s="174" t="s">
        <v>348</v>
      </c>
      <c r="AJ4" s="174" t="s">
        <v>349</v>
      </c>
    </row>
    <row r="5" spans="1:37" ht="15.75" customHeight="1" x14ac:dyDescent="0.2">
      <c r="A5" s="172" t="s">
        <v>350</v>
      </c>
      <c r="B5" s="13">
        <f t="shared" si="0"/>
        <v>176.44</v>
      </c>
      <c r="C5" s="13">
        <v>82.95</v>
      </c>
      <c r="D5" s="13">
        <f t="shared" si="1"/>
        <v>892.87379999999996</v>
      </c>
      <c r="E5" s="13">
        <v>0</v>
      </c>
      <c r="F5" s="13">
        <f t="shared" si="2"/>
        <v>0</v>
      </c>
      <c r="G5" s="13">
        <v>93.49</v>
      </c>
      <c r="H5" s="13">
        <f t="shared" si="3"/>
        <v>1006.3263599999999</v>
      </c>
      <c r="I5" s="13">
        <f t="shared" si="4"/>
        <v>1899.2001599999999</v>
      </c>
      <c r="J5" s="173">
        <f t="shared" si="5"/>
        <v>2024.2536209999998</v>
      </c>
      <c r="K5" s="15">
        <f t="shared" si="6"/>
        <v>14574626.071199998</v>
      </c>
      <c r="L5" s="15">
        <v>500000</v>
      </c>
      <c r="M5" s="30">
        <v>400000</v>
      </c>
      <c r="N5" s="16">
        <f t="shared" si="7"/>
        <v>15474626.071199998</v>
      </c>
      <c r="O5" s="16">
        <f t="shared" si="8"/>
        <v>0</v>
      </c>
      <c r="P5" s="15">
        <f t="shared" si="9"/>
        <v>15474626.071199998</v>
      </c>
      <c r="Q5" s="15">
        <f t="shared" si="10"/>
        <v>506063.40524999995</v>
      </c>
      <c r="R5" s="15">
        <f t="shared" si="11"/>
        <v>404850.72419999994</v>
      </c>
      <c r="S5" s="15">
        <f t="shared" si="12"/>
        <v>303638.04314999998</v>
      </c>
      <c r="T5" s="15">
        <f t="shared" si="13"/>
        <v>16689178.243799997</v>
      </c>
      <c r="U5" s="15">
        <v>30000</v>
      </c>
      <c r="V5" s="15">
        <f t="shared" si="14"/>
        <v>1856955.1285439997</v>
      </c>
      <c r="W5" s="15">
        <f t="shared" si="15"/>
        <v>109309.69553399998</v>
      </c>
      <c r="X5" s="15">
        <f t="shared" si="16"/>
        <v>1083300</v>
      </c>
      <c r="Y5" s="16">
        <v>6000</v>
      </c>
      <c r="Z5" s="16">
        <f t="shared" si="17"/>
        <v>19774743.067877997</v>
      </c>
      <c r="AA5" s="151"/>
      <c r="AB5" s="152" t="s">
        <v>351</v>
      </c>
      <c r="AC5" s="151"/>
      <c r="AD5" s="151"/>
      <c r="AE5" s="151"/>
      <c r="AF5" s="152" t="s">
        <v>352</v>
      </c>
      <c r="AG5" s="152" t="s">
        <v>353</v>
      </c>
      <c r="AH5" s="151" t="s">
        <v>45</v>
      </c>
      <c r="AI5" s="152" t="s">
        <v>354</v>
      </c>
      <c r="AJ5" s="175" t="s">
        <v>349</v>
      </c>
      <c r="AK5" s="176"/>
    </row>
    <row r="6" spans="1:37" ht="15.75" customHeight="1" x14ac:dyDescent="0.2">
      <c r="A6" s="172" t="s">
        <v>355</v>
      </c>
      <c r="B6" s="13">
        <f t="shared" si="0"/>
        <v>176.51999999999998</v>
      </c>
      <c r="C6" s="13">
        <v>87.17</v>
      </c>
      <c r="D6" s="13">
        <f t="shared" si="1"/>
        <v>938.29787999999996</v>
      </c>
      <c r="E6" s="13">
        <v>0</v>
      </c>
      <c r="F6" s="13">
        <f t="shared" si="2"/>
        <v>0</v>
      </c>
      <c r="G6" s="13">
        <v>89.35</v>
      </c>
      <c r="H6" s="13">
        <f t="shared" si="3"/>
        <v>961.76339999999993</v>
      </c>
      <c r="I6" s="13">
        <f t="shared" si="4"/>
        <v>1900.0612799999999</v>
      </c>
      <c r="J6" s="173">
        <f t="shared" si="5"/>
        <v>2057.810391</v>
      </c>
      <c r="K6" s="15">
        <f t="shared" si="6"/>
        <v>14816234.815199999</v>
      </c>
      <c r="L6" s="15">
        <v>500000</v>
      </c>
      <c r="M6" s="30">
        <v>400000</v>
      </c>
      <c r="N6" s="16">
        <f t="shared" si="7"/>
        <v>15716234.815199999</v>
      </c>
      <c r="O6" s="16">
        <f t="shared" si="8"/>
        <v>0</v>
      </c>
      <c r="P6" s="15">
        <f t="shared" si="9"/>
        <v>15716234.815199999</v>
      </c>
      <c r="Q6" s="15">
        <f t="shared" si="10"/>
        <v>514452.59775000002</v>
      </c>
      <c r="R6" s="15">
        <f t="shared" si="11"/>
        <v>411562.07819999999</v>
      </c>
      <c r="S6" s="15">
        <f t="shared" si="12"/>
        <v>308671.55865000002</v>
      </c>
      <c r="T6" s="15">
        <f t="shared" si="13"/>
        <v>16950921.049800001</v>
      </c>
      <c r="U6" s="15">
        <v>30000</v>
      </c>
      <c r="V6" s="15">
        <f t="shared" si="14"/>
        <v>1885948.1778239999</v>
      </c>
      <c r="W6" s="15">
        <f t="shared" si="15"/>
        <v>111121.76111399999</v>
      </c>
      <c r="X6" s="15">
        <f t="shared" si="16"/>
        <v>1100200</v>
      </c>
      <c r="Y6" s="16">
        <v>6000</v>
      </c>
      <c r="Z6" s="16">
        <f t="shared" si="17"/>
        <v>20084190.988738</v>
      </c>
      <c r="AA6" s="151"/>
      <c r="AB6" s="152" t="s">
        <v>351</v>
      </c>
      <c r="AC6" s="151"/>
      <c r="AD6" s="151"/>
      <c r="AE6" s="151"/>
      <c r="AF6" s="152" t="s">
        <v>356</v>
      </c>
      <c r="AG6" s="152" t="s">
        <v>357</v>
      </c>
      <c r="AH6" s="151" t="s">
        <v>45</v>
      </c>
      <c r="AI6" s="152" t="s">
        <v>354</v>
      </c>
      <c r="AJ6" s="152" t="s">
        <v>358</v>
      </c>
      <c r="AK6" s="176"/>
    </row>
    <row r="7" spans="1:37" ht="15.75" customHeight="1" x14ac:dyDescent="0.2">
      <c r="A7" s="172" t="s">
        <v>359</v>
      </c>
      <c r="B7" s="153">
        <f t="shared" si="0"/>
        <v>83.99</v>
      </c>
      <c r="C7" s="173">
        <v>56.58</v>
      </c>
      <c r="D7" s="173">
        <f t="shared" si="1"/>
        <v>609.02711999999997</v>
      </c>
      <c r="E7" s="173">
        <v>0</v>
      </c>
      <c r="F7" s="173">
        <f t="shared" si="2"/>
        <v>0</v>
      </c>
      <c r="G7" s="173">
        <v>27.41</v>
      </c>
      <c r="H7" s="173">
        <f t="shared" si="3"/>
        <v>295.04123999999996</v>
      </c>
      <c r="I7" s="173">
        <f t="shared" si="4"/>
        <v>904.06835999999998</v>
      </c>
      <c r="J7" s="173">
        <f t="shared" si="5"/>
        <v>1096.9942229999999</v>
      </c>
      <c r="K7" s="173">
        <f t="shared" si="6"/>
        <v>7898358.4055999992</v>
      </c>
      <c r="L7" s="15">
        <v>500000</v>
      </c>
      <c r="M7" s="30">
        <v>400000</v>
      </c>
      <c r="N7" s="16">
        <f t="shared" si="7"/>
        <v>8798358.4056000002</v>
      </c>
      <c r="O7" s="16">
        <f t="shared" si="8"/>
        <v>0</v>
      </c>
      <c r="P7" s="16">
        <f t="shared" si="9"/>
        <v>8798358.4056000002</v>
      </c>
      <c r="Q7" s="16">
        <f t="shared" si="10"/>
        <v>274248.55575</v>
      </c>
      <c r="R7" s="16">
        <f t="shared" si="11"/>
        <v>219398.84459999998</v>
      </c>
      <c r="S7" s="16">
        <f t="shared" si="12"/>
        <v>164549.13344999999</v>
      </c>
      <c r="T7" s="16">
        <f t="shared" si="13"/>
        <v>9456554.9393999986</v>
      </c>
      <c r="U7" s="16">
        <v>30000</v>
      </c>
      <c r="V7" s="16">
        <f t="shared" si="14"/>
        <v>1055803.0086719999</v>
      </c>
      <c r="W7" s="153">
        <f t="shared" si="15"/>
        <v>59237.688041999994</v>
      </c>
      <c r="X7" s="16">
        <f t="shared" si="16"/>
        <v>615900</v>
      </c>
      <c r="Y7" s="16">
        <v>6000</v>
      </c>
      <c r="Z7" s="16">
        <f t="shared" si="17"/>
        <v>11223495.636113998</v>
      </c>
      <c r="AA7" s="149"/>
      <c r="AB7" s="177" t="s">
        <v>360</v>
      </c>
      <c r="AC7" s="149" t="s">
        <v>37</v>
      </c>
      <c r="AD7" s="149" t="s">
        <v>160</v>
      </c>
      <c r="AE7" s="149">
        <v>5884</v>
      </c>
      <c r="AF7" s="149" t="s">
        <v>361</v>
      </c>
      <c r="AG7" s="178" t="s">
        <v>362</v>
      </c>
      <c r="AH7" s="149" t="s">
        <v>45</v>
      </c>
      <c r="AI7" s="152" t="s">
        <v>354</v>
      </c>
      <c r="AJ7" s="152" t="s">
        <v>358</v>
      </c>
    </row>
    <row r="8" spans="1:37" ht="15.75" customHeight="1" x14ac:dyDescent="0.2">
      <c r="A8" s="179" t="s">
        <v>363</v>
      </c>
      <c r="B8" s="180">
        <f t="shared" si="0"/>
        <v>66.33</v>
      </c>
      <c r="C8" s="180">
        <v>45.87</v>
      </c>
      <c r="D8" s="180">
        <f t="shared" si="1"/>
        <v>493.74467999999996</v>
      </c>
      <c r="E8" s="180">
        <v>0</v>
      </c>
      <c r="F8" s="180">
        <f t="shared" si="2"/>
        <v>0</v>
      </c>
      <c r="G8" s="180">
        <v>20.46</v>
      </c>
      <c r="H8" s="180">
        <f t="shared" si="3"/>
        <v>220.23143999999999</v>
      </c>
      <c r="I8" s="180">
        <f t="shared" si="4"/>
        <v>713.97611999999992</v>
      </c>
      <c r="J8" s="181">
        <f t="shared" si="5"/>
        <v>875.59757999999988</v>
      </c>
      <c r="K8" s="182">
        <f t="shared" si="6"/>
        <v>6304302.5759999994</v>
      </c>
      <c r="L8" s="183">
        <v>800000</v>
      </c>
      <c r="M8" s="183">
        <v>400000</v>
      </c>
      <c r="N8" s="184">
        <f t="shared" si="7"/>
        <v>7504302.5759999994</v>
      </c>
      <c r="O8" s="184">
        <f t="shared" si="8"/>
        <v>0</v>
      </c>
      <c r="P8" s="182">
        <f t="shared" si="9"/>
        <v>7504302.5759999994</v>
      </c>
      <c r="Q8" s="182">
        <f t="shared" si="10"/>
        <v>218899.39499999996</v>
      </c>
      <c r="R8" s="182">
        <f t="shared" si="11"/>
        <v>175119.51599999997</v>
      </c>
      <c r="S8" s="182">
        <f t="shared" si="12"/>
        <v>131339.63699999999</v>
      </c>
      <c r="T8" s="182">
        <f t="shared" si="13"/>
        <v>8029661.1239999989</v>
      </c>
      <c r="U8" s="182">
        <v>30000</v>
      </c>
      <c r="V8" s="182">
        <f t="shared" si="14"/>
        <v>900516.30911999987</v>
      </c>
      <c r="W8" s="182">
        <f t="shared" si="15"/>
        <v>47282.269319999992</v>
      </c>
      <c r="X8" s="182">
        <f t="shared" si="16"/>
        <v>525400</v>
      </c>
      <c r="Y8" s="184">
        <v>6000</v>
      </c>
      <c r="Z8" s="184">
        <f t="shared" si="17"/>
        <v>9538859.7024399992</v>
      </c>
      <c r="AA8" s="185"/>
      <c r="AB8" s="186"/>
      <c r="AC8" s="185"/>
      <c r="AD8" s="185"/>
      <c r="AE8" s="185"/>
      <c r="AF8" s="187" t="s">
        <v>364</v>
      </c>
      <c r="AG8" s="188" t="s">
        <v>365</v>
      </c>
      <c r="AH8" s="187" t="s">
        <v>50</v>
      </c>
      <c r="AI8" s="188" t="s">
        <v>354</v>
      </c>
      <c r="AJ8" s="187" t="s">
        <v>366</v>
      </c>
    </row>
    <row r="9" spans="1:37" ht="15.75" customHeight="1" x14ac:dyDescent="0.2">
      <c r="A9" s="179" t="s">
        <v>367</v>
      </c>
      <c r="B9" s="180">
        <f t="shared" si="0"/>
        <v>65.36</v>
      </c>
      <c r="C9" s="180">
        <v>45.87</v>
      </c>
      <c r="D9" s="180">
        <f t="shared" si="1"/>
        <v>493.74467999999996</v>
      </c>
      <c r="E9" s="180">
        <v>0</v>
      </c>
      <c r="F9" s="180">
        <f t="shared" si="2"/>
        <v>0</v>
      </c>
      <c r="G9" s="180">
        <v>19.489999999999998</v>
      </c>
      <c r="H9" s="180">
        <f t="shared" si="3"/>
        <v>209.79035999999996</v>
      </c>
      <c r="I9" s="180">
        <f t="shared" si="4"/>
        <v>703.53503999999998</v>
      </c>
      <c r="J9" s="181">
        <f t="shared" si="5"/>
        <v>868.02779699999996</v>
      </c>
      <c r="K9" s="182">
        <f t="shared" si="6"/>
        <v>6249800.1383999996</v>
      </c>
      <c r="L9" s="183">
        <v>800000</v>
      </c>
      <c r="M9" s="183">
        <v>400000</v>
      </c>
      <c r="N9" s="184">
        <f t="shared" si="7"/>
        <v>7449800.1383999996</v>
      </c>
      <c r="O9" s="184">
        <f t="shared" si="8"/>
        <v>0</v>
      </c>
      <c r="P9" s="182">
        <f t="shared" si="9"/>
        <v>7449800.1383999996</v>
      </c>
      <c r="Q9" s="182">
        <f t="shared" si="10"/>
        <v>217006.94925000001</v>
      </c>
      <c r="R9" s="182">
        <f t="shared" si="11"/>
        <v>173605.5594</v>
      </c>
      <c r="S9" s="182">
        <f t="shared" si="12"/>
        <v>130204.16954999999</v>
      </c>
      <c r="T9" s="182">
        <f t="shared" si="13"/>
        <v>7970616.8165999986</v>
      </c>
      <c r="U9" s="182">
        <v>30000</v>
      </c>
      <c r="V9" s="182">
        <f t="shared" si="14"/>
        <v>893976.01660799992</v>
      </c>
      <c r="W9" s="182">
        <f t="shared" si="15"/>
        <v>46873.501038000002</v>
      </c>
      <c r="X9" s="182">
        <f t="shared" si="16"/>
        <v>521500</v>
      </c>
      <c r="Y9" s="184">
        <v>6000</v>
      </c>
      <c r="Z9" s="184">
        <f t="shared" si="17"/>
        <v>9468966.3342459984</v>
      </c>
      <c r="AA9" s="185"/>
      <c r="AB9" s="186"/>
      <c r="AC9" s="185"/>
      <c r="AD9" s="185"/>
      <c r="AE9" s="185"/>
      <c r="AF9" s="189" t="s">
        <v>368</v>
      </c>
      <c r="AG9" s="188" t="s">
        <v>369</v>
      </c>
      <c r="AH9" s="187" t="s">
        <v>50</v>
      </c>
      <c r="AI9" s="188" t="s">
        <v>354</v>
      </c>
      <c r="AJ9" s="189" t="s">
        <v>366</v>
      </c>
    </row>
    <row r="10" spans="1:37" ht="15.75" customHeight="1" x14ac:dyDescent="0.2">
      <c r="A10" s="190" t="s">
        <v>370</v>
      </c>
      <c r="B10" s="180">
        <f t="shared" ref="B10:B14" si="18">C10+E10+G10</f>
        <v>64.39</v>
      </c>
      <c r="C10" s="180">
        <v>45.87</v>
      </c>
      <c r="D10" s="180">
        <f t="shared" ref="D10:D29" si="19">C10*10.764</f>
        <v>493.74467999999996</v>
      </c>
      <c r="E10" s="180">
        <v>0</v>
      </c>
      <c r="F10" s="180">
        <f t="shared" ref="F10:F29" si="20">E10*10.764</f>
        <v>0</v>
      </c>
      <c r="G10" s="180">
        <v>18.52</v>
      </c>
      <c r="H10" s="180">
        <f t="shared" ref="H10:H29" si="21">G10*10.764</f>
        <v>199.34927999999999</v>
      </c>
      <c r="I10" s="180">
        <f t="shared" ref="I10:I29" si="22">D10+F10+H10</f>
        <v>693.09395999999992</v>
      </c>
      <c r="J10" s="181">
        <f t="shared" ref="J10:J29" si="23">(D10+F10+(H10/2))*1.45</f>
        <v>860.45801399999993</v>
      </c>
      <c r="K10" s="182">
        <f t="shared" ref="K10:K29" si="24">J10*$K$2</f>
        <v>6195297.7007999998</v>
      </c>
      <c r="L10" s="183">
        <v>400000</v>
      </c>
      <c r="M10" s="183">
        <v>400000</v>
      </c>
      <c r="N10" s="184">
        <f t="shared" ref="N10:N29" si="25">SUM(K10:M10)</f>
        <v>6995297.7007999998</v>
      </c>
      <c r="O10" s="184">
        <f t="shared" ref="O10:O29" si="26">($O$2*N10)</f>
        <v>0</v>
      </c>
      <c r="P10" s="182">
        <f t="shared" ref="P10:P29" si="27">N10-O10</f>
        <v>6995297.7007999998</v>
      </c>
      <c r="Q10" s="182">
        <f t="shared" ref="Q10:Q29" si="28">J10*$Q$2</f>
        <v>215114.50349999999</v>
      </c>
      <c r="R10" s="182">
        <f t="shared" ref="R10:R29" si="29">J10*$R$2</f>
        <v>172091.60279999999</v>
      </c>
      <c r="S10" s="182">
        <f t="shared" ref="S10:S29" si="30">J10*$S$2</f>
        <v>129068.70209999999</v>
      </c>
      <c r="T10" s="182">
        <f t="shared" ref="T10:T29" si="31">SUM(P10:S10)</f>
        <v>7511572.5092000002</v>
      </c>
      <c r="U10" s="182">
        <v>30000</v>
      </c>
      <c r="V10" s="182">
        <f t="shared" ref="V10:V29" si="32">$V$2*P10</f>
        <v>839435.72409599996</v>
      </c>
      <c r="W10" s="182">
        <f t="shared" ref="W10:W29" si="33">(12%*Q10)+(12%*R10)</f>
        <v>46464.732755999998</v>
      </c>
      <c r="X10" s="182">
        <f t="shared" ref="X10:X29" si="34">CEILING(($X$2*P10),100)</f>
        <v>489700</v>
      </c>
      <c r="Y10" s="184">
        <v>6000</v>
      </c>
      <c r="Z10" s="184">
        <f t="shared" ref="Z10:Z29" si="35">SUM(T10:Y10)</f>
        <v>8923172.9660519995</v>
      </c>
      <c r="AA10" s="185"/>
      <c r="AB10" s="186"/>
      <c r="AC10" s="185"/>
      <c r="AD10" s="185"/>
      <c r="AE10" s="185"/>
      <c r="AF10" s="189">
        <v>122</v>
      </c>
      <c r="AG10" s="188" t="s">
        <v>371</v>
      </c>
      <c r="AH10" s="189" t="s">
        <v>40</v>
      </c>
      <c r="AI10" s="188" t="s">
        <v>354</v>
      </c>
      <c r="AJ10" s="189" t="s">
        <v>366</v>
      </c>
    </row>
    <row r="11" spans="1:37" ht="15.75" customHeight="1" x14ac:dyDescent="0.2">
      <c r="A11" s="179" t="s">
        <v>372</v>
      </c>
      <c r="B11" s="180">
        <f t="shared" si="18"/>
        <v>63.429999999999993</v>
      </c>
      <c r="C11" s="180">
        <v>45.87</v>
      </c>
      <c r="D11" s="180">
        <f t="shared" si="19"/>
        <v>493.74467999999996</v>
      </c>
      <c r="E11" s="180">
        <v>0</v>
      </c>
      <c r="F11" s="180">
        <f t="shared" si="20"/>
        <v>0</v>
      </c>
      <c r="G11" s="180">
        <v>17.559999999999999</v>
      </c>
      <c r="H11" s="180">
        <f t="shared" si="21"/>
        <v>189.01583999999997</v>
      </c>
      <c r="I11" s="180">
        <f t="shared" si="22"/>
        <v>682.76051999999993</v>
      </c>
      <c r="J11" s="181">
        <f t="shared" si="23"/>
        <v>852.96626999999989</v>
      </c>
      <c r="K11" s="182">
        <f t="shared" si="24"/>
        <v>6141357.1439999994</v>
      </c>
      <c r="L11" s="183">
        <v>400000</v>
      </c>
      <c r="M11" s="183">
        <v>200000</v>
      </c>
      <c r="N11" s="184">
        <f t="shared" si="25"/>
        <v>6741357.1439999994</v>
      </c>
      <c r="O11" s="184">
        <f t="shared" si="26"/>
        <v>0</v>
      </c>
      <c r="P11" s="182">
        <f t="shared" si="27"/>
        <v>6741357.1439999994</v>
      </c>
      <c r="Q11" s="182">
        <f t="shared" si="28"/>
        <v>213241.56749999998</v>
      </c>
      <c r="R11" s="182">
        <f t="shared" si="29"/>
        <v>170593.25399999999</v>
      </c>
      <c r="S11" s="182">
        <f t="shared" si="30"/>
        <v>127944.94049999998</v>
      </c>
      <c r="T11" s="182">
        <f t="shared" si="31"/>
        <v>7253136.9059999986</v>
      </c>
      <c r="U11" s="182">
        <v>30000</v>
      </c>
      <c r="V11" s="182">
        <f t="shared" si="32"/>
        <v>808962.85727999988</v>
      </c>
      <c r="W11" s="182">
        <f t="shared" si="33"/>
        <v>46060.178579999993</v>
      </c>
      <c r="X11" s="182">
        <f t="shared" si="34"/>
        <v>471900</v>
      </c>
      <c r="Y11" s="184">
        <v>6000</v>
      </c>
      <c r="Z11" s="184">
        <f t="shared" si="35"/>
        <v>8616059.9418599978</v>
      </c>
      <c r="AA11" s="185"/>
      <c r="AB11" s="186"/>
      <c r="AC11" s="185"/>
      <c r="AD11" s="185"/>
      <c r="AE11" s="185"/>
      <c r="AF11" s="189">
        <v>123</v>
      </c>
      <c r="AG11" s="188" t="s">
        <v>373</v>
      </c>
      <c r="AH11" s="189" t="s">
        <v>40</v>
      </c>
      <c r="AI11" s="188" t="s">
        <v>273</v>
      </c>
      <c r="AJ11" s="189" t="s">
        <v>366</v>
      </c>
    </row>
    <row r="12" spans="1:37" ht="15.75" customHeight="1" x14ac:dyDescent="0.2">
      <c r="A12" s="179" t="s">
        <v>374</v>
      </c>
      <c r="B12" s="180">
        <f t="shared" si="18"/>
        <v>76.48</v>
      </c>
      <c r="C12" s="180">
        <v>55.71</v>
      </c>
      <c r="D12" s="180">
        <f t="shared" si="19"/>
        <v>599.66243999999995</v>
      </c>
      <c r="E12" s="180">
        <v>0</v>
      </c>
      <c r="F12" s="180">
        <f t="shared" si="20"/>
        <v>0</v>
      </c>
      <c r="G12" s="180">
        <v>20.77</v>
      </c>
      <c r="H12" s="180">
        <f t="shared" si="21"/>
        <v>223.56827999999999</v>
      </c>
      <c r="I12" s="180">
        <f t="shared" si="22"/>
        <v>823.23071999999991</v>
      </c>
      <c r="J12" s="181">
        <f t="shared" si="23"/>
        <v>1031.5975409999999</v>
      </c>
      <c r="K12" s="182">
        <f t="shared" si="24"/>
        <v>7427502.2951999987</v>
      </c>
      <c r="L12" s="183">
        <v>800000</v>
      </c>
      <c r="M12" s="183">
        <v>400000</v>
      </c>
      <c r="N12" s="184">
        <f t="shared" si="25"/>
        <v>8627502.2951999977</v>
      </c>
      <c r="O12" s="184">
        <f t="shared" si="26"/>
        <v>0</v>
      </c>
      <c r="P12" s="182">
        <f t="shared" si="27"/>
        <v>8627502.2951999977</v>
      </c>
      <c r="Q12" s="182">
        <f t="shared" si="28"/>
        <v>257899.38524999996</v>
      </c>
      <c r="R12" s="182">
        <f t="shared" si="29"/>
        <v>206319.50819999998</v>
      </c>
      <c r="S12" s="182">
        <f t="shared" si="30"/>
        <v>154739.63114999997</v>
      </c>
      <c r="T12" s="182">
        <f t="shared" si="31"/>
        <v>9246460.8197999969</v>
      </c>
      <c r="U12" s="182">
        <v>30000</v>
      </c>
      <c r="V12" s="182">
        <f t="shared" si="32"/>
        <v>1035300.2754239996</v>
      </c>
      <c r="W12" s="182">
        <f t="shared" si="33"/>
        <v>55706.267213999992</v>
      </c>
      <c r="X12" s="182">
        <f t="shared" si="34"/>
        <v>604000</v>
      </c>
      <c r="Y12" s="184">
        <v>6000</v>
      </c>
      <c r="Z12" s="184">
        <f t="shared" si="35"/>
        <v>10977467.362437997</v>
      </c>
      <c r="AA12" s="185"/>
      <c r="AB12" s="186"/>
      <c r="AC12" s="185"/>
      <c r="AD12" s="185"/>
      <c r="AE12" s="185"/>
      <c r="AF12" s="189" t="s">
        <v>375</v>
      </c>
      <c r="AG12" s="188" t="s">
        <v>376</v>
      </c>
      <c r="AH12" s="189" t="s">
        <v>50</v>
      </c>
      <c r="AI12" s="188" t="s">
        <v>354</v>
      </c>
      <c r="AJ12" s="189" t="s">
        <v>366</v>
      </c>
    </row>
    <row r="13" spans="1:37" ht="15.75" customHeight="1" x14ac:dyDescent="0.2">
      <c r="A13" s="179" t="s">
        <v>377</v>
      </c>
      <c r="B13" s="180">
        <f t="shared" si="18"/>
        <v>75.010000000000005</v>
      </c>
      <c r="C13" s="180">
        <v>55.71</v>
      </c>
      <c r="D13" s="180">
        <f t="shared" si="19"/>
        <v>599.66243999999995</v>
      </c>
      <c r="E13" s="180">
        <v>0</v>
      </c>
      <c r="F13" s="180">
        <f t="shared" si="20"/>
        <v>0</v>
      </c>
      <c r="G13" s="180">
        <v>19.3</v>
      </c>
      <c r="H13" s="180">
        <f t="shared" si="21"/>
        <v>207.74519999999998</v>
      </c>
      <c r="I13" s="180">
        <f t="shared" si="22"/>
        <v>807.4076399999999</v>
      </c>
      <c r="J13" s="181">
        <f t="shared" si="23"/>
        <v>1020.1258079999999</v>
      </c>
      <c r="K13" s="182">
        <f t="shared" si="24"/>
        <v>7344905.8175999988</v>
      </c>
      <c r="L13" s="183">
        <v>800000</v>
      </c>
      <c r="M13" s="183">
        <v>400000</v>
      </c>
      <c r="N13" s="184">
        <f t="shared" si="25"/>
        <v>8544905.8175999988</v>
      </c>
      <c r="O13" s="184">
        <f t="shared" si="26"/>
        <v>0</v>
      </c>
      <c r="P13" s="182">
        <f t="shared" si="27"/>
        <v>8544905.8175999988</v>
      </c>
      <c r="Q13" s="182">
        <f t="shared" si="28"/>
        <v>255031.45199999996</v>
      </c>
      <c r="R13" s="182">
        <f t="shared" si="29"/>
        <v>204025.16159999999</v>
      </c>
      <c r="S13" s="182">
        <f t="shared" si="30"/>
        <v>153018.87119999999</v>
      </c>
      <c r="T13" s="182">
        <f t="shared" si="31"/>
        <v>9156981.3023999985</v>
      </c>
      <c r="U13" s="182">
        <v>30000</v>
      </c>
      <c r="V13" s="182">
        <f t="shared" si="32"/>
        <v>1025388.6981119998</v>
      </c>
      <c r="W13" s="182">
        <f t="shared" si="33"/>
        <v>55086.793631999994</v>
      </c>
      <c r="X13" s="182">
        <f t="shared" si="34"/>
        <v>598200</v>
      </c>
      <c r="Y13" s="184">
        <v>6000</v>
      </c>
      <c r="Z13" s="184">
        <f t="shared" si="35"/>
        <v>10871656.794143999</v>
      </c>
      <c r="AA13" s="185"/>
      <c r="AB13" s="186"/>
      <c r="AC13" s="185"/>
      <c r="AD13" s="185"/>
      <c r="AE13" s="185"/>
      <c r="AF13" s="189" t="s">
        <v>378</v>
      </c>
      <c r="AG13" s="188" t="s">
        <v>379</v>
      </c>
      <c r="AH13" s="189" t="s">
        <v>50</v>
      </c>
      <c r="AI13" s="188" t="s">
        <v>354</v>
      </c>
      <c r="AJ13" s="189" t="s">
        <v>366</v>
      </c>
    </row>
    <row r="14" spans="1:37" ht="15.75" customHeight="1" x14ac:dyDescent="0.2">
      <c r="A14" s="172" t="s">
        <v>380</v>
      </c>
      <c r="B14" s="13">
        <f t="shared" si="18"/>
        <v>75.12</v>
      </c>
      <c r="C14" s="13">
        <v>56.86</v>
      </c>
      <c r="D14" s="13">
        <f t="shared" si="19"/>
        <v>612.04103999999995</v>
      </c>
      <c r="E14" s="13">
        <v>0</v>
      </c>
      <c r="F14" s="13">
        <f t="shared" si="20"/>
        <v>0</v>
      </c>
      <c r="G14" s="13">
        <v>18.260000000000002</v>
      </c>
      <c r="H14" s="13">
        <f t="shared" si="21"/>
        <v>196.55064000000002</v>
      </c>
      <c r="I14" s="13">
        <f t="shared" si="22"/>
        <v>808.59168</v>
      </c>
      <c r="J14" s="173">
        <f t="shared" si="23"/>
        <v>1029.9587219999999</v>
      </c>
      <c r="K14" s="15">
        <f t="shared" si="24"/>
        <v>7415702.7983999988</v>
      </c>
      <c r="L14" s="15">
        <v>400000</v>
      </c>
      <c r="M14" s="30">
        <v>200000</v>
      </c>
      <c r="N14" s="16">
        <f t="shared" si="25"/>
        <v>8015702.7983999988</v>
      </c>
      <c r="O14" s="16">
        <f t="shared" si="26"/>
        <v>0</v>
      </c>
      <c r="P14" s="15">
        <f t="shared" si="27"/>
        <v>8015702.7983999988</v>
      </c>
      <c r="Q14" s="15">
        <f t="shared" si="28"/>
        <v>257489.68049999996</v>
      </c>
      <c r="R14" s="15">
        <f t="shared" si="29"/>
        <v>205991.74439999997</v>
      </c>
      <c r="S14" s="15">
        <f t="shared" si="30"/>
        <v>154493.80829999998</v>
      </c>
      <c r="T14" s="15">
        <f t="shared" si="31"/>
        <v>8633678.0315999985</v>
      </c>
      <c r="U14" s="15">
        <v>30000</v>
      </c>
      <c r="V14" s="15">
        <f t="shared" si="32"/>
        <v>961884.33580799983</v>
      </c>
      <c r="W14" s="150">
        <f t="shared" si="33"/>
        <v>55617.770987999989</v>
      </c>
      <c r="X14" s="15">
        <f t="shared" si="34"/>
        <v>561100</v>
      </c>
      <c r="Y14" s="16">
        <v>6000</v>
      </c>
      <c r="Z14" s="16">
        <f t="shared" si="35"/>
        <v>10248280.138395999</v>
      </c>
      <c r="AA14" s="151"/>
      <c r="AB14" s="191" t="s">
        <v>381</v>
      </c>
      <c r="AC14" s="152" t="s">
        <v>37</v>
      </c>
      <c r="AD14" s="152" t="s">
        <v>382</v>
      </c>
      <c r="AE14" s="151"/>
      <c r="AF14" s="192">
        <v>199</v>
      </c>
      <c r="AG14" s="152" t="s">
        <v>383</v>
      </c>
      <c r="AH14" s="192" t="s">
        <v>40</v>
      </c>
      <c r="AI14" s="152" t="s">
        <v>203</v>
      </c>
      <c r="AJ14" s="192" t="s">
        <v>366</v>
      </c>
      <c r="AK14" s="176"/>
    </row>
    <row r="15" spans="1:37" ht="15.75" customHeight="1" x14ac:dyDescent="0.2">
      <c r="A15" s="193" t="s">
        <v>384</v>
      </c>
      <c r="B15" s="155">
        <v>79.180000000000007</v>
      </c>
      <c r="C15" s="155">
        <v>53.16</v>
      </c>
      <c r="D15" s="156">
        <f t="shared" si="19"/>
        <v>572.2142399999999</v>
      </c>
      <c r="E15" s="155">
        <v>26.02</v>
      </c>
      <c r="F15" s="156">
        <f t="shared" si="20"/>
        <v>280.07927999999998</v>
      </c>
      <c r="G15" s="156">
        <v>0</v>
      </c>
      <c r="H15" s="157">
        <f t="shared" si="21"/>
        <v>0</v>
      </c>
      <c r="I15" s="156">
        <f t="shared" si="22"/>
        <v>852.29351999999994</v>
      </c>
      <c r="J15" s="194">
        <f t="shared" si="23"/>
        <v>1235.8256039999999</v>
      </c>
      <c r="K15" s="158">
        <f t="shared" si="24"/>
        <v>8897944.3487999998</v>
      </c>
      <c r="L15" s="159">
        <v>800000</v>
      </c>
      <c r="M15" s="159">
        <v>400000</v>
      </c>
      <c r="N15" s="160">
        <f t="shared" si="25"/>
        <v>10097944.3488</v>
      </c>
      <c r="O15" s="160">
        <f t="shared" si="26"/>
        <v>0</v>
      </c>
      <c r="P15" s="158">
        <f t="shared" si="27"/>
        <v>10097944.3488</v>
      </c>
      <c r="Q15" s="158">
        <f t="shared" si="28"/>
        <v>308956.40099999995</v>
      </c>
      <c r="R15" s="158">
        <f t="shared" si="29"/>
        <v>247165.12079999998</v>
      </c>
      <c r="S15" s="158">
        <f t="shared" si="30"/>
        <v>185373.8406</v>
      </c>
      <c r="T15" s="158">
        <f t="shared" si="31"/>
        <v>10839439.711200001</v>
      </c>
      <c r="U15" s="158">
        <v>30000</v>
      </c>
      <c r="V15" s="158">
        <f t="shared" si="32"/>
        <v>1211753.321856</v>
      </c>
      <c r="W15" s="158">
        <f t="shared" si="33"/>
        <v>66734.582615999985</v>
      </c>
      <c r="X15" s="158">
        <f t="shared" si="34"/>
        <v>706900</v>
      </c>
      <c r="Y15" s="160">
        <v>6000</v>
      </c>
      <c r="Z15" s="160">
        <f t="shared" si="35"/>
        <v>12860827.615672</v>
      </c>
      <c r="AA15" s="161"/>
      <c r="AB15" s="195"/>
      <c r="AC15" s="161"/>
      <c r="AD15" s="161"/>
      <c r="AE15" s="161"/>
      <c r="AF15" s="196" t="s">
        <v>385</v>
      </c>
      <c r="AG15" s="162" t="s">
        <v>386</v>
      </c>
      <c r="AH15" s="196" t="s">
        <v>50</v>
      </c>
      <c r="AI15" s="162" t="s">
        <v>354</v>
      </c>
      <c r="AJ15" s="197" t="s">
        <v>366</v>
      </c>
      <c r="AK15" s="198"/>
    </row>
    <row r="16" spans="1:37" ht="15.75" customHeight="1" x14ac:dyDescent="0.2">
      <c r="A16" s="193" t="s">
        <v>387</v>
      </c>
      <c r="B16" s="155">
        <v>87.91</v>
      </c>
      <c r="C16" s="156">
        <v>74.92</v>
      </c>
      <c r="D16" s="156">
        <f t="shared" si="19"/>
        <v>806.43887999999993</v>
      </c>
      <c r="E16" s="155">
        <v>12.99</v>
      </c>
      <c r="F16" s="156">
        <f t="shared" si="20"/>
        <v>139.82435999999998</v>
      </c>
      <c r="G16" s="156">
        <v>0</v>
      </c>
      <c r="H16" s="157">
        <f t="shared" si="21"/>
        <v>0</v>
      </c>
      <c r="I16" s="156">
        <f t="shared" si="22"/>
        <v>946.26323999999988</v>
      </c>
      <c r="J16" s="194">
        <f t="shared" si="23"/>
        <v>1372.0816979999997</v>
      </c>
      <c r="K16" s="158">
        <f t="shared" si="24"/>
        <v>9878988.2255999986</v>
      </c>
      <c r="L16" s="158">
        <v>400000</v>
      </c>
      <c r="M16" s="159">
        <v>400000</v>
      </c>
      <c r="N16" s="160">
        <f t="shared" si="25"/>
        <v>10678988.225599999</v>
      </c>
      <c r="O16" s="160">
        <f t="shared" si="26"/>
        <v>0</v>
      </c>
      <c r="P16" s="158">
        <f t="shared" si="27"/>
        <v>10678988.225599999</v>
      </c>
      <c r="Q16" s="158">
        <f t="shared" si="28"/>
        <v>343020.42449999991</v>
      </c>
      <c r="R16" s="158">
        <f t="shared" si="29"/>
        <v>274416.33959999995</v>
      </c>
      <c r="S16" s="158">
        <f t="shared" si="30"/>
        <v>205812.25469999996</v>
      </c>
      <c r="T16" s="158">
        <f t="shared" si="31"/>
        <v>11502237.244399998</v>
      </c>
      <c r="U16" s="158">
        <v>30000</v>
      </c>
      <c r="V16" s="158">
        <f t="shared" si="32"/>
        <v>1281478.5870719997</v>
      </c>
      <c r="W16" s="158">
        <f t="shared" si="33"/>
        <v>74092.41169199998</v>
      </c>
      <c r="X16" s="158">
        <f t="shared" si="34"/>
        <v>747600</v>
      </c>
      <c r="Y16" s="160">
        <v>6000</v>
      </c>
      <c r="Z16" s="160">
        <f t="shared" si="35"/>
        <v>13641408.243163997</v>
      </c>
      <c r="AA16" s="161"/>
      <c r="AB16" s="161"/>
      <c r="AC16" s="161"/>
      <c r="AD16" s="161"/>
      <c r="AE16" s="161"/>
      <c r="AF16" s="162">
        <v>124</v>
      </c>
      <c r="AG16" s="162" t="s">
        <v>388</v>
      </c>
      <c r="AH16" s="162" t="s">
        <v>40</v>
      </c>
      <c r="AI16" s="162" t="s">
        <v>354</v>
      </c>
      <c r="AJ16" s="161" t="s">
        <v>84</v>
      </c>
      <c r="AK16" s="198"/>
    </row>
    <row r="17" spans="1:37" ht="15.75" customHeight="1" x14ac:dyDescent="0.2">
      <c r="A17" s="172" t="s">
        <v>389</v>
      </c>
      <c r="B17" s="153">
        <f t="shared" ref="B17:B29" si="36">C17+E17+G17</f>
        <v>65.930000000000007</v>
      </c>
      <c r="C17" s="153">
        <v>56.78</v>
      </c>
      <c r="D17" s="173">
        <f t="shared" si="19"/>
        <v>611.17991999999992</v>
      </c>
      <c r="E17" s="173">
        <v>9.15</v>
      </c>
      <c r="F17" s="173">
        <f t="shared" si="20"/>
        <v>98.490600000000001</v>
      </c>
      <c r="G17" s="153">
        <v>0</v>
      </c>
      <c r="H17" s="153">
        <f t="shared" si="21"/>
        <v>0</v>
      </c>
      <c r="I17" s="173">
        <f t="shared" si="22"/>
        <v>709.6705199999999</v>
      </c>
      <c r="J17" s="173">
        <f t="shared" si="23"/>
        <v>1029.0222539999997</v>
      </c>
      <c r="K17" s="153">
        <f t="shared" si="24"/>
        <v>7408960.2287999978</v>
      </c>
      <c r="L17" s="153">
        <v>500000</v>
      </c>
      <c r="M17" s="174">
        <v>200000</v>
      </c>
      <c r="N17" s="153">
        <f t="shared" si="25"/>
        <v>8108960.2287999978</v>
      </c>
      <c r="O17" s="153">
        <f t="shared" si="26"/>
        <v>0</v>
      </c>
      <c r="P17" s="153">
        <f t="shared" si="27"/>
        <v>8108960.2287999978</v>
      </c>
      <c r="Q17" s="153">
        <f t="shared" si="28"/>
        <v>257255.56349999993</v>
      </c>
      <c r="R17" s="153">
        <f t="shared" si="29"/>
        <v>205804.45079999996</v>
      </c>
      <c r="S17" s="153">
        <f t="shared" si="30"/>
        <v>154353.33809999996</v>
      </c>
      <c r="T17" s="153">
        <f t="shared" si="31"/>
        <v>8726373.581199998</v>
      </c>
      <c r="U17" s="153">
        <v>30000</v>
      </c>
      <c r="V17" s="153">
        <f t="shared" si="32"/>
        <v>973075.2274559997</v>
      </c>
      <c r="W17" s="153">
        <f t="shared" si="33"/>
        <v>55567.201715999981</v>
      </c>
      <c r="X17" s="153">
        <f t="shared" si="34"/>
        <v>567700</v>
      </c>
      <c r="Y17" s="153">
        <v>6000</v>
      </c>
      <c r="Z17" s="153">
        <f t="shared" si="35"/>
        <v>10358716.010371998</v>
      </c>
      <c r="AA17" s="153"/>
      <c r="AB17" s="153" t="s">
        <v>390</v>
      </c>
      <c r="AC17" s="153"/>
      <c r="AD17" s="153"/>
      <c r="AE17" s="153"/>
      <c r="AF17" s="504" t="s">
        <v>391</v>
      </c>
      <c r="AG17" s="504" t="s">
        <v>392</v>
      </c>
      <c r="AH17" s="504" t="s">
        <v>45</v>
      </c>
      <c r="AI17" s="506" t="s">
        <v>334</v>
      </c>
      <c r="AJ17" s="504" t="s">
        <v>393</v>
      </c>
    </row>
    <row r="18" spans="1:37" ht="15.75" customHeight="1" x14ac:dyDescent="0.2">
      <c r="A18" s="172" t="s">
        <v>394</v>
      </c>
      <c r="B18" s="153">
        <f t="shared" si="36"/>
        <v>51.07</v>
      </c>
      <c r="C18" s="153">
        <v>44.52</v>
      </c>
      <c r="D18" s="173">
        <f t="shared" si="19"/>
        <v>479.21328</v>
      </c>
      <c r="E18" s="173">
        <v>6.55</v>
      </c>
      <c r="F18" s="173">
        <f t="shared" si="20"/>
        <v>70.504199999999997</v>
      </c>
      <c r="G18" s="153">
        <v>0</v>
      </c>
      <c r="H18" s="153">
        <f t="shared" si="21"/>
        <v>0</v>
      </c>
      <c r="I18" s="173">
        <f t="shared" si="22"/>
        <v>549.71748000000002</v>
      </c>
      <c r="J18" s="173">
        <f t="shared" si="23"/>
        <v>797.09034599999995</v>
      </c>
      <c r="K18" s="153">
        <f t="shared" si="24"/>
        <v>5739050.4912</v>
      </c>
      <c r="L18" s="153">
        <v>500000</v>
      </c>
      <c r="M18" s="174">
        <v>200000</v>
      </c>
      <c r="N18" s="153">
        <f t="shared" si="25"/>
        <v>6439050.4912</v>
      </c>
      <c r="O18" s="153">
        <f t="shared" si="26"/>
        <v>0</v>
      </c>
      <c r="P18" s="153">
        <f t="shared" si="27"/>
        <v>6439050.4912</v>
      </c>
      <c r="Q18" s="153">
        <f t="shared" si="28"/>
        <v>199272.58649999998</v>
      </c>
      <c r="R18" s="153">
        <f t="shared" si="29"/>
        <v>159418.0692</v>
      </c>
      <c r="S18" s="153">
        <f t="shared" si="30"/>
        <v>119563.55189999999</v>
      </c>
      <c r="T18" s="153">
        <f t="shared" si="31"/>
        <v>6917304.6988000004</v>
      </c>
      <c r="U18" s="153">
        <v>30000</v>
      </c>
      <c r="V18" s="153">
        <f t="shared" si="32"/>
        <v>772686.05894399993</v>
      </c>
      <c r="W18" s="153">
        <f t="shared" si="33"/>
        <v>43042.878683999996</v>
      </c>
      <c r="X18" s="153">
        <f t="shared" si="34"/>
        <v>450800</v>
      </c>
      <c r="Y18" s="153">
        <v>6000</v>
      </c>
      <c r="Z18" s="153">
        <f t="shared" si="35"/>
        <v>8219833.6364280004</v>
      </c>
      <c r="AA18" s="153"/>
      <c r="AB18" s="153" t="s">
        <v>390</v>
      </c>
      <c r="AC18" s="153"/>
      <c r="AD18" s="153"/>
      <c r="AE18" s="153"/>
      <c r="AF18" s="502"/>
      <c r="AG18" s="502"/>
      <c r="AH18" s="502"/>
      <c r="AI18" s="502"/>
      <c r="AJ18" s="502"/>
    </row>
    <row r="19" spans="1:37" ht="15.75" customHeight="1" x14ac:dyDescent="0.2">
      <c r="A19" s="199" t="s">
        <v>395</v>
      </c>
      <c r="B19" s="200">
        <f t="shared" si="36"/>
        <v>51.07</v>
      </c>
      <c r="C19" s="200">
        <v>44.52</v>
      </c>
      <c r="D19" s="200">
        <f t="shared" si="19"/>
        <v>479.21328</v>
      </c>
      <c r="E19" s="200">
        <v>6.55</v>
      </c>
      <c r="F19" s="200">
        <f t="shared" si="20"/>
        <v>70.504199999999997</v>
      </c>
      <c r="G19" s="200">
        <v>0</v>
      </c>
      <c r="H19" s="201">
        <f t="shared" si="21"/>
        <v>0</v>
      </c>
      <c r="I19" s="200">
        <f t="shared" si="22"/>
        <v>549.71748000000002</v>
      </c>
      <c r="J19" s="202">
        <f t="shared" si="23"/>
        <v>797.09034599999995</v>
      </c>
      <c r="K19" s="203">
        <f t="shared" si="24"/>
        <v>5739050.4912</v>
      </c>
      <c r="L19" s="203">
        <v>500000</v>
      </c>
      <c r="M19" s="204">
        <v>105000</v>
      </c>
      <c r="N19" s="205">
        <f t="shared" si="25"/>
        <v>6344050.4912</v>
      </c>
      <c r="O19" s="205">
        <f t="shared" si="26"/>
        <v>0</v>
      </c>
      <c r="P19" s="203">
        <f t="shared" si="27"/>
        <v>6344050.4912</v>
      </c>
      <c r="Q19" s="203">
        <f t="shared" si="28"/>
        <v>199272.58649999998</v>
      </c>
      <c r="R19" s="203">
        <f t="shared" si="29"/>
        <v>159418.0692</v>
      </c>
      <c r="S19" s="203">
        <f t="shared" si="30"/>
        <v>119563.55189999999</v>
      </c>
      <c r="T19" s="203">
        <f t="shared" si="31"/>
        <v>6822304.6988000004</v>
      </c>
      <c r="U19" s="203">
        <v>30000</v>
      </c>
      <c r="V19" s="203">
        <f t="shared" si="32"/>
        <v>761286.05894399993</v>
      </c>
      <c r="W19" s="203">
        <f t="shared" si="33"/>
        <v>43042.878683999996</v>
      </c>
      <c r="X19" s="203">
        <f t="shared" si="34"/>
        <v>444100</v>
      </c>
      <c r="Y19" s="205">
        <v>6000</v>
      </c>
      <c r="Z19" s="205">
        <f t="shared" si="35"/>
        <v>8106733.6364280004</v>
      </c>
      <c r="AA19" s="206"/>
      <c r="AB19" s="206" t="s">
        <v>396</v>
      </c>
      <c r="AC19" s="206" t="s">
        <v>37</v>
      </c>
      <c r="AD19" s="206" t="s">
        <v>397</v>
      </c>
      <c r="AE19" s="206">
        <v>6100</v>
      </c>
      <c r="AF19" s="505" t="s">
        <v>398</v>
      </c>
      <c r="AG19" s="505" t="s">
        <v>399</v>
      </c>
      <c r="AH19" s="505" t="s">
        <v>45</v>
      </c>
      <c r="AI19" s="206" t="s">
        <v>40</v>
      </c>
      <c r="AJ19" s="505" t="s">
        <v>400</v>
      </c>
      <c r="AK19" s="206"/>
    </row>
    <row r="20" spans="1:37" ht="15.75" customHeight="1" x14ac:dyDescent="0.2">
      <c r="A20" s="208" t="s">
        <v>401</v>
      </c>
      <c r="B20" s="200">
        <f t="shared" si="36"/>
        <v>40.78</v>
      </c>
      <c r="C20" s="200">
        <v>36.04</v>
      </c>
      <c r="D20" s="200">
        <f t="shared" si="19"/>
        <v>387.93455999999998</v>
      </c>
      <c r="E20" s="200">
        <v>4.74</v>
      </c>
      <c r="F20" s="200">
        <f t="shared" si="20"/>
        <v>51.021360000000001</v>
      </c>
      <c r="G20" s="200">
        <v>0</v>
      </c>
      <c r="H20" s="201">
        <f t="shared" si="21"/>
        <v>0</v>
      </c>
      <c r="I20" s="200">
        <f t="shared" si="22"/>
        <v>438.95591999999999</v>
      </c>
      <c r="J20" s="202">
        <f t="shared" si="23"/>
        <v>636.48608400000001</v>
      </c>
      <c r="K20" s="203">
        <f t="shared" si="24"/>
        <v>4582699.8048</v>
      </c>
      <c r="L20" s="203">
        <v>500000</v>
      </c>
      <c r="M20" s="203">
        <v>70000</v>
      </c>
      <c r="N20" s="205">
        <f t="shared" si="25"/>
        <v>5152699.8048</v>
      </c>
      <c r="O20" s="205">
        <f t="shared" si="26"/>
        <v>0</v>
      </c>
      <c r="P20" s="203">
        <f t="shared" si="27"/>
        <v>5152699.8048</v>
      </c>
      <c r="Q20" s="203">
        <f t="shared" si="28"/>
        <v>159121.52100000001</v>
      </c>
      <c r="R20" s="203">
        <f t="shared" si="29"/>
        <v>127297.21679999999</v>
      </c>
      <c r="S20" s="203">
        <f t="shared" si="30"/>
        <v>95472.912599999996</v>
      </c>
      <c r="T20" s="203">
        <f t="shared" si="31"/>
        <v>5534591.4551999997</v>
      </c>
      <c r="U20" s="203">
        <v>30000</v>
      </c>
      <c r="V20" s="203">
        <f t="shared" si="32"/>
        <v>618323.97657599999</v>
      </c>
      <c r="W20" s="203">
        <f t="shared" si="33"/>
        <v>34370.248535999999</v>
      </c>
      <c r="X20" s="203">
        <f t="shared" si="34"/>
        <v>360700</v>
      </c>
      <c r="Y20" s="205">
        <v>6000</v>
      </c>
      <c r="Z20" s="205">
        <f t="shared" si="35"/>
        <v>6583985.6803120002</v>
      </c>
      <c r="AA20" s="206"/>
      <c r="AB20" s="206" t="s">
        <v>396</v>
      </c>
      <c r="AC20" s="206" t="s">
        <v>37</v>
      </c>
      <c r="AD20" s="206" t="s">
        <v>397</v>
      </c>
      <c r="AE20" s="206">
        <v>6100</v>
      </c>
      <c r="AF20" s="502"/>
      <c r="AG20" s="502"/>
      <c r="AH20" s="502"/>
      <c r="AI20" s="206" t="s">
        <v>40</v>
      </c>
      <c r="AJ20" s="502"/>
      <c r="AK20" s="206"/>
    </row>
    <row r="21" spans="1:37" ht="15.75" customHeight="1" x14ac:dyDescent="0.2">
      <c r="A21" s="208" t="s">
        <v>402</v>
      </c>
      <c r="B21" s="200">
        <f t="shared" si="36"/>
        <v>71.070000000000007</v>
      </c>
      <c r="C21" s="200">
        <v>61.02</v>
      </c>
      <c r="D21" s="200">
        <f t="shared" si="19"/>
        <v>656.81928000000005</v>
      </c>
      <c r="E21" s="200">
        <v>10.050000000000001</v>
      </c>
      <c r="F21" s="200">
        <f t="shared" si="20"/>
        <v>108.1782</v>
      </c>
      <c r="G21" s="200">
        <v>0</v>
      </c>
      <c r="H21" s="201">
        <f t="shared" si="21"/>
        <v>0</v>
      </c>
      <c r="I21" s="200">
        <f t="shared" si="22"/>
        <v>764.99748</v>
      </c>
      <c r="J21" s="202">
        <f t="shared" si="23"/>
        <v>1109.2463459999999</v>
      </c>
      <c r="K21" s="203">
        <f t="shared" si="24"/>
        <v>7986573.6911999993</v>
      </c>
      <c r="L21" s="204">
        <v>800000</v>
      </c>
      <c r="M21" s="204">
        <v>400000</v>
      </c>
      <c r="N21" s="205">
        <f t="shared" si="25"/>
        <v>9186573.6911999993</v>
      </c>
      <c r="O21" s="205">
        <f t="shared" si="26"/>
        <v>0</v>
      </c>
      <c r="P21" s="203">
        <f t="shared" si="27"/>
        <v>9186573.6911999993</v>
      </c>
      <c r="Q21" s="203">
        <f t="shared" si="28"/>
        <v>277311.58649999998</v>
      </c>
      <c r="R21" s="203">
        <f t="shared" si="29"/>
        <v>221849.26919999998</v>
      </c>
      <c r="S21" s="203">
        <f t="shared" si="30"/>
        <v>166386.95189999999</v>
      </c>
      <c r="T21" s="203">
        <f t="shared" si="31"/>
        <v>9852121.4988000002</v>
      </c>
      <c r="U21" s="203">
        <v>30000</v>
      </c>
      <c r="V21" s="203">
        <f t="shared" si="32"/>
        <v>1102388.8429439999</v>
      </c>
      <c r="W21" s="203">
        <f t="shared" si="33"/>
        <v>59899.302683999995</v>
      </c>
      <c r="X21" s="203">
        <f t="shared" si="34"/>
        <v>643100</v>
      </c>
      <c r="Y21" s="205">
        <v>6000</v>
      </c>
      <c r="Z21" s="205">
        <f t="shared" si="35"/>
        <v>11693509.644428</v>
      </c>
      <c r="AA21" s="206"/>
      <c r="AB21" s="206" t="s">
        <v>403</v>
      </c>
      <c r="AC21" s="206"/>
      <c r="AD21" s="206" t="s">
        <v>404</v>
      </c>
      <c r="AE21" s="206"/>
      <c r="AF21" s="207" t="s">
        <v>405</v>
      </c>
      <c r="AG21" s="209" t="s">
        <v>406</v>
      </c>
      <c r="AH21" s="207" t="s">
        <v>50</v>
      </c>
      <c r="AI21" s="209" t="s">
        <v>354</v>
      </c>
      <c r="AJ21" s="207" t="s">
        <v>407</v>
      </c>
    </row>
    <row r="22" spans="1:37" ht="15.75" customHeight="1" x14ac:dyDescent="0.2">
      <c r="A22" s="208" t="s">
        <v>408</v>
      </c>
      <c r="B22" s="200">
        <f t="shared" si="36"/>
        <v>81.64</v>
      </c>
      <c r="C22" s="200">
        <v>69.739999999999995</v>
      </c>
      <c r="D22" s="200">
        <f t="shared" si="19"/>
        <v>750.68135999999993</v>
      </c>
      <c r="E22" s="200">
        <v>11.9</v>
      </c>
      <c r="F22" s="200">
        <f t="shared" si="20"/>
        <v>128.0916</v>
      </c>
      <c r="G22" s="200">
        <v>0</v>
      </c>
      <c r="H22" s="201">
        <f t="shared" si="21"/>
        <v>0</v>
      </c>
      <c r="I22" s="200">
        <f t="shared" si="22"/>
        <v>878.7729599999999</v>
      </c>
      <c r="J22" s="202">
        <f t="shared" si="23"/>
        <v>1274.2207919999998</v>
      </c>
      <c r="K22" s="203">
        <f t="shared" si="24"/>
        <v>9174389.7023999989</v>
      </c>
      <c r="L22" s="204">
        <v>800000</v>
      </c>
      <c r="M22" s="204">
        <v>400000</v>
      </c>
      <c r="N22" s="205">
        <f t="shared" si="25"/>
        <v>10374389.702399999</v>
      </c>
      <c r="O22" s="205">
        <f t="shared" si="26"/>
        <v>0</v>
      </c>
      <c r="P22" s="203">
        <f t="shared" si="27"/>
        <v>10374389.702399999</v>
      </c>
      <c r="Q22" s="203">
        <f t="shared" si="28"/>
        <v>318555.19799999997</v>
      </c>
      <c r="R22" s="203">
        <f t="shared" si="29"/>
        <v>254844.15839999996</v>
      </c>
      <c r="S22" s="203">
        <f t="shared" si="30"/>
        <v>191133.11879999997</v>
      </c>
      <c r="T22" s="203">
        <f t="shared" si="31"/>
        <v>11138922.177599998</v>
      </c>
      <c r="U22" s="203">
        <v>30000</v>
      </c>
      <c r="V22" s="203">
        <f t="shared" si="32"/>
        <v>1244926.7642879998</v>
      </c>
      <c r="W22" s="203">
        <f t="shared" si="33"/>
        <v>68807.922767999989</v>
      </c>
      <c r="X22" s="203">
        <f t="shared" si="34"/>
        <v>726300</v>
      </c>
      <c r="Y22" s="205">
        <v>6000</v>
      </c>
      <c r="Z22" s="205">
        <f t="shared" si="35"/>
        <v>13214956.864655998</v>
      </c>
      <c r="AA22" s="206"/>
      <c r="AB22" s="206" t="s">
        <v>403</v>
      </c>
      <c r="AC22" s="206"/>
      <c r="AD22" s="206" t="s">
        <v>404</v>
      </c>
      <c r="AE22" s="206"/>
      <c r="AF22" s="210" t="s">
        <v>409</v>
      </c>
      <c r="AG22" s="209" t="s">
        <v>410</v>
      </c>
      <c r="AH22" s="207" t="s">
        <v>50</v>
      </c>
      <c r="AI22" s="209" t="s">
        <v>354</v>
      </c>
      <c r="AJ22" s="210" t="s">
        <v>407</v>
      </c>
    </row>
    <row r="23" spans="1:37" ht="15.75" customHeight="1" x14ac:dyDescent="0.2">
      <c r="A23" s="208" t="s">
        <v>411</v>
      </c>
      <c r="B23" s="200">
        <f t="shared" si="36"/>
        <v>50.22</v>
      </c>
      <c r="C23" s="200">
        <v>43.82</v>
      </c>
      <c r="D23" s="200">
        <f t="shared" si="19"/>
        <v>471.67847999999998</v>
      </c>
      <c r="E23" s="200">
        <v>6.4</v>
      </c>
      <c r="F23" s="200">
        <f t="shared" si="20"/>
        <v>68.889600000000002</v>
      </c>
      <c r="G23" s="200">
        <v>0</v>
      </c>
      <c r="H23" s="201">
        <f t="shared" si="21"/>
        <v>0</v>
      </c>
      <c r="I23" s="200">
        <f t="shared" si="22"/>
        <v>540.56808000000001</v>
      </c>
      <c r="J23" s="202">
        <f t="shared" si="23"/>
        <v>783.82371599999999</v>
      </c>
      <c r="K23" s="203">
        <f t="shared" si="24"/>
        <v>5643530.7551999995</v>
      </c>
      <c r="L23" s="204">
        <v>400000</v>
      </c>
      <c r="M23" s="204">
        <v>200000</v>
      </c>
      <c r="N23" s="205">
        <f t="shared" si="25"/>
        <v>6243530.7551999995</v>
      </c>
      <c r="O23" s="205">
        <f t="shared" si="26"/>
        <v>0</v>
      </c>
      <c r="P23" s="203">
        <f t="shared" si="27"/>
        <v>6243530.7551999995</v>
      </c>
      <c r="Q23" s="203">
        <f t="shared" si="28"/>
        <v>195955.929</v>
      </c>
      <c r="R23" s="203">
        <f t="shared" si="29"/>
        <v>156764.7432</v>
      </c>
      <c r="S23" s="203">
        <f t="shared" si="30"/>
        <v>117573.55740000001</v>
      </c>
      <c r="T23" s="203">
        <f t="shared" si="31"/>
        <v>6713824.9848000007</v>
      </c>
      <c r="U23" s="203">
        <v>30000</v>
      </c>
      <c r="V23" s="203">
        <f t="shared" si="32"/>
        <v>749223.69062399992</v>
      </c>
      <c r="W23" s="203">
        <f t="shared" si="33"/>
        <v>42326.480664000002</v>
      </c>
      <c r="X23" s="203">
        <f t="shared" si="34"/>
        <v>437100</v>
      </c>
      <c r="Y23" s="205">
        <v>6000</v>
      </c>
      <c r="Z23" s="205">
        <f t="shared" si="35"/>
        <v>7978475.1560880002</v>
      </c>
      <c r="AA23" s="206"/>
      <c r="AB23" s="206" t="s">
        <v>403</v>
      </c>
      <c r="AC23" s="206"/>
      <c r="AD23" s="206" t="s">
        <v>404</v>
      </c>
      <c r="AE23" s="206"/>
      <c r="AF23" s="210">
        <v>125</v>
      </c>
      <c r="AG23" s="209" t="s">
        <v>412</v>
      </c>
      <c r="AH23" s="210" t="s">
        <v>40</v>
      </c>
      <c r="AI23" s="209" t="s">
        <v>273</v>
      </c>
      <c r="AJ23" s="210" t="s">
        <v>407</v>
      </c>
    </row>
    <row r="24" spans="1:37" ht="15.75" customHeight="1" x14ac:dyDescent="0.2">
      <c r="A24" s="208" t="s">
        <v>413</v>
      </c>
      <c r="B24" s="200">
        <f t="shared" si="36"/>
        <v>41.21</v>
      </c>
      <c r="C24" s="200">
        <v>36.39</v>
      </c>
      <c r="D24" s="200">
        <f t="shared" si="19"/>
        <v>391.70195999999999</v>
      </c>
      <c r="E24" s="200">
        <v>4.82</v>
      </c>
      <c r="F24" s="200">
        <f t="shared" si="20"/>
        <v>51.882480000000001</v>
      </c>
      <c r="G24" s="200">
        <v>0</v>
      </c>
      <c r="H24" s="201">
        <f t="shared" si="21"/>
        <v>0</v>
      </c>
      <c r="I24" s="200">
        <f t="shared" si="22"/>
        <v>443.58443999999997</v>
      </c>
      <c r="J24" s="202">
        <f t="shared" si="23"/>
        <v>643.19743799999992</v>
      </c>
      <c r="K24" s="203">
        <f t="shared" si="24"/>
        <v>4631021.5535999993</v>
      </c>
      <c r="L24" s="204">
        <v>400000</v>
      </c>
      <c r="M24" s="204">
        <v>200000</v>
      </c>
      <c r="N24" s="205">
        <f t="shared" si="25"/>
        <v>5231021.5535999993</v>
      </c>
      <c r="O24" s="205">
        <f t="shared" si="26"/>
        <v>0</v>
      </c>
      <c r="P24" s="203">
        <f t="shared" si="27"/>
        <v>5231021.5535999993</v>
      </c>
      <c r="Q24" s="203">
        <f t="shared" si="28"/>
        <v>160799.35949999999</v>
      </c>
      <c r="R24" s="203">
        <f t="shared" si="29"/>
        <v>128639.48759999998</v>
      </c>
      <c r="S24" s="203">
        <f t="shared" si="30"/>
        <v>96479.615699999995</v>
      </c>
      <c r="T24" s="203">
        <f t="shared" si="31"/>
        <v>5616940.0163999991</v>
      </c>
      <c r="U24" s="203">
        <v>30000</v>
      </c>
      <c r="V24" s="203">
        <f t="shared" si="32"/>
        <v>627722.58643199992</v>
      </c>
      <c r="W24" s="203">
        <f t="shared" si="33"/>
        <v>34732.661651999995</v>
      </c>
      <c r="X24" s="203">
        <f t="shared" si="34"/>
        <v>366200</v>
      </c>
      <c r="Y24" s="205">
        <v>6000</v>
      </c>
      <c r="Z24" s="205">
        <f t="shared" si="35"/>
        <v>6681595.2644839985</v>
      </c>
      <c r="AA24" s="206"/>
      <c r="AB24" s="206" t="s">
        <v>403</v>
      </c>
      <c r="AC24" s="206"/>
      <c r="AD24" s="206" t="s">
        <v>404</v>
      </c>
      <c r="AE24" s="206"/>
      <c r="AF24" s="210">
        <v>95</v>
      </c>
      <c r="AG24" s="209" t="s">
        <v>414</v>
      </c>
      <c r="AH24" s="210" t="s">
        <v>40</v>
      </c>
      <c r="AI24" s="209" t="s">
        <v>273</v>
      </c>
      <c r="AJ24" s="210" t="s">
        <v>407</v>
      </c>
    </row>
    <row r="25" spans="1:37" ht="12" customHeight="1" x14ac:dyDescent="0.2">
      <c r="A25" s="208" t="s">
        <v>415</v>
      </c>
      <c r="B25" s="200">
        <f t="shared" si="36"/>
        <v>41.21</v>
      </c>
      <c r="C25" s="200">
        <v>36.39</v>
      </c>
      <c r="D25" s="200">
        <f t="shared" si="19"/>
        <v>391.70195999999999</v>
      </c>
      <c r="E25" s="200">
        <v>4.82</v>
      </c>
      <c r="F25" s="200">
        <f t="shared" si="20"/>
        <v>51.882480000000001</v>
      </c>
      <c r="G25" s="200">
        <v>0</v>
      </c>
      <c r="H25" s="201">
        <f t="shared" si="21"/>
        <v>0</v>
      </c>
      <c r="I25" s="200">
        <f t="shared" si="22"/>
        <v>443.58443999999997</v>
      </c>
      <c r="J25" s="202">
        <f t="shared" si="23"/>
        <v>643.19743799999992</v>
      </c>
      <c r="K25" s="203">
        <f t="shared" si="24"/>
        <v>4631021.5535999993</v>
      </c>
      <c r="L25" s="204">
        <v>400000</v>
      </c>
      <c r="M25" s="204">
        <v>200000</v>
      </c>
      <c r="N25" s="205">
        <f t="shared" si="25"/>
        <v>5231021.5535999993</v>
      </c>
      <c r="O25" s="205">
        <f t="shared" si="26"/>
        <v>0</v>
      </c>
      <c r="P25" s="203">
        <f t="shared" si="27"/>
        <v>5231021.5535999993</v>
      </c>
      <c r="Q25" s="203">
        <f t="shared" si="28"/>
        <v>160799.35949999999</v>
      </c>
      <c r="R25" s="203">
        <f t="shared" si="29"/>
        <v>128639.48759999998</v>
      </c>
      <c r="S25" s="203">
        <f t="shared" si="30"/>
        <v>96479.615699999995</v>
      </c>
      <c r="T25" s="203">
        <f t="shared" si="31"/>
        <v>5616940.0163999991</v>
      </c>
      <c r="U25" s="203">
        <v>30000</v>
      </c>
      <c r="V25" s="203">
        <f t="shared" si="32"/>
        <v>627722.58643199992</v>
      </c>
      <c r="W25" s="203">
        <f t="shared" si="33"/>
        <v>34732.661651999995</v>
      </c>
      <c r="X25" s="203">
        <f t="shared" si="34"/>
        <v>366200</v>
      </c>
      <c r="Y25" s="205">
        <v>6000</v>
      </c>
      <c r="Z25" s="205">
        <f t="shared" si="35"/>
        <v>6681595.2644839985</v>
      </c>
      <c r="AA25" s="206"/>
      <c r="AB25" s="206" t="s">
        <v>403</v>
      </c>
      <c r="AC25" s="206"/>
      <c r="AD25" s="206" t="s">
        <v>404</v>
      </c>
      <c r="AE25" s="206"/>
      <c r="AF25" s="210">
        <v>96</v>
      </c>
      <c r="AG25" s="209" t="s">
        <v>416</v>
      </c>
      <c r="AH25" s="210" t="s">
        <v>40</v>
      </c>
      <c r="AI25" s="209" t="s">
        <v>273</v>
      </c>
      <c r="AJ25" s="210" t="s">
        <v>407</v>
      </c>
    </row>
    <row r="26" spans="1:37" ht="12" customHeight="1" x14ac:dyDescent="0.2">
      <c r="A26" s="211" t="s">
        <v>417</v>
      </c>
      <c r="B26" s="200">
        <f t="shared" si="36"/>
        <v>42.36</v>
      </c>
      <c r="C26" s="200">
        <v>37.340000000000003</v>
      </c>
      <c r="D26" s="200">
        <f t="shared" si="19"/>
        <v>401.92776000000003</v>
      </c>
      <c r="E26" s="200">
        <v>5.0199999999999996</v>
      </c>
      <c r="F26" s="200">
        <f t="shared" si="20"/>
        <v>54.035279999999993</v>
      </c>
      <c r="G26" s="201">
        <v>0</v>
      </c>
      <c r="H26" s="201">
        <f t="shared" si="21"/>
        <v>0</v>
      </c>
      <c r="I26" s="200">
        <f t="shared" si="22"/>
        <v>455.96304000000003</v>
      </c>
      <c r="J26" s="202">
        <f t="shared" si="23"/>
        <v>661.14640800000006</v>
      </c>
      <c r="K26" s="203">
        <f t="shared" si="24"/>
        <v>4760254.1376</v>
      </c>
      <c r="L26" s="204">
        <v>400000</v>
      </c>
      <c r="M26" s="204">
        <v>200000</v>
      </c>
      <c r="N26" s="205">
        <f t="shared" si="25"/>
        <v>5360254.1376</v>
      </c>
      <c r="O26" s="205">
        <f t="shared" si="26"/>
        <v>0</v>
      </c>
      <c r="P26" s="203">
        <f t="shared" si="27"/>
        <v>5360254.1376</v>
      </c>
      <c r="Q26" s="203">
        <f t="shared" si="28"/>
        <v>165286.60200000001</v>
      </c>
      <c r="R26" s="203">
        <f t="shared" si="29"/>
        <v>132229.28160000002</v>
      </c>
      <c r="S26" s="203">
        <f t="shared" si="30"/>
        <v>99171.961200000005</v>
      </c>
      <c r="T26" s="203">
        <f t="shared" si="31"/>
        <v>5756941.9824000001</v>
      </c>
      <c r="U26" s="203">
        <v>30000</v>
      </c>
      <c r="V26" s="203">
        <f t="shared" si="32"/>
        <v>643230.49651199998</v>
      </c>
      <c r="W26" s="203">
        <f t="shared" si="33"/>
        <v>35701.906031999999</v>
      </c>
      <c r="X26" s="203">
        <f t="shared" si="34"/>
        <v>375300</v>
      </c>
      <c r="Y26" s="205">
        <v>6000</v>
      </c>
      <c r="Z26" s="205">
        <f t="shared" si="35"/>
        <v>6847174.3849439994</v>
      </c>
      <c r="AA26" s="206"/>
      <c r="AB26" s="206" t="s">
        <v>403</v>
      </c>
      <c r="AC26" s="206"/>
      <c r="AD26" s="206" t="s">
        <v>404</v>
      </c>
      <c r="AE26" s="206"/>
      <c r="AF26" s="210">
        <v>156</v>
      </c>
      <c r="AG26" s="209" t="s">
        <v>418</v>
      </c>
      <c r="AH26" s="210" t="s">
        <v>40</v>
      </c>
      <c r="AI26" s="209" t="s">
        <v>273</v>
      </c>
      <c r="AJ26" s="210" t="s">
        <v>407</v>
      </c>
    </row>
    <row r="27" spans="1:37" ht="12" customHeight="1" x14ac:dyDescent="0.2">
      <c r="A27" s="208" t="s">
        <v>419</v>
      </c>
      <c r="B27" s="200">
        <f t="shared" si="36"/>
        <v>42.36</v>
      </c>
      <c r="C27" s="200">
        <v>37.340000000000003</v>
      </c>
      <c r="D27" s="200">
        <f t="shared" si="19"/>
        <v>401.92776000000003</v>
      </c>
      <c r="E27" s="200">
        <v>5.0199999999999996</v>
      </c>
      <c r="F27" s="200">
        <f t="shared" si="20"/>
        <v>54.035279999999993</v>
      </c>
      <c r="G27" s="200">
        <v>0</v>
      </c>
      <c r="H27" s="201">
        <f t="shared" si="21"/>
        <v>0</v>
      </c>
      <c r="I27" s="200">
        <f t="shared" si="22"/>
        <v>455.96304000000003</v>
      </c>
      <c r="J27" s="202">
        <f t="shared" si="23"/>
        <v>661.14640800000006</v>
      </c>
      <c r="K27" s="203">
        <f t="shared" si="24"/>
        <v>4760254.1376</v>
      </c>
      <c r="L27" s="204">
        <v>400000</v>
      </c>
      <c r="M27" s="204">
        <v>200000</v>
      </c>
      <c r="N27" s="205">
        <f t="shared" si="25"/>
        <v>5360254.1376</v>
      </c>
      <c r="O27" s="205">
        <f t="shared" si="26"/>
        <v>0</v>
      </c>
      <c r="P27" s="203">
        <f t="shared" si="27"/>
        <v>5360254.1376</v>
      </c>
      <c r="Q27" s="203">
        <f t="shared" si="28"/>
        <v>165286.60200000001</v>
      </c>
      <c r="R27" s="203">
        <f t="shared" si="29"/>
        <v>132229.28160000002</v>
      </c>
      <c r="S27" s="203">
        <f t="shared" si="30"/>
        <v>99171.961200000005</v>
      </c>
      <c r="T27" s="203">
        <f t="shared" si="31"/>
        <v>5756941.9824000001</v>
      </c>
      <c r="U27" s="203">
        <v>30000</v>
      </c>
      <c r="V27" s="203">
        <f t="shared" si="32"/>
        <v>643230.49651199998</v>
      </c>
      <c r="W27" s="203">
        <f t="shared" si="33"/>
        <v>35701.906031999999</v>
      </c>
      <c r="X27" s="203">
        <f t="shared" si="34"/>
        <v>375300</v>
      </c>
      <c r="Y27" s="205">
        <v>6000</v>
      </c>
      <c r="Z27" s="205">
        <f t="shared" si="35"/>
        <v>6847174.3849439994</v>
      </c>
      <c r="AA27" s="206"/>
      <c r="AB27" s="206" t="s">
        <v>403</v>
      </c>
      <c r="AC27" s="206"/>
      <c r="AD27" s="206" t="s">
        <v>404</v>
      </c>
      <c r="AE27" s="206"/>
      <c r="AF27" s="210">
        <v>157</v>
      </c>
      <c r="AG27" s="209" t="s">
        <v>420</v>
      </c>
      <c r="AH27" s="210" t="s">
        <v>40</v>
      </c>
      <c r="AI27" s="209" t="s">
        <v>273</v>
      </c>
      <c r="AJ27" s="210" t="s">
        <v>407</v>
      </c>
    </row>
    <row r="28" spans="1:37" ht="12" customHeight="1" x14ac:dyDescent="0.2">
      <c r="A28" s="208" t="s">
        <v>421</v>
      </c>
      <c r="B28" s="200">
        <f t="shared" si="36"/>
        <v>43.93</v>
      </c>
      <c r="C28" s="200">
        <v>38.630000000000003</v>
      </c>
      <c r="D28" s="200">
        <f t="shared" si="19"/>
        <v>415.81331999999998</v>
      </c>
      <c r="E28" s="200">
        <v>5.3</v>
      </c>
      <c r="F28" s="200">
        <f t="shared" si="20"/>
        <v>57.049199999999992</v>
      </c>
      <c r="G28" s="200">
        <v>0</v>
      </c>
      <c r="H28" s="201">
        <f t="shared" si="21"/>
        <v>0</v>
      </c>
      <c r="I28" s="200">
        <f t="shared" si="22"/>
        <v>472.86251999999996</v>
      </c>
      <c r="J28" s="202">
        <f t="shared" si="23"/>
        <v>685.65065399999992</v>
      </c>
      <c r="K28" s="203">
        <f t="shared" si="24"/>
        <v>4936684.7087999992</v>
      </c>
      <c r="L28" s="204">
        <v>400000</v>
      </c>
      <c r="M28" s="204">
        <v>200000</v>
      </c>
      <c r="N28" s="205">
        <f t="shared" si="25"/>
        <v>5536684.7087999992</v>
      </c>
      <c r="O28" s="205">
        <f t="shared" si="26"/>
        <v>0</v>
      </c>
      <c r="P28" s="203">
        <f t="shared" si="27"/>
        <v>5536684.7087999992</v>
      </c>
      <c r="Q28" s="203">
        <f t="shared" si="28"/>
        <v>171412.66349999997</v>
      </c>
      <c r="R28" s="203">
        <f t="shared" si="29"/>
        <v>137130.13079999998</v>
      </c>
      <c r="S28" s="203">
        <f t="shared" si="30"/>
        <v>102847.59809999999</v>
      </c>
      <c r="T28" s="203">
        <f t="shared" si="31"/>
        <v>5948075.1011999995</v>
      </c>
      <c r="U28" s="203">
        <v>30000</v>
      </c>
      <c r="V28" s="203">
        <f t="shared" si="32"/>
        <v>664402.16505599988</v>
      </c>
      <c r="W28" s="203">
        <f t="shared" si="33"/>
        <v>37025.135315999993</v>
      </c>
      <c r="X28" s="203">
        <f t="shared" si="34"/>
        <v>387600</v>
      </c>
      <c r="Y28" s="205">
        <v>6000</v>
      </c>
      <c r="Z28" s="205">
        <f t="shared" si="35"/>
        <v>7073102.4015719993</v>
      </c>
      <c r="AA28" s="206"/>
      <c r="AB28" s="206" t="s">
        <v>403</v>
      </c>
      <c r="AC28" s="206"/>
      <c r="AD28" s="206" t="s">
        <v>404</v>
      </c>
      <c r="AE28" s="206"/>
      <c r="AF28" s="212">
        <v>158</v>
      </c>
      <c r="AG28" s="209" t="s">
        <v>422</v>
      </c>
      <c r="AH28" s="210" t="s">
        <v>40</v>
      </c>
      <c r="AI28" s="209" t="s">
        <v>273</v>
      </c>
      <c r="AJ28" s="210" t="s">
        <v>407</v>
      </c>
    </row>
    <row r="29" spans="1:37" ht="15.75" customHeight="1" x14ac:dyDescent="0.2">
      <c r="A29" s="208" t="s">
        <v>423</v>
      </c>
      <c r="B29" s="200">
        <f t="shared" si="36"/>
        <v>66.8</v>
      </c>
      <c r="C29" s="200">
        <v>59.4</v>
      </c>
      <c r="D29" s="200">
        <f t="shared" si="19"/>
        <v>639.38159999999993</v>
      </c>
      <c r="E29" s="200">
        <v>7.4</v>
      </c>
      <c r="F29" s="200">
        <f t="shared" si="20"/>
        <v>79.653599999999997</v>
      </c>
      <c r="G29" s="200">
        <v>0</v>
      </c>
      <c r="H29" s="201">
        <f t="shared" si="21"/>
        <v>0</v>
      </c>
      <c r="I29" s="200">
        <f t="shared" si="22"/>
        <v>719.03519999999992</v>
      </c>
      <c r="J29" s="202">
        <f t="shared" si="23"/>
        <v>1042.6010399999998</v>
      </c>
      <c r="K29" s="203">
        <f t="shared" si="24"/>
        <v>7506727.487999998</v>
      </c>
      <c r="L29" s="203">
        <v>400000</v>
      </c>
      <c r="M29" s="203">
        <v>70000</v>
      </c>
      <c r="N29" s="205">
        <f t="shared" si="25"/>
        <v>7976727.487999998</v>
      </c>
      <c r="O29" s="205">
        <f t="shared" si="26"/>
        <v>0</v>
      </c>
      <c r="P29" s="203">
        <f t="shared" si="27"/>
        <v>7976727.487999998</v>
      </c>
      <c r="Q29" s="203">
        <f t="shared" si="28"/>
        <v>260650.25999999995</v>
      </c>
      <c r="R29" s="203">
        <f t="shared" si="29"/>
        <v>208520.20799999996</v>
      </c>
      <c r="S29" s="203">
        <f t="shared" si="30"/>
        <v>156390.15599999996</v>
      </c>
      <c r="T29" s="203">
        <f t="shared" si="31"/>
        <v>8602288.1119999979</v>
      </c>
      <c r="U29" s="203">
        <v>30000</v>
      </c>
      <c r="V29" s="203">
        <f t="shared" si="32"/>
        <v>957207.29855999968</v>
      </c>
      <c r="W29" s="203">
        <f t="shared" si="33"/>
        <v>56300.456159999987</v>
      </c>
      <c r="X29" s="203">
        <f t="shared" si="34"/>
        <v>558400</v>
      </c>
      <c r="Y29" s="205">
        <v>6000</v>
      </c>
      <c r="Z29" s="205">
        <f t="shared" si="35"/>
        <v>10210195.866719997</v>
      </c>
      <c r="AA29" s="206"/>
      <c r="AB29" s="206" t="s">
        <v>424</v>
      </c>
      <c r="AC29" s="206"/>
      <c r="AD29" s="206"/>
      <c r="AE29" s="206"/>
      <c r="AF29" s="209">
        <v>159</v>
      </c>
      <c r="AG29" s="209" t="s">
        <v>425</v>
      </c>
      <c r="AH29" s="206" t="s">
        <v>40</v>
      </c>
      <c r="AI29" s="209" t="s">
        <v>273</v>
      </c>
      <c r="AJ29" s="210" t="s">
        <v>407</v>
      </c>
      <c r="AK29" s="213" t="s">
        <v>426</v>
      </c>
    </row>
    <row r="30" spans="1:37" ht="15.75" customHeight="1" x14ac:dyDescent="0.2">
      <c r="A30" s="214"/>
      <c r="B30" s="82">
        <f t="shared" ref="B30:J30" si="37">SUM(B4:B29)</f>
        <v>1954.91</v>
      </c>
      <c r="C30" s="82">
        <f t="shared" si="37"/>
        <v>1417.5400000000002</v>
      </c>
      <c r="D30" s="82">
        <f t="shared" si="37"/>
        <v>15258.400560000002</v>
      </c>
      <c r="E30" s="215">
        <f t="shared" si="37"/>
        <v>126.72999999999998</v>
      </c>
      <c r="F30" s="215">
        <f t="shared" si="37"/>
        <v>1364.1217199999999</v>
      </c>
      <c r="G30" s="82">
        <f t="shared" si="37"/>
        <v>410.63999999999993</v>
      </c>
      <c r="H30" s="82">
        <f t="shared" si="37"/>
        <v>4420.12896</v>
      </c>
      <c r="I30" s="82">
        <f t="shared" si="37"/>
        <v>21042.651239999988</v>
      </c>
      <c r="J30" s="82">
        <f t="shared" si="37"/>
        <v>27307.250802000002</v>
      </c>
      <c r="K30" s="82"/>
      <c r="L30" s="82"/>
      <c r="M30" s="82"/>
      <c r="N30" s="82"/>
      <c r="O30" s="82"/>
      <c r="P30" s="216">
        <f>SUM(P4:P29)</f>
        <v>218472205.7744</v>
      </c>
      <c r="Q30" s="82"/>
      <c r="R30" s="82"/>
      <c r="S30" s="82"/>
      <c r="T30" s="82"/>
      <c r="U30" s="82"/>
      <c r="V30" s="82"/>
      <c r="W30" s="82"/>
      <c r="X30" s="82"/>
      <c r="Y30" s="82"/>
      <c r="Z30" s="216">
        <f>SUM(Z4:Z29)</f>
        <v>278778112.49183595</v>
      </c>
      <c r="AA30" s="144"/>
      <c r="AB30" s="144"/>
      <c r="AC30" s="144"/>
      <c r="AD30" s="144"/>
      <c r="AE30" s="144"/>
      <c r="AF30" s="144"/>
      <c r="AG30" s="144"/>
      <c r="AH30" s="144"/>
      <c r="AI30" s="144"/>
    </row>
    <row r="31" spans="1:37" ht="15.75" customHeight="1" x14ac:dyDescent="0.2">
      <c r="A31" s="217"/>
      <c r="B31" s="218"/>
      <c r="C31" s="218"/>
      <c r="D31" s="41"/>
      <c r="E31" s="218"/>
      <c r="F31" s="218"/>
      <c r="G31" s="41"/>
      <c r="H31" s="41"/>
      <c r="I31" s="41"/>
      <c r="J31" s="166"/>
      <c r="K31" s="41"/>
      <c r="L31" s="41"/>
      <c r="M31" s="41"/>
      <c r="N31" s="166"/>
      <c r="O31" s="166"/>
      <c r="P31" s="41"/>
      <c r="Q31" s="41"/>
      <c r="R31" s="41"/>
      <c r="S31" s="41"/>
      <c r="T31" s="41"/>
      <c r="U31" s="41"/>
      <c r="V31" s="41"/>
      <c r="W31" s="41"/>
      <c r="X31" s="41"/>
      <c r="Y31" s="166"/>
      <c r="Z31" s="166"/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7" ht="15.75" customHeight="1" x14ac:dyDescent="0.2">
      <c r="A32" s="217"/>
      <c r="B32" s="218"/>
      <c r="C32" s="218"/>
      <c r="D32" s="41"/>
      <c r="E32" s="218"/>
      <c r="F32" s="218"/>
      <c r="G32" s="41"/>
      <c r="H32" s="41"/>
      <c r="I32" s="41"/>
      <c r="J32" s="166"/>
      <c r="K32" s="41"/>
      <c r="L32" s="41"/>
      <c r="M32" s="41" t="s">
        <v>0</v>
      </c>
      <c r="N32" s="166"/>
      <c r="O32" s="166"/>
      <c r="P32" s="41"/>
      <c r="Q32" s="41"/>
      <c r="R32" s="41"/>
      <c r="S32" s="41"/>
      <c r="T32" s="41"/>
      <c r="U32" s="41"/>
      <c r="V32" s="41"/>
      <c r="W32" s="41"/>
      <c r="X32" s="41"/>
      <c r="Y32" s="166"/>
      <c r="Z32" s="166"/>
      <c r="AA32" s="41"/>
      <c r="AB32" s="41"/>
      <c r="AC32" s="41"/>
      <c r="AD32" s="41"/>
      <c r="AE32" s="41"/>
      <c r="AF32" s="41"/>
      <c r="AG32" s="41"/>
      <c r="AH32" s="41"/>
      <c r="AI32" s="41"/>
    </row>
    <row r="33" spans="1:35" ht="15.75" customHeight="1" x14ac:dyDescent="0.2">
      <c r="A33" s="217"/>
      <c r="B33" s="218"/>
      <c r="C33" s="218"/>
      <c r="D33" s="41"/>
      <c r="E33" s="218"/>
      <c r="F33" s="218"/>
      <c r="G33" s="41"/>
      <c r="H33" s="41"/>
      <c r="I33" s="41"/>
      <c r="J33" s="166"/>
      <c r="K33" s="41"/>
      <c r="L33" s="41"/>
      <c r="M33" s="41"/>
      <c r="N33" s="166"/>
      <c r="O33" s="166"/>
      <c r="P33" s="41"/>
      <c r="Q33" s="41"/>
      <c r="R33" s="41"/>
      <c r="S33" s="41"/>
      <c r="T33" s="41"/>
      <c r="U33" s="41"/>
      <c r="V33" s="41"/>
      <c r="W33" s="41"/>
      <c r="X33" s="41"/>
      <c r="Y33" s="166"/>
      <c r="Z33" s="166"/>
      <c r="AA33" s="41"/>
      <c r="AB33" s="41"/>
      <c r="AC33" s="41"/>
      <c r="AD33" s="41"/>
      <c r="AE33" s="41"/>
      <c r="AF33" s="41"/>
      <c r="AG33" s="41"/>
      <c r="AH33" s="41"/>
      <c r="AI33" s="41"/>
    </row>
    <row r="34" spans="1:35" ht="15.75" customHeight="1" x14ac:dyDescent="0.2">
      <c r="A34" s="217"/>
      <c r="B34" s="218"/>
      <c r="C34" s="218"/>
      <c r="D34" s="41"/>
      <c r="E34" s="218"/>
      <c r="F34" s="218"/>
      <c r="G34" s="41"/>
      <c r="H34" s="41"/>
      <c r="I34" s="41"/>
      <c r="J34" s="166"/>
      <c r="K34" s="41"/>
      <c r="L34" s="41"/>
      <c r="M34" s="41"/>
      <c r="N34" s="166"/>
      <c r="O34" s="166"/>
      <c r="P34" s="41"/>
      <c r="Q34" s="41"/>
      <c r="R34" s="41"/>
      <c r="S34" s="41"/>
      <c r="T34" s="41"/>
      <c r="U34" s="41"/>
      <c r="V34" s="41"/>
      <c r="W34" s="41"/>
      <c r="X34" s="41"/>
      <c r="Y34" s="166"/>
      <c r="Z34" s="166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ht="15.75" customHeight="1" x14ac:dyDescent="0.2">
      <c r="A35" s="217"/>
      <c r="B35" s="218"/>
      <c r="C35" s="218"/>
      <c r="D35" s="41"/>
      <c r="E35" s="218"/>
      <c r="F35" s="218"/>
      <c r="G35" s="41"/>
      <c r="H35" s="41"/>
      <c r="I35" s="41"/>
      <c r="J35" s="166"/>
      <c r="K35" s="41"/>
      <c r="L35" s="41"/>
      <c r="M35" s="41"/>
      <c r="N35" s="166"/>
      <c r="O35" s="166"/>
      <c r="P35" s="41"/>
      <c r="Q35" s="41"/>
      <c r="R35" s="41"/>
      <c r="S35" s="41"/>
      <c r="T35" s="41"/>
      <c r="U35" s="41"/>
      <c r="V35" s="41"/>
      <c r="W35" s="41"/>
      <c r="X35" s="41"/>
      <c r="Y35" s="166"/>
      <c r="Z35" s="166"/>
      <c r="AA35" s="41"/>
      <c r="AB35" s="41"/>
      <c r="AC35" s="41"/>
      <c r="AD35" s="41"/>
      <c r="AE35" s="41"/>
      <c r="AF35" s="41"/>
      <c r="AG35" s="41"/>
      <c r="AH35" s="41"/>
      <c r="AI35" s="41"/>
    </row>
    <row r="36" spans="1:35" ht="15.75" customHeight="1" x14ac:dyDescent="0.2">
      <c r="A36" s="217"/>
      <c r="B36" s="218"/>
      <c r="C36" s="218"/>
      <c r="D36" s="41"/>
      <c r="E36" s="218"/>
      <c r="F36" s="218"/>
      <c r="G36" s="41"/>
      <c r="H36" s="41"/>
      <c r="I36" s="41"/>
      <c r="J36" s="166"/>
      <c r="K36" s="41"/>
      <c r="L36" s="41"/>
      <c r="M36" s="41"/>
      <c r="N36" s="166"/>
      <c r="O36" s="166"/>
      <c r="P36" s="41"/>
      <c r="Q36" s="41"/>
      <c r="R36" s="41"/>
      <c r="S36" s="41"/>
      <c r="T36" s="41"/>
      <c r="U36" s="41"/>
      <c r="V36" s="41"/>
      <c r="W36" s="41"/>
      <c r="X36" s="41"/>
      <c r="Y36" s="166"/>
      <c r="Z36" s="166"/>
      <c r="AA36" s="41"/>
      <c r="AB36" s="41"/>
      <c r="AC36" s="41"/>
      <c r="AD36" s="41"/>
      <c r="AE36" s="41"/>
      <c r="AF36" s="41"/>
      <c r="AG36" s="41"/>
      <c r="AH36" s="41"/>
      <c r="AI36" s="41"/>
    </row>
    <row r="37" spans="1:35" ht="15.75" customHeight="1" x14ac:dyDescent="0.2">
      <c r="A37" s="217"/>
      <c r="B37" s="218"/>
      <c r="C37" s="218"/>
      <c r="D37" s="41"/>
      <c r="E37" s="218"/>
      <c r="F37" s="218"/>
      <c r="G37" s="41"/>
      <c r="H37" s="41"/>
      <c r="I37" s="41"/>
      <c r="J37" s="166"/>
      <c r="K37" s="41"/>
      <c r="L37" s="41"/>
      <c r="M37" s="41"/>
      <c r="N37" s="166"/>
      <c r="O37" s="166"/>
      <c r="P37" s="41"/>
      <c r="Q37" s="41"/>
      <c r="R37" s="41"/>
      <c r="S37" s="41"/>
      <c r="T37" s="41"/>
      <c r="U37" s="41"/>
      <c r="V37" s="41"/>
      <c r="W37" s="41"/>
      <c r="X37" s="41"/>
      <c r="Y37" s="166"/>
      <c r="Z37" s="166"/>
      <c r="AA37" s="41"/>
      <c r="AB37" s="41"/>
      <c r="AC37" s="41"/>
      <c r="AD37" s="41"/>
      <c r="AE37" s="41"/>
      <c r="AF37" s="41"/>
      <c r="AG37" s="41"/>
      <c r="AH37" s="41"/>
      <c r="AI37" s="41"/>
    </row>
    <row r="38" spans="1:35" ht="15.75" customHeight="1" x14ac:dyDescent="0.2">
      <c r="A38" s="217"/>
      <c r="B38" s="218"/>
      <c r="C38" s="218"/>
      <c r="D38" s="41"/>
      <c r="E38" s="218"/>
      <c r="F38" s="218"/>
      <c r="G38" s="41"/>
      <c r="H38" s="41"/>
      <c r="I38" s="41"/>
      <c r="J38" s="166"/>
      <c r="K38" s="41"/>
      <c r="L38" s="41"/>
      <c r="M38" s="41"/>
      <c r="N38" s="166"/>
      <c r="O38" s="166"/>
      <c r="P38" s="41"/>
      <c r="Q38" s="41"/>
      <c r="R38" s="41"/>
      <c r="S38" s="41"/>
      <c r="T38" s="41"/>
      <c r="U38" s="41"/>
      <c r="V38" s="41"/>
      <c r="W38" s="41"/>
      <c r="X38" s="41"/>
      <c r="Y38" s="166"/>
      <c r="Z38" s="166"/>
      <c r="AA38" s="41"/>
      <c r="AB38" s="41"/>
      <c r="AC38" s="41"/>
      <c r="AD38" s="41"/>
      <c r="AE38" s="41"/>
      <c r="AF38" s="41"/>
      <c r="AG38" s="41"/>
      <c r="AH38" s="41"/>
      <c r="AI38" s="41"/>
    </row>
    <row r="39" spans="1:35" ht="15.75" customHeight="1" x14ac:dyDescent="0.2">
      <c r="A39" s="217"/>
      <c r="B39" s="218"/>
      <c r="C39" s="218"/>
      <c r="D39" s="41"/>
      <c r="E39" s="218"/>
      <c r="F39" s="218"/>
      <c r="G39" s="41"/>
      <c r="H39" s="41"/>
      <c r="I39" s="41"/>
      <c r="J39" s="166"/>
      <c r="K39" s="41"/>
      <c r="L39" s="41"/>
      <c r="M39" s="41"/>
      <c r="N39" s="166"/>
      <c r="O39" s="166"/>
      <c r="P39" s="41"/>
      <c r="Q39" s="41"/>
      <c r="R39" s="41"/>
      <c r="S39" s="41"/>
      <c r="T39" s="41"/>
      <c r="U39" s="41"/>
      <c r="V39" s="41"/>
      <c r="W39" s="41"/>
      <c r="X39" s="41"/>
      <c r="Y39" s="166"/>
      <c r="Z39" s="166"/>
      <c r="AA39" s="41"/>
      <c r="AB39" s="41"/>
      <c r="AC39" s="41"/>
      <c r="AD39" s="41"/>
      <c r="AE39" s="41"/>
      <c r="AF39" s="41"/>
      <c r="AG39" s="41"/>
      <c r="AH39" s="41"/>
      <c r="AI39" s="41"/>
    </row>
    <row r="40" spans="1:35" ht="15.75" customHeight="1" x14ac:dyDescent="0.2">
      <c r="A40" s="217"/>
      <c r="B40" s="218"/>
      <c r="C40" s="218"/>
      <c r="D40" s="41"/>
      <c r="E40" s="218"/>
      <c r="F40" s="218"/>
      <c r="G40" s="41"/>
      <c r="H40" s="41"/>
      <c r="I40" s="41"/>
      <c r="J40" s="166"/>
      <c r="K40" s="41"/>
      <c r="L40" s="41"/>
      <c r="M40" s="41"/>
      <c r="N40" s="166"/>
      <c r="O40" s="166"/>
      <c r="P40" s="41"/>
      <c r="Q40" s="41"/>
      <c r="R40" s="41"/>
      <c r="S40" s="41"/>
      <c r="T40" s="41"/>
      <c r="U40" s="41"/>
      <c r="V40" s="41"/>
      <c r="W40" s="41"/>
      <c r="X40" s="41"/>
      <c r="Y40" s="166"/>
      <c r="Z40" s="166"/>
      <c r="AA40" s="41"/>
      <c r="AB40" s="41"/>
      <c r="AC40" s="41"/>
      <c r="AD40" s="41"/>
      <c r="AE40" s="41"/>
      <c r="AF40" s="41"/>
      <c r="AG40" s="41"/>
      <c r="AH40" s="41"/>
      <c r="AI40" s="41"/>
    </row>
    <row r="41" spans="1:35" ht="15.75" customHeight="1" x14ac:dyDescent="0.2">
      <c r="A41" s="217"/>
      <c r="B41" s="218"/>
      <c r="C41" s="218"/>
      <c r="D41" s="41"/>
      <c r="E41" s="218"/>
      <c r="F41" s="218"/>
      <c r="G41" s="41"/>
      <c r="H41" s="41"/>
      <c r="I41" s="41"/>
      <c r="J41" s="166"/>
      <c r="K41" s="41"/>
      <c r="L41" s="41"/>
      <c r="M41" s="41"/>
      <c r="N41" s="166"/>
      <c r="O41" s="166"/>
      <c r="P41" s="41"/>
      <c r="Q41" s="41"/>
      <c r="R41" s="41"/>
      <c r="S41" s="41"/>
      <c r="T41" s="41"/>
      <c r="U41" s="41"/>
      <c r="V41" s="41"/>
      <c r="W41" s="41"/>
      <c r="X41" s="41"/>
      <c r="Y41" s="166"/>
      <c r="Z41" s="166"/>
      <c r="AA41" s="41"/>
      <c r="AB41" s="41"/>
      <c r="AC41" s="41"/>
      <c r="AD41" s="41"/>
      <c r="AE41" s="41"/>
      <c r="AF41" s="41"/>
      <c r="AG41" s="41"/>
      <c r="AH41" s="41"/>
      <c r="AI41" s="41"/>
    </row>
    <row r="42" spans="1:35" ht="15.75" customHeight="1" x14ac:dyDescent="0.2">
      <c r="A42" s="217"/>
      <c r="B42" s="218"/>
      <c r="C42" s="218"/>
      <c r="D42" s="41"/>
      <c r="E42" s="218"/>
      <c r="F42" s="218"/>
      <c r="G42" s="41"/>
      <c r="H42" s="41"/>
      <c r="I42" s="41"/>
      <c r="J42" s="166"/>
      <c r="K42" s="41"/>
      <c r="L42" s="41"/>
      <c r="M42" s="41"/>
      <c r="N42" s="166"/>
      <c r="O42" s="166"/>
      <c r="P42" s="41"/>
      <c r="Q42" s="41"/>
      <c r="R42" s="41"/>
      <c r="S42" s="41"/>
      <c r="T42" s="41"/>
      <c r="U42" s="41"/>
      <c r="V42" s="41"/>
      <c r="W42" s="41"/>
      <c r="X42" s="41"/>
      <c r="Y42" s="166"/>
      <c r="Z42" s="166"/>
      <c r="AA42" s="41"/>
      <c r="AB42" s="41"/>
      <c r="AC42" s="41"/>
      <c r="AD42" s="41"/>
      <c r="AE42" s="41"/>
      <c r="AF42" s="41"/>
      <c r="AG42" s="41"/>
      <c r="AH42" s="41"/>
      <c r="AI42" s="41"/>
    </row>
    <row r="43" spans="1:35" ht="15.75" customHeight="1" x14ac:dyDescent="0.2">
      <c r="A43" s="217"/>
      <c r="B43" s="218"/>
      <c r="C43" s="218"/>
      <c r="D43" s="41"/>
      <c r="E43" s="218"/>
      <c r="F43" s="218"/>
      <c r="G43" s="41"/>
      <c r="H43" s="41"/>
      <c r="I43" s="41"/>
      <c r="J43" s="166"/>
      <c r="K43" s="41"/>
      <c r="L43" s="41"/>
      <c r="M43" s="41"/>
      <c r="N43" s="166"/>
      <c r="O43" s="166"/>
      <c r="P43" s="41"/>
      <c r="Q43" s="41"/>
      <c r="R43" s="41"/>
      <c r="S43" s="41"/>
      <c r="T43" s="41"/>
      <c r="U43" s="41"/>
      <c r="V43" s="41"/>
      <c r="W43" s="41"/>
      <c r="X43" s="41"/>
      <c r="Y43" s="166"/>
      <c r="Z43" s="166"/>
      <c r="AA43" s="41"/>
      <c r="AB43" s="41"/>
      <c r="AC43" s="41"/>
      <c r="AD43" s="41"/>
      <c r="AE43" s="41"/>
      <c r="AF43" s="41"/>
      <c r="AG43" s="41"/>
      <c r="AH43" s="41"/>
      <c r="AI43" s="41"/>
    </row>
    <row r="44" spans="1:35" ht="15.75" customHeight="1" x14ac:dyDescent="0.2">
      <c r="A44" s="217"/>
      <c r="B44" s="218"/>
      <c r="C44" s="218"/>
      <c r="D44" s="41"/>
      <c r="E44" s="218"/>
      <c r="F44" s="218"/>
      <c r="G44" s="41"/>
      <c r="H44" s="41"/>
      <c r="I44" s="41"/>
      <c r="J44" s="166"/>
      <c r="K44" s="41"/>
      <c r="L44" s="41"/>
      <c r="M44" s="41"/>
      <c r="N44" s="166"/>
      <c r="O44" s="166"/>
      <c r="P44" s="41"/>
      <c r="Q44" s="41"/>
      <c r="R44" s="41"/>
      <c r="S44" s="41"/>
      <c r="T44" s="41"/>
      <c r="U44" s="41"/>
      <c r="V44" s="41"/>
      <c r="W44" s="41"/>
      <c r="X44" s="41"/>
      <c r="Y44" s="166"/>
      <c r="Z44" s="166"/>
      <c r="AA44" s="41"/>
      <c r="AB44" s="41"/>
      <c r="AC44" s="41"/>
      <c r="AD44" s="41"/>
      <c r="AE44" s="41"/>
      <c r="AF44" s="41"/>
      <c r="AG44" s="41"/>
      <c r="AH44" s="41"/>
      <c r="AI44" s="41"/>
    </row>
    <row r="45" spans="1:35" ht="15.75" customHeight="1" x14ac:dyDescent="0.2">
      <c r="A45" s="217"/>
      <c r="B45" s="218"/>
      <c r="C45" s="218"/>
      <c r="D45" s="41"/>
      <c r="E45" s="218"/>
      <c r="F45" s="218"/>
      <c r="G45" s="41"/>
      <c r="H45" s="41"/>
      <c r="I45" s="41"/>
      <c r="J45" s="166"/>
      <c r="K45" s="41"/>
      <c r="L45" s="41"/>
      <c r="M45" s="41"/>
      <c r="N45" s="166"/>
      <c r="O45" s="166"/>
      <c r="P45" s="41"/>
      <c r="Q45" s="41"/>
      <c r="R45" s="41"/>
      <c r="S45" s="41"/>
      <c r="T45" s="41"/>
      <c r="U45" s="41"/>
      <c r="V45" s="41"/>
      <c r="W45" s="41"/>
      <c r="X45" s="41"/>
      <c r="Y45" s="166"/>
      <c r="Z45" s="166"/>
      <c r="AA45" s="41"/>
      <c r="AB45" s="41"/>
      <c r="AC45" s="41"/>
      <c r="AD45" s="41"/>
      <c r="AE45" s="41"/>
      <c r="AF45" s="41"/>
      <c r="AG45" s="41"/>
      <c r="AH45" s="41"/>
      <c r="AI45" s="41"/>
    </row>
    <row r="46" spans="1:35" ht="15.75" customHeight="1" x14ac:dyDescent="0.2">
      <c r="A46" s="217"/>
      <c r="B46" s="218"/>
      <c r="C46" s="218"/>
      <c r="D46" s="41"/>
      <c r="E46" s="218"/>
      <c r="F46" s="218"/>
      <c r="G46" s="41"/>
      <c r="H46" s="41"/>
      <c r="I46" s="41"/>
      <c r="J46" s="166"/>
      <c r="K46" s="41"/>
      <c r="L46" s="41"/>
      <c r="M46" s="41"/>
      <c r="N46" s="166"/>
      <c r="O46" s="166"/>
      <c r="P46" s="41"/>
      <c r="Q46" s="41"/>
      <c r="R46" s="41"/>
      <c r="S46" s="41"/>
      <c r="T46" s="41"/>
      <c r="U46" s="41"/>
      <c r="V46" s="41"/>
      <c r="W46" s="41"/>
      <c r="X46" s="41"/>
      <c r="Y46" s="166"/>
      <c r="Z46" s="166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5.75" customHeight="1" x14ac:dyDescent="0.2">
      <c r="A47" s="217"/>
      <c r="B47" s="218"/>
      <c r="C47" s="218"/>
      <c r="D47" s="41"/>
      <c r="E47" s="218"/>
      <c r="F47" s="218"/>
      <c r="G47" s="41"/>
      <c r="H47" s="41"/>
      <c r="I47" s="41"/>
      <c r="J47" s="166"/>
      <c r="K47" s="41"/>
      <c r="L47" s="41"/>
      <c r="M47" s="41"/>
      <c r="N47" s="166"/>
      <c r="O47" s="166"/>
      <c r="P47" s="41"/>
      <c r="Q47" s="41"/>
      <c r="R47" s="41"/>
      <c r="S47" s="41"/>
      <c r="T47" s="41"/>
      <c r="U47" s="41"/>
      <c r="V47" s="41"/>
      <c r="W47" s="41"/>
      <c r="X47" s="41"/>
      <c r="Y47" s="166"/>
      <c r="Z47" s="166"/>
      <c r="AA47" s="41"/>
      <c r="AB47" s="41"/>
      <c r="AC47" s="41"/>
      <c r="AD47" s="41"/>
      <c r="AE47" s="41"/>
      <c r="AF47" s="41"/>
      <c r="AG47" s="41"/>
      <c r="AH47" s="41"/>
      <c r="AI47" s="41"/>
    </row>
    <row r="48" spans="1:35" ht="15.75" customHeight="1" x14ac:dyDescent="0.2">
      <c r="A48" s="217"/>
      <c r="B48" s="218"/>
      <c r="C48" s="218"/>
      <c r="D48" s="41"/>
      <c r="E48" s="218"/>
      <c r="F48" s="218"/>
      <c r="G48" s="41"/>
      <c r="H48" s="41"/>
      <c r="I48" s="41"/>
      <c r="J48" s="166"/>
      <c r="K48" s="41"/>
      <c r="L48" s="41"/>
      <c r="M48" s="41"/>
      <c r="N48" s="166"/>
      <c r="O48" s="166"/>
      <c r="P48" s="41"/>
      <c r="Q48" s="41"/>
      <c r="R48" s="41"/>
      <c r="S48" s="41"/>
      <c r="T48" s="41"/>
      <c r="U48" s="41"/>
      <c r="V48" s="41"/>
      <c r="W48" s="41"/>
      <c r="X48" s="41"/>
      <c r="Y48" s="166"/>
      <c r="Z48" s="166"/>
      <c r="AA48" s="41"/>
      <c r="AB48" s="41"/>
      <c r="AC48" s="41"/>
      <c r="AD48" s="41"/>
      <c r="AE48" s="41"/>
      <c r="AF48" s="41"/>
      <c r="AG48" s="41"/>
      <c r="AH48" s="41"/>
      <c r="AI48" s="41"/>
    </row>
    <row r="49" spans="1:35" ht="15.75" customHeight="1" x14ac:dyDescent="0.2">
      <c r="A49" s="217"/>
      <c r="B49" s="218"/>
      <c r="C49" s="218"/>
      <c r="D49" s="41"/>
      <c r="E49" s="218"/>
      <c r="F49" s="218"/>
      <c r="G49" s="41"/>
      <c r="H49" s="41"/>
      <c r="I49" s="41"/>
      <c r="J49" s="166"/>
      <c r="K49" s="41"/>
      <c r="L49" s="41"/>
      <c r="M49" s="41"/>
      <c r="N49" s="166"/>
      <c r="O49" s="166"/>
      <c r="P49" s="41"/>
      <c r="Q49" s="41"/>
      <c r="R49" s="41"/>
      <c r="S49" s="41"/>
      <c r="T49" s="41"/>
      <c r="U49" s="41"/>
      <c r="V49" s="41"/>
      <c r="W49" s="41"/>
      <c r="X49" s="41"/>
      <c r="Y49" s="166"/>
      <c r="Z49" s="166"/>
      <c r="AA49" s="41"/>
      <c r="AB49" s="41"/>
      <c r="AC49" s="41"/>
      <c r="AD49" s="41"/>
      <c r="AE49" s="41"/>
      <c r="AF49" s="41"/>
      <c r="AG49" s="41"/>
      <c r="AH49" s="41"/>
      <c r="AI49" s="41"/>
    </row>
    <row r="50" spans="1:35" ht="15.75" customHeight="1" x14ac:dyDescent="0.2">
      <c r="A50" s="217"/>
      <c r="B50" s="218"/>
      <c r="C50" s="218"/>
      <c r="D50" s="41"/>
      <c r="E50" s="218"/>
      <c r="F50" s="218"/>
      <c r="G50" s="41"/>
      <c r="H50" s="41"/>
      <c r="I50" s="41"/>
      <c r="J50" s="166"/>
      <c r="K50" s="41"/>
      <c r="L50" s="41"/>
      <c r="M50" s="41"/>
      <c r="N50" s="166"/>
      <c r="O50" s="166"/>
      <c r="P50" s="41"/>
      <c r="Q50" s="41"/>
      <c r="R50" s="41"/>
      <c r="S50" s="41"/>
      <c r="T50" s="41"/>
      <c r="U50" s="41"/>
      <c r="V50" s="41"/>
      <c r="W50" s="41"/>
      <c r="X50" s="41"/>
      <c r="Y50" s="166"/>
      <c r="Z50" s="166"/>
      <c r="AA50" s="41"/>
      <c r="AB50" s="41"/>
      <c r="AC50" s="41"/>
      <c r="AD50" s="41"/>
      <c r="AE50" s="41"/>
      <c r="AF50" s="41"/>
      <c r="AG50" s="41"/>
      <c r="AH50" s="41"/>
      <c r="AI50" s="41"/>
    </row>
    <row r="51" spans="1:35" ht="15.75" customHeight="1" x14ac:dyDescent="0.2">
      <c r="A51" s="217"/>
      <c r="B51" s="218"/>
      <c r="C51" s="218"/>
      <c r="D51" s="41"/>
      <c r="E51" s="218"/>
      <c r="F51" s="218"/>
      <c r="G51" s="41"/>
      <c r="H51" s="41"/>
      <c r="I51" s="41"/>
      <c r="J51" s="166"/>
      <c r="K51" s="41"/>
      <c r="L51" s="41"/>
      <c r="M51" s="41"/>
      <c r="N51" s="166"/>
      <c r="O51" s="166"/>
      <c r="P51" s="41"/>
      <c r="Q51" s="41"/>
      <c r="R51" s="41"/>
      <c r="S51" s="41"/>
      <c r="T51" s="41"/>
      <c r="U51" s="41"/>
      <c r="V51" s="41"/>
      <c r="W51" s="41"/>
      <c r="X51" s="41"/>
      <c r="Y51" s="166"/>
      <c r="Z51" s="166"/>
      <c r="AA51" s="41"/>
      <c r="AB51" s="41"/>
      <c r="AC51" s="41"/>
      <c r="AD51" s="41"/>
      <c r="AE51" s="41"/>
      <c r="AF51" s="41"/>
      <c r="AG51" s="41"/>
      <c r="AH51" s="41"/>
      <c r="AI51" s="41"/>
    </row>
    <row r="52" spans="1:35" ht="15.75" customHeight="1" x14ac:dyDescent="0.2">
      <c r="A52" s="217"/>
      <c r="B52" s="218"/>
      <c r="C52" s="218"/>
      <c r="D52" s="41"/>
      <c r="E52" s="218"/>
      <c r="F52" s="218"/>
      <c r="G52" s="41"/>
      <c r="H52" s="41"/>
      <c r="I52" s="41"/>
      <c r="J52" s="166"/>
      <c r="K52" s="41"/>
      <c r="L52" s="41"/>
      <c r="M52" s="41"/>
      <c r="N52" s="166"/>
      <c r="O52" s="166"/>
      <c r="P52" s="41"/>
      <c r="Q52" s="41"/>
      <c r="R52" s="41"/>
      <c r="S52" s="41"/>
      <c r="T52" s="41"/>
      <c r="U52" s="41"/>
      <c r="V52" s="41"/>
      <c r="W52" s="41"/>
      <c r="X52" s="41"/>
      <c r="Y52" s="166"/>
      <c r="Z52" s="166"/>
      <c r="AA52" s="41"/>
      <c r="AB52" s="41"/>
      <c r="AC52" s="41"/>
      <c r="AD52" s="41"/>
      <c r="AE52" s="41"/>
      <c r="AF52" s="41"/>
      <c r="AG52" s="41"/>
      <c r="AH52" s="41"/>
      <c r="AI52" s="41"/>
    </row>
    <row r="53" spans="1:35" ht="15.75" customHeight="1" x14ac:dyDescent="0.2">
      <c r="A53" s="217"/>
      <c r="B53" s="218"/>
      <c r="C53" s="218"/>
      <c r="D53" s="41"/>
      <c r="E53" s="218"/>
      <c r="F53" s="218"/>
      <c r="G53" s="41"/>
      <c r="H53" s="41"/>
      <c r="I53" s="41"/>
      <c r="J53" s="166"/>
      <c r="K53" s="41"/>
      <c r="L53" s="41"/>
      <c r="M53" s="41"/>
      <c r="N53" s="166"/>
      <c r="O53" s="166"/>
      <c r="P53" s="41"/>
      <c r="Q53" s="41"/>
      <c r="R53" s="41"/>
      <c r="S53" s="41"/>
      <c r="T53" s="41"/>
      <c r="U53" s="41"/>
      <c r="V53" s="41"/>
      <c r="W53" s="41"/>
      <c r="X53" s="41"/>
      <c r="Y53" s="166"/>
      <c r="Z53" s="166"/>
      <c r="AA53" s="41"/>
      <c r="AB53" s="41"/>
      <c r="AC53" s="41"/>
      <c r="AD53" s="41"/>
      <c r="AE53" s="41"/>
      <c r="AF53" s="41"/>
      <c r="AG53" s="41"/>
      <c r="AH53" s="41"/>
      <c r="AI53" s="41"/>
    </row>
    <row r="54" spans="1:35" ht="15.75" customHeight="1" x14ac:dyDescent="0.2">
      <c r="A54" s="217"/>
      <c r="B54" s="218"/>
      <c r="C54" s="218"/>
      <c r="D54" s="41"/>
      <c r="E54" s="218"/>
      <c r="F54" s="218"/>
      <c r="G54" s="41"/>
      <c r="H54" s="41"/>
      <c r="I54" s="41"/>
      <c r="J54" s="166"/>
      <c r="K54" s="41"/>
      <c r="L54" s="41"/>
      <c r="M54" s="41"/>
      <c r="N54" s="166"/>
      <c r="O54" s="166"/>
      <c r="P54" s="41"/>
      <c r="Q54" s="41"/>
      <c r="R54" s="41"/>
      <c r="S54" s="41"/>
      <c r="T54" s="41"/>
      <c r="U54" s="41"/>
      <c r="V54" s="41"/>
      <c r="W54" s="41"/>
      <c r="X54" s="41"/>
      <c r="Y54" s="166"/>
      <c r="Z54" s="166"/>
      <c r="AA54" s="41"/>
      <c r="AB54" s="41"/>
      <c r="AC54" s="41"/>
      <c r="AD54" s="41"/>
      <c r="AE54" s="41"/>
      <c r="AF54" s="41"/>
      <c r="AG54" s="41"/>
      <c r="AH54" s="41"/>
      <c r="AI54" s="41"/>
    </row>
    <row r="55" spans="1:35" ht="15.75" customHeight="1" x14ac:dyDescent="0.2">
      <c r="A55" s="217"/>
      <c r="B55" s="218"/>
      <c r="C55" s="218"/>
      <c r="D55" s="41"/>
      <c r="E55" s="218"/>
      <c r="F55" s="218"/>
      <c r="G55" s="41"/>
      <c r="H55" s="41"/>
      <c r="I55" s="41"/>
      <c r="J55" s="166"/>
      <c r="K55" s="41"/>
      <c r="L55" s="41"/>
      <c r="M55" s="41"/>
      <c r="N55" s="166"/>
      <c r="O55" s="166"/>
      <c r="P55" s="41"/>
      <c r="Q55" s="41"/>
      <c r="R55" s="41"/>
      <c r="S55" s="41"/>
      <c r="T55" s="41"/>
      <c r="U55" s="41"/>
      <c r="V55" s="41"/>
      <c r="W55" s="41"/>
      <c r="X55" s="41"/>
      <c r="Y55" s="166"/>
      <c r="Z55" s="166"/>
      <c r="AA55" s="41"/>
      <c r="AB55" s="41"/>
      <c r="AC55" s="41"/>
      <c r="AD55" s="41"/>
      <c r="AE55" s="41"/>
      <c r="AF55" s="41"/>
      <c r="AG55" s="41"/>
      <c r="AH55" s="41"/>
      <c r="AI55" s="41"/>
    </row>
    <row r="56" spans="1:35" ht="15.75" customHeight="1" x14ac:dyDescent="0.2">
      <c r="A56" s="217"/>
      <c r="B56" s="218"/>
      <c r="C56" s="218"/>
      <c r="D56" s="41"/>
      <c r="E56" s="218"/>
      <c r="F56" s="218"/>
      <c r="G56" s="41"/>
      <c r="H56" s="41"/>
      <c r="I56" s="41"/>
      <c r="J56" s="166"/>
      <c r="K56" s="41"/>
      <c r="L56" s="41"/>
      <c r="M56" s="41"/>
      <c r="N56" s="166"/>
      <c r="O56" s="166"/>
      <c r="P56" s="41"/>
      <c r="Q56" s="41"/>
      <c r="R56" s="41"/>
      <c r="S56" s="41"/>
      <c r="T56" s="41"/>
      <c r="U56" s="41"/>
      <c r="V56" s="41"/>
      <c r="W56" s="41"/>
      <c r="X56" s="41"/>
      <c r="Y56" s="166"/>
      <c r="Z56" s="166"/>
      <c r="AA56" s="41"/>
      <c r="AB56" s="41"/>
      <c r="AC56" s="41"/>
      <c r="AD56" s="41"/>
      <c r="AE56" s="41"/>
      <c r="AF56" s="41"/>
      <c r="AG56" s="41"/>
      <c r="AH56" s="41"/>
      <c r="AI56" s="41"/>
    </row>
    <row r="57" spans="1:35" ht="15.75" customHeight="1" x14ac:dyDescent="0.2">
      <c r="A57" s="217"/>
      <c r="B57" s="218"/>
      <c r="C57" s="218"/>
      <c r="D57" s="41"/>
      <c r="E57" s="218"/>
      <c r="F57" s="218"/>
      <c r="G57" s="41"/>
      <c r="H57" s="41"/>
      <c r="I57" s="41"/>
      <c r="J57" s="166"/>
      <c r="K57" s="41"/>
      <c r="L57" s="41"/>
      <c r="M57" s="41"/>
      <c r="N57" s="166"/>
      <c r="O57" s="166"/>
      <c r="P57" s="41"/>
      <c r="Q57" s="41"/>
      <c r="R57" s="41"/>
      <c r="S57" s="41"/>
      <c r="T57" s="41"/>
      <c r="U57" s="41"/>
      <c r="V57" s="41"/>
      <c r="W57" s="41"/>
      <c r="X57" s="41"/>
      <c r="Y57" s="166"/>
      <c r="Z57" s="166"/>
      <c r="AA57" s="41"/>
      <c r="AB57" s="41"/>
      <c r="AC57" s="41"/>
      <c r="AD57" s="41"/>
      <c r="AE57" s="41"/>
      <c r="AF57" s="41"/>
      <c r="AG57" s="41"/>
      <c r="AH57" s="41"/>
      <c r="AI57" s="41"/>
    </row>
    <row r="58" spans="1:35" ht="15.75" customHeight="1" x14ac:dyDescent="0.2">
      <c r="A58" s="217"/>
      <c r="B58" s="218"/>
      <c r="C58" s="218"/>
      <c r="D58" s="41"/>
      <c r="E58" s="218"/>
      <c r="F58" s="218"/>
      <c r="G58" s="41"/>
      <c r="H58" s="41"/>
      <c r="I58" s="41"/>
      <c r="J58" s="166"/>
      <c r="K58" s="41"/>
      <c r="L58" s="41"/>
      <c r="M58" s="41"/>
      <c r="N58" s="166"/>
      <c r="O58" s="166"/>
      <c r="P58" s="41"/>
      <c r="Q58" s="41"/>
      <c r="R58" s="41"/>
      <c r="S58" s="41"/>
      <c r="T58" s="41"/>
      <c r="U58" s="41"/>
      <c r="V58" s="41"/>
      <c r="W58" s="41"/>
      <c r="X58" s="41"/>
      <c r="Y58" s="166"/>
      <c r="Z58" s="166"/>
      <c r="AA58" s="41"/>
      <c r="AB58" s="41"/>
      <c r="AC58" s="41"/>
      <c r="AD58" s="41"/>
      <c r="AE58" s="41"/>
      <c r="AF58" s="41"/>
      <c r="AG58" s="41"/>
      <c r="AH58" s="41"/>
      <c r="AI58" s="41"/>
    </row>
    <row r="59" spans="1:35" ht="15.75" customHeight="1" x14ac:dyDescent="0.2">
      <c r="A59" s="217"/>
      <c r="B59" s="218"/>
      <c r="C59" s="218"/>
      <c r="D59" s="41"/>
      <c r="E59" s="218"/>
      <c r="F59" s="218"/>
      <c r="G59" s="41"/>
      <c r="H59" s="41"/>
      <c r="I59" s="41"/>
      <c r="J59" s="166"/>
      <c r="K59" s="41"/>
      <c r="L59" s="41"/>
      <c r="M59" s="41"/>
      <c r="N59" s="166"/>
      <c r="O59" s="166"/>
      <c r="P59" s="41"/>
      <c r="Q59" s="41"/>
      <c r="R59" s="41"/>
      <c r="S59" s="41"/>
      <c r="T59" s="41"/>
      <c r="U59" s="41"/>
      <c r="V59" s="41"/>
      <c r="W59" s="41"/>
      <c r="X59" s="41"/>
      <c r="Y59" s="166"/>
      <c r="Z59" s="166"/>
      <c r="AA59" s="41"/>
      <c r="AB59" s="41"/>
      <c r="AC59" s="41"/>
      <c r="AD59" s="41"/>
      <c r="AE59" s="41"/>
      <c r="AF59" s="41"/>
      <c r="AG59" s="41"/>
      <c r="AH59" s="41"/>
      <c r="AI59" s="41"/>
    </row>
    <row r="60" spans="1:35" ht="15.75" customHeight="1" x14ac:dyDescent="0.2">
      <c r="A60" s="217"/>
      <c r="B60" s="218"/>
      <c r="C60" s="218"/>
      <c r="D60" s="41"/>
      <c r="E60" s="218"/>
      <c r="F60" s="218"/>
      <c r="G60" s="41"/>
      <c r="H60" s="41"/>
      <c r="I60" s="41"/>
      <c r="J60" s="166"/>
      <c r="K60" s="41"/>
      <c r="L60" s="41"/>
      <c r="M60" s="41"/>
      <c r="N60" s="166"/>
      <c r="O60" s="166"/>
      <c r="P60" s="41"/>
      <c r="Q60" s="41"/>
      <c r="R60" s="41"/>
      <c r="S60" s="41"/>
      <c r="T60" s="41"/>
      <c r="U60" s="41"/>
      <c r="V60" s="41"/>
      <c r="W60" s="41"/>
      <c r="X60" s="41"/>
      <c r="Y60" s="166"/>
      <c r="Z60" s="166"/>
      <c r="AA60" s="41"/>
      <c r="AB60" s="41"/>
      <c r="AC60" s="41"/>
      <c r="AD60" s="41"/>
      <c r="AE60" s="41"/>
      <c r="AF60" s="41"/>
      <c r="AG60" s="41"/>
      <c r="AH60" s="41"/>
      <c r="AI60" s="41"/>
    </row>
    <row r="61" spans="1:35" ht="15.75" customHeight="1" x14ac:dyDescent="0.2">
      <c r="A61" s="217"/>
      <c r="B61" s="218"/>
      <c r="C61" s="218"/>
      <c r="D61" s="41"/>
      <c r="E61" s="218"/>
      <c r="F61" s="218"/>
      <c r="G61" s="41"/>
      <c r="H61" s="41"/>
      <c r="I61" s="41"/>
      <c r="J61" s="166"/>
      <c r="K61" s="41"/>
      <c r="L61" s="41"/>
      <c r="M61" s="41"/>
      <c r="N61" s="166"/>
      <c r="O61" s="166"/>
      <c r="P61" s="41"/>
      <c r="Q61" s="41"/>
      <c r="R61" s="41"/>
      <c r="S61" s="41"/>
      <c r="T61" s="41"/>
      <c r="U61" s="41"/>
      <c r="V61" s="41"/>
      <c r="W61" s="41"/>
      <c r="X61" s="41"/>
      <c r="Y61" s="166"/>
      <c r="Z61" s="166"/>
      <c r="AA61" s="41"/>
      <c r="AB61" s="41"/>
      <c r="AC61" s="41"/>
      <c r="AD61" s="41"/>
      <c r="AE61" s="41"/>
      <c r="AF61" s="41"/>
      <c r="AG61" s="41"/>
      <c r="AH61" s="41"/>
      <c r="AI61" s="41"/>
    </row>
    <row r="62" spans="1:35" ht="15.75" customHeight="1" x14ac:dyDescent="0.2">
      <c r="A62" s="217"/>
      <c r="B62" s="218"/>
      <c r="C62" s="218"/>
      <c r="D62" s="41"/>
      <c r="E62" s="218"/>
      <c r="F62" s="218"/>
      <c r="G62" s="41"/>
      <c r="H62" s="41"/>
      <c r="I62" s="41"/>
      <c r="J62" s="166"/>
      <c r="K62" s="41"/>
      <c r="L62" s="41"/>
      <c r="M62" s="41"/>
      <c r="N62" s="166"/>
      <c r="O62" s="166"/>
      <c r="P62" s="41"/>
      <c r="Q62" s="41"/>
      <c r="R62" s="41"/>
      <c r="S62" s="41"/>
      <c r="T62" s="41"/>
      <c r="U62" s="41"/>
      <c r="V62" s="41"/>
      <c r="W62" s="41"/>
      <c r="X62" s="41"/>
      <c r="Y62" s="166"/>
      <c r="Z62" s="166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5.75" customHeight="1" x14ac:dyDescent="0.2">
      <c r="A63" s="217"/>
      <c r="B63" s="218"/>
      <c r="C63" s="218"/>
      <c r="D63" s="41"/>
      <c r="E63" s="218"/>
      <c r="F63" s="218"/>
      <c r="G63" s="41"/>
      <c r="H63" s="41"/>
      <c r="I63" s="41"/>
      <c r="J63" s="166"/>
      <c r="K63" s="41"/>
      <c r="L63" s="41"/>
      <c r="M63" s="41"/>
      <c r="N63" s="166"/>
      <c r="O63" s="166"/>
      <c r="P63" s="41"/>
      <c r="Q63" s="41"/>
      <c r="R63" s="41"/>
      <c r="S63" s="41"/>
      <c r="T63" s="41"/>
      <c r="U63" s="41"/>
      <c r="V63" s="41"/>
      <c r="W63" s="41"/>
      <c r="X63" s="41"/>
      <c r="Y63" s="166"/>
      <c r="Z63" s="166"/>
      <c r="AA63" s="41"/>
      <c r="AB63" s="41"/>
      <c r="AC63" s="41"/>
      <c r="AD63" s="41"/>
      <c r="AE63" s="41"/>
      <c r="AF63" s="41"/>
      <c r="AG63" s="41"/>
      <c r="AH63" s="41"/>
      <c r="AI63" s="41"/>
    </row>
    <row r="64" spans="1:35" ht="15.75" customHeight="1" x14ac:dyDescent="0.2">
      <c r="A64" s="217"/>
      <c r="B64" s="218"/>
      <c r="C64" s="218"/>
      <c r="D64" s="41"/>
      <c r="E64" s="218"/>
      <c r="F64" s="218"/>
      <c r="G64" s="41"/>
      <c r="H64" s="41"/>
      <c r="I64" s="41"/>
      <c r="J64" s="166"/>
      <c r="K64" s="41"/>
      <c r="L64" s="41"/>
      <c r="M64" s="41"/>
      <c r="N64" s="166"/>
      <c r="O64" s="166"/>
      <c r="P64" s="41"/>
      <c r="Q64" s="41"/>
      <c r="R64" s="41"/>
      <c r="S64" s="41"/>
      <c r="T64" s="41"/>
      <c r="U64" s="41"/>
      <c r="V64" s="41"/>
      <c r="W64" s="41"/>
      <c r="X64" s="41"/>
      <c r="Y64" s="166"/>
      <c r="Z64" s="166"/>
      <c r="AA64" s="41"/>
      <c r="AB64" s="41"/>
      <c r="AC64" s="41"/>
      <c r="AD64" s="41"/>
      <c r="AE64" s="41"/>
      <c r="AF64" s="41"/>
      <c r="AG64" s="41"/>
      <c r="AH64" s="41"/>
      <c r="AI64" s="41"/>
    </row>
    <row r="65" spans="1:35" ht="15.75" customHeight="1" x14ac:dyDescent="0.2">
      <c r="A65" s="217"/>
      <c r="B65" s="218"/>
      <c r="C65" s="218"/>
      <c r="D65" s="41"/>
      <c r="E65" s="218"/>
      <c r="F65" s="218"/>
      <c r="G65" s="41"/>
      <c r="H65" s="41"/>
      <c r="I65" s="41"/>
      <c r="J65" s="166"/>
      <c r="K65" s="41"/>
      <c r="L65" s="41"/>
      <c r="M65" s="41"/>
      <c r="N65" s="166"/>
      <c r="O65" s="166"/>
      <c r="P65" s="41"/>
      <c r="Q65" s="41"/>
      <c r="R65" s="41"/>
      <c r="S65" s="41"/>
      <c r="T65" s="41"/>
      <c r="U65" s="41"/>
      <c r="V65" s="41"/>
      <c r="W65" s="41"/>
      <c r="X65" s="41"/>
      <c r="Y65" s="166"/>
      <c r="Z65" s="166"/>
      <c r="AA65" s="41"/>
      <c r="AB65" s="41"/>
      <c r="AC65" s="41"/>
      <c r="AD65" s="41"/>
      <c r="AE65" s="41"/>
      <c r="AF65" s="41"/>
      <c r="AG65" s="41"/>
      <c r="AH65" s="41"/>
      <c r="AI65" s="41"/>
    </row>
    <row r="66" spans="1:35" ht="15.75" customHeight="1" x14ac:dyDescent="0.2">
      <c r="A66" s="217"/>
      <c r="B66" s="218"/>
      <c r="C66" s="218"/>
      <c r="D66" s="41"/>
      <c r="E66" s="218"/>
      <c r="F66" s="218"/>
      <c r="G66" s="41"/>
      <c r="H66" s="41"/>
      <c r="I66" s="41"/>
      <c r="J66" s="166"/>
      <c r="K66" s="41"/>
      <c r="L66" s="41"/>
      <c r="M66" s="41"/>
      <c r="N66" s="166"/>
      <c r="O66" s="166"/>
      <c r="P66" s="41"/>
      <c r="Q66" s="41"/>
      <c r="R66" s="41"/>
      <c r="S66" s="41"/>
      <c r="T66" s="41"/>
      <c r="U66" s="41"/>
      <c r="V66" s="41"/>
      <c r="W66" s="41"/>
      <c r="X66" s="41"/>
      <c r="Y66" s="166"/>
      <c r="Z66" s="166"/>
      <c r="AA66" s="41"/>
      <c r="AB66" s="41"/>
      <c r="AC66" s="41"/>
      <c r="AD66" s="41"/>
      <c r="AE66" s="41"/>
      <c r="AF66" s="41"/>
      <c r="AG66" s="41"/>
      <c r="AH66" s="41"/>
      <c r="AI66" s="41"/>
    </row>
    <row r="67" spans="1:35" ht="15.75" customHeight="1" x14ac:dyDescent="0.2">
      <c r="A67" s="217"/>
      <c r="B67" s="218"/>
      <c r="C67" s="218"/>
      <c r="D67" s="41"/>
      <c r="E67" s="218"/>
      <c r="F67" s="218"/>
      <c r="G67" s="41"/>
      <c r="H67" s="41"/>
      <c r="I67" s="41"/>
      <c r="J67" s="166"/>
      <c r="K67" s="41"/>
      <c r="L67" s="41"/>
      <c r="M67" s="41"/>
      <c r="N67" s="166"/>
      <c r="O67" s="166"/>
      <c r="P67" s="41"/>
      <c r="Q67" s="41"/>
      <c r="R67" s="41"/>
      <c r="S67" s="41"/>
      <c r="T67" s="41"/>
      <c r="U67" s="41"/>
      <c r="V67" s="41"/>
      <c r="W67" s="41"/>
      <c r="X67" s="41"/>
      <c r="Y67" s="166"/>
      <c r="Z67" s="166"/>
      <c r="AA67" s="41"/>
      <c r="AB67" s="41"/>
      <c r="AC67" s="41"/>
      <c r="AD67" s="41"/>
      <c r="AE67" s="41"/>
      <c r="AF67" s="41"/>
      <c r="AG67" s="41"/>
      <c r="AH67" s="41"/>
      <c r="AI67" s="41"/>
    </row>
    <row r="68" spans="1:35" ht="15.75" customHeight="1" x14ac:dyDescent="0.2">
      <c r="A68" s="217"/>
      <c r="B68" s="218"/>
      <c r="C68" s="218"/>
      <c r="D68" s="41"/>
      <c r="E68" s="218"/>
      <c r="F68" s="218"/>
      <c r="G68" s="41"/>
      <c r="H68" s="41"/>
      <c r="I68" s="41"/>
      <c r="J68" s="166"/>
      <c r="K68" s="41"/>
      <c r="L68" s="41"/>
      <c r="M68" s="41"/>
      <c r="N68" s="166"/>
      <c r="O68" s="166"/>
      <c r="P68" s="41"/>
      <c r="Q68" s="41"/>
      <c r="R68" s="41"/>
      <c r="S68" s="41"/>
      <c r="T68" s="41"/>
      <c r="U68" s="41"/>
      <c r="V68" s="41"/>
      <c r="W68" s="41"/>
      <c r="X68" s="41"/>
      <c r="Y68" s="166"/>
      <c r="Z68" s="166"/>
      <c r="AA68" s="41"/>
      <c r="AB68" s="41"/>
      <c r="AC68" s="41"/>
      <c r="AD68" s="41"/>
      <c r="AE68" s="41"/>
      <c r="AF68" s="41"/>
      <c r="AG68" s="41"/>
      <c r="AH68" s="41"/>
      <c r="AI68" s="41"/>
    </row>
    <row r="69" spans="1:35" ht="15.75" customHeight="1" x14ac:dyDescent="0.2">
      <c r="A69" s="217"/>
      <c r="B69" s="218"/>
      <c r="C69" s="218"/>
      <c r="D69" s="41"/>
      <c r="E69" s="218"/>
      <c r="F69" s="218"/>
      <c r="G69" s="41"/>
      <c r="H69" s="41"/>
      <c r="I69" s="41"/>
      <c r="J69" s="166"/>
      <c r="K69" s="41"/>
      <c r="L69" s="41"/>
      <c r="M69" s="41"/>
      <c r="N69" s="166"/>
      <c r="O69" s="166"/>
      <c r="P69" s="41"/>
      <c r="Q69" s="41"/>
      <c r="R69" s="41"/>
      <c r="S69" s="41"/>
      <c r="T69" s="41"/>
      <c r="U69" s="41"/>
      <c r="V69" s="41"/>
      <c r="W69" s="41"/>
      <c r="X69" s="41"/>
      <c r="Y69" s="166"/>
      <c r="Z69" s="166"/>
      <c r="AA69" s="41"/>
      <c r="AB69" s="41"/>
      <c r="AC69" s="41"/>
      <c r="AD69" s="41"/>
      <c r="AE69" s="41"/>
      <c r="AF69" s="41"/>
      <c r="AG69" s="41"/>
      <c r="AH69" s="41"/>
      <c r="AI69" s="41"/>
    </row>
    <row r="70" spans="1:35" ht="15.75" customHeight="1" x14ac:dyDescent="0.2">
      <c r="A70" s="217"/>
      <c r="B70" s="218"/>
      <c r="C70" s="218"/>
      <c r="D70" s="41"/>
      <c r="E70" s="218"/>
      <c r="F70" s="218"/>
      <c r="G70" s="41"/>
      <c r="H70" s="41"/>
      <c r="I70" s="41"/>
      <c r="J70" s="166"/>
      <c r="K70" s="41"/>
      <c r="L70" s="41"/>
      <c r="M70" s="41"/>
      <c r="N70" s="166"/>
      <c r="O70" s="166"/>
      <c r="P70" s="41"/>
      <c r="Q70" s="41"/>
      <c r="R70" s="41"/>
      <c r="S70" s="41"/>
      <c r="T70" s="41"/>
      <c r="U70" s="41"/>
      <c r="V70" s="41"/>
      <c r="W70" s="41"/>
      <c r="X70" s="41"/>
      <c r="Y70" s="166"/>
      <c r="Z70" s="166"/>
      <c r="AA70" s="41"/>
      <c r="AB70" s="41"/>
      <c r="AC70" s="41"/>
      <c r="AD70" s="41"/>
      <c r="AE70" s="41"/>
      <c r="AF70" s="41"/>
      <c r="AG70" s="41"/>
      <c r="AH70" s="41"/>
      <c r="AI70" s="41"/>
    </row>
    <row r="71" spans="1:35" ht="15.75" customHeight="1" x14ac:dyDescent="0.2">
      <c r="A71" s="217"/>
      <c r="B71" s="218"/>
      <c r="C71" s="218"/>
      <c r="D71" s="41"/>
      <c r="E71" s="218"/>
      <c r="F71" s="218"/>
      <c r="G71" s="41"/>
      <c r="H71" s="41"/>
      <c r="I71" s="41"/>
      <c r="J71" s="166"/>
      <c r="K71" s="41"/>
      <c r="L71" s="41"/>
      <c r="M71" s="41"/>
      <c r="N71" s="166"/>
      <c r="O71" s="166"/>
      <c r="P71" s="41"/>
      <c r="Q71" s="41"/>
      <c r="R71" s="41"/>
      <c r="S71" s="41"/>
      <c r="T71" s="41"/>
      <c r="U71" s="41"/>
      <c r="V71" s="41"/>
      <c r="W71" s="41"/>
      <c r="X71" s="41"/>
      <c r="Y71" s="166"/>
      <c r="Z71" s="166"/>
      <c r="AA71" s="41"/>
      <c r="AB71" s="41"/>
      <c r="AC71" s="41"/>
      <c r="AD71" s="41"/>
      <c r="AE71" s="41"/>
      <c r="AF71" s="41"/>
      <c r="AG71" s="41"/>
      <c r="AH71" s="41"/>
      <c r="AI71" s="41"/>
    </row>
    <row r="72" spans="1:35" ht="15.75" customHeight="1" x14ac:dyDescent="0.2">
      <c r="A72" s="217"/>
      <c r="B72" s="218"/>
      <c r="C72" s="218"/>
      <c r="D72" s="41"/>
      <c r="E72" s="218"/>
      <c r="F72" s="218"/>
      <c r="G72" s="41"/>
      <c r="H72" s="41"/>
      <c r="I72" s="41"/>
      <c r="J72" s="166"/>
      <c r="K72" s="41"/>
      <c r="L72" s="41"/>
      <c r="M72" s="41"/>
      <c r="N72" s="166"/>
      <c r="O72" s="166"/>
      <c r="P72" s="41"/>
      <c r="Q72" s="41"/>
      <c r="R72" s="41"/>
      <c r="S72" s="41"/>
      <c r="T72" s="41"/>
      <c r="U72" s="41"/>
      <c r="V72" s="41"/>
      <c r="W72" s="41"/>
      <c r="X72" s="41"/>
      <c r="Y72" s="166"/>
      <c r="Z72" s="166"/>
      <c r="AA72" s="41"/>
      <c r="AB72" s="41"/>
      <c r="AC72" s="41"/>
      <c r="AD72" s="41"/>
      <c r="AE72" s="41"/>
      <c r="AF72" s="41"/>
      <c r="AG72" s="41"/>
      <c r="AH72" s="41"/>
      <c r="AI72" s="41"/>
    </row>
    <row r="73" spans="1:35" ht="15.75" customHeight="1" x14ac:dyDescent="0.2">
      <c r="A73" s="217"/>
      <c r="B73" s="218"/>
      <c r="C73" s="218"/>
      <c r="D73" s="41"/>
      <c r="E73" s="218"/>
      <c r="F73" s="218"/>
      <c r="G73" s="41"/>
      <c r="H73" s="41"/>
      <c r="I73" s="41"/>
      <c r="J73" s="166"/>
      <c r="K73" s="41"/>
      <c r="L73" s="41"/>
      <c r="M73" s="41"/>
      <c r="N73" s="166"/>
      <c r="O73" s="166"/>
      <c r="P73" s="41"/>
      <c r="Q73" s="41"/>
      <c r="R73" s="41"/>
      <c r="S73" s="41"/>
      <c r="T73" s="41"/>
      <c r="U73" s="41"/>
      <c r="V73" s="41"/>
      <c r="W73" s="41"/>
      <c r="X73" s="41"/>
      <c r="Y73" s="166"/>
      <c r="Z73" s="166"/>
      <c r="AA73" s="41"/>
      <c r="AB73" s="41"/>
      <c r="AC73" s="41"/>
      <c r="AD73" s="41"/>
      <c r="AE73" s="41"/>
      <c r="AF73" s="41"/>
      <c r="AG73" s="41"/>
      <c r="AH73" s="41"/>
      <c r="AI73" s="41"/>
    </row>
    <row r="74" spans="1:35" ht="15.75" customHeight="1" x14ac:dyDescent="0.2">
      <c r="A74" s="217"/>
      <c r="B74" s="218"/>
      <c r="C74" s="218"/>
      <c r="D74" s="41"/>
      <c r="E74" s="218"/>
      <c r="F74" s="218"/>
      <c r="G74" s="41"/>
      <c r="H74" s="41"/>
      <c r="I74" s="41"/>
      <c r="J74" s="166"/>
      <c r="K74" s="41"/>
      <c r="L74" s="41"/>
      <c r="M74" s="41"/>
      <c r="N74" s="166"/>
      <c r="O74" s="166"/>
      <c r="P74" s="41"/>
      <c r="Q74" s="41"/>
      <c r="R74" s="41"/>
      <c r="S74" s="41"/>
      <c r="T74" s="41"/>
      <c r="U74" s="41"/>
      <c r="V74" s="41"/>
      <c r="W74" s="41"/>
      <c r="X74" s="41"/>
      <c r="Y74" s="166"/>
      <c r="Z74" s="166"/>
      <c r="AA74" s="41"/>
      <c r="AB74" s="41"/>
      <c r="AC74" s="41"/>
      <c r="AD74" s="41"/>
      <c r="AE74" s="41"/>
      <c r="AF74" s="41"/>
      <c r="AG74" s="41"/>
      <c r="AH74" s="41"/>
      <c r="AI74" s="41"/>
    </row>
    <row r="75" spans="1:35" ht="15.75" customHeight="1" x14ac:dyDescent="0.2">
      <c r="A75" s="217"/>
      <c r="B75" s="218"/>
      <c r="C75" s="218"/>
      <c r="D75" s="41"/>
      <c r="E75" s="218"/>
      <c r="F75" s="218"/>
      <c r="G75" s="41"/>
      <c r="H75" s="41"/>
      <c r="I75" s="41"/>
      <c r="J75" s="166"/>
      <c r="K75" s="41"/>
      <c r="L75" s="41"/>
      <c r="M75" s="41"/>
      <c r="N75" s="166"/>
      <c r="O75" s="166"/>
      <c r="P75" s="41"/>
      <c r="Q75" s="41"/>
      <c r="R75" s="41"/>
      <c r="S75" s="41"/>
      <c r="T75" s="41"/>
      <c r="U75" s="41"/>
      <c r="V75" s="41"/>
      <c r="W75" s="41"/>
      <c r="X75" s="41"/>
      <c r="Y75" s="166"/>
      <c r="Z75" s="166"/>
      <c r="AA75" s="41"/>
      <c r="AB75" s="41"/>
      <c r="AC75" s="41"/>
      <c r="AD75" s="41"/>
      <c r="AE75" s="41"/>
      <c r="AF75" s="41"/>
      <c r="AG75" s="41"/>
      <c r="AH75" s="41"/>
      <c r="AI75" s="41"/>
    </row>
    <row r="76" spans="1:35" ht="15.75" customHeight="1" x14ac:dyDescent="0.2">
      <c r="A76" s="217"/>
      <c r="B76" s="218"/>
      <c r="C76" s="218"/>
      <c r="D76" s="41"/>
      <c r="E76" s="218"/>
      <c r="F76" s="218"/>
      <c r="G76" s="41"/>
      <c r="H76" s="41"/>
      <c r="I76" s="41"/>
      <c r="J76" s="166"/>
      <c r="K76" s="41"/>
      <c r="L76" s="41"/>
      <c r="M76" s="41"/>
      <c r="N76" s="166"/>
      <c r="O76" s="166"/>
      <c r="P76" s="41"/>
      <c r="Q76" s="41"/>
      <c r="R76" s="41"/>
      <c r="S76" s="41"/>
      <c r="T76" s="41"/>
      <c r="U76" s="41"/>
      <c r="V76" s="41"/>
      <c r="W76" s="41"/>
      <c r="X76" s="41"/>
      <c r="Y76" s="166"/>
      <c r="Z76" s="166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5.75" customHeight="1" x14ac:dyDescent="0.2">
      <c r="A77" s="217"/>
      <c r="B77" s="218"/>
      <c r="C77" s="218"/>
      <c r="D77" s="41"/>
      <c r="E77" s="218"/>
      <c r="F77" s="218"/>
      <c r="G77" s="41"/>
      <c r="H77" s="41"/>
      <c r="I77" s="41"/>
      <c r="J77" s="166"/>
      <c r="K77" s="41"/>
      <c r="L77" s="41"/>
      <c r="M77" s="41"/>
      <c r="N77" s="166"/>
      <c r="O77" s="166"/>
      <c r="P77" s="41"/>
      <c r="Q77" s="41"/>
      <c r="R77" s="41"/>
      <c r="S77" s="41"/>
      <c r="T77" s="41"/>
      <c r="U77" s="41"/>
      <c r="V77" s="41"/>
      <c r="W77" s="41"/>
      <c r="X77" s="41"/>
      <c r="Y77" s="166"/>
      <c r="Z77" s="166"/>
      <c r="AA77" s="41"/>
      <c r="AB77" s="41"/>
      <c r="AC77" s="41"/>
      <c r="AD77" s="41"/>
      <c r="AE77" s="41"/>
      <c r="AF77" s="41"/>
      <c r="AG77" s="41"/>
      <c r="AH77" s="41"/>
      <c r="AI77" s="41"/>
    </row>
    <row r="78" spans="1:35" ht="15.75" customHeight="1" x14ac:dyDescent="0.2">
      <c r="A78" s="217"/>
      <c r="B78" s="218"/>
      <c r="C78" s="218"/>
      <c r="D78" s="41"/>
      <c r="E78" s="218"/>
      <c r="F78" s="218"/>
      <c r="G78" s="41"/>
      <c r="H78" s="41"/>
      <c r="I78" s="41"/>
      <c r="J78" s="166"/>
      <c r="K78" s="41"/>
      <c r="L78" s="41"/>
      <c r="M78" s="41"/>
      <c r="N78" s="166"/>
      <c r="O78" s="166"/>
      <c r="P78" s="41"/>
      <c r="Q78" s="41"/>
      <c r="R78" s="41"/>
      <c r="S78" s="41"/>
      <c r="T78" s="41"/>
      <c r="U78" s="41"/>
      <c r="V78" s="41"/>
      <c r="W78" s="41"/>
      <c r="X78" s="41"/>
      <c r="Y78" s="166"/>
      <c r="Z78" s="166"/>
      <c r="AA78" s="41"/>
      <c r="AB78" s="41"/>
      <c r="AC78" s="41"/>
      <c r="AD78" s="41"/>
      <c r="AE78" s="41"/>
      <c r="AF78" s="41"/>
      <c r="AG78" s="41"/>
      <c r="AH78" s="41"/>
      <c r="AI78" s="41"/>
    </row>
    <row r="79" spans="1:35" ht="15.75" customHeight="1" x14ac:dyDescent="0.2">
      <c r="A79" s="217"/>
      <c r="B79" s="218"/>
      <c r="C79" s="218"/>
      <c r="D79" s="41"/>
      <c r="E79" s="218"/>
      <c r="F79" s="218"/>
      <c r="G79" s="41"/>
      <c r="H79" s="41"/>
      <c r="I79" s="41"/>
      <c r="J79" s="166"/>
      <c r="K79" s="41"/>
      <c r="L79" s="41"/>
      <c r="M79" s="41"/>
      <c r="N79" s="166"/>
      <c r="O79" s="166"/>
      <c r="P79" s="41"/>
      <c r="Q79" s="41"/>
      <c r="R79" s="41"/>
      <c r="S79" s="41"/>
      <c r="T79" s="41"/>
      <c r="U79" s="41"/>
      <c r="V79" s="41"/>
      <c r="W79" s="41"/>
      <c r="X79" s="41"/>
      <c r="Y79" s="166"/>
      <c r="Z79" s="166"/>
      <c r="AA79" s="41"/>
      <c r="AB79" s="41"/>
      <c r="AC79" s="41"/>
      <c r="AD79" s="41"/>
      <c r="AE79" s="41"/>
      <c r="AF79" s="41"/>
      <c r="AG79" s="41"/>
      <c r="AH79" s="41"/>
      <c r="AI79" s="41"/>
    </row>
    <row r="80" spans="1:35" ht="15.75" customHeight="1" x14ac:dyDescent="0.2">
      <c r="A80" s="217"/>
      <c r="B80" s="218"/>
      <c r="C80" s="218"/>
      <c r="D80" s="41"/>
      <c r="E80" s="218"/>
      <c r="F80" s="218"/>
      <c r="G80" s="41"/>
      <c r="H80" s="41"/>
      <c r="I80" s="41"/>
      <c r="J80" s="166"/>
      <c r="K80" s="41"/>
      <c r="L80" s="41"/>
      <c r="M80" s="41"/>
      <c r="N80" s="166"/>
      <c r="O80" s="166"/>
      <c r="P80" s="41"/>
      <c r="Q80" s="41"/>
      <c r="R80" s="41"/>
      <c r="S80" s="41"/>
      <c r="T80" s="41"/>
      <c r="U80" s="41"/>
      <c r="V80" s="41"/>
      <c r="W80" s="41"/>
      <c r="X80" s="41"/>
      <c r="Y80" s="166"/>
      <c r="Z80" s="166"/>
      <c r="AA80" s="41"/>
      <c r="AB80" s="41"/>
      <c r="AC80" s="41"/>
      <c r="AD80" s="41"/>
      <c r="AE80" s="41"/>
      <c r="AF80" s="41"/>
      <c r="AG80" s="41"/>
      <c r="AH80" s="41"/>
      <c r="AI80" s="41"/>
    </row>
    <row r="81" spans="1:35" ht="15.75" customHeight="1" x14ac:dyDescent="0.2">
      <c r="A81" s="217"/>
      <c r="B81" s="218"/>
      <c r="C81" s="218"/>
      <c r="D81" s="41"/>
      <c r="E81" s="218"/>
      <c r="F81" s="218"/>
      <c r="G81" s="41"/>
      <c r="H81" s="41"/>
      <c r="I81" s="41"/>
      <c r="J81" s="166"/>
      <c r="K81" s="41"/>
      <c r="L81" s="41"/>
      <c r="M81" s="41"/>
      <c r="N81" s="166"/>
      <c r="O81" s="166"/>
      <c r="P81" s="41"/>
      <c r="Q81" s="41"/>
      <c r="R81" s="41"/>
      <c r="S81" s="41"/>
      <c r="T81" s="41"/>
      <c r="U81" s="41"/>
      <c r="V81" s="41"/>
      <c r="W81" s="41"/>
      <c r="X81" s="41"/>
      <c r="Y81" s="166"/>
      <c r="Z81" s="166"/>
      <c r="AA81" s="41"/>
      <c r="AB81" s="41"/>
      <c r="AC81" s="41"/>
      <c r="AD81" s="41"/>
      <c r="AE81" s="41"/>
      <c r="AF81" s="41"/>
      <c r="AG81" s="41"/>
      <c r="AH81" s="41"/>
      <c r="AI81" s="41"/>
    </row>
    <row r="82" spans="1:35" ht="15.75" customHeight="1" x14ac:dyDescent="0.2">
      <c r="A82" s="217"/>
      <c r="B82" s="218"/>
      <c r="C82" s="218"/>
      <c r="D82" s="41"/>
      <c r="E82" s="218"/>
      <c r="F82" s="218"/>
      <c r="G82" s="41"/>
      <c r="H82" s="41"/>
      <c r="I82" s="41"/>
      <c r="J82" s="166"/>
      <c r="K82" s="41"/>
      <c r="L82" s="41"/>
      <c r="M82" s="41"/>
      <c r="N82" s="166"/>
      <c r="O82" s="166"/>
      <c r="P82" s="41"/>
      <c r="Q82" s="41"/>
      <c r="R82" s="41"/>
      <c r="S82" s="41"/>
      <c r="T82" s="41"/>
      <c r="U82" s="41"/>
      <c r="V82" s="41"/>
      <c r="W82" s="41"/>
      <c r="X82" s="41"/>
      <c r="Y82" s="166"/>
      <c r="Z82" s="166"/>
      <c r="AA82" s="41"/>
      <c r="AB82" s="41"/>
      <c r="AC82" s="41"/>
      <c r="AD82" s="41"/>
      <c r="AE82" s="41"/>
      <c r="AF82" s="41"/>
      <c r="AG82" s="41"/>
      <c r="AH82" s="41"/>
      <c r="AI82" s="41"/>
    </row>
    <row r="83" spans="1:35" ht="15.75" customHeight="1" x14ac:dyDescent="0.2">
      <c r="A83" s="217"/>
      <c r="B83" s="218"/>
      <c r="C83" s="218"/>
      <c r="D83" s="41"/>
      <c r="E83" s="218"/>
      <c r="F83" s="218"/>
      <c r="G83" s="41"/>
      <c r="H83" s="41"/>
      <c r="I83" s="41"/>
      <c r="J83" s="166"/>
      <c r="K83" s="41"/>
      <c r="L83" s="41"/>
      <c r="M83" s="41"/>
      <c r="N83" s="166"/>
      <c r="O83" s="166"/>
      <c r="P83" s="41"/>
      <c r="Q83" s="41"/>
      <c r="R83" s="41"/>
      <c r="S83" s="41"/>
      <c r="T83" s="41"/>
      <c r="U83" s="41"/>
      <c r="V83" s="41"/>
      <c r="W83" s="41"/>
      <c r="X83" s="41"/>
      <c r="Y83" s="166"/>
      <c r="Z83" s="166"/>
      <c r="AA83" s="41"/>
      <c r="AB83" s="41"/>
      <c r="AC83" s="41"/>
      <c r="AD83" s="41"/>
      <c r="AE83" s="41"/>
      <c r="AF83" s="41"/>
      <c r="AG83" s="41"/>
      <c r="AH83" s="41"/>
      <c r="AI83" s="41"/>
    </row>
    <row r="84" spans="1:35" ht="15.75" customHeight="1" x14ac:dyDescent="0.2">
      <c r="A84" s="217"/>
      <c r="B84" s="218"/>
      <c r="C84" s="218"/>
      <c r="D84" s="41"/>
      <c r="E84" s="218"/>
      <c r="F84" s="218"/>
      <c r="G84" s="41"/>
      <c r="H84" s="41"/>
      <c r="I84" s="41"/>
      <c r="J84" s="166"/>
      <c r="K84" s="41"/>
      <c r="L84" s="41"/>
      <c r="M84" s="41"/>
      <c r="N84" s="166"/>
      <c r="O84" s="166"/>
      <c r="P84" s="41"/>
      <c r="Q84" s="41"/>
      <c r="R84" s="41"/>
      <c r="S84" s="41"/>
      <c r="T84" s="41"/>
      <c r="U84" s="41"/>
      <c r="V84" s="41"/>
      <c r="W84" s="41"/>
      <c r="X84" s="41"/>
      <c r="Y84" s="166"/>
      <c r="Z84" s="166"/>
      <c r="AA84" s="41"/>
      <c r="AB84" s="41"/>
      <c r="AC84" s="41"/>
      <c r="AD84" s="41"/>
      <c r="AE84" s="41"/>
      <c r="AF84" s="41"/>
      <c r="AG84" s="41"/>
      <c r="AH84" s="41"/>
      <c r="AI84" s="41"/>
    </row>
    <row r="85" spans="1:35" ht="15.75" customHeight="1" x14ac:dyDescent="0.2">
      <c r="A85" s="217"/>
      <c r="B85" s="218"/>
      <c r="C85" s="218"/>
      <c r="D85" s="41"/>
      <c r="E85" s="218"/>
      <c r="F85" s="218"/>
      <c r="G85" s="41"/>
      <c r="H85" s="41"/>
      <c r="I85" s="41"/>
      <c r="J85" s="166"/>
      <c r="K85" s="41"/>
      <c r="L85" s="41"/>
      <c r="M85" s="41"/>
      <c r="N85" s="166"/>
      <c r="O85" s="166"/>
      <c r="P85" s="41"/>
      <c r="Q85" s="41"/>
      <c r="R85" s="41"/>
      <c r="S85" s="41"/>
      <c r="T85" s="41"/>
      <c r="U85" s="41"/>
      <c r="V85" s="41"/>
      <c r="W85" s="41"/>
      <c r="X85" s="41"/>
      <c r="Y85" s="166"/>
      <c r="Z85" s="166"/>
      <c r="AA85" s="41"/>
      <c r="AB85" s="41"/>
      <c r="AC85" s="41"/>
      <c r="AD85" s="41"/>
      <c r="AE85" s="41"/>
      <c r="AF85" s="41"/>
      <c r="AG85" s="41"/>
      <c r="AH85" s="41"/>
      <c r="AI85" s="41"/>
    </row>
    <row r="86" spans="1:35" ht="15.75" customHeight="1" x14ac:dyDescent="0.2">
      <c r="A86" s="217"/>
      <c r="B86" s="218"/>
      <c r="C86" s="218"/>
      <c r="D86" s="41"/>
      <c r="E86" s="218"/>
      <c r="F86" s="218"/>
      <c r="G86" s="41"/>
      <c r="H86" s="41"/>
      <c r="I86" s="41"/>
      <c r="J86" s="166"/>
      <c r="K86" s="41"/>
      <c r="L86" s="41"/>
      <c r="M86" s="41"/>
      <c r="N86" s="166"/>
      <c r="O86" s="166"/>
      <c r="P86" s="41"/>
      <c r="Q86" s="41"/>
      <c r="R86" s="41"/>
      <c r="S86" s="41"/>
      <c r="T86" s="41"/>
      <c r="U86" s="41"/>
      <c r="V86" s="41"/>
      <c r="W86" s="41"/>
      <c r="X86" s="41"/>
      <c r="Y86" s="166"/>
      <c r="Z86" s="166"/>
      <c r="AA86" s="41"/>
      <c r="AB86" s="41"/>
      <c r="AC86" s="41"/>
      <c r="AD86" s="41"/>
      <c r="AE86" s="41"/>
      <c r="AF86" s="41"/>
      <c r="AG86" s="41"/>
      <c r="AH86" s="41"/>
      <c r="AI86" s="41"/>
    </row>
    <row r="87" spans="1:35" ht="15.75" customHeight="1" x14ac:dyDescent="0.2">
      <c r="A87" s="217"/>
      <c r="B87" s="218"/>
      <c r="C87" s="218"/>
      <c r="D87" s="41"/>
      <c r="E87" s="218"/>
      <c r="F87" s="218"/>
      <c r="G87" s="41"/>
      <c r="H87" s="41"/>
      <c r="I87" s="41"/>
      <c r="J87" s="166"/>
      <c r="K87" s="41"/>
      <c r="L87" s="41"/>
      <c r="M87" s="41"/>
      <c r="N87" s="166"/>
      <c r="O87" s="166"/>
      <c r="P87" s="41"/>
      <c r="Q87" s="41"/>
      <c r="R87" s="41"/>
      <c r="S87" s="41"/>
      <c r="T87" s="41"/>
      <c r="U87" s="41"/>
      <c r="V87" s="41"/>
      <c r="W87" s="41"/>
      <c r="X87" s="41"/>
      <c r="Y87" s="166"/>
      <c r="Z87" s="166"/>
      <c r="AA87" s="41"/>
      <c r="AB87" s="41"/>
      <c r="AC87" s="41"/>
      <c r="AD87" s="41"/>
      <c r="AE87" s="41"/>
      <c r="AF87" s="41"/>
      <c r="AG87" s="41"/>
      <c r="AH87" s="41"/>
      <c r="AI87" s="41"/>
    </row>
    <row r="88" spans="1:35" ht="15.75" customHeight="1" x14ac:dyDescent="0.2">
      <c r="A88" s="217"/>
      <c r="B88" s="218"/>
      <c r="C88" s="218"/>
      <c r="D88" s="41"/>
      <c r="E88" s="218"/>
      <c r="F88" s="218"/>
      <c r="G88" s="41"/>
      <c r="H88" s="41"/>
      <c r="I88" s="41"/>
      <c r="J88" s="166"/>
      <c r="K88" s="41"/>
      <c r="L88" s="41"/>
      <c r="M88" s="41"/>
      <c r="N88" s="166"/>
      <c r="O88" s="166"/>
      <c r="P88" s="41"/>
      <c r="Q88" s="41"/>
      <c r="R88" s="41"/>
      <c r="S88" s="41"/>
      <c r="T88" s="41"/>
      <c r="U88" s="41"/>
      <c r="V88" s="41"/>
      <c r="W88" s="41"/>
      <c r="X88" s="41"/>
      <c r="Y88" s="166"/>
      <c r="Z88" s="166"/>
      <c r="AA88" s="41"/>
      <c r="AB88" s="41"/>
      <c r="AC88" s="41"/>
      <c r="AD88" s="41"/>
      <c r="AE88" s="41"/>
      <c r="AF88" s="41"/>
      <c r="AG88" s="41"/>
      <c r="AH88" s="41"/>
      <c r="AI88" s="41"/>
    </row>
    <row r="89" spans="1:35" ht="15.75" customHeight="1" x14ac:dyDescent="0.2">
      <c r="A89" s="217"/>
      <c r="B89" s="218"/>
      <c r="C89" s="218"/>
      <c r="D89" s="41"/>
      <c r="E89" s="218"/>
      <c r="F89" s="218"/>
      <c r="G89" s="41"/>
      <c r="H89" s="41"/>
      <c r="I89" s="41"/>
      <c r="J89" s="166"/>
      <c r="K89" s="41"/>
      <c r="L89" s="41"/>
      <c r="M89" s="41"/>
      <c r="N89" s="166"/>
      <c r="O89" s="166"/>
      <c r="P89" s="41"/>
      <c r="Q89" s="41"/>
      <c r="R89" s="41"/>
      <c r="S89" s="41"/>
      <c r="T89" s="41"/>
      <c r="U89" s="41"/>
      <c r="V89" s="41"/>
      <c r="W89" s="41"/>
      <c r="X89" s="41"/>
      <c r="Y89" s="166"/>
      <c r="Z89" s="166"/>
      <c r="AA89" s="41"/>
      <c r="AB89" s="41"/>
      <c r="AC89" s="41"/>
      <c r="AD89" s="41"/>
      <c r="AE89" s="41"/>
      <c r="AF89" s="41"/>
      <c r="AG89" s="41"/>
      <c r="AH89" s="41"/>
      <c r="AI89" s="41"/>
    </row>
    <row r="90" spans="1:35" ht="15.75" customHeight="1" x14ac:dyDescent="0.2">
      <c r="A90" s="217"/>
      <c r="B90" s="218"/>
      <c r="C90" s="218"/>
      <c r="D90" s="41"/>
      <c r="E90" s="218"/>
      <c r="F90" s="218"/>
      <c r="G90" s="41"/>
      <c r="H90" s="41"/>
      <c r="I90" s="41"/>
      <c r="J90" s="166"/>
      <c r="K90" s="41"/>
      <c r="L90" s="41"/>
      <c r="M90" s="41"/>
      <c r="N90" s="166"/>
      <c r="O90" s="166"/>
      <c r="P90" s="41"/>
      <c r="Q90" s="41"/>
      <c r="R90" s="41"/>
      <c r="S90" s="41"/>
      <c r="T90" s="41"/>
      <c r="U90" s="41"/>
      <c r="V90" s="41"/>
      <c r="W90" s="41"/>
      <c r="X90" s="41"/>
      <c r="Y90" s="166"/>
      <c r="Z90" s="166"/>
      <c r="AA90" s="41"/>
      <c r="AB90" s="41"/>
      <c r="AC90" s="41"/>
      <c r="AD90" s="41"/>
      <c r="AE90" s="41"/>
      <c r="AF90" s="41"/>
      <c r="AG90" s="41"/>
      <c r="AH90" s="41"/>
      <c r="AI90" s="41"/>
    </row>
    <row r="91" spans="1:35" ht="15.75" customHeight="1" x14ac:dyDescent="0.2">
      <c r="A91" s="217"/>
      <c r="B91" s="218"/>
      <c r="C91" s="218"/>
      <c r="D91" s="41"/>
      <c r="E91" s="218"/>
      <c r="F91" s="218"/>
      <c r="G91" s="41"/>
      <c r="H91" s="41"/>
      <c r="I91" s="41"/>
      <c r="J91" s="166"/>
      <c r="K91" s="41"/>
      <c r="L91" s="41"/>
      <c r="M91" s="41"/>
      <c r="N91" s="166"/>
      <c r="O91" s="166"/>
      <c r="P91" s="41"/>
      <c r="Q91" s="41"/>
      <c r="R91" s="41"/>
      <c r="S91" s="41"/>
      <c r="T91" s="41"/>
      <c r="U91" s="41"/>
      <c r="V91" s="41"/>
      <c r="W91" s="41"/>
      <c r="X91" s="41"/>
      <c r="Y91" s="166"/>
      <c r="Z91" s="166"/>
      <c r="AA91" s="41"/>
      <c r="AB91" s="41"/>
      <c r="AC91" s="41"/>
      <c r="AD91" s="41"/>
      <c r="AE91" s="41"/>
      <c r="AF91" s="41"/>
      <c r="AG91" s="41"/>
      <c r="AH91" s="41"/>
      <c r="AI91" s="41"/>
    </row>
    <row r="92" spans="1:35" ht="15.75" customHeight="1" x14ac:dyDescent="0.2">
      <c r="A92" s="217"/>
      <c r="B92" s="218"/>
      <c r="C92" s="218"/>
      <c r="D92" s="41"/>
      <c r="E92" s="218"/>
      <c r="F92" s="218"/>
      <c r="G92" s="41"/>
      <c r="H92" s="41"/>
      <c r="I92" s="41"/>
      <c r="J92" s="166"/>
      <c r="K92" s="41"/>
      <c r="L92" s="41"/>
      <c r="M92" s="41"/>
      <c r="N92" s="166"/>
      <c r="O92" s="166"/>
      <c r="P92" s="41"/>
      <c r="Q92" s="41"/>
      <c r="R92" s="41"/>
      <c r="S92" s="41"/>
      <c r="T92" s="41"/>
      <c r="U92" s="41"/>
      <c r="V92" s="41"/>
      <c r="W92" s="41"/>
      <c r="X92" s="41"/>
      <c r="Y92" s="166"/>
      <c r="Z92" s="166"/>
      <c r="AA92" s="41"/>
      <c r="AB92" s="41"/>
      <c r="AC92" s="41"/>
      <c r="AD92" s="41"/>
      <c r="AE92" s="41"/>
      <c r="AF92" s="41"/>
      <c r="AG92" s="41"/>
      <c r="AH92" s="41"/>
      <c r="AI92" s="41"/>
    </row>
    <row r="93" spans="1:35" ht="15.75" customHeight="1" x14ac:dyDescent="0.2">
      <c r="A93" s="217"/>
      <c r="B93" s="218"/>
      <c r="C93" s="218"/>
      <c r="D93" s="41"/>
      <c r="E93" s="218"/>
      <c r="F93" s="218"/>
      <c r="G93" s="41"/>
      <c r="H93" s="41"/>
      <c r="I93" s="41"/>
      <c r="J93" s="166"/>
      <c r="K93" s="41"/>
      <c r="L93" s="41"/>
      <c r="M93" s="41"/>
      <c r="N93" s="166"/>
      <c r="O93" s="166"/>
      <c r="P93" s="41"/>
      <c r="Q93" s="41"/>
      <c r="R93" s="41"/>
      <c r="S93" s="41"/>
      <c r="T93" s="41"/>
      <c r="U93" s="41"/>
      <c r="V93" s="41"/>
      <c r="W93" s="41"/>
      <c r="X93" s="41"/>
      <c r="Y93" s="166"/>
      <c r="Z93" s="166"/>
      <c r="AA93" s="41"/>
      <c r="AB93" s="41"/>
      <c r="AC93" s="41"/>
      <c r="AD93" s="41"/>
      <c r="AE93" s="41"/>
      <c r="AF93" s="41"/>
      <c r="AG93" s="41"/>
      <c r="AH93" s="41"/>
      <c r="AI93" s="41"/>
    </row>
    <row r="94" spans="1:35" ht="15.75" customHeight="1" x14ac:dyDescent="0.2">
      <c r="A94" s="217"/>
      <c r="B94" s="218"/>
      <c r="C94" s="218"/>
      <c r="D94" s="41"/>
      <c r="E94" s="218"/>
      <c r="F94" s="218"/>
      <c r="G94" s="41"/>
      <c r="H94" s="41"/>
      <c r="I94" s="41"/>
      <c r="J94" s="166"/>
      <c r="K94" s="41"/>
      <c r="L94" s="41"/>
      <c r="M94" s="41"/>
      <c r="N94" s="166"/>
      <c r="O94" s="166"/>
      <c r="P94" s="41"/>
      <c r="Q94" s="41"/>
      <c r="R94" s="41"/>
      <c r="S94" s="41"/>
      <c r="T94" s="41"/>
      <c r="U94" s="41"/>
      <c r="V94" s="41"/>
      <c r="W94" s="41"/>
      <c r="X94" s="41"/>
      <c r="Y94" s="166"/>
      <c r="Z94" s="166"/>
      <c r="AA94" s="41"/>
      <c r="AB94" s="41"/>
      <c r="AC94" s="41"/>
      <c r="AD94" s="41"/>
      <c r="AE94" s="41"/>
      <c r="AF94" s="41"/>
      <c r="AG94" s="41"/>
      <c r="AH94" s="41"/>
      <c r="AI94" s="41"/>
    </row>
    <row r="95" spans="1:35" ht="15.75" customHeight="1" x14ac:dyDescent="0.2">
      <c r="A95" s="217"/>
      <c r="B95" s="218"/>
      <c r="C95" s="218"/>
      <c r="D95" s="41"/>
      <c r="E95" s="218"/>
      <c r="F95" s="218"/>
      <c r="G95" s="41"/>
      <c r="H95" s="41"/>
      <c r="I95" s="41"/>
      <c r="J95" s="166"/>
      <c r="K95" s="41"/>
      <c r="L95" s="41"/>
      <c r="M95" s="41"/>
      <c r="N95" s="166"/>
      <c r="O95" s="166"/>
      <c r="P95" s="41"/>
      <c r="Q95" s="41"/>
      <c r="R95" s="41"/>
      <c r="S95" s="41"/>
      <c r="T95" s="41"/>
      <c r="U95" s="41"/>
      <c r="V95" s="41"/>
      <c r="W95" s="41"/>
      <c r="X95" s="41"/>
      <c r="Y95" s="166"/>
      <c r="Z95" s="166"/>
      <c r="AA95" s="41"/>
      <c r="AB95" s="41"/>
      <c r="AC95" s="41"/>
      <c r="AD95" s="41"/>
      <c r="AE95" s="41"/>
      <c r="AF95" s="41"/>
      <c r="AG95" s="41"/>
      <c r="AH95" s="41"/>
      <c r="AI95" s="41"/>
    </row>
    <row r="96" spans="1:35" ht="15.75" customHeight="1" x14ac:dyDescent="0.2">
      <c r="A96" s="217"/>
      <c r="B96" s="218"/>
      <c r="C96" s="218"/>
      <c r="D96" s="41"/>
      <c r="E96" s="218"/>
      <c r="F96" s="218"/>
      <c r="G96" s="41"/>
      <c r="H96" s="41"/>
      <c r="I96" s="41"/>
      <c r="J96" s="166"/>
      <c r="K96" s="41"/>
      <c r="L96" s="41"/>
      <c r="M96" s="41"/>
      <c r="N96" s="166"/>
      <c r="O96" s="166"/>
      <c r="P96" s="41"/>
      <c r="Q96" s="41"/>
      <c r="R96" s="41"/>
      <c r="S96" s="41"/>
      <c r="T96" s="41"/>
      <c r="U96" s="41"/>
      <c r="V96" s="41"/>
      <c r="W96" s="41"/>
      <c r="X96" s="41"/>
      <c r="Y96" s="166"/>
      <c r="Z96" s="166"/>
      <c r="AA96" s="41"/>
      <c r="AB96" s="41"/>
      <c r="AC96" s="41"/>
      <c r="AD96" s="41"/>
      <c r="AE96" s="41"/>
      <c r="AF96" s="41"/>
      <c r="AG96" s="41"/>
      <c r="AH96" s="41"/>
      <c r="AI96" s="41"/>
    </row>
    <row r="97" spans="1:35" ht="15.75" customHeight="1" x14ac:dyDescent="0.2">
      <c r="A97" s="217"/>
      <c r="B97" s="218"/>
      <c r="C97" s="218"/>
      <c r="D97" s="41"/>
      <c r="E97" s="218"/>
      <c r="F97" s="218"/>
      <c r="G97" s="41"/>
      <c r="H97" s="41"/>
      <c r="I97" s="41"/>
      <c r="J97" s="166"/>
      <c r="K97" s="41"/>
      <c r="L97" s="41"/>
      <c r="M97" s="41"/>
      <c r="N97" s="166"/>
      <c r="O97" s="166"/>
      <c r="P97" s="41"/>
      <c r="Q97" s="41"/>
      <c r="R97" s="41"/>
      <c r="S97" s="41"/>
      <c r="T97" s="41"/>
      <c r="U97" s="41"/>
      <c r="V97" s="41"/>
      <c r="W97" s="41"/>
      <c r="X97" s="41"/>
      <c r="Y97" s="166"/>
      <c r="Z97" s="166"/>
      <c r="AA97" s="41"/>
      <c r="AB97" s="41"/>
      <c r="AC97" s="41"/>
      <c r="AD97" s="41"/>
      <c r="AE97" s="41"/>
      <c r="AF97" s="41"/>
      <c r="AG97" s="41"/>
      <c r="AH97" s="41"/>
      <c r="AI97" s="41"/>
    </row>
    <row r="98" spans="1:35" ht="15.75" customHeight="1" x14ac:dyDescent="0.2">
      <c r="A98" s="217"/>
      <c r="B98" s="218"/>
      <c r="C98" s="218"/>
      <c r="D98" s="41"/>
      <c r="E98" s="218"/>
      <c r="F98" s="218"/>
      <c r="G98" s="41"/>
      <c r="H98" s="41"/>
      <c r="I98" s="41"/>
      <c r="J98" s="166"/>
      <c r="K98" s="41"/>
      <c r="L98" s="41"/>
      <c r="M98" s="41"/>
      <c r="N98" s="166"/>
      <c r="O98" s="166"/>
      <c r="P98" s="41"/>
      <c r="Q98" s="41"/>
      <c r="R98" s="41"/>
      <c r="S98" s="41"/>
      <c r="T98" s="41"/>
      <c r="U98" s="41"/>
      <c r="V98" s="41"/>
      <c r="W98" s="41"/>
      <c r="X98" s="41"/>
      <c r="Y98" s="166"/>
      <c r="Z98" s="166"/>
      <c r="AA98" s="41"/>
      <c r="AB98" s="41"/>
      <c r="AC98" s="41"/>
      <c r="AD98" s="41"/>
      <c r="AE98" s="41"/>
      <c r="AF98" s="41"/>
      <c r="AG98" s="41"/>
      <c r="AH98" s="41"/>
      <c r="AI98" s="41"/>
    </row>
    <row r="99" spans="1:35" ht="15.75" customHeight="1" x14ac:dyDescent="0.2">
      <c r="A99" s="217"/>
      <c r="B99" s="218"/>
      <c r="C99" s="218"/>
      <c r="D99" s="41"/>
      <c r="E99" s="218"/>
      <c r="F99" s="218"/>
      <c r="G99" s="41"/>
      <c r="H99" s="41"/>
      <c r="I99" s="41"/>
      <c r="J99" s="166"/>
      <c r="K99" s="41"/>
      <c r="L99" s="41"/>
      <c r="M99" s="41"/>
      <c r="N99" s="166"/>
      <c r="O99" s="166"/>
      <c r="P99" s="41"/>
      <c r="Q99" s="41"/>
      <c r="R99" s="41"/>
      <c r="S99" s="41"/>
      <c r="T99" s="41"/>
      <c r="U99" s="41"/>
      <c r="V99" s="41"/>
      <c r="W99" s="41"/>
      <c r="X99" s="41"/>
      <c r="Y99" s="166"/>
      <c r="Z99" s="166"/>
      <c r="AA99" s="41"/>
      <c r="AB99" s="41"/>
      <c r="AC99" s="41"/>
      <c r="AD99" s="41"/>
      <c r="AE99" s="41"/>
      <c r="AF99" s="41"/>
      <c r="AG99" s="41"/>
      <c r="AH99" s="41"/>
      <c r="AI99" s="41"/>
    </row>
    <row r="100" spans="1:35" ht="15.75" customHeight="1" x14ac:dyDescent="0.2">
      <c r="A100" s="217"/>
      <c r="B100" s="218"/>
      <c r="C100" s="218"/>
      <c r="D100" s="41"/>
      <c r="E100" s="218"/>
      <c r="F100" s="218"/>
      <c r="G100" s="41"/>
      <c r="H100" s="41"/>
      <c r="I100" s="41"/>
      <c r="J100" s="166"/>
      <c r="K100" s="41"/>
      <c r="L100" s="41"/>
      <c r="M100" s="41"/>
      <c r="N100" s="166"/>
      <c r="O100" s="166"/>
      <c r="P100" s="41"/>
      <c r="Q100" s="41"/>
      <c r="R100" s="41"/>
      <c r="S100" s="41"/>
      <c r="T100" s="41"/>
      <c r="U100" s="41"/>
      <c r="V100" s="41"/>
      <c r="W100" s="41"/>
      <c r="X100" s="41"/>
      <c r="Y100" s="166"/>
      <c r="Z100" s="166"/>
      <c r="AA100" s="41"/>
      <c r="AB100" s="41"/>
      <c r="AC100" s="41"/>
      <c r="AD100" s="41"/>
      <c r="AE100" s="41"/>
      <c r="AF100" s="41"/>
      <c r="AG100" s="41"/>
      <c r="AH100" s="41"/>
      <c r="AI100" s="41"/>
    </row>
    <row r="101" spans="1:35" ht="15.75" customHeight="1" x14ac:dyDescent="0.2">
      <c r="A101" s="217"/>
      <c r="B101" s="218"/>
      <c r="C101" s="218"/>
      <c r="D101" s="41"/>
      <c r="E101" s="218"/>
      <c r="F101" s="218"/>
      <c r="G101" s="41"/>
      <c r="H101" s="41"/>
      <c r="I101" s="41"/>
      <c r="J101" s="166"/>
      <c r="K101" s="41"/>
      <c r="L101" s="41"/>
      <c r="M101" s="41"/>
      <c r="N101" s="166"/>
      <c r="O101" s="166"/>
      <c r="P101" s="41"/>
      <c r="Q101" s="41"/>
      <c r="R101" s="41"/>
      <c r="S101" s="41"/>
      <c r="T101" s="41"/>
      <c r="U101" s="41"/>
      <c r="V101" s="41"/>
      <c r="W101" s="41"/>
      <c r="X101" s="41"/>
      <c r="Y101" s="166"/>
      <c r="Z101" s="166"/>
      <c r="AA101" s="41"/>
      <c r="AB101" s="41"/>
      <c r="AC101" s="41"/>
      <c r="AD101" s="41"/>
      <c r="AE101" s="41"/>
      <c r="AF101" s="41"/>
      <c r="AG101" s="41"/>
      <c r="AH101" s="41"/>
      <c r="AI101" s="41"/>
    </row>
    <row r="102" spans="1:35" ht="15.75" customHeight="1" x14ac:dyDescent="0.2">
      <c r="A102" s="217"/>
      <c r="B102" s="218"/>
      <c r="C102" s="218"/>
      <c r="D102" s="41"/>
      <c r="E102" s="218"/>
      <c r="F102" s="218"/>
      <c r="G102" s="41"/>
      <c r="H102" s="41"/>
      <c r="I102" s="41"/>
      <c r="J102" s="166"/>
      <c r="K102" s="41"/>
      <c r="L102" s="41"/>
      <c r="M102" s="41"/>
      <c r="N102" s="166"/>
      <c r="O102" s="166"/>
      <c r="P102" s="41"/>
      <c r="Q102" s="41"/>
      <c r="R102" s="41"/>
      <c r="S102" s="41"/>
      <c r="T102" s="41"/>
      <c r="U102" s="41"/>
      <c r="V102" s="41"/>
      <c r="W102" s="41"/>
      <c r="X102" s="41"/>
      <c r="Y102" s="166"/>
      <c r="Z102" s="166"/>
      <c r="AA102" s="41"/>
      <c r="AB102" s="41"/>
      <c r="AC102" s="41"/>
      <c r="AD102" s="41"/>
      <c r="AE102" s="41"/>
      <c r="AF102" s="41"/>
      <c r="AG102" s="41"/>
      <c r="AH102" s="41"/>
      <c r="AI102" s="41"/>
    </row>
    <row r="103" spans="1:35" ht="15.75" customHeight="1" x14ac:dyDescent="0.2">
      <c r="A103" s="217"/>
      <c r="B103" s="218"/>
      <c r="C103" s="218"/>
      <c r="D103" s="41"/>
      <c r="E103" s="218"/>
      <c r="F103" s="218"/>
      <c r="G103" s="41"/>
      <c r="H103" s="41"/>
      <c r="I103" s="41"/>
      <c r="J103" s="166"/>
      <c r="K103" s="41"/>
      <c r="L103" s="41"/>
      <c r="M103" s="41"/>
      <c r="N103" s="166"/>
      <c r="O103" s="166"/>
      <c r="P103" s="41"/>
      <c r="Q103" s="41"/>
      <c r="R103" s="41"/>
      <c r="S103" s="41"/>
      <c r="T103" s="41"/>
      <c r="U103" s="41"/>
      <c r="V103" s="41"/>
      <c r="W103" s="41"/>
      <c r="X103" s="41"/>
      <c r="Y103" s="166"/>
      <c r="Z103" s="166"/>
      <c r="AA103" s="41"/>
      <c r="AB103" s="41"/>
      <c r="AC103" s="41"/>
      <c r="AD103" s="41"/>
      <c r="AE103" s="41"/>
      <c r="AF103" s="41"/>
      <c r="AG103" s="41"/>
      <c r="AH103" s="41"/>
      <c r="AI103" s="41"/>
    </row>
    <row r="104" spans="1:35" ht="15.75" customHeight="1" x14ac:dyDescent="0.2">
      <c r="A104" s="217"/>
      <c r="B104" s="218"/>
      <c r="C104" s="218"/>
      <c r="D104" s="41"/>
      <c r="E104" s="218"/>
      <c r="F104" s="218"/>
      <c r="G104" s="41"/>
      <c r="H104" s="41"/>
      <c r="I104" s="41"/>
      <c r="J104" s="166"/>
      <c r="K104" s="41"/>
      <c r="L104" s="41"/>
      <c r="M104" s="41"/>
      <c r="N104" s="166"/>
      <c r="O104" s="166"/>
      <c r="P104" s="41"/>
      <c r="Q104" s="41"/>
      <c r="R104" s="41"/>
      <c r="S104" s="41"/>
      <c r="T104" s="41"/>
      <c r="U104" s="41"/>
      <c r="V104" s="41"/>
      <c r="W104" s="41"/>
      <c r="X104" s="41"/>
      <c r="Y104" s="166"/>
      <c r="Z104" s="166"/>
      <c r="AA104" s="41"/>
      <c r="AB104" s="41"/>
      <c r="AC104" s="41"/>
      <c r="AD104" s="41"/>
      <c r="AE104" s="41"/>
      <c r="AF104" s="41"/>
      <c r="AG104" s="41"/>
      <c r="AH104" s="41"/>
      <c r="AI104" s="41"/>
    </row>
    <row r="105" spans="1:35" ht="15.75" customHeight="1" x14ac:dyDescent="0.2">
      <c r="A105" s="217"/>
      <c r="B105" s="218"/>
      <c r="C105" s="218"/>
      <c r="D105" s="41"/>
      <c r="E105" s="218"/>
      <c r="F105" s="218"/>
      <c r="G105" s="41"/>
      <c r="H105" s="41"/>
      <c r="I105" s="41"/>
      <c r="J105" s="166"/>
      <c r="K105" s="41"/>
      <c r="L105" s="41"/>
      <c r="M105" s="41"/>
      <c r="N105" s="166"/>
      <c r="O105" s="166"/>
      <c r="P105" s="41"/>
      <c r="Q105" s="41"/>
      <c r="R105" s="41"/>
      <c r="S105" s="41"/>
      <c r="T105" s="41"/>
      <c r="U105" s="41"/>
      <c r="V105" s="41"/>
      <c r="W105" s="41"/>
      <c r="X105" s="41"/>
      <c r="Y105" s="166"/>
      <c r="Z105" s="166"/>
      <c r="AA105" s="41"/>
      <c r="AB105" s="41"/>
      <c r="AC105" s="41"/>
      <c r="AD105" s="41"/>
      <c r="AE105" s="41"/>
      <c r="AF105" s="41"/>
      <c r="AG105" s="41"/>
      <c r="AH105" s="41"/>
      <c r="AI105" s="41"/>
    </row>
    <row r="106" spans="1:35" ht="15.75" customHeight="1" x14ac:dyDescent="0.2">
      <c r="A106" s="217"/>
      <c r="B106" s="218"/>
      <c r="C106" s="218"/>
      <c r="D106" s="41"/>
      <c r="E106" s="218"/>
      <c r="F106" s="218"/>
      <c r="G106" s="41"/>
      <c r="H106" s="41"/>
      <c r="I106" s="41"/>
      <c r="J106" s="166"/>
      <c r="K106" s="41"/>
      <c r="L106" s="41"/>
      <c r="M106" s="41"/>
      <c r="N106" s="166"/>
      <c r="O106" s="166"/>
      <c r="P106" s="41"/>
      <c r="Q106" s="41"/>
      <c r="R106" s="41"/>
      <c r="S106" s="41"/>
      <c r="T106" s="41"/>
      <c r="U106" s="41"/>
      <c r="V106" s="41"/>
      <c r="W106" s="41"/>
      <c r="X106" s="41"/>
      <c r="Y106" s="166"/>
      <c r="Z106" s="166"/>
      <c r="AA106" s="41"/>
      <c r="AB106" s="41"/>
      <c r="AC106" s="41"/>
      <c r="AD106" s="41"/>
      <c r="AE106" s="41"/>
      <c r="AF106" s="41"/>
      <c r="AG106" s="41"/>
      <c r="AH106" s="41"/>
      <c r="AI106" s="41"/>
    </row>
    <row r="107" spans="1:35" ht="15.75" customHeight="1" x14ac:dyDescent="0.2">
      <c r="A107" s="217"/>
      <c r="B107" s="218"/>
      <c r="C107" s="218"/>
      <c r="D107" s="41"/>
      <c r="E107" s="218"/>
      <c r="F107" s="218"/>
      <c r="G107" s="41"/>
      <c r="H107" s="41"/>
      <c r="I107" s="41"/>
      <c r="J107" s="166"/>
      <c r="K107" s="41"/>
      <c r="L107" s="41"/>
      <c r="M107" s="41"/>
      <c r="N107" s="166"/>
      <c r="O107" s="166"/>
      <c r="P107" s="41"/>
      <c r="Q107" s="41"/>
      <c r="R107" s="41"/>
      <c r="S107" s="41"/>
      <c r="T107" s="41"/>
      <c r="U107" s="41"/>
      <c r="V107" s="41"/>
      <c r="W107" s="41"/>
      <c r="X107" s="41"/>
      <c r="Y107" s="166"/>
      <c r="Z107" s="166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5.75" customHeight="1" x14ac:dyDescent="0.2">
      <c r="A108" s="217"/>
      <c r="B108" s="218"/>
      <c r="C108" s="218"/>
      <c r="D108" s="41"/>
      <c r="E108" s="218"/>
      <c r="F108" s="218"/>
      <c r="G108" s="41"/>
      <c r="H108" s="41"/>
      <c r="I108" s="41"/>
      <c r="J108" s="166"/>
      <c r="K108" s="41"/>
      <c r="L108" s="41"/>
      <c r="M108" s="41"/>
      <c r="N108" s="166"/>
      <c r="O108" s="166"/>
      <c r="P108" s="41"/>
      <c r="Q108" s="41"/>
      <c r="R108" s="41"/>
      <c r="S108" s="41"/>
      <c r="T108" s="41"/>
      <c r="U108" s="41"/>
      <c r="V108" s="41"/>
      <c r="W108" s="41"/>
      <c r="X108" s="41"/>
      <c r="Y108" s="166"/>
      <c r="Z108" s="166"/>
      <c r="AA108" s="41"/>
      <c r="AB108" s="41"/>
      <c r="AC108" s="41"/>
      <c r="AD108" s="41"/>
      <c r="AE108" s="41"/>
      <c r="AF108" s="41"/>
      <c r="AG108" s="41"/>
      <c r="AH108" s="41"/>
      <c r="AI108" s="41"/>
    </row>
    <row r="109" spans="1:35" ht="15.75" customHeight="1" x14ac:dyDescent="0.2">
      <c r="A109" s="217"/>
      <c r="B109" s="218"/>
      <c r="C109" s="218"/>
      <c r="D109" s="41"/>
      <c r="E109" s="218"/>
      <c r="F109" s="218"/>
      <c r="G109" s="41"/>
      <c r="H109" s="41"/>
      <c r="I109" s="41"/>
      <c r="J109" s="166"/>
      <c r="K109" s="41"/>
      <c r="L109" s="41"/>
      <c r="M109" s="41"/>
      <c r="N109" s="166"/>
      <c r="O109" s="166"/>
      <c r="P109" s="41"/>
      <c r="Q109" s="41"/>
      <c r="R109" s="41"/>
      <c r="S109" s="41"/>
      <c r="T109" s="41"/>
      <c r="U109" s="41"/>
      <c r="V109" s="41"/>
      <c r="W109" s="41"/>
      <c r="X109" s="41"/>
      <c r="Y109" s="166"/>
      <c r="Z109" s="166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5.75" customHeight="1" x14ac:dyDescent="0.2">
      <c r="A110" s="217"/>
      <c r="B110" s="218"/>
      <c r="C110" s="218"/>
      <c r="D110" s="41"/>
      <c r="E110" s="218"/>
      <c r="F110" s="218"/>
      <c r="G110" s="41"/>
      <c r="H110" s="41"/>
      <c r="I110" s="41"/>
      <c r="J110" s="166"/>
      <c r="K110" s="41"/>
      <c r="L110" s="41"/>
      <c r="M110" s="41"/>
      <c r="N110" s="166"/>
      <c r="O110" s="166"/>
      <c r="P110" s="41"/>
      <c r="Q110" s="41"/>
      <c r="R110" s="41"/>
      <c r="S110" s="41"/>
      <c r="T110" s="41"/>
      <c r="U110" s="41"/>
      <c r="V110" s="41"/>
      <c r="W110" s="41"/>
      <c r="X110" s="41"/>
      <c r="Y110" s="166"/>
      <c r="Z110" s="166"/>
      <c r="AA110" s="41"/>
      <c r="AB110" s="41"/>
      <c r="AC110" s="41"/>
      <c r="AD110" s="41"/>
      <c r="AE110" s="41"/>
      <c r="AF110" s="41"/>
      <c r="AG110" s="41"/>
      <c r="AH110" s="41"/>
      <c r="AI110" s="41"/>
    </row>
    <row r="111" spans="1:35" ht="15.75" customHeight="1" x14ac:dyDescent="0.2">
      <c r="A111" s="217"/>
      <c r="B111" s="218"/>
      <c r="C111" s="218"/>
      <c r="D111" s="41"/>
      <c r="E111" s="218"/>
      <c r="F111" s="218"/>
      <c r="G111" s="41"/>
      <c r="H111" s="41"/>
      <c r="I111" s="41"/>
      <c r="J111" s="166"/>
      <c r="K111" s="41"/>
      <c r="L111" s="41"/>
      <c r="M111" s="41"/>
      <c r="N111" s="166"/>
      <c r="O111" s="166"/>
      <c r="P111" s="41"/>
      <c r="Q111" s="41"/>
      <c r="R111" s="41"/>
      <c r="S111" s="41"/>
      <c r="T111" s="41"/>
      <c r="U111" s="41"/>
      <c r="V111" s="41"/>
      <c r="W111" s="41"/>
      <c r="X111" s="41"/>
      <c r="Y111" s="166"/>
      <c r="Z111" s="166"/>
      <c r="AA111" s="41"/>
      <c r="AB111" s="41"/>
      <c r="AC111" s="41"/>
      <c r="AD111" s="41"/>
      <c r="AE111" s="41"/>
      <c r="AF111" s="41"/>
      <c r="AG111" s="41"/>
      <c r="AH111" s="41"/>
      <c r="AI111" s="41"/>
    </row>
    <row r="112" spans="1:35" ht="15.75" customHeight="1" x14ac:dyDescent="0.2">
      <c r="A112" s="217"/>
      <c r="B112" s="218"/>
      <c r="C112" s="218"/>
      <c r="D112" s="41"/>
      <c r="E112" s="218"/>
      <c r="F112" s="218"/>
      <c r="G112" s="41"/>
      <c r="H112" s="41"/>
      <c r="I112" s="41"/>
      <c r="J112" s="166"/>
      <c r="K112" s="41"/>
      <c r="L112" s="41"/>
      <c r="M112" s="41"/>
      <c r="N112" s="166"/>
      <c r="O112" s="166"/>
      <c r="P112" s="41"/>
      <c r="Q112" s="41"/>
      <c r="R112" s="41"/>
      <c r="S112" s="41"/>
      <c r="T112" s="41"/>
      <c r="U112" s="41"/>
      <c r="V112" s="41"/>
      <c r="W112" s="41"/>
      <c r="X112" s="41"/>
      <c r="Y112" s="166"/>
      <c r="Z112" s="166"/>
      <c r="AA112" s="41"/>
      <c r="AB112" s="41"/>
      <c r="AC112" s="41"/>
      <c r="AD112" s="41"/>
      <c r="AE112" s="41"/>
      <c r="AF112" s="41"/>
      <c r="AG112" s="41"/>
      <c r="AH112" s="41"/>
      <c r="AI112" s="41"/>
    </row>
    <row r="113" spans="1:35" ht="15.75" customHeight="1" x14ac:dyDescent="0.2">
      <c r="A113" s="217"/>
      <c r="B113" s="218"/>
      <c r="C113" s="218"/>
      <c r="D113" s="41"/>
      <c r="E113" s="218"/>
      <c r="F113" s="218"/>
      <c r="G113" s="41"/>
      <c r="H113" s="41"/>
      <c r="I113" s="41"/>
      <c r="J113" s="166"/>
      <c r="K113" s="41"/>
      <c r="L113" s="41"/>
      <c r="M113" s="41"/>
      <c r="N113" s="166"/>
      <c r="O113" s="166"/>
      <c r="P113" s="41"/>
      <c r="Q113" s="41"/>
      <c r="R113" s="41"/>
      <c r="S113" s="41"/>
      <c r="T113" s="41"/>
      <c r="U113" s="41"/>
      <c r="V113" s="41"/>
      <c r="W113" s="41"/>
      <c r="X113" s="41"/>
      <c r="Y113" s="166"/>
      <c r="Z113" s="166"/>
      <c r="AA113" s="41"/>
      <c r="AB113" s="41"/>
      <c r="AC113" s="41"/>
      <c r="AD113" s="41"/>
      <c r="AE113" s="41"/>
      <c r="AF113" s="41"/>
      <c r="AG113" s="41"/>
      <c r="AH113" s="41"/>
      <c r="AI113" s="41"/>
    </row>
    <row r="114" spans="1:35" ht="15.75" customHeight="1" x14ac:dyDescent="0.2">
      <c r="A114" s="217"/>
      <c r="B114" s="218"/>
      <c r="C114" s="218"/>
      <c r="D114" s="41"/>
      <c r="E114" s="218"/>
      <c r="F114" s="218"/>
      <c r="G114" s="41"/>
      <c r="H114" s="41"/>
      <c r="I114" s="41"/>
      <c r="J114" s="166"/>
      <c r="K114" s="41"/>
      <c r="L114" s="41"/>
      <c r="M114" s="41"/>
      <c r="N114" s="166"/>
      <c r="O114" s="166"/>
      <c r="P114" s="41"/>
      <c r="Q114" s="41"/>
      <c r="R114" s="41"/>
      <c r="S114" s="41"/>
      <c r="T114" s="41"/>
      <c r="U114" s="41"/>
      <c r="V114" s="41"/>
      <c r="W114" s="41"/>
      <c r="X114" s="41"/>
      <c r="Y114" s="166"/>
      <c r="Z114" s="166"/>
      <c r="AA114" s="41"/>
      <c r="AB114" s="41"/>
      <c r="AC114" s="41"/>
      <c r="AD114" s="41"/>
      <c r="AE114" s="41"/>
      <c r="AF114" s="41"/>
      <c r="AG114" s="41"/>
      <c r="AH114" s="41"/>
      <c r="AI114" s="41"/>
    </row>
    <row r="115" spans="1:35" ht="15.75" customHeight="1" x14ac:dyDescent="0.2">
      <c r="A115" s="217"/>
      <c r="B115" s="218"/>
      <c r="C115" s="218"/>
      <c r="D115" s="41"/>
      <c r="E115" s="218"/>
      <c r="F115" s="218"/>
      <c r="G115" s="41"/>
      <c r="H115" s="41"/>
      <c r="I115" s="41"/>
      <c r="J115" s="166"/>
      <c r="K115" s="41"/>
      <c r="L115" s="41"/>
      <c r="M115" s="41"/>
      <c r="N115" s="166"/>
      <c r="O115" s="166"/>
      <c r="P115" s="41"/>
      <c r="Q115" s="41"/>
      <c r="R115" s="41"/>
      <c r="S115" s="41"/>
      <c r="T115" s="41"/>
      <c r="U115" s="41"/>
      <c r="V115" s="41"/>
      <c r="W115" s="41"/>
      <c r="X115" s="41"/>
      <c r="Y115" s="166"/>
      <c r="Z115" s="166"/>
      <c r="AA115" s="41"/>
      <c r="AB115" s="41"/>
      <c r="AC115" s="41"/>
      <c r="AD115" s="41"/>
      <c r="AE115" s="41"/>
      <c r="AF115" s="41"/>
      <c r="AG115" s="41"/>
      <c r="AH115" s="41"/>
      <c r="AI115" s="41"/>
    </row>
    <row r="116" spans="1:35" ht="15.75" customHeight="1" x14ac:dyDescent="0.2">
      <c r="A116" s="217"/>
      <c r="B116" s="218"/>
      <c r="C116" s="218"/>
      <c r="D116" s="41"/>
      <c r="E116" s="218"/>
      <c r="F116" s="218"/>
      <c r="G116" s="41"/>
      <c r="H116" s="41"/>
      <c r="I116" s="41"/>
      <c r="J116" s="166"/>
      <c r="K116" s="41"/>
      <c r="L116" s="41"/>
      <c r="M116" s="41"/>
      <c r="N116" s="166"/>
      <c r="O116" s="166"/>
      <c r="P116" s="41"/>
      <c r="Q116" s="41"/>
      <c r="R116" s="41"/>
      <c r="S116" s="41"/>
      <c r="T116" s="41"/>
      <c r="U116" s="41"/>
      <c r="V116" s="41"/>
      <c r="W116" s="41"/>
      <c r="X116" s="41"/>
      <c r="Y116" s="166"/>
      <c r="Z116" s="166"/>
      <c r="AA116" s="41"/>
      <c r="AB116" s="41"/>
      <c r="AC116" s="41"/>
      <c r="AD116" s="41"/>
      <c r="AE116" s="41"/>
      <c r="AF116" s="41"/>
      <c r="AG116" s="41"/>
      <c r="AH116" s="41"/>
      <c r="AI116" s="41"/>
    </row>
    <row r="117" spans="1:35" ht="15.75" customHeight="1" x14ac:dyDescent="0.2">
      <c r="A117" s="217"/>
      <c r="B117" s="218"/>
      <c r="C117" s="218"/>
      <c r="D117" s="41"/>
      <c r="E117" s="218"/>
      <c r="F117" s="218"/>
      <c r="G117" s="41"/>
      <c r="H117" s="41"/>
      <c r="I117" s="41"/>
      <c r="J117" s="166"/>
      <c r="K117" s="41"/>
      <c r="L117" s="41"/>
      <c r="M117" s="41"/>
      <c r="N117" s="166"/>
      <c r="O117" s="166"/>
      <c r="P117" s="41"/>
      <c r="Q117" s="41"/>
      <c r="R117" s="41"/>
      <c r="S117" s="41"/>
      <c r="T117" s="41"/>
      <c r="U117" s="41"/>
      <c r="V117" s="41"/>
      <c r="W117" s="41"/>
      <c r="X117" s="41"/>
      <c r="Y117" s="166"/>
      <c r="Z117" s="166"/>
      <c r="AA117" s="41"/>
      <c r="AB117" s="41"/>
      <c r="AC117" s="41"/>
      <c r="AD117" s="41"/>
      <c r="AE117" s="41"/>
      <c r="AF117" s="41"/>
      <c r="AG117" s="41"/>
      <c r="AH117" s="41"/>
      <c r="AI117" s="41"/>
    </row>
    <row r="118" spans="1:35" ht="15.75" customHeight="1" x14ac:dyDescent="0.2">
      <c r="A118" s="217"/>
      <c r="B118" s="218"/>
      <c r="C118" s="218"/>
      <c r="D118" s="41"/>
      <c r="E118" s="218"/>
      <c r="F118" s="218"/>
      <c r="G118" s="41"/>
      <c r="H118" s="41"/>
      <c r="I118" s="41"/>
      <c r="J118" s="166"/>
      <c r="K118" s="41"/>
      <c r="L118" s="41"/>
      <c r="M118" s="41"/>
      <c r="N118" s="166"/>
      <c r="O118" s="166"/>
      <c r="P118" s="41"/>
      <c r="Q118" s="41"/>
      <c r="R118" s="41"/>
      <c r="S118" s="41"/>
      <c r="T118" s="41"/>
      <c r="U118" s="41"/>
      <c r="V118" s="41"/>
      <c r="W118" s="41"/>
      <c r="X118" s="41"/>
      <c r="Y118" s="166"/>
      <c r="Z118" s="166"/>
      <c r="AA118" s="41"/>
      <c r="AB118" s="41"/>
      <c r="AC118" s="41"/>
      <c r="AD118" s="41"/>
      <c r="AE118" s="41"/>
      <c r="AF118" s="41"/>
      <c r="AG118" s="41"/>
      <c r="AH118" s="41"/>
      <c r="AI118" s="41"/>
    </row>
    <row r="119" spans="1:35" ht="15.75" customHeight="1" x14ac:dyDescent="0.2">
      <c r="A119" s="217"/>
      <c r="B119" s="218"/>
      <c r="C119" s="218"/>
      <c r="D119" s="41"/>
      <c r="E119" s="218"/>
      <c r="F119" s="218"/>
      <c r="G119" s="41"/>
      <c r="H119" s="41"/>
      <c r="I119" s="41"/>
      <c r="J119" s="166"/>
      <c r="K119" s="41"/>
      <c r="L119" s="41"/>
      <c r="M119" s="41"/>
      <c r="N119" s="166"/>
      <c r="O119" s="166"/>
      <c r="P119" s="41"/>
      <c r="Q119" s="41"/>
      <c r="R119" s="41"/>
      <c r="S119" s="41"/>
      <c r="T119" s="41"/>
      <c r="U119" s="41"/>
      <c r="V119" s="41"/>
      <c r="W119" s="41"/>
      <c r="X119" s="41"/>
      <c r="Y119" s="166"/>
      <c r="Z119" s="166"/>
      <c r="AA119" s="41"/>
      <c r="AB119" s="41"/>
      <c r="AC119" s="41"/>
      <c r="AD119" s="41"/>
      <c r="AE119" s="41"/>
      <c r="AF119" s="41"/>
      <c r="AG119" s="41"/>
      <c r="AH119" s="41"/>
      <c r="AI119" s="41"/>
    </row>
    <row r="120" spans="1:35" ht="15.75" customHeight="1" x14ac:dyDescent="0.2">
      <c r="A120" s="217"/>
      <c r="B120" s="218"/>
      <c r="C120" s="218"/>
      <c r="D120" s="41"/>
      <c r="E120" s="218"/>
      <c r="F120" s="218"/>
      <c r="G120" s="41"/>
      <c r="H120" s="41"/>
      <c r="I120" s="41"/>
      <c r="J120" s="166"/>
      <c r="K120" s="41"/>
      <c r="L120" s="41"/>
      <c r="M120" s="41"/>
      <c r="N120" s="166"/>
      <c r="O120" s="166"/>
      <c r="P120" s="41"/>
      <c r="Q120" s="41"/>
      <c r="R120" s="41"/>
      <c r="S120" s="41"/>
      <c r="T120" s="41"/>
      <c r="U120" s="41"/>
      <c r="V120" s="41"/>
      <c r="W120" s="41"/>
      <c r="X120" s="41"/>
      <c r="Y120" s="166"/>
      <c r="Z120" s="166"/>
      <c r="AA120" s="41"/>
      <c r="AB120" s="41"/>
      <c r="AC120" s="41"/>
      <c r="AD120" s="41"/>
      <c r="AE120" s="41"/>
      <c r="AF120" s="41"/>
      <c r="AG120" s="41"/>
      <c r="AH120" s="41"/>
      <c r="AI120" s="41"/>
    </row>
    <row r="121" spans="1:35" ht="15.75" customHeight="1" x14ac:dyDescent="0.2">
      <c r="A121" s="217"/>
      <c r="B121" s="218"/>
      <c r="C121" s="218"/>
      <c r="D121" s="41"/>
      <c r="E121" s="218"/>
      <c r="F121" s="218"/>
      <c r="G121" s="41"/>
      <c r="H121" s="41"/>
      <c r="I121" s="41"/>
      <c r="J121" s="166"/>
      <c r="K121" s="41"/>
      <c r="L121" s="41"/>
      <c r="M121" s="41"/>
      <c r="N121" s="166"/>
      <c r="O121" s="166"/>
      <c r="P121" s="41"/>
      <c r="Q121" s="41"/>
      <c r="R121" s="41"/>
      <c r="S121" s="41"/>
      <c r="T121" s="41"/>
      <c r="U121" s="41"/>
      <c r="V121" s="41"/>
      <c r="W121" s="41"/>
      <c r="X121" s="41"/>
      <c r="Y121" s="166"/>
      <c r="Z121" s="166"/>
      <c r="AA121" s="41"/>
      <c r="AB121" s="41"/>
      <c r="AC121" s="41"/>
      <c r="AD121" s="41"/>
      <c r="AE121" s="41"/>
      <c r="AF121" s="41"/>
      <c r="AG121" s="41"/>
      <c r="AH121" s="41"/>
      <c r="AI121" s="41"/>
    </row>
    <row r="122" spans="1:35" ht="15.75" customHeight="1" x14ac:dyDescent="0.2">
      <c r="A122" s="217"/>
      <c r="B122" s="218"/>
      <c r="C122" s="218"/>
      <c r="D122" s="41"/>
      <c r="E122" s="218"/>
      <c r="F122" s="218"/>
      <c r="G122" s="41"/>
      <c r="H122" s="41"/>
      <c r="I122" s="41"/>
      <c r="J122" s="166"/>
      <c r="K122" s="41"/>
      <c r="L122" s="41"/>
      <c r="M122" s="41"/>
      <c r="N122" s="166"/>
      <c r="O122" s="166"/>
      <c r="P122" s="41"/>
      <c r="Q122" s="41"/>
      <c r="R122" s="41"/>
      <c r="S122" s="41"/>
      <c r="T122" s="41"/>
      <c r="U122" s="41"/>
      <c r="V122" s="41"/>
      <c r="W122" s="41"/>
      <c r="X122" s="41"/>
      <c r="Y122" s="166"/>
      <c r="Z122" s="166"/>
      <c r="AA122" s="41"/>
      <c r="AB122" s="41"/>
      <c r="AC122" s="41"/>
      <c r="AD122" s="41"/>
      <c r="AE122" s="41"/>
      <c r="AF122" s="41"/>
      <c r="AG122" s="41"/>
      <c r="AH122" s="41"/>
      <c r="AI122" s="41"/>
    </row>
    <row r="123" spans="1:35" ht="15.75" customHeight="1" x14ac:dyDescent="0.2">
      <c r="A123" s="217"/>
      <c r="B123" s="218"/>
      <c r="C123" s="218"/>
      <c r="D123" s="41"/>
      <c r="E123" s="218"/>
      <c r="F123" s="218"/>
      <c r="G123" s="41"/>
      <c r="H123" s="41"/>
      <c r="I123" s="41"/>
      <c r="J123" s="166"/>
      <c r="K123" s="41"/>
      <c r="L123" s="41"/>
      <c r="M123" s="41"/>
      <c r="N123" s="166"/>
      <c r="O123" s="166"/>
      <c r="P123" s="41"/>
      <c r="Q123" s="41"/>
      <c r="R123" s="41"/>
      <c r="S123" s="41"/>
      <c r="T123" s="41"/>
      <c r="U123" s="41"/>
      <c r="V123" s="41"/>
      <c r="W123" s="41"/>
      <c r="X123" s="41"/>
      <c r="Y123" s="166"/>
      <c r="Z123" s="166"/>
      <c r="AA123" s="41"/>
      <c r="AB123" s="41"/>
      <c r="AC123" s="41"/>
      <c r="AD123" s="41"/>
      <c r="AE123" s="41"/>
      <c r="AF123" s="41"/>
      <c r="AG123" s="41"/>
      <c r="AH123" s="41"/>
      <c r="AI123" s="41"/>
    </row>
    <row r="124" spans="1:35" ht="15.75" customHeight="1" x14ac:dyDescent="0.2">
      <c r="A124" s="217"/>
      <c r="B124" s="218"/>
      <c r="C124" s="218"/>
      <c r="D124" s="41"/>
      <c r="E124" s="218"/>
      <c r="F124" s="218"/>
      <c r="G124" s="41"/>
      <c r="H124" s="41"/>
      <c r="I124" s="41"/>
      <c r="J124" s="166"/>
      <c r="K124" s="41"/>
      <c r="L124" s="41"/>
      <c r="M124" s="41"/>
      <c r="N124" s="166"/>
      <c r="O124" s="166"/>
      <c r="P124" s="41"/>
      <c r="Q124" s="41"/>
      <c r="R124" s="41"/>
      <c r="S124" s="41"/>
      <c r="T124" s="41"/>
      <c r="U124" s="41"/>
      <c r="V124" s="41"/>
      <c r="W124" s="41"/>
      <c r="X124" s="41"/>
      <c r="Y124" s="166"/>
      <c r="Z124" s="166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5.75" customHeight="1" x14ac:dyDescent="0.2">
      <c r="A125" s="217"/>
      <c r="B125" s="218"/>
      <c r="C125" s="218"/>
      <c r="D125" s="41"/>
      <c r="E125" s="218"/>
      <c r="F125" s="218"/>
      <c r="G125" s="41"/>
      <c r="H125" s="41"/>
      <c r="I125" s="41"/>
      <c r="J125" s="166"/>
      <c r="K125" s="41"/>
      <c r="L125" s="41"/>
      <c r="M125" s="41"/>
      <c r="N125" s="166"/>
      <c r="O125" s="166"/>
      <c r="P125" s="41"/>
      <c r="Q125" s="41"/>
      <c r="R125" s="41"/>
      <c r="S125" s="41"/>
      <c r="T125" s="41"/>
      <c r="U125" s="41"/>
      <c r="V125" s="41"/>
      <c r="W125" s="41"/>
      <c r="X125" s="41"/>
      <c r="Y125" s="166"/>
      <c r="Z125" s="166"/>
      <c r="AA125" s="41"/>
      <c r="AB125" s="41"/>
      <c r="AC125" s="41"/>
      <c r="AD125" s="41"/>
      <c r="AE125" s="41"/>
      <c r="AF125" s="41"/>
      <c r="AG125" s="41"/>
      <c r="AH125" s="41"/>
      <c r="AI125" s="41"/>
    </row>
    <row r="126" spans="1:35" ht="15.75" customHeight="1" x14ac:dyDescent="0.2">
      <c r="A126" s="217"/>
      <c r="B126" s="218"/>
      <c r="C126" s="218"/>
      <c r="D126" s="41"/>
      <c r="E126" s="218"/>
      <c r="F126" s="218"/>
      <c r="G126" s="41"/>
      <c r="H126" s="41"/>
      <c r="I126" s="41"/>
      <c r="J126" s="166"/>
      <c r="K126" s="41"/>
      <c r="L126" s="41"/>
      <c r="M126" s="41"/>
      <c r="N126" s="166"/>
      <c r="O126" s="166"/>
      <c r="P126" s="41"/>
      <c r="Q126" s="41"/>
      <c r="R126" s="41"/>
      <c r="S126" s="41"/>
      <c r="T126" s="41"/>
      <c r="U126" s="41"/>
      <c r="V126" s="41"/>
      <c r="W126" s="41"/>
      <c r="X126" s="41"/>
      <c r="Y126" s="166"/>
      <c r="Z126" s="166"/>
      <c r="AA126" s="41"/>
      <c r="AB126" s="41"/>
      <c r="AC126" s="41"/>
      <c r="AD126" s="41"/>
      <c r="AE126" s="41"/>
      <c r="AF126" s="41"/>
      <c r="AG126" s="41"/>
      <c r="AH126" s="41"/>
      <c r="AI126" s="41"/>
    </row>
    <row r="127" spans="1:35" ht="15.75" customHeight="1" x14ac:dyDescent="0.2">
      <c r="A127" s="217"/>
      <c r="B127" s="218"/>
      <c r="C127" s="218"/>
      <c r="D127" s="41"/>
      <c r="E127" s="218"/>
      <c r="F127" s="218"/>
      <c r="G127" s="41"/>
      <c r="H127" s="41"/>
      <c r="I127" s="41"/>
      <c r="J127" s="166"/>
      <c r="K127" s="41"/>
      <c r="L127" s="41"/>
      <c r="M127" s="41"/>
      <c r="N127" s="166"/>
      <c r="O127" s="166"/>
      <c r="P127" s="41"/>
      <c r="Q127" s="41"/>
      <c r="R127" s="41"/>
      <c r="S127" s="41"/>
      <c r="T127" s="41"/>
      <c r="U127" s="41"/>
      <c r="V127" s="41"/>
      <c r="W127" s="41"/>
      <c r="X127" s="41"/>
      <c r="Y127" s="166"/>
      <c r="Z127" s="166"/>
      <c r="AA127" s="41"/>
      <c r="AB127" s="41"/>
      <c r="AC127" s="41"/>
      <c r="AD127" s="41"/>
      <c r="AE127" s="41"/>
      <c r="AF127" s="41"/>
      <c r="AG127" s="41"/>
      <c r="AH127" s="41"/>
      <c r="AI127" s="41"/>
    </row>
    <row r="128" spans="1:35" ht="15.75" customHeight="1" x14ac:dyDescent="0.2">
      <c r="A128" s="217"/>
      <c r="B128" s="218"/>
      <c r="C128" s="218"/>
      <c r="D128" s="41"/>
      <c r="E128" s="218"/>
      <c r="F128" s="218"/>
      <c r="G128" s="41"/>
      <c r="H128" s="41"/>
      <c r="I128" s="41"/>
      <c r="J128" s="166"/>
      <c r="K128" s="41"/>
      <c r="L128" s="41"/>
      <c r="M128" s="41"/>
      <c r="N128" s="166"/>
      <c r="O128" s="166"/>
      <c r="P128" s="41"/>
      <c r="Q128" s="41"/>
      <c r="R128" s="41"/>
      <c r="S128" s="41"/>
      <c r="T128" s="41"/>
      <c r="U128" s="41"/>
      <c r="V128" s="41"/>
      <c r="W128" s="41"/>
      <c r="X128" s="41"/>
      <c r="Y128" s="166"/>
      <c r="Z128" s="166"/>
      <c r="AA128" s="41"/>
      <c r="AB128" s="41"/>
      <c r="AC128" s="41"/>
      <c r="AD128" s="41"/>
      <c r="AE128" s="41"/>
      <c r="AF128" s="41"/>
      <c r="AG128" s="41"/>
      <c r="AH128" s="41"/>
      <c r="AI128" s="41"/>
    </row>
    <row r="129" spans="1:35" ht="15.75" customHeight="1" x14ac:dyDescent="0.2">
      <c r="A129" s="217"/>
      <c r="B129" s="218"/>
      <c r="C129" s="218"/>
      <c r="D129" s="41"/>
      <c r="E129" s="218"/>
      <c r="F129" s="218"/>
      <c r="G129" s="41"/>
      <c r="H129" s="41"/>
      <c r="I129" s="41"/>
      <c r="J129" s="166"/>
      <c r="K129" s="41"/>
      <c r="L129" s="41"/>
      <c r="M129" s="41"/>
      <c r="N129" s="166"/>
      <c r="O129" s="166"/>
      <c r="P129" s="41"/>
      <c r="Q129" s="41"/>
      <c r="R129" s="41"/>
      <c r="S129" s="41"/>
      <c r="T129" s="41"/>
      <c r="U129" s="41"/>
      <c r="V129" s="41"/>
      <c r="W129" s="41"/>
      <c r="X129" s="41"/>
      <c r="Y129" s="166"/>
      <c r="Z129" s="166"/>
      <c r="AA129" s="41"/>
      <c r="AB129" s="41"/>
      <c r="AC129" s="41"/>
      <c r="AD129" s="41"/>
      <c r="AE129" s="41"/>
      <c r="AF129" s="41"/>
      <c r="AG129" s="41"/>
      <c r="AH129" s="41"/>
      <c r="AI129" s="41"/>
    </row>
    <row r="130" spans="1:35" ht="15.75" customHeight="1" x14ac:dyDescent="0.2">
      <c r="A130" s="217"/>
      <c r="B130" s="218"/>
      <c r="C130" s="218"/>
      <c r="D130" s="41"/>
      <c r="E130" s="218"/>
      <c r="F130" s="218"/>
      <c r="G130" s="41"/>
      <c r="H130" s="41"/>
      <c r="I130" s="41"/>
      <c r="J130" s="166"/>
      <c r="K130" s="41"/>
      <c r="L130" s="41"/>
      <c r="M130" s="41"/>
      <c r="N130" s="166"/>
      <c r="O130" s="166"/>
      <c r="P130" s="41"/>
      <c r="Q130" s="41"/>
      <c r="R130" s="41"/>
      <c r="S130" s="41"/>
      <c r="T130" s="41"/>
      <c r="U130" s="41"/>
      <c r="V130" s="41"/>
      <c r="W130" s="41"/>
      <c r="X130" s="41"/>
      <c r="Y130" s="166"/>
      <c r="Z130" s="166"/>
      <c r="AA130" s="41"/>
      <c r="AB130" s="41"/>
      <c r="AC130" s="41"/>
      <c r="AD130" s="41"/>
      <c r="AE130" s="41"/>
      <c r="AF130" s="41"/>
      <c r="AG130" s="41"/>
      <c r="AH130" s="41"/>
      <c r="AI130" s="41"/>
    </row>
    <row r="131" spans="1:35" ht="15.75" customHeight="1" x14ac:dyDescent="0.2">
      <c r="A131" s="217"/>
      <c r="B131" s="218"/>
      <c r="C131" s="218"/>
      <c r="D131" s="41"/>
      <c r="E131" s="218"/>
      <c r="F131" s="218"/>
      <c r="G131" s="41"/>
      <c r="H131" s="41"/>
      <c r="I131" s="41"/>
      <c r="J131" s="166"/>
      <c r="K131" s="41"/>
      <c r="L131" s="41"/>
      <c r="M131" s="41"/>
      <c r="N131" s="166"/>
      <c r="O131" s="166"/>
      <c r="P131" s="41"/>
      <c r="Q131" s="41"/>
      <c r="R131" s="41"/>
      <c r="S131" s="41"/>
      <c r="T131" s="41"/>
      <c r="U131" s="41"/>
      <c r="V131" s="41"/>
      <c r="W131" s="41"/>
      <c r="X131" s="41"/>
      <c r="Y131" s="166"/>
      <c r="Z131" s="166"/>
      <c r="AA131" s="41"/>
      <c r="AB131" s="41"/>
      <c r="AC131" s="41"/>
      <c r="AD131" s="41"/>
      <c r="AE131" s="41"/>
      <c r="AF131" s="41"/>
      <c r="AG131" s="41"/>
      <c r="AH131" s="41"/>
      <c r="AI131" s="41"/>
    </row>
    <row r="132" spans="1:35" ht="15.75" customHeight="1" x14ac:dyDescent="0.2">
      <c r="A132" s="217"/>
      <c r="B132" s="218"/>
      <c r="C132" s="218"/>
      <c r="D132" s="41"/>
      <c r="E132" s="218"/>
      <c r="F132" s="218"/>
      <c r="G132" s="41"/>
      <c r="H132" s="41"/>
      <c r="I132" s="41"/>
      <c r="J132" s="166"/>
      <c r="K132" s="41"/>
      <c r="L132" s="41"/>
      <c r="M132" s="41"/>
      <c r="N132" s="166"/>
      <c r="O132" s="166"/>
      <c r="P132" s="41"/>
      <c r="Q132" s="41"/>
      <c r="R132" s="41"/>
      <c r="S132" s="41"/>
      <c r="T132" s="41"/>
      <c r="U132" s="41"/>
      <c r="V132" s="41"/>
      <c r="W132" s="41"/>
      <c r="X132" s="41"/>
      <c r="Y132" s="166"/>
      <c r="Z132" s="166"/>
      <c r="AA132" s="41"/>
      <c r="AB132" s="41"/>
      <c r="AC132" s="41"/>
      <c r="AD132" s="41"/>
      <c r="AE132" s="41"/>
      <c r="AF132" s="41"/>
      <c r="AG132" s="41"/>
      <c r="AH132" s="41"/>
      <c r="AI132" s="41"/>
    </row>
    <row r="133" spans="1:35" ht="15.75" customHeight="1" x14ac:dyDescent="0.2">
      <c r="A133" s="217"/>
      <c r="B133" s="218"/>
      <c r="C133" s="218"/>
      <c r="D133" s="41"/>
      <c r="E133" s="218"/>
      <c r="F133" s="218"/>
      <c r="G133" s="41"/>
      <c r="H133" s="41"/>
      <c r="I133" s="41"/>
      <c r="J133" s="166"/>
      <c r="K133" s="41"/>
      <c r="L133" s="41"/>
      <c r="M133" s="41"/>
      <c r="N133" s="166"/>
      <c r="O133" s="166"/>
      <c r="P133" s="41"/>
      <c r="Q133" s="41"/>
      <c r="R133" s="41"/>
      <c r="S133" s="41"/>
      <c r="T133" s="41"/>
      <c r="U133" s="41"/>
      <c r="V133" s="41"/>
      <c r="W133" s="41"/>
      <c r="X133" s="41"/>
      <c r="Y133" s="166"/>
      <c r="Z133" s="166"/>
      <c r="AA133" s="41"/>
      <c r="AB133" s="41"/>
      <c r="AC133" s="41"/>
      <c r="AD133" s="41"/>
      <c r="AE133" s="41"/>
      <c r="AF133" s="41"/>
      <c r="AG133" s="41"/>
      <c r="AH133" s="41"/>
      <c r="AI133" s="41"/>
    </row>
    <row r="134" spans="1:35" ht="15.75" customHeight="1" x14ac:dyDescent="0.2">
      <c r="A134" s="217"/>
      <c r="B134" s="218"/>
      <c r="C134" s="218"/>
      <c r="D134" s="41"/>
      <c r="E134" s="218"/>
      <c r="F134" s="218"/>
      <c r="G134" s="41"/>
      <c r="H134" s="41"/>
      <c r="I134" s="41"/>
      <c r="J134" s="166"/>
      <c r="K134" s="41"/>
      <c r="L134" s="41"/>
      <c r="M134" s="41"/>
      <c r="N134" s="166"/>
      <c r="O134" s="166"/>
      <c r="P134" s="41"/>
      <c r="Q134" s="41"/>
      <c r="R134" s="41"/>
      <c r="S134" s="41"/>
      <c r="T134" s="41"/>
      <c r="U134" s="41"/>
      <c r="V134" s="41"/>
      <c r="W134" s="41"/>
      <c r="X134" s="41"/>
      <c r="Y134" s="166"/>
      <c r="Z134" s="166"/>
      <c r="AA134" s="41"/>
      <c r="AB134" s="41"/>
      <c r="AC134" s="41"/>
      <c r="AD134" s="41"/>
      <c r="AE134" s="41"/>
      <c r="AF134" s="41"/>
      <c r="AG134" s="41"/>
      <c r="AH134" s="41"/>
      <c r="AI134" s="41"/>
    </row>
    <row r="135" spans="1:35" ht="15.75" customHeight="1" x14ac:dyDescent="0.2">
      <c r="A135" s="217"/>
      <c r="B135" s="218"/>
      <c r="C135" s="218"/>
      <c r="D135" s="41"/>
      <c r="E135" s="218"/>
      <c r="F135" s="218"/>
      <c r="G135" s="41"/>
      <c r="H135" s="41"/>
      <c r="I135" s="41"/>
      <c r="J135" s="166"/>
      <c r="K135" s="41"/>
      <c r="L135" s="41"/>
      <c r="M135" s="41"/>
      <c r="N135" s="166"/>
      <c r="O135" s="166"/>
      <c r="P135" s="41"/>
      <c r="Q135" s="41"/>
      <c r="R135" s="41"/>
      <c r="S135" s="41"/>
      <c r="T135" s="41"/>
      <c r="U135" s="41"/>
      <c r="V135" s="41"/>
      <c r="W135" s="41"/>
      <c r="X135" s="41"/>
      <c r="Y135" s="166"/>
      <c r="Z135" s="166"/>
      <c r="AA135" s="41"/>
      <c r="AB135" s="41"/>
      <c r="AC135" s="41"/>
      <c r="AD135" s="41"/>
      <c r="AE135" s="41"/>
      <c r="AF135" s="41"/>
      <c r="AG135" s="41"/>
      <c r="AH135" s="41"/>
      <c r="AI135" s="41"/>
    </row>
    <row r="136" spans="1:35" ht="15.75" customHeight="1" x14ac:dyDescent="0.2">
      <c r="A136" s="217"/>
      <c r="B136" s="218"/>
      <c r="C136" s="218"/>
      <c r="D136" s="41"/>
      <c r="E136" s="218"/>
      <c r="F136" s="218"/>
      <c r="G136" s="41"/>
      <c r="H136" s="41"/>
      <c r="I136" s="41"/>
      <c r="J136" s="166"/>
      <c r="K136" s="41"/>
      <c r="L136" s="41"/>
      <c r="M136" s="41"/>
      <c r="N136" s="166"/>
      <c r="O136" s="166"/>
      <c r="P136" s="41"/>
      <c r="Q136" s="41"/>
      <c r="R136" s="41"/>
      <c r="S136" s="41"/>
      <c r="T136" s="41"/>
      <c r="U136" s="41"/>
      <c r="V136" s="41"/>
      <c r="W136" s="41"/>
      <c r="X136" s="41"/>
      <c r="Y136" s="166"/>
      <c r="Z136" s="166"/>
      <c r="AA136" s="41"/>
      <c r="AB136" s="41"/>
      <c r="AC136" s="41"/>
      <c r="AD136" s="41"/>
      <c r="AE136" s="41"/>
      <c r="AF136" s="41"/>
      <c r="AG136" s="41"/>
      <c r="AH136" s="41"/>
      <c r="AI136" s="41"/>
    </row>
    <row r="137" spans="1:35" ht="15.75" customHeight="1" x14ac:dyDescent="0.2">
      <c r="A137" s="217"/>
      <c r="B137" s="218"/>
      <c r="C137" s="218"/>
      <c r="D137" s="41"/>
      <c r="E137" s="218"/>
      <c r="F137" s="218"/>
      <c r="G137" s="41"/>
      <c r="H137" s="41"/>
      <c r="I137" s="41"/>
      <c r="J137" s="166"/>
      <c r="K137" s="41"/>
      <c r="L137" s="41"/>
      <c r="M137" s="41"/>
      <c r="N137" s="166"/>
      <c r="O137" s="166"/>
      <c r="P137" s="41"/>
      <c r="Q137" s="41"/>
      <c r="R137" s="41"/>
      <c r="S137" s="41"/>
      <c r="T137" s="41"/>
      <c r="U137" s="41"/>
      <c r="V137" s="41"/>
      <c r="W137" s="41"/>
      <c r="X137" s="41"/>
      <c r="Y137" s="166"/>
      <c r="Z137" s="166"/>
      <c r="AA137" s="41"/>
      <c r="AB137" s="41"/>
      <c r="AC137" s="41"/>
      <c r="AD137" s="41"/>
      <c r="AE137" s="41"/>
      <c r="AF137" s="41"/>
      <c r="AG137" s="41"/>
      <c r="AH137" s="41"/>
      <c r="AI137" s="41"/>
    </row>
    <row r="138" spans="1:35" ht="15.75" customHeight="1" x14ac:dyDescent="0.2">
      <c r="A138" s="217"/>
      <c r="B138" s="218"/>
      <c r="C138" s="218"/>
      <c r="D138" s="41"/>
      <c r="E138" s="218"/>
      <c r="F138" s="218"/>
      <c r="G138" s="41"/>
      <c r="H138" s="41"/>
      <c r="I138" s="41"/>
      <c r="J138" s="166"/>
      <c r="K138" s="41"/>
      <c r="L138" s="41"/>
      <c r="M138" s="41"/>
      <c r="N138" s="166"/>
      <c r="O138" s="166"/>
      <c r="P138" s="41"/>
      <c r="Q138" s="41"/>
      <c r="R138" s="41"/>
      <c r="S138" s="41"/>
      <c r="T138" s="41"/>
      <c r="U138" s="41"/>
      <c r="V138" s="41"/>
      <c r="W138" s="41"/>
      <c r="X138" s="41"/>
      <c r="Y138" s="166"/>
      <c r="Z138" s="166"/>
      <c r="AA138" s="41"/>
      <c r="AB138" s="41"/>
      <c r="AC138" s="41"/>
      <c r="AD138" s="41"/>
      <c r="AE138" s="41"/>
      <c r="AF138" s="41"/>
      <c r="AG138" s="41"/>
      <c r="AH138" s="41"/>
      <c r="AI138" s="41"/>
    </row>
    <row r="139" spans="1:35" ht="15.75" customHeight="1" x14ac:dyDescent="0.2">
      <c r="A139" s="217"/>
      <c r="B139" s="218"/>
      <c r="C139" s="218"/>
      <c r="D139" s="41"/>
      <c r="E139" s="218"/>
      <c r="F139" s="218"/>
      <c r="G139" s="41"/>
      <c r="H139" s="41"/>
      <c r="I139" s="41"/>
      <c r="J139" s="166"/>
      <c r="K139" s="41"/>
      <c r="L139" s="41"/>
      <c r="M139" s="41"/>
      <c r="N139" s="166"/>
      <c r="O139" s="166"/>
      <c r="P139" s="41"/>
      <c r="Q139" s="41"/>
      <c r="R139" s="41"/>
      <c r="S139" s="41"/>
      <c r="T139" s="41"/>
      <c r="U139" s="41"/>
      <c r="V139" s="41"/>
      <c r="W139" s="41"/>
      <c r="X139" s="41"/>
      <c r="Y139" s="166"/>
      <c r="Z139" s="166"/>
      <c r="AA139" s="41"/>
      <c r="AB139" s="41"/>
      <c r="AC139" s="41"/>
      <c r="AD139" s="41"/>
      <c r="AE139" s="41"/>
      <c r="AF139" s="41"/>
      <c r="AG139" s="41"/>
      <c r="AH139" s="41"/>
      <c r="AI139" s="41"/>
    </row>
    <row r="140" spans="1:35" ht="15.75" customHeight="1" x14ac:dyDescent="0.2">
      <c r="A140" s="217"/>
      <c r="B140" s="218"/>
      <c r="C140" s="218"/>
      <c r="D140" s="41"/>
      <c r="E140" s="218"/>
      <c r="F140" s="218"/>
      <c r="G140" s="41"/>
      <c r="H140" s="41"/>
      <c r="I140" s="41"/>
      <c r="J140" s="166"/>
      <c r="K140" s="41"/>
      <c r="L140" s="41"/>
      <c r="M140" s="41"/>
      <c r="N140" s="166"/>
      <c r="O140" s="166"/>
      <c r="P140" s="41"/>
      <c r="Q140" s="41"/>
      <c r="R140" s="41"/>
      <c r="S140" s="41"/>
      <c r="T140" s="41"/>
      <c r="U140" s="41"/>
      <c r="V140" s="41"/>
      <c r="W140" s="41"/>
      <c r="X140" s="41"/>
      <c r="Y140" s="166"/>
      <c r="Z140" s="166"/>
      <c r="AA140" s="41"/>
      <c r="AB140" s="41"/>
      <c r="AC140" s="41"/>
      <c r="AD140" s="41"/>
      <c r="AE140" s="41"/>
      <c r="AF140" s="41"/>
      <c r="AG140" s="41"/>
      <c r="AH140" s="41"/>
      <c r="AI140" s="41"/>
    </row>
    <row r="141" spans="1:35" ht="15.75" customHeight="1" x14ac:dyDescent="0.2">
      <c r="A141" s="217"/>
      <c r="B141" s="218"/>
      <c r="C141" s="218"/>
      <c r="D141" s="41"/>
      <c r="E141" s="218"/>
      <c r="F141" s="218"/>
      <c r="G141" s="41"/>
      <c r="H141" s="41"/>
      <c r="I141" s="41"/>
      <c r="J141" s="166"/>
      <c r="K141" s="41"/>
      <c r="L141" s="41"/>
      <c r="M141" s="41"/>
      <c r="N141" s="166"/>
      <c r="O141" s="166"/>
      <c r="P141" s="41"/>
      <c r="Q141" s="41"/>
      <c r="R141" s="41"/>
      <c r="S141" s="41"/>
      <c r="T141" s="41"/>
      <c r="U141" s="41"/>
      <c r="V141" s="41"/>
      <c r="W141" s="41"/>
      <c r="X141" s="41"/>
      <c r="Y141" s="166"/>
      <c r="Z141" s="166"/>
      <c r="AA141" s="41"/>
      <c r="AB141" s="41"/>
      <c r="AC141" s="41"/>
      <c r="AD141" s="41"/>
      <c r="AE141" s="41"/>
      <c r="AF141" s="41"/>
      <c r="AG141" s="41"/>
      <c r="AH141" s="41"/>
      <c r="AI141" s="41"/>
    </row>
    <row r="142" spans="1:35" ht="15.75" customHeight="1" x14ac:dyDescent="0.2">
      <c r="A142" s="217"/>
      <c r="B142" s="218"/>
      <c r="C142" s="218"/>
      <c r="D142" s="41"/>
      <c r="E142" s="218"/>
      <c r="F142" s="218"/>
      <c r="G142" s="41"/>
      <c r="H142" s="41"/>
      <c r="I142" s="41"/>
      <c r="J142" s="166"/>
      <c r="K142" s="41"/>
      <c r="L142" s="41"/>
      <c r="M142" s="41"/>
      <c r="N142" s="166"/>
      <c r="O142" s="166"/>
      <c r="P142" s="41"/>
      <c r="Q142" s="41"/>
      <c r="R142" s="41"/>
      <c r="S142" s="41"/>
      <c r="T142" s="41"/>
      <c r="U142" s="41"/>
      <c r="V142" s="41"/>
      <c r="W142" s="41"/>
      <c r="X142" s="41"/>
      <c r="Y142" s="166"/>
      <c r="Z142" s="166"/>
      <c r="AA142" s="41"/>
      <c r="AB142" s="41"/>
      <c r="AC142" s="41"/>
      <c r="AD142" s="41"/>
      <c r="AE142" s="41"/>
      <c r="AF142" s="41"/>
      <c r="AG142" s="41"/>
      <c r="AH142" s="41"/>
      <c r="AI142" s="41"/>
    </row>
    <row r="143" spans="1:35" ht="15.75" customHeight="1" x14ac:dyDescent="0.2">
      <c r="A143" s="217"/>
      <c r="B143" s="218"/>
      <c r="C143" s="218"/>
      <c r="D143" s="41"/>
      <c r="E143" s="218"/>
      <c r="F143" s="218"/>
      <c r="G143" s="41"/>
      <c r="H143" s="41"/>
      <c r="I143" s="41"/>
      <c r="J143" s="166"/>
      <c r="K143" s="41"/>
      <c r="L143" s="41"/>
      <c r="M143" s="41"/>
      <c r="N143" s="166"/>
      <c r="O143" s="166"/>
      <c r="P143" s="41"/>
      <c r="Q143" s="41"/>
      <c r="R143" s="41"/>
      <c r="S143" s="41"/>
      <c r="T143" s="41"/>
      <c r="U143" s="41"/>
      <c r="V143" s="41"/>
      <c r="W143" s="41"/>
      <c r="X143" s="41"/>
      <c r="Y143" s="166"/>
      <c r="Z143" s="166"/>
      <c r="AA143" s="41"/>
      <c r="AB143" s="41"/>
      <c r="AC143" s="41"/>
      <c r="AD143" s="41"/>
      <c r="AE143" s="41"/>
      <c r="AF143" s="41"/>
      <c r="AG143" s="41"/>
      <c r="AH143" s="41"/>
      <c r="AI143" s="41"/>
    </row>
    <row r="144" spans="1:35" ht="15.75" customHeight="1" x14ac:dyDescent="0.2">
      <c r="A144" s="217"/>
      <c r="B144" s="218"/>
      <c r="C144" s="218"/>
      <c r="D144" s="41"/>
      <c r="E144" s="218"/>
      <c r="F144" s="218"/>
      <c r="G144" s="41"/>
      <c r="H144" s="41"/>
      <c r="I144" s="41"/>
      <c r="J144" s="166"/>
      <c r="K144" s="41"/>
      <c r="L144" s="41"/>
      <c r="M144" s="41"/>
      <c r="N144" s="166"/>
      <c r="O144" s="166"/>
      <c r="P144" s="41"/>
      <c r="Q144" s="41"/>
      <c r="R144" s="41"/>
      <c r="S144" s="41"/>
      <c r="T144" s="41"/>
      <c r="U144" s="41"/>
      <c r="V144" s="41"/>
      <c r="W144" s="41"/>
      <c r="X144" s="41"/>
      <c r="Y144" s="166"/>
      <c r="Z144" s="166"/>
      <c r="AA144" s="41"/>
      <c r="AB144" s="41"/>
      <c r="AC144" s="41"/>
      <c r="AD144" s="41"/>
      <c r="AE144" s="41"/>
      <c r="AF144" s="41"/>
      <c r="AG144" s="41"/>
      <c r="AH144" s="41"/>
      <c r="AI144" s="41"/>
    </row>
    <row r="145" spans="1:35" ht="15.75" customHeight="1" x14ac:dyDescent="0.2">
      <c r="A145" s="217"/>
      <c r="B145" s="218"/>
      <c r="C145" s="218"/>
      <c r="D145" s="41"/>
      <c r="E145" s="218"/>
      <c r="F145" s="218"/>
      <c r="G145" s="41"/>
      <c r="H145" s="41"/>
      <c r="I145" s="41"/>
      <c r="J145" s="166"/>
      <c r="K145" s="41"/>
      <c r="L145" s="41"/>
      <c r="M145" s="41"/>
      <c r="N145" s="166"/>
      <c r="O145" s="166"/>
      <c r="P145" s="41"/>
      <c r="Q145" s="41"/>
      <c r="R145" s="41"/>
      <c r="S145" s="41"/>
      <c r="T145" s="41"/>
      <c r="U145" s="41"/>
      <c r="V145" s="41"/>
      <c r="W145" s="41"/>
      <c r="X145" s="41"/>
      <c r="Y145" s="166"/>
      <c r="Z145" s="166"/>
      <c r="AA145" s="41"/>
      <c r="AB145" s="41"/>
      <c r="AC145" s="41"/>
      <c r="AD145" s="41"/>
      <c r="AE145" s="41"/>
      <c r="AF145" s="41"/>
      <c r="AG145" s="41"/>
      <c r="AH145" s="41"/>
      <c r="AI145" s="41"/>
    </row>
    <row r="146" spans="1:35" ht="15.75" customHeight="1" x14ac:dyDescent="0.2">
      <c r="A146" s="217"/>
      <c r="B146" s="218"/>
      <c r="C146" s="218"/>
      <c r="D146" s="41"/>
      <c r="E146" s="218"/>
      <c r="F146" s="218"/>
      <c r="G146" s="41"/>
      <c r="H146" s="41"/>
      <c r="I146" s="41"/>
      <c r="J146" s="166"/>
      <c r="K146" s="41"/>
      <c r="L146" s="41"/>
      <c r="M146" s="41"/>
      <c r="N146" s="166"/>
      <c r="O146" s="166"/>
      <c r="P146" s="41"/>
      <c r="Q146" s="41"/>
      <c r="R146" s="41"/>
      <c r="S146" s="41"/>
      <c r="T146" s="41"/>
      <c r="U146" s="41"/>
      <c r="V146" s="41"/>
      <c r="W146" s="41"/>
      <c r="X146" s="41"/>
      <c r="Y146" s="166"/>
      <c r="Z146" s="166"/>
      <c r="AA146" s="41"/>
      <c r="AB146" s="41"/>
      <c r="AC146" s="41"/>
      <c r="AD146" s="41"/>
      <c r="AE146" s="41"/>
      <c r="AF146" s="41"/>
      <c r="AG146" s="41"/>
      <c r="AH146" s="41"/>
      <c r="AI146" s="41"/>
    </row>
    <row r="147" spans="1:35" ht="15.75" customHeight="1" x14ac:dyDescent="0.2">
      <c r="A147" s="217"/>
      <c r="B147" s="218"/>
      <c r="C147" s="218"/>
      <c r="D147" s="41"/>
      <c r="E147" s="218"/>
      <c r="F147" s="218"/>
      <c r="G147" s="41"/>
      <c r="H147" s="41"/>
      <c r="I147" s="41"/>
      <c r="J147" s="166"/>
      <c r="K147" s="41"/>
      <c r="L147" s="41"/>
      <c r="M147" s="41"/>
      <c r="N147" s="166"/>
      <c r="O147" s="166"/>
      <c r="P147" s="41"/>
      <c r="Q147" s="41"/>
      <c r="R147" s="41"/>
      <c r="S147" s="41"/>
      <c r="T147" s="41"/>
      <c r="U147" s="41"/>
      <c r="V147" s="41"/>
      <c r="W147" s="41"/>
      <c r="X147" s="41"/>
      <c r="Y147" s="166"/>
      <c r="Z147" s="166"/>
      <c r="AA147" s="41"/>
      <c r="AB147" s="41"/>
      <c r="AC147" s="41"/>
      <c r="AD147" s="41"/>
      <c r="AE147" s="41"/>
      <c r="AF147" s="41"/>
      <c r="AG147" s="41"/>
      <c r="AH147" s="41"/>
      <c r="AI147" s="41"/>
    </row>
    <row r="148" spans="1:35" ht="15.75" customHeight="1" x14ac:dyDescent="0.2">
      <c r="A148" s="217"/>
      <c r="B148" s="218"/>
      <c r="C148" s="218"/>
      <c r="D148" s="41"/>
      <c r="E148" s="218"/>
      <c r="F148" s="218"/>
      <c r="G148" s="41"/>
      <c r="H148" s="41"/>
      <c r="I148" s="41"/>
      <c r="J148" s="166"/>
      <c r="K148" s="41"/>
      <c r="L148" s="41"/>
      <c r="M148" s="41"/>
      <c r="N148" s="166"/>
      <c r="O148" s="166"/>
      <c r="P148" s="41"/>
      <c r="Q148" s="41"/>
      <c r="R148" s="41"/>
      <c r="S148" s="41"/>
      <c r="T148" s="41"/>
      <c r="U148" s="41"/>
      <c r="V148" s="41"/>
      <c r="W148" s="41"/>
      <c r="X148" s="41"/>
      <c r="Y148" s="166"/>
      <c r="Z148" s="166"/>
      <c r="AA148" s="41"/>
      <c r="AB148" s="41"/>
      <c r="AC148" s="41"/>
      <c r="AD148" s="41"/>
      <c r="AE148" s="41"/>
      <c r="AF148" s="41"/>
      <c r="AG148" s="41"/>
      <c r="AH148" s="41"/>
      <c r="AI148" s="41"/>
    </row>
    <row r="149" spans="1:35" ht="15.75" customHeight="1" x14ac:dyDescent="0.2">
      <c r="A149" s="217"/>
      <c r="B149" s="218"/>
      <c r="C149" s="218"/>
      <c r="D149" s="41"/>
      <c r="E149" s="218"/>
      <c r="F149" s="218"/>
      <c r="G149" s="41"/>
      <c r="H149" s="41"/>
      <c r="I149" s="41"/>
      <c r="J149" s="166"/>
      <c r="K149" s="41"/>
      <c r="L149" s="41"/>
      <c r="M149" s="41"/>
      <c r="N149" s="166"/>
      <c r="O149" s="166"/>
      <c r="P149" s="41"/>
      <c r="Q149" s="41"/>
      <c r="R149" s="41"/>
      <c r="S149" s="41"/>
      <c r="T149" s="41"/>
      <c r="U149" s="41"/>
      <c r="V149" s="41"/>
      <c r="W149" s="41"/>
      <c r="X149" s="41"/>
      <c r="Y149" s="166"/>
      <c r="Z149" s="166"/>
      <c r="AA149" s="41"/>
      <c r="AB149" s="41"/>
      <c r="AC149" s="41"/>
      <c r="AD149" s="41"/>
      <c r="AE149" s="41"/>
      <c r="AF149" s="41"/>
      <c r="AG149" s="41"/>
      <c r="AH149" s="41"/>
      <c r="AI149" s="41"/>
    </row>
    <row r="150" spans="1:35" ht="15.75" customHeight="1" x14ac:dyDescent="0.2">
      <c r="A150" s="217"/>
      <c r="B150" s="218"/>
      <c r="C150" s="218"/>
      <c r="D150" s="41"/>
      <c r="E150" s="218"/>
      <c r="F150" s="218"/>
      <c r="G150" s="41"/>
      <c r="H150" s="41"/>
      <c r="I150" s="41"/>
      <c r="J150" s="166"/>
      <c r="K150" s="41"/>
      <c r="L150" s="41"/>
      <c r="M150" s="41"/>
      <c r="N150" s="166"/>
      <c r="O150" s="166"/>
      <c r="P150" s="41"/>
      <c r="Q150" s="41"/>
      <c r="R150" s="41"/>
      <c r="S150" s="41"/>
      <c r="T150" s="41"/>
      <c r="U150" s="41"/>
      <c r="V150" s="41"/>
      <c r="W150" s="41"/>
      <c r="X150" s="41"/>
      <c r="Y150" s="166"/>
      <c r="Z150" s="166"/>
      <c r="AA150" s="41"/>
      <c r="AB150" s="41"/>
      <c r="AC150" s="41"/>
      <c r="AD150" s="41"/>
      <c r="AE150" s="41"/>
      <c r="AF150" s="41"/>
      <c r="AG150" s="41"/>
      <c r="AH150" s="41"/>
      <c r="AI150" s="41"/>
    </row>
    <row r="151" spans="1:35" ht="15.75" customHeight="1" x14ac:dyDescent="0.2">
      <c r="A151" s="217"/>
      <c r="B151" s="218"/>
      <c r="C151" s="218"/>
      <c r="D151" s="41"/>
      <c r="E151" s="218"/>
      <c r="F151" s="218"/>
      <c r="G151" s="41"/>
      <c r="H151" s="41"/>
      <c r="I151" s="41"/>
      <c r="J151" s="166"/>
      <c r="K151" s="41"/>
      <c r="L151" s="41"/>
      <c r="M151" s="41"/>
      <c r="N151" s="166"/>
      <c r="O151" s="166"/>
      <c r="P151" s="41"/>
      <c r="Q151" s="41"/>
      <c r="R151" s="41"/>
      <c r="S151" s="41"/>
      <c r="T151" s="41"/>
      <c r="U151" s="41"/>
      <c r="V151" s="41"/>
      <c r="W151" s="41"/>
      <c r="X151" s="41"/>
      <c r="Y151" s="166"/>
      <c r="Z151" s="166"/>
      <c r="AA151" s="41"/>
      <c r="AB151" s="41"/>
      <c r="AC151" s="41"/>
      <c r="AD151" s="41"/>
      <c r="AE151" s="41"/>
      <c r="AF151" s="41"/>
      <c r="AG151" s="41"/>
      <c r="AH151" s="41"/>
      <c r="AI151" s="41"/>
    </row>
    <row r="152" spans="1:35" ht="15.75" customHeight="1" x14ac:dyDescent="0.2">
      <c r="A152" s="217"/>
      <c r="B152" s="218"/>
      <c r="C152" s="218"/>
      <c r="D152" s="41"/>
      <c r="E152" s="218"/>
      <c r="F152" s="218"/>
      <c r="G152" s="41"/>
      <c r="H152" s="41"/>
      <c r="I152" s="41"/>
      <c r="J152" s="166"/>
      <c r="K152" s="41"/>
      <c r="L152" s="41"/>
      <c r="M152" s="41"/>
      <c r="N152" s="166"/>
      <c r="O152" s="166"/>
      <c r="P152" s="41"/>
      <c r="Q152" s="41"/>
      <c r="R152" s="41"/>
      <c r="S152" s="41"/>
      <c r="T152" s="41"/>
      <c r="U152" s="41"/>
      <c r="V152" s="41"/>
      <c r="W152" s="41"/>
      <c r="X152" s="41"/>
      <c r="Y152" s="166"/>
      <c r="Z152" s="166"/>
      <c r="AA152" s="41"/>
      <c r="AB152" s="41"/>
      <c r="AC152" s="41"/>
      <c r="AD152" s="41"/>
      <c r="AE152" s="41"/>
      <c r="AF152" s="41"/>
      <c r="AG152" s="41"/>
      <c r="AH152" s="41"/>
      <c r="AI152" s="41"/>
    </row>
    <row r="153" spans="1:35" ht="15.75" customHeight="1" x14ac:dyDescent="0.2">
      <c r="A153" s="217"/>
      <c r="B153" s="218"/>
      <c r="C153" s="218"/>
      <c r="D153" s="41"/>
      <c r="E153" s="218"/>
      <c r="F153" s="218"/>
      <c r="G153" s="41"/>
      <c r="H153" s="41"/>
      <c r="I153" s="41"/>
      <c r="J153" s="166"/>
      <c r="K153" s="41"/>
      <c r="L153" s="41"/>
      <c r="M153" s="41"/>
      <c r="N153" s="166"/>
      <c r="O153" s="166"/>
      <c r="P153" s="41"/>
      <c r="Q153" s="41"/>
      <c r="R153" s="41"/>
      <c r="S153" s="41"/>
      <c r="T153" s="41"/>
      <c r="U153" s="41"/>
      <c r="V153" s="41"/>
      <c r="W153" s="41"/>
      <c r="X153" s="41"/>
      <c r="Y153" s="166"/>
      <c r="Z153" s="166"/>
      <c r="AA153" s="41"/>
      <c r="AB153" s="41"/>
      <c r="AC153" s="41"/>
      <c r="AD153" s="41"/>
      <c r="AE153" s="41"/>
      <c r="AF153" s="41"/>
      <c r="AG153" s="41"/>
      <c r="AH153" s="41"/>
      <c r="AI153" s="41"/>
    </row>
    <row r="154" spans="1:35" ht="15.75" customHeight="1" x14ac:dyDescent="0.2">
      <c r="A154" s="217"/>
      <c r="B154" s="218"/>
      <c r="C154" s="218"/>
      <c r="D154" s="41"/>
      <c r="E154" s="218"/>
      <c r="F154" s="218"/>
      <c r="G154" s="41"/>
      <c r="H154" s="41"/>
      <c r="I154" s="41"/>
      <c r="J154" s="166"/>
      <c r="K154" s="41"/>
      <c r="L154" s="41"/>
      <c r="M154" s="41"/>
      <c r="N154" s="166"/>
      <c r="O154" s="166"/>
      <c r="P154" s="41"/>
      <c r="Q154" s="41"/>
      <c r="R154" s="41"/>
      <c r="S154" s="41"/>
      <c r="T154" s="41"/>
      <c r="U154" s="41"/>
      <c r="V154" s="41"/>
      <c r="W154" s="41"/>
      <c r="X154" s="41"/>
      <c r="Y154" s="166"/>
      <c r="Z154" s="166"/>
      <c r="AA154" s="41"/>
      <c r="AB154" s="41"/>
      <c r="AC154" s="41"/>
      <c r="AD154" s="41"/>
      <c r="AE154" s="41"/>
      <c r="AF154" s="41"/>
      <c r="AG154" s="41"/>
      <c r="AH154" s="41"/>
      <c r="AI154" s="41"/>
    </row>
    <row r="155" spans="1:35" ht="15.75" customHeight="1" x14ac:dyDescent="0.2">
      <c r="A155" s="217"/>
      <c r="B155" s="218"/>
      <c r="C155" s="218"/>
      <c r="D155" s="41"/>
      <c r="E155" s="218"/>
      <c r="F155" s="218"/>
      <c r="G155" s="41"/>
      <c r="H155" s="41"/>
      <c r="I155" s="41"/>
      <c r="J155" s="166"/>
      <c r="K155" s="41"/>
      <c r="L155" s="41"/>
      <c r="M155" s="41"/>
      <c r="N155" s="166"/>
      <c r="O155" s="166"/>
      <c r="P155" s="41"/>
      <c r="Q155" s="41"/>
      <c r="R155" s="41"/>
      <c r="S155" s="41"/>
      <c r="T155" s="41"/>
      <c r="U155" s="41"/>
      <c r="V155" s="41"/>
      <c r="W155" s="41"/>
      <c r="X155" s="41"/>
      <c r="Y155" s="166"/>
      <c r="Z155" s="166"/>
      <c r="AA155" s="41"/>
      <c r="AB155" s="41"/>
      <c r="AC155" s="41"/>
      <c r="AD155" s="41"/>
      <c r="AE155" s="41"/>
      <c r="AF155" s="41"/>
      <c r="AG155" s="41"/>
      <c r="AH155" s="41"/>
      <c r="AI155" s="41"/>
    </row>
    <row r="156" spans="1:35" ht="15.75" customHeight="1" x14ac:dyDescent="0.2">
      <c r="A156" s="217"/>
      <c r="B156" s="218"/>
      <c r="C156" s="218"/>
      <c r="D156" s="41"/>
      <c r="E156" s="218"/>
      <c r="F156" s="218"/>
      <c r="G156" s="41"/>
      <c r="H156" s="41"/>
      <c r="I156" s="41"/>
      <c r="J156" s="166"/>
      <c r="K156" s="41"/>
      <c r="L156" s="41"/>
      <c r="M156" s="41"/>
      <c r="N156" s="166"/>
      <c r="O156" s="166"/>
      <c r="P156" s="41"/>
      <c r="Q156" s="41"/>
      <c r="R156" s="41"/>
      <c r="S156" s="41"/>
      <c r="T156" s="41"/>
      <c r="U156" s="41"/>
      <c r="V156" s="41"/>
      <c r="W156" s="41"/>
      <c r="X156" s="41"/>
      <c r="Y156" s="166"/>
      <c r="Z156" s="166"/>
      <c r="AA156" s="41"/>
      <c r="AB156" s="41"/>
      <c r="AC156" s="41"/>
      <c r="AD156" s="41"/>
      <c r="AE156" s="41"/>
      <c r="AF156" s="41"/>
      <c r="AG156" s="41"/>
      <c r="AH156" s="41"/>
      <c r="AI156" s="41"/>
    </row>
    <row r="157" spans="1:35" ht="15.75" customHeight="1" x14ac:dyDescent="0.2">
      <c r="A157" s="217"/>
      <c r="B157" s="218"/>
      <c r="C157" s="218"/>
      <c r="D157" s="41"/>
      <c r="E157" s="218"/>
      <c r="F157" s="218"/>
      <c r="G157" s="41"/>
      <c r="H157" s="41"/>
      <c r="I157" s="41"/>
      <c r="J157" s="166"/>
      <c r="K157" s="41"/>
      <c r="L157" s="41"/>
      <c r="M157" s="41"/>
      <c r="N157" s="166"/>
      <c r="O157" s="166"/>
      <c r="P157" s="41"/>
      <c r="Q157" s="41"/>
      <c r="R157" s="41"/>
      <c r="S157" s="41"/>
      <c r="T157" s="41"/>
      <c r="U157" s="41"/>
      <c r="V157" s="41"/>
      <c r="W157" s="41"/>
      <c r="X157" s="41"/>
      <c r="Y157" s="166"/>
      <c r="Z157" s="166"/>
      <c r="AA157" s="41"/>
      <c r="AB157" s="41"/>
      <c r="AC157" s="41"/>
      <c r="AD157" s="41"/>
      <c r="AE157" s="41"/>
      <c r="AF157" s="41"/>
      <c r="AG157" s="41"/>
      <c r="AH157" s="41"/>
      <c r="AI157" s="41"/>
    </row>
    <row r="158" spans="1:35" ht="15.75" customHeight="1" x14ac:dyDescent="0.2">
      <c r="A158" s="217"/>
      <c r="B158" s="218"/>
      <c r="C158" s="218"/>
      <c r="D158" s="41"/>
      <c r="E158" s="218"/>
      <c r="F158" s="218"/>
      <c r="G158" s="41"/>
      <c r="H158" s="41"/>
      <c r="I158" s="41"/>
      <c r="J158" s="166"/>
      <c r="K158" s="41"/>
      <c r="L158" s="41"/>
      <c r="M158" s="41"/>
      <c r="N158" s="166"/>
      <c r="O158" s="166"/>
      <c r="P158" s="41"/>
      <c r="Q158" s="41"/>
      <c r="R158" s="41"/>
      <c r="S158" s="41"/>
      <c r="T158" s="41"/>
      <c r="U158" s="41"/>
      <c r="V158" s="41"/>
      <c r="W158" s="41"/>
      <c r="X158" s="41"/>
      <c r="Y158" s="166"/>
      <c r="Z158" s="166"/>
      <c r="AA158" s="41"/>
      <c r="AB158" s="41"/>
      <c r="AC158" s="41"/>
      <c r="AD158" s="41"/>
      <c r="AE158" s="41"/>
      <c r="AF158" s="41"/>
      <c r="AG158" s="41"/>
      <c r="AH158" s="41"/>
      <c r="AI158" s="41"/>
    </row>
    <row r="159" spans="1:35" ht="15.75" customHeight="1" x14ac:dyDescent="0.2">
      <c r="A159" s="217"/>
      <c r="B159" s="218"/>
      <c r="C159" s="218"/>
      <c r="D159" s="41"/>
      <c r="E159" s="218"/>
      <c r="F159" s="218"/>
      <c r="G159" s="41"/>
      <c r="H159" s="41"/>
      <c r="I159" s="41"/>
      <c r="J159" s="166"/>
      <c r="K159" s="41"/>
      <c r="L159" s="41"/>
      <c r="M159" s="41"/>
      <c r="N159" s="166"/>
      <c r="O159" s="166"/>
      <c r="P159" s="41"/>
      <c r="Q159" s="41"/>
      <c r="R159" s="41"/>
      <c r="S159" s="41"/>
      <c r="T159" s="41"/>
      <c r="U159" s="41"/>
      <c r="V159" s="41"/>
      <c r="W159" s="41"/>
      <c r="X159" s="41"/>
      <c r="Y159" s="166"/>
      <c r="Z159" s="166"/>
      <c r="AA159" s="41"/>
      <c r="AB159" s="41"/>
      <c r="AC159" s="41"/>
      <c r="AD159" s="41"/>
      <c r="AE159" s="41"/>
      <c r="AF159" s="41"/>
      <c r="AG159" s="41"/>
      <c r="AH159" s="41"/>
      <c r="AI159" s="41"/>
    </row>
    <row r="160" spans="1:35" ht="15.75" customHeight="1" x14ac:dyDescent="0.2">
      <c r="A160" s="217"/>
      <c r="B160" s="218"/>
      <c r="C160" s="218"/>
      <c r="D160" s="41"/>
      <c r="E160" s="218"/>
      <c r="F160" s="218"/>
      <c r="G160" s="41"/>
      <c r="H160" s="41"/>
      <c r="I160" s="41"/>
      <c r="J160" s="166"/>
      <c r="K160" s="41"/>
      <c r="L160" s="41"/>
      <c r="M160" s="41"/>
      <c r="N160" s="166"/>
      <c r="O160" s="166"/>
      <c r="P160" s="41"/>
      <c r="Q160" s="41"/>
      <c r="R160" s="41"/>
      <c r="S160" s="41"/>
      <c r="T160" s="41"/>
      <c r="U160" s="41"/>
      <c r="V160" s="41"/>
      <c r="W160" s="41"/>
      <c r="X160" s="41"/>
      <c r="Y160" s="166"/>
      <c r="Z160" s="166"/>
      <c r="AA160" s="41"/>
      <c r="AB160" s="41"/>
      <c r="AC160" s="41"/>
      <c r="AD160" s="41"/>
      <c r="AE160" s="41"/>
      <c r="AF160" s="41"/>
      <c r="AG160" s="41"/>
      <c r="AH160" s="41"/>
      <c r="AI160" s="41"/>
    </row>
    <row r="161" spans="1:35" ht="15.75" customHeight="1" x14ac:dyDescent="0.2">
      <c r="A161" s="217"/>
      <c r="B161" s="218"/>
      <c r="C161" s="218"/>
      <c r="D161" s="41"/>
      <c r="E161" s="218"/>
      <c r="F161" s="218"/>
      <c r="G161" s="41"/>
      <c r="H161" s="41"/>
      <c r="I161" s="41"/>
      <c r="J161" s="166"/>
      <c r="K161" s="41"/>
      <c r="L161" s="41"/>
      <c r="M161" s="41"/>
      <c r="N161" s="166"/>
      <c r="O161" s="166"/>
      <c r="P161" s="41"/>
      <c r="Q161" s="41"/>
      <c r="R161" s="41"/>
      <c r="S161" s="41"/>
      <c r="T161" s="41"/>
      <c r="U161" s="41"/>
      <c r="V161" s="41"/>
      <c r="W161" s="41"/>
      <c r="X161" s="41"/>
      <c r="Y161" s="166"/>
      <c r="Z161" s="166"/>
      <c r="AA161" s="41"/>
      <c r="AB161" s="41"/>
      <c r="AC161" s="41"/>
      <c r="AD161" s="41"/>
      <c r="AE161" s="41"/>
      <c r="AF161" s="41"/>
      <c r="AG161" s="41"/>
      <c r="AH161" s="41"/>
      <c r="AI161" s="41"/>
    </row>
    <row r="162" spans="1:35" ht="15.75" customHeight="1" x14ac:dyDescent="0.2">
      <c r="A162" s="217"/>
      <c r="B162" s="218"/>
      <c r="C162" s="218"/>
      <c r="D162" s="41"/>
      <c r="E162" s="218"/>
      <c r="F162" s="218"/>
      <c r="G162" s="41"/>
      <c r="H162" s="41"/>
      <c r="I162" s="41"/>
      <c r="J162" s="166"/>
      <c r="K162" s="41"/>
      <c r="L162" s="41"/>
      <c r="M162" s="41"/>
      <c r="N162" s="166"/>
      <c r="O162" s="166"/>
      <c r="P162" s="41"/>
      <c r="Q162" s="41"/>
      <c r="R162" s="41"/>
      <c r="S162" s="41"/>
      <c r="T162" s="41"/>
      <c r="U162" s="41"/>
      <c r="V162" s="41"/>
      <c r="W162" s="41"/>
      <c r="X162" s="41"/>
      <c r="Y162" s="166"/>
      <c r="Z162" s="166"/>
      <c r="AA162" s="41"/>
      <c r="AB162" s="41"/>
      <c r="AC162" s="41"/>
      <c r="AD162" s="41"/>
      <c r="AE162" s="41"/>
      <c r="AF162" s="41"/>
      <c r="AG162" s="41"/>
      <c r="AH162" s="41"/>
      <c r="AI162" s="41"/>
    </row>
    <row r="163" spans="1:35" ht="15.75" customHeight="1" x14ac:dyDescent="0.2">
      <c r="A163" s="217"/>
      <c r="B163" s="218"/>
      <c r="C163" s="218"/>
      <c r="D163" s="41"/>
      <c r="E163" s="218"/>
      <c r="F163" s="218"/>
      <c r="G163" s="41"/>
      <c r="H163" s="41"/>
      <c r="I163" s="41"/>
      <c r="J163" s="166"/>
      <c r="K163" s="41"/>
      <c r="L163" s="41"/>
      <c r="M163" s="41"/>
      <c r="N163" s="166"/>
      <c r="O163" s="166"/>
      <c r="P163" s="41"/>
      <c r="Q163" s="41"/>
      <c r="R163" s="41"/>
      <c r="S163" s="41"/>
      <c r="T163" s="41"/>
      <c r="U163" s="41"/>
      <c r="V163" s="41"/>
      <c r="W163" s="41"/>
      <c r="X163" s="41"/>
      <c r="Y163" s="166"/>
      <c r="Z163" s="166"/>
      <c r="AA163" s="41"/>
      <c r="AB163" s="41"/>
      <c r="AC163" s="41"/>
      <c r="AD163" s="41"/>
      <c r="AE163" s="41"/>
      <c r="AF163" s="41"/>
      <c r="AG163" s="41"/>
      <c r="AH163" s="41"/>
      <c r="AI163" s="41"/>
    </row>
    <row r="164" spans="1:35" ht="15.75" customHeight="1" x14ac:dyDescent="0.2">
      <c r="A164" s="217"/>
      <c r="B164" s="218"/>
      <c r="C164" s="218"/>
      <c r="D164" s="41"/>
      <c r="E164" s="218"/>
      <c r="F164" s="218"/>
      <c r="G164" s="41"/>
      <c r="H164" s="41"/>
      <c r="I164" s="41"/>
      <c r="J164" s="166"/>
      <c r="K164" s="41"/>
      <c r="L164" s="41"/>
      <c r="M164" s="41"/>
      <c r="N164" s="166"/>
      <c r="O164" s="166"/>
      <c r="P164" s="41"/>
      <c r="Q164" s="41"/>
      <c r="R164" s="41"/>
      <c r="S164" s="41"/>
      <c r="T164" s="41"/>
      <c r="U164" s="41"/>
      <c r="V164" s="41"/>
      <c r="W164" s="41"/>
      <c r="X164" s="41"/>
      <c r="Y164" s="166"/>
      <c r="Z164" s="166"/>
      <c r="AA164" s="41"/>
      <c r="AB164" s="41"/>
      <c r="AC164" s="41"/>
      <c r="AD164" s="41"/>
      <c r="AE164" s="41"/>
      <c r="AF164" s="41"/>
      <c r="AG164" s="41"/>
      <c r="AH164" s="41"/>
      <c r="AI164" s="41"/>
    </row>
    <row r="165" spans="1:35" ht="15.75" customHeight="1" x14ac:dyDescent="0.2">
      <c r="A165" s="217"/>
      <c r="B165" s="218"/>
      <c r="C165" s="218"/>
      <c r="D165" s="41"/>
      <c r="E165" s="218"/>
      <c r="F165" s="218"/>
      <c r="G165" s="41"/>
      <c r="H165" s="41"/>
      <c r="I165" s="41"/>
      <c r="J165" s="166"/>
      <c r="K165" s="41"/>
      <c r="L165" s="41"/>
      <c r="M165" s="41"/>
      <c r="N165" s="166"/>
      <c r="O165" s="166"/>
      <c r="P165" s="41"/>
      <c r="Q165" s="41"/>
      <c r="R165" s="41"/>
      <c r="S165" s="41"/>
      <c r="T165" s="41"/>
      <c r="U165" s="41"/>
      <c r="V165" s="41"/>
      <c r="W165" s="41"/>
      <c r="X165" s="41"/>
      <c r="Y165" s="166"/>
      <c r="Z165" s="166"/>
      <c r="AA165" s="41"/>
      <c r="AB165" s="41"/>
      <c r="AC165" s="41"/>
      <c r="AD165" s="41"/>
      <c r="AE165" s="41"/>
      <c r="AF165" s="41"/>
      <c r="AG165" s="41"/>
      <c r="AH165" s="41"/>
      <c r="AI165" s="41"/>
    </row>
    <row r="166" spans="1:35" ht="15.75" customHeight="1" x14ac:dyDescent="0.2">
      <c r="A166" s="217"/>
      <c r="B166" s="218"/>
      <c r="C166" s="218"/>
      <c r="D166" s="41"/>
      <c r="E166" s="218"/>
      <c r="F166" s="218"/>
      <c r="G166" s="41"/>
      <c r="H166" s="41"/>
      <c r="I166" s="41"/>
      <c r="J166" s="166"/>
      <c r="K166" s="41"/>
      <c r="L166" s="41"/>
      <c r="M166" s="41"/>
      <c r="N166" s="166"/>
      <c r="O166" s="166"/>
      <c r="P166" s="41"/>
      <c r="Q166" s="41"/>
      <c r="R166" s="41"/>
      <c r="S166" s="41"/>
      <c r="T166" s="41"/>
      <c r="U166" s="41"/>
      <c r="V166" s="41"/>
      <c r="W166" s="41"/>
      <c r="X166" s="41"/>
      <c r="Y166" s="166"/>
      <c r="Z166" s="166"/>
      <c r="AA166" s="41"/>
      <c r="AB166" s="41"/>
      <c r="AC166" s="41"/>
      <c r="AD166" s="41"/>
      <c r="AE166" s="41"/>
      <c r="AF166" s="41"/>
      <c r="AG166" s="41"/>
      <c r="AH166" s="41"/>
      <c r="AI166" s="41"/>
    </row>
    <row r="167" spans="1:35" ht="15.75" customHeight="1" x14ac:dyDescent="0.2">
      <c r="A167" s="217"/>
      <c r="B167" s="218"/>
      <c r="C167" s="218"/>
      <c r="D167" s="41"/>
      <c r="E167" s="218"/>
      <c r="F167" s="218"/>
      <c r="G167" s="41"/>
      <c r="H167" s="41"/>
      <c r="I167" s="41"/>
      <c r="J167" s="166"/>
      <c r="K167" s="41"/>
      <c r="L167" s="41"/>
      <c r="M167" s="41"/>
      <c r="N167" s="166"/>
      <c r="O167" s="166"/>
      <c r="P167" s="41"/>
      <c r="Q167" s="41"/>
      <c r="R167" s="41"/>
      <c r="S167" s="41"/>
      <c r="T167" s="41"/>
      <c r="U167" s="41"/>
      <c r="V167" s="41"/>
      <c r="W167" s="41"/>
      <c r="X167" s="41"/>
      <c r="Y167" s="166"/>
      <c r="Z167" s="166"/>
      <c r="AA167" s="41"/>
      <c r="AB167" s="41"/>
      <c r="AC167" s="41"/>
      <c r="AD167" s="41"/>
      <c r="AE167" s="41"/>
      <c r="AF167" s="41"/>
      <c r="AG167" s="41"/>
      <c r="AH167" s="41"/>
      <c r="AI167" s="41"/>
    </row>
    <row r="168" spans="1:35" ht="15.75" customHeight="1" x14ac:dyDescent="0.2">
      <c r="A168" s="217"/>
      <c r="B168" s="218"/>
      <c r="C168" s="218"/>
      <c r="D168" s="41"/>
      <c r="E168" s="218"/>
      <c r="F168" s="218"/>
      <c r="G168" s="41"/>
      <c r="H168" s="41"/>
      <c r="I168" s="41"/>
      <c r="J168" s="166"/>
      <c r="K168" s="41"/>
      <c r="L168" s="41"/>
      <c r="M168" s="41"/>
      <c r="N168" s="166"/>
      <c r="O168" s="166"/>
      <c r="P168" s="41"/>
      <c r="Q168" s="41"/>
      <c r="R168" s="41"/>
      <c r="S168" s="41"/>
      <c r="T168" s="41"/>
      <c r="U168" s="41"/>
      <c r="V168" s="41"/>
      <c r="W168" s="41"/>
      <c r="X168" s="41"/>
      <c r="Y168" s="166"/>
      <c r="Z168" s="166"/>
      <c r="AA168" s="41"/>
      <c r="AB168" s="41"/>
      <c r="AC168" s="41"/>
      <c r="AD168" s="41"/>
      <c r="AE168" s="41"/>
      <c r="AF168" s="41"/>
      <c r="AG168" s="41"/>
      <c r="AH168" s="41"/>
      <c r="AI168" s="41"/>
    </row>
    <row r="169" spans="1:35" ht="15.75" customHeight="1" x14ac:dyDescent="0.2">
      <c r="A169" s="217"/>
      <c r="B169" s="218"/>
      <c r="C169" s="218"/>
      <c r="D169" s="41"/>
      <c r="E169" s="218"/>
      <c r="F169" s="218"/>
      <c r="G169" s="41"/>
      <c r="H169" s="41"/>
      <c r="I169" s="41"/>
      <c r="J169" s="166"/>
      <c r="K169" s="41"/>
      <c r="L169" s="41"/>
      <c r="M169" s="41"/>
      <c r="N169" s="166"/>
      <c r="O169" s="166"/>
      <c r="P169" s="41"/>
      <c r="Q169" s="41"/>
      <c r="R169" s="41"/>
      <c r="S169" s="41"/>
      <c r="T169" s="41"/>
      <c r="U169" s="41"/>
      <c r="V169" s="41"/>
      <c r="W169" s="41"/>
      <c r="X169" s="41"/>
      <c r="Y169" s="166"/>
      <c r="Z169" s="166"/>
      <c r="AA169" s="41"/>
      <c r="AB169" s="41"/>
      <c r="AC169" s="41"/>
      <c r="AD169" s="41"/>
      <c r="AE169" s="41"/>
      <c r="AF169" s="41"/>
      <c r="AG169" s="41"/>
      <c r="AH169" s="41"/>
      <c r="AI169" s="41"/>
    </row>
    <row r="170" spans="1:35" ht="15.75" customHeight="1" x14ac:dyDescent="0.2">
      <c r="A170" s="217"/>
      <c r="B170" s="218"/>
      <c r="C170" s="218"/>
      <c r="D170" s="41"/>
      <c r="E170" s="218"/>
      <c r="F170" s="218"/>
      <c r="G170" s="41"/>
      <c r="H170" s="41"/>
      <c r="I170" s="41"/>
      <c r="J170" s="166"/>
      <c r="K170" s="41"/>
      <c r="L170" s="41"/>
      <c r="M170" s="41"/>
      <c r="N170" s="166"/>
      <c r="O170" s="166"/>
      <c r="P170" s="41"/>
      <c r="Q170" s="41"/>
      <c r="R170" s="41"/>
      <c r="S170" s="41"/>
      <c r="T170" s="41"/>
      <c r="U170" s="41"/>
      <c r="V170" s="41"/>
      <c r="W170" s="41"/>
      <c r="X170" s="41"/>
      <c r="Y170" s="166"/>
      <c r="Z170" s="166"/>
      <c r="AA170" s="41"/>
      <c r="AB170" s="41"/>
      <c r="AC170" s="41"/>
      <c r="AD170" s="41"/>
      <c r="AE170" s="41"/>
      <c r="AF170" s="41"/>
      <c r="AG170" s="41"/>
      <c r="AH170" s="41"/>
      <c r="AI170" s="41"/>
    </row>
    <row r="171" spans="1:35" ht="15.75" customHeight="1" x14ac:dyDescent="0.2">
      <c r="A171" s="217"/>
      <c r="B171" s="218"/>
      <c r="C171" s="218"/>
      <c r="D171" s="41"/>
      <c r="E171" s="218"/>
      <c r="F171" s="218"/>
      <c r="G171" s="41"/>
      <c r="H171" s="41"/>
      <c r="I171" s="41"/>
      <c r="J171" s="166"/>
      <c r="K171" s="41"/>
      <c r="L171" s="41"/>
      <c r="M171" s="41"/>
      <c r="N171" s="166"/>
      <c r="O171" s="166"/>
      <c r="P171" s="41"/>
      <c r="Q171" s="41"/>
      <c r="R171" s="41"/>
      <c r="S171" s="41"/>
      <c r="T171" s="41"/>
      <c r="U171" s="41"/>
      <c r="V171" s="41"/>
      <c r="W171" s="41"/>
      <c r="X171" s="41"/>
      <c r="Y171" s="166"/>
      <c r="Z171" s="166"/>
      <c r="AA171" s="41"/>
      <c r="AB171" s="41"/>
      <c r="AC171" s="41"/>
      <c r="AD171" s="41"/>
      <c r="AE171" s="41"/>
      <c r="AF171" s="41"/>
      <c r="AG171" s="41"/>
      <c r="AH171" s="41"/>
      <c r="AI171" s="41"/>
    </row>
    <row r="172" spans="1:35" ht="15.75" customHeight="1" x14ac:dyDescent="0.2">
      <c r="A172" s="217"/>
      <c r="B172" s="218"/>
      <c r="C172" s="218"/>
      <c r="D172" s="41"/>
      <c r="E172" s="218"/>
      <c r="F172" s="218"/>
      <c r="G172" s="41"/>
      <c r="H172" s="41"/>
      <c r="I172" s="41"/>
      <c r="J172" s="166"/>
      <c r="K172" s="41"/>
      <c r="L172" s="41"/>
      <c r="M172" s="41"/>
      <c r="N172" s="166"/>
      <c r="O172" s="166"/>
      <c r="P172" s="41"/>
      <c r="Q172" s="41"/>
      <c r="R172" s="41"/>
      <c r="S172" s="41"/>
      <c r="T172" s="41"/>
      <c r="U172" s="41"/>
      <c r="V172" s="41"/>
      <c r="W172" s="41"/>
      <c r="X172" s="41"/>
      <c r="Y172" s="166"/>
      <c r="Z172" s="166"/>
      <c r="AA172" s="41"/>
      <c r="AB172" s="41"/>
      <c r="AC172" s="41"/>
      <c r="AD172" s="41"/>
      <c r="AE172" s="41"/>
      <c r="AF172" s="41"/>
      <c r="AG172" s="41"/>
      <c r="AH172" s="41"/>
      <c r="AI172" s="41"/>
    </row>
    <row r="173" spans="1:35" ht="15.75" customHeight="1" x14ac:dyDescent="0.2">
      <c r="A173" s="217"/>
      <c r="B173" s="218"/>
      <c r="C173" s="218"/>
      <c r="D173" s="41"/>
      <c r="E173" s="218"/>
      <c r="F173" s="218"/>
      <c r="G173" s="41"/>
      <c r="H173" s="41"/>
      <c r="I173" s="41"/>
      <c r="J173" s="166"/>
      <c r="K173" s="41"/>
      <c r="L173" s="41"/>
      <c r="M173" s="41"/>
      <c r="N173" s="166"/>
      <c r="O173" s="166"/>
      <c r="P173" s="41"/>
      <c r="Q173" s="41"/>
      <c r="R173" s="41"/>
      <c r="S173" s="41"/>
      <c r="T173" s="41"/>
      <c r="U173" s="41"/>
      <c r="V173" s="41"/>
      <c r="W173" s="41"/>
      <c r="X173" s="41"/>
      <c r="Y173" s="166"/>
      <c r="Z173" s="166"/>
      <c r="AA173" s="41"/>
      <c r="AB173" s="41"/>
      <c r="AC173" s="41"/>
      <c r="AD173" s="41"/>
      <c r="AE173" s="41"/>
      <c r="AF173" s="41"/>
      <c r="AG173" s="41"/>
      <c r="AH173" s="41"/>
      <c r="AI173" s="41"/>
    </row>
    <row r="174" spans="1:35" ht="15.75" customHeight="1" x14ac:dyDescent="0.2">
      <c r="A174" s="217"/>
      <c r="B174" s="218"/>
      <c r="C174" s="218"/>
      <c r="D174" s="41"/>
      <c r="E174" s="218"/>
      <c r="F174" s="218"/>
      <c r="G174" s="41"/>
      <c r="H174" s="41"/>
      <c r="I174" s="41"/>
      <c r="J174" s="166"/>
      <c r="K174" s="41"/>
      <c r="L174" s="41"/>
      <c r="M174" s="41"/>
      <c r="N174" s="166"/>
      <c r="O174" s="166"/>
      <c r="P174" s="41"/>
      <c r="Q174" s="41"/>
      <c r="R174" s="41"/>
      <c r="S174" s="41"/>
      <c r="T174" s="41"/>
      <c r="U174" s="41"/>
      <c r="V174" s="41"/>
      <c r="W174" s="41"/>
      <c r="X174" s="41"/>
      <c r="Y174" s="166"/>
      <c r="Z174" s="166"/>
      <c r="AA174" s="41"/>
      <c r="AB174" s="41"/>
      <c r="AC174" s="41"/>
      <c r="AD174" s="41"/>
      <c r="AE174" s="41"/>
      <c r="AF174" s="41"/>
      <c r="AG174" s="41"/>
      <c r="AH174" s="41"/>
      <c r="AI174" s="41"/>
    </row>
    <row r="175" spans="1:35" ht="15.75" customHeight="1" x14ac:dyDescent="0.2">
      <c r="A175" s="217"/>
      <c r="B175" s="218"/>
      <c r="C175" s="218"/>
      <c r="D175" s="41"/>
      <c r="E175" s="218"/>
      <c r="F175" s="218"/>
      <c r="G175" s="41"/>
      <c r="H175" s="41"/>
      <c r="I175" s="41"/>
      <c r="J175" s="166"/>
      <c r="K175" s="41"/>
      <c r="L175" s="41"/>
      <c r="M175" s="41"/>
      <c r="N175" s="166"/>
      <c r="O175" s="166"/>
      <c r="P175" s="41"/>
      <c r="Q175" s="41"/>
      <c r="R175" s="41"/>
      <c r="S175" s="41"/>
      <c r="T175" s="41"/>
      <c r="U175" s="41"/>
      <c r="V175" s="41"/>
      <c r="W175" s="41"/>
      <c r="X175" s="41"/>
      <c r="Y175" s="166"/>
      <c r="Z175" s="166"/>
      <c r="AA175" s="41"/>
      <c r="AB175" s="41"/>
      <c r="AC175" s="41"/>
      <c r="AD175" s="41"/>
      <c r="AE175" s="41"/>
      <c r="AF175" s="41"/>
      <c r="AG175" s="41"/>
      <c r="AH175" s="41"/>
      <c r="AI175" s="41"/>
    </row>
    <row r="176" spans="1:35" ht="15.75" customHeight="1" x14ac:dyDescent="0.2">
      <c r="A176" s="217"/>
      <c r="B176" s="218"/>
      <c r="C176" s="218"/>
      <c r="D176" s="41"/>
      <c r="E176" s="218"/>
      <c r="F176" s="218"/>
      <c r="G176" s="41"/>
      <c r="H176" s="41"/>
      <c r="I176" s="41"/>
      <c r="J176" s="166"/>
      <c r="K176" s="41"/>
      <c r="L176" s="41"/>
      <c r="M176" s="41"/>
      <c r="N176" s="166"/>
      <c r="O176" s="166"/>
      <c r="P176" s="41"/>
      <c r="Q176" s="41"/>
      <c r="R176" s="41"/>
      <c r="S176" s="41"/>
      <c r="T176" s="41"/>
      <c r="U176" s="41"/>
      <c r="V176" s="41"/>
      <c r="W176" s="41"/>
      <c r="X176" s="41"/>
      <c r="Y176" s="166"/>
      <c r="Z176" s="166"/>
      <c r="AA176" s="41"/>
      <c r="AB176" s="41"/>
      <c r="AC176" s="41"/>
      <c r="AD176" s="41"/>
      <c r="AE176" s="41"/>
      <c r="AF176" s="41"/>
      <c r="AG176" s="41"/>
      <c r="AH176" s="41"/>
      <c r="AI176" s="41"/>
    </row>
    <row r="177" spans="1:35" ht="15.75" customHeight="1" x14ac:dyDescent="0.2">
      <c r="A177" s="217"/>
      <c r="B177" s="218"/>
      <c r="C177" s="218"/>
      <c r="D177" s="41"/>
      <c r="E177" s="218"/>
      <c r="F177" s="218"/>
      <c r="G177" s="41"/>
      <c r="H177" s="41"/>
      <c r="I177" s="41"/>
      <c r="J177" s="166"/>
      <c r="K177" s="41"/>
      <c r="L177" s="41"/>
      <c r="M177" s="41"/>
      <c r="N177" s="166"/>
      <c r="O177" s="166"/>
      <c r="P177" s="41"/>
      <c r="Q177" s="41"/>
      <c r="R177" s="41"/>
      <c r="S177" s="41"/>
      <c r="T177" s="41"/>
      <c r="U177" s="41"/>
      <c r="V177" s="41"/>
      <c r="W177" s="41"/>
      <c r="X177" s="41"/>
      <c r="Y177" s="166"/>
      <c r="Z177" s="166"/>
      <c r="AA177" s="41"/>
      <c r="AB177" s="41"/>
      <c r="AC177" s="41"/>
      <c r="AD177" s="41"/>
      <c r="AE177" s="41"/>
      <c r="AF177" s="41"/>
      <c r="AG177" s="41"/>
      <c r="AH177" s="41"/>
      <c r="AI177" s="41"/>
    </row>
    <row r="178" spans="1:35" ht="15.75" customHeight="1" x14ac:dyDescent="0.2">
      <c r="A178" s="217"/>
      <c r="B178" s="218"/>
      <c r="C178" s="218"/>
      <c r="D178" s="41"/>
      <c r="E178" s="218"/>
      <c r="F178" s="218"/>
      <c r="G178" s="41"/>
      <c r="H178" s="41"/>
      <c r="I178" s="41"/>
      <c r="J178" s="166"/>
      <c r="K178" s="41"/>
      <c r="L178" s="41"/>
      <c r="M178" s="41"/>
      <c r="N178" s="166"/>
      <c r="O178" s="166"/>
      <c r="P178" s="41"/>
      <c r="Q178" s="41"/>
      <c r="R178" s="41"/>
      <c r="S178" s="41"/>
      <c r="T178" s="41"/>
      <c r="U178" s="41"/>
      <c r="V178" s="41"/>
      <c r="W178" s="41"/>
      <c r="X178" s="41"/>
      <c r="Y178" s="166"/>
      <c r="Z178" s="166"/>
      <c r="AA178" s="41"/>
      <c r="AB178" s="41"/>
      <c r="AC178" s="41"/>
      <c r="AD178" s="41"/>
      <c r="AE178" s="41"/>
      <c r="AF178" s="41"/>
      <c r="AG178" s="41"/>
      <c r="AH178" s="41"/>
      <c r="AI178" s="41"/>
    </row>
    <row r="179" spans="1:35" ht="15.75" customHeight="1" x14ac:dyDescent="0.2">
      <c r="A179" s="217"/>
      <c r="B179" s="218"/>
      <c r="C179" s="218"/>
      <c r="D179" s="41"/>
      <c r="E179" s="218"/>
      <c r="F179" s="218"/>
      <c r="G179" s="41"/>
      <c r="H179" s="41"/>
      <c r="I179" s="41"/>
      <c r="J179" s="166"/>
      <c r="K179" s="41"/>
      <c r="L179" s="41"/>
      <c r="M179" s="41"/>
      <c r="N179" s="166"/>
      <c r="O179" s="166"/>
      <c r="P179" s="41"/>
      <c r="Q179" s="41"/>
      <c r="R179" s="41"/>
      <c r="S179" s="41"/>
      <c r="T179" s="41"/>
      <c r="U179" s="41"/>
      <c r="V179" s="41"/>
      <c r="W179" s="41"/>
      <c r="X179" s="41"/>
      <c r="Y179" s="166"/>
      <c r="Z179" s="166"/>
      <c r="AA179" s="41"/>
      <c r="AB179" s="41"/>
      <c r="AC179" s="41"/>
      <c r="AD179" s="41"/>
      <c r="AE179" s="41"/>
      <c r="AF179" s="41"/>
      <c r="AG179" s="41"/>
      <c r="AH179" s="41"/>
      <c r="AI179" s="41"/>
    </row>
    <row r="180" spans="1:35" ht="15.75" customHeight="1" x14ac:dyDescent="0.2">
      <c r="A180" s="217"/>
      <c r="B180" s="218"/>
      <c r="C180" s="218"/>
      <c r="D180" s="41"/>
      <c r="E180" s="218"/>
      <c r="F180" s="218"/>
      <c r="G180" s="41"/>
      <c r="H180" s="41"/>
      <c r="I180" s="41"/>
      <c r="J180" s="166"/>
      <c r="K180" s="41"/>
      <c r="L180" s="41"/>
      <c r="M180" s="41"/>
      <c r="N180" s="166"/>
      <c r="O180" s="166"/>
      <c r="P180" s="41"/>
      <c r="Q180" s="41"/>
      <c r="R180" s="41"/>
      <c r="S180" s="41"/>
      <c r="T180" s="41"/>
      <c r="U180" s="41"/>
      <c r="V180" s="41"/>
      <c r="W180" s="41"/>
      <c r="X180" s="41"/>
      <c r="Y180" s="166"/>
      <c r="Z180" s="166"/>
      <c r="AA180" s="41"/>
      <c r="AB180" s="41"/>
      <c r="AC180" s="41"/>
      <c r="AD180" s="41"/>
      <c r="AE180" s="41"/>
      <c r="AF180" s="41"/>
      <c r="AG180" s="41"/>
      <c r="AH180" s="41"/>
      <c r="AI180" s="41"/>
    </row>
    <row r="181" spans="1:35" ht="15.75" customHeight="1" x14ac:dyDescent="0.2">
      <c r="A181" s="217"/>
      <c r="B181" s="218"/>
      <c r="C181" s="218"/>
      <c r="D181" s="41"/>
      <c r="E181" s="218"/>
      <c r="F181" s="218"/>
      <c r="G181" s="41"/>
      <c r="H181" s="41"/>
      <c r="I181" s="41"/>
      <c r="J181" s="166"/>
      <c r="K181" s="41"/>
      <c r="L181" s="41"/>
      <c r="M181" s="41"/>
      <c r="N181" s="166"/>
      <c r="O181" s="166"/>
      <c r="P181" s="41"/>
      <c r="Q181" s="41"/>
      <c r="R181" s="41"/>
      <c r="S181" s="41"/>
      <c r="T181" s="41"/>
      <c r="U181" s="41"/>
      <c r="V181" s="41"/>
      <c r="W181" s="41"/>
      <c r="X181" s="41"/>
      <c r="Y181" s="166"/>
      <c r="Z181" s="166"/>
      <c r="AA181" s="41"/>
      <c r="AB181" s="41"/>
      <c r="AC181" s="41"/>
      <c r="AD181" s="41"/>
      <c r="AE181" s="41"/>
      <c r="AF181" s="41"/>
      <c r="AG181" s="41"/>
      <c r="AH181" s="41"/>
      <c r="AI181" s="41"/>
    </row>
    <row r="182" spans="1:35" ht="15.75" customHeight="1" x14ac:dyDescent="0.2">
      <c r="A182" s="217"/>
      <c r="B182" s="218"/>
      <c r="C182" s="218"/>
      <c r="D182" s="41"/>
      <c r="E182" s="218"/>
      <c r="F182" s="218"/>
      <c r="G182" s="41"/>
      <c r="H182" s="41"/>
      <c r="I182" s="41"/>
      <c r="J182" s="166"/>
      <c r="K182" s="41"/>
      <c r="L182" s="41"/>
      <c r="M182" s="41"/>
      <c r="N182" s="166"/>
      <c r="O182" s="166"/>
      <c r="P182" s="41"/>
      <c r="Q182" s="41"/>
      <c r="R182" s="41"/>
      <c r="S182" s="41"/>
      <c r="T182" s="41"/>
      <c r="U182" s="41"/>
      <c r="V182" s="41"/>
      <c r="W182" s="41"/>
      <c r="X182" s="41"/>
      <c r="Y182" s="166"/>
      <c r="Z182" s="166"/>
      <c r="AA182" s="41"/>
      <c r="AB182" s="41"/>
      <c r="AC182" s="41"/>
      <c r="AD182" s="41"/>
      <c r="AE182" s="41"/>
      <c r="AF182" s="41"/>
      <c r="AG182" s="41"/>
      <c r="AH182" s="41"/>
      <c r="AI182" s="41"/>
    </row>
    <row r="183" spans="1:35" ht="15.75" customHeight="1" x14ac:dyDescent="0.2">
      <c r="A183" s="217"/>
      <c r="B183" s="218"/>
      <c r="C183" s="218"/>
      <c r="D183" s="41"/>
      <c r="E183" s="218"/>
      <c r="F183" s="218"/>
      <c r="G183" s="41"/>
      <c r="H183" s="41"/>
      <c r="I183" s="41"/>
      <c r="J183" s="166"/>
      <c r="K183" s="41"/>
      <c r="L183" s="41"/>
      <c r="M183" s="41"/>
      <c r="N183" s="166"/>
      <c r="O183" s="166"/>
      <c r="P183" s="41"/>
      <c r="Q183" s="41"/>
      <c r="R183" s="41"/>
      <c r="S183" s="41"/>
      <c r="T183" s="41"/>
      <c r="U183" s="41"/>
      <c r="V183" s="41"/>
      <c r="W183" s="41"/>
      <c r="X183" s="41"/>
      <c r="Y183" s="166"/>
      <c r="Z183" s="166"/>
      <c r="AA183" s="41"/>
      <c r="AB183" s="41"/>
      <c r="AC183" s="41"/>
      <c r="AD183" s="41"/>
      <c r="AE183" s="41"/>
      <c r="AF183" s="41"/>
      <c r="AG183" s="41"/>
      <c r="AH183" s="41"/>
      <c r="AI183" s="41"/>
    </row>
    <row r="184" spans="1:35" ht="15.75" customHeight="1" x14ac:dyDescent="0.2">
      <c r="A184" s="217"/>
      <c r="B184" s="218"/>
      <c r="C184" s="218"/>
      <c r="D184" s="41"/>
      <c r="E184" s="218"/>
      <c r="F184" s="218"/>
      <c r="G184" s="41"/>
      <c r="H184" s="41"/>
      <c r="I184" s="41"/>
      <c r="J184" s="166"/>
      <c r="K184" s="41"/>
      <c r="L184" s="41"/>
      <c r="M184" s="41"/>
      <c r="N184" s="166"/>
      <c r="O184" s="166"/>
      <c r="P184" s="41"/>
      <c r="Q184" s="41"/>
      <c r="R184" s="41"/>
      <c r="S184" s="41"/>
      <c r="T184" s="41"/>
      <c r="U184" s="41"/>
      <c r="V184" s="41"/>
      <c r="W184" s="41"/>
      <c r="X184" s="41"/>
      <c r="Y184" s="166"/>
      <c r="Z184" s="166"/>
      <c r="AA184" s="41"/>
      <c r="AB184" s="41"/>
      <c r="AC184" s="41"/>
      <c r="AD184" s="41"/>
      <c r="AE184" s="41"/>
      <c r="AF184" s="41"/>
      <c r="AG184" s="41"/>
      <c r="AH184" s="41"/>
      <c r="AI184" s="41"/>
    </row>
    <row r="185" spans="1:35" ht="15.75" customHeight="1" x14ac:dyDescent="0.2">
      <c r="A185" s="217"/>
      <c r="B185" s="218"/>
      <c r="C185" s="218"/>
      <c r="D185" s="41"/>
      <c r="E185" s="218"/>
      <c r="F185" s="218"/>
      <c r="G185" s="41"/>
      <c r="H185" s="41"/>
      <c r="I185" s="41"/>
      <c r="J185" s="166"/>
      <c r="K185" s="41"/>
      <c r="L185" s="41"/>
      <c r="M185" s="41"/>
      <c r="N185" s="166"/>
      <c r="O185" s="166"/>
      <c r="P185" s="41"/>
      <c r="Q185" s="41"/>
      <c r="R185" s="41"/>
      <c r="S185" s="41"/>
      <c r="T185" s="41"/>
      <c r="U185" s="41"/>
      <c r="V185" s="41"/>
      <c r="W185" s="41"/>
      <c r="X185" s="41"/>
      <c r="Y185" s="166"/>
      <c r="Z185" s="166"/>
      <c r="AA185" s="41"/>
      <c r="AB185" s="41"/>
      <c r="AC185" s="41"/>
      <c r="AD185" s="41"/>
      <c r="AE185" s="41"/>
      <c r="AF185" s="41"/>
      <c r="AG185" s="41"/>
      <c r="AH185" s="41"/>
      <c r="AI185" s="41"/>
    </row>
    <row r="186" spans="1:35" ht="15.75" customHeight="1" x14ac:dyDescent="0.2">
      <c r="A186" s="217"/>
      <c r="B186" s="218"/>
      <c r="C186" s="218"/>
      <c r="D186" s="41"/>
      <c r="E186" s="218"/>
      <c r="F186" s="218"/>
      <c r="G186" s="41"/>
      <c r="H186" s="41"/>
      <c r="I186" s="41"/>
      <c r="J186" s="166"/>
      <c r="K186" s="41"/>
      <c r="L186" s="41"/>
      <c r="M186" s="41"/>
      <c r="N186" s="166"/>
      <c r="O186" s="166"/>
      <c r="P186" s="41"/>
      <c r="Q186" s="41"/>
      <c r="R186" s="41"/>
      <c r="S186" s="41"/>
      <c r="T186" s="41"/>
      <c r="U186" s="41"/>
      <c r="V186" s="41"/>
      <c r="W186" s="41"/>
      <c r="X186" s="41"/>
      <c r="Y186" s="166"/>
      <c r="Z186" s="166"/>
      <c r="AA186" s="41"/>
      <c r="AB186" s="41"/>
      <c r="AC186" s="41"/>
      <c r="AD186" s="41"/>
      <c r="AE186" s="41"/>
      <c r="AF186" s="41"/>
      <c r="AG186" s="41"/>
      <c r="AH186" s="41"/>
      <c r="AI186" s="41"/>
    </row>
    <row r="187" spans="1:35" ht="15.75" customHeight="1" x14ac:dyDescent="0.2">
      <c r="A187" s="217"/>
      <c r="B187" s="218"/>
      <c r="C187" s="218"/>
      <c r="D187" s="41"/>
      <c r="E187" s="218"/>
      <c r="F187" s="218"/>
      <c r="G187" s="41"/>
      <c r="H187" s="41"/>
      <c r="I187" s="41"/>
      <c r="J187" s="166"/>
      <c r="K187" s="41"/>
      <c r="L187" s="41"/>
      <c r="M187" s="41"/>
      <c r="N187" s="166"/>
      <c r="O187" s="166"/>
      <c r="P187" s="41"/>
      <c r="Q187" s="41"/>
      <c r="R187" s="41"/>
      <c r="S187" s="41"/>
      <c r="T187" s="41"/>
      <c r="U187" s="41"/>
      <c r="V187" s="41"/>
      <c r="W187" s="41"/>
      <c r="X187" s="41"/>
      <c r="Y187" s="166"/>
      <c r="Z187" s="166"/>
      <c r="AA187" s="41"/>
      <c r="AB187" s="41"/>
      <c r="AC187" s="41"/>
      <c r="AD187" s="41"/>
      <c r="AE187" s="41"/>
      <c r="AF187" s="41"/>
      <c r="AG187" s="41"/>
      <c r="AH187" s="41"/>
      <c r="AI187" s="41"/>
    </row>
    <row r="188" spans="1:35" ht="15.75" customHeight="1" x14ac:dyDescent="0.2">
      <c r="A188" s="217"/>
      <c r="B188" s="218"/>
      <c r="C188" s="218"/>
      <c r="D188" s="41"/>
      <c r="E188" s="218"/>
      <c r="F188" s="218"/>
      <c r="G188" s="41"/>
      <c r="H188" s="41"/>
      <c r="I188" s="41"/>
      <c r="J188" s="166"/>
      <c r="K188" s="41"/>
      <c r="L188" s="41"/>
      <c r="M188" s="41"/>
      <c r="N188" s="166"/>
      <c r="O188" s="166"/>
      <c r="P188" s="41"/>
      <c r="Q188" s="41"/>
      <c r="R188" s="41"/>
      <c r="S188" s="41"/>
      <c r="T188" s="41"/>
      <c r="U188" s="41"/>
      <c r="V188" s="41"/>
      <c r="W188" s="41"/>
      <c r="X188" s="41"/>
      <c r="Y188" s="166"/>
      <c r="Z188" s="166"/>
      <c r="AA188" s="41"/>
      <c r="AB188" s="41"/>
      <c r="AC188" s="41"/>
      <c r="AD188" s="41"/>
      <c r="AE188" s="41"/>
      <c r="AF188" s="41"/>
      <c r="AG188" s="41"/>
      <c r="AH188" s="41"/>
      <c r="AI188" s="41"/>
    </row>
    <row r="189" spans="1:35" ht="15.75" customHeight="1" x14ac:dyDescent="0.2">
      <c r="A189" s="217"/>
      <c r="B189" s="218"/>
      <c r="C189" s="218"/>
      <c r="D189" s="41"/>
      <c r="E189" s="218"/>
      <c r="F189" s="218"/>
      <c r="G189" s="41"/>
      <c r="H189" s="41"/>
      <c r="I189" s="41"/>
      <c r="J189" s="166"/>
      <c r="K189" s="41"/>
      <c r="L189" s="41"/>
      <c r="M189" s="41"/>
      <c r="N189" s="166"/>
      <c r="O189" s="166"/>
      <c r="P189" s="41"/>
      <c r="Q189" s="41"/>
      <c r="R189" s="41"/>
      <c r="S189" s="41"/>
      <c r="T189" s="41"/>
      <c r="U189" s="41"/>
      <c r="V189" s="41"/>
      <c r="W189" s="41"/>
      <c r="X189" s="41"/>
      <c r="Y189" s="166"/>
      <c r="Z189" s="166"/>
      <c r="AA189" s="41"/>
      <c r="AB189" s="41"/>
      <c r="AC189" s="41"/>
      <c r="AD189" s="41"/>
      <c r="AE189" s="41"/>
      <c r="AF189" s="41"/>
      <c r="AG189" s="41"/>
      <c r="AH189" s="41"/>
      <c r="AI189" s="41"/>
    </row>
    <row r="190" spans="1:35" ht="15.75" customHeight="1" x14ac:dyDescent="0.2">
      <c r="A190" s="217"/>
      <c r="B190" s="218"/>
      <c r="C190" s="218"/>
      <c r="D190" s="41"/>
      <c r="E190" s="218"/>
      <c r="F190" s="218"/>
      <c r="G190" s="41"/>
      <c r="H190" s="41"/>
      <c r="I190" s="41"/>
      <c r="J190" s="166"/>
      <c r="K190" s="41"/>
      <c r="L190" s="41"/>
      <c r="M190" s="41"/>
      <c r="N190" s="166"/>
      <c r="O190" s="166"/>
      <c r="P190" s="41"/>
      <c r="Q190" s="41"/>
      <c r="R190" s="41"/>
      <c r="S190" s="41"/>
      <c r="T190" s="41"/>
      <c r="U190" s="41"/>
      <c r="V190" s="41"/>
      <c r="W190" s="41"/>
      <c r="X190" s="41"/>
      <c r="Y190" s="166"/>
      <c r="Z190" s="166"/>
      <c r="AA190" s="41"/>
      <c r="AB190" s="41"/>
      <c r="AC190" s="41"/>
      <c r="AD190" s="41"/>
      <c r="AE190" s="41"/>
      <c r="AF190" s="41"/>
      <c r="AG190" s="41"/>
      <c r="AH190" s="41"/>
      <c r="AI190" s="41"/>
    </row>
    <row r="191" spans="1:35" ht="15.75" customHeight="1" x14ac:dyDescent="0.2">
      <c r="A191" s="217"/>
      <c r="B191" s="218"/>
      <c r="C191" s="218"/>
      <c r="D191" s="41"/>
      <c r="E191" s="218"/>
      <c r="F191" s="218"/>
      <c r="G191" s="41"/>
      <c r="H191" s="41"/>
      <c r="I191" s="41"/>
      <c r="J191" s="166"/>
      <c r="K191" s="41"/>
      <c r="L191" s="41"/>
      <c r="M191" s="41"/>
      <c r="N191" s="166"/>
      <c r="O191" s="166"/>
      <c r="P191" s="41"/>
      <c r="Q191" s="41"/>
      <c r="R191" s="41"/>
      <c r="S191" s="41"/>
      <c r="T191" s="41"/>
      <c r="U191" s="41"/>
      <c r="V191" s="41"/>
      <c r="W191" s="41"/>
      <c r="X191" s="41"/>
      <c r="Y191" s="166"/>
      <c r="Z191" s="166"/>
      <c r="AA191" s="41"/>
      <c r="AB191" s="41"/>
      <c r="AC191" s="41"/>
      <c r="AD191" s="41"/>
      <c r="AE191" s="41"/>
      <c r="AF191" s="41"/>
      <c r="AG191" s="41"/>
      <c r="AH191" s="41"/>
      <c r="AI191" s="41"/>
    </row>
    <row r="192" spans="1:35" ht="15.75" customHeight="1" x14ac:dyDescent="0.2">
      <c r="A192" s="217"/>
      <c r="B192" s="218"/>
      <c r="C192" s="218"/>
      <c r="D192" s="41"/>
      <c r="E192" s="218"/>
      <c r="F192" s="218"/>
      <c r="G192" s="41"/>
      <c r="H192" s="41"/>
      <c r="I192" s="41"/>
      <c r="J192" s="166"/>
      <c r="K192" s="41"/>
      <c r="L192" s="41"/>
      <c r="M192" s="41"/>
      <c r="N192" s="166"/>
      <c r="O192" s="166"/>
      <c r="P192" s="41"/>
      <c r="Q192" s="41"/>
      <c r="R192" s="41"/>
      <c r="S192" s="41"/>
      <c r="T192" s="41"/>
      <c r="U192" s="41"/>
      <c r="V192" s="41"/>
      <c r="W192" s="41"/>
      <c r="X192" s="41"/>
      <c r="Y192" s="166"/>
      <c r="Z192" s="166"/>
      <c r="AA192" s="41"/>
      <c r="AB192" s="41"/>
      <c r="AC192" s="41"/>
      <c r="AD192" s="41"/>
      <c r="AE192" s="41"/>
      <c r="AF192" s="41"/>
      <c r="AG192" s="41"/>
      <c r="AH192" s="41"/>
      <c r="AI192" s="41"/>
    </row>
    <row r="193" spans="1:35" ht="15.75" customHeight="1" x14ac:dyDescent="0.2">
      <c r="A193" s="217"/>
      <c r="B193" s="218"/>
      <c r="C193" s="218"/>
      <c r="D193" s="41"/>
      <c r="E193" s="218"/>
      <c r="F193" s="218"/>
      <c r="G193" s="41"/>
      <c r="H193" s="41"/>
      <c r="I193" s="41"/>
      <c r="J193" s="166"/>
      <c r="K193" s="41"/>
      <c r="L193" s="41"/>
      <c r="M193" s="41"/>
      <c r="N193" s="166"/>
      <c r="O193" s="166"/>
      <c r="P193" s="41"/>
      <c r="Q193" s="41"/>
      <c r="R193" s="41"/>
      <c r="S193" s="41"/>
      <c r="T193" s="41"/>
      <c r="U193" s="41"/>
      <c r="V193" s="41"/>
      <c r="W193" s="41"/>
      <c r="X193" s="41"/>
      <c r="Y193" s="166"/>
      <c r="Z193" s="166"/>
      <c r="AA193" s="41"/>
      <c r="AB193" s="41"/>
      <c r="AC193" s="41"/>
      <c r="AD193" s="41"/>
      <c r="AE193" s="41"/>
      <c r="AF193" s="41"/>
      <c r="AG193" s="41"/>
      <c r="AH193" s="41"/>
      <c r="AI193" s="41"/>
    </row>
    <row r="194" spans="1:35" ht="15.75" customHeight="1" x14ac:dyDescent="0.2">
      <c r="A194" s="217"/>
      <c r="B194" s="218"/>
      <c r="C194" s="218"/>
      <c r="D194" s="41"/>
      <c r="E194" s="218"/>
      <c r="F194" s="218"/>
      <c r="G194" s="41"/>
      <c r="H194" s="41"/>
      <c r="I194" s="41"/>
      <c r="J194" s="166"/>
      <c r="K194" s="41"/>
      <c r="L194" s="41"/>
      <c r="M194" s="41"/>
      <c r="N194" s="166"/>
      <c r="O194" s="166"/>
      <c r="P194" s="41"/>
      <c r="Q194" s="41"/>
      <c r="R194" s="41"/>
      <c r="S194" s="41"/>
      <c r="T194" s="41"/>
      <c r="U194" s="41"/>
      <c r="V194" s="41"/>
      <c r="W194" s="41"/>
      <c r="X194" s="41"/>
      <c r="Y194" s="166"/>
      <c r="Z194" s="166"/>
      <c r="AA194" s="41"/>
      <c r="AB194" s="41"/>
      <c r="AC194" s="41"/>
      <c r="AD194" s="41"/>
      <c r="AE194" s="41"/>
      <c r="AF194" s="41"/>
      <c r="AG194" s="41"/>
      <c r="AH194" s="41"/>
      <c r="AI194" s="41"/>
    </row>
    <row r="195" spans="1:35" ht="15.75" customHeight="1" x14ac:dyDescent="0.2">
      <c r="A195" s="217"/>
      <c r="B195" s="218"/>
      <c r="C195" s="218"/>
      <c r="D195" s="41"/>
      <c r="E195" s="218"/>
      <c r="F195" s="218"/>
      <c r="G195" s="41"/>
      <c r="H195" s="41"/>
      <c r="I195" s="41"/>
      <c r="J195" s="166"/>
      <c r="K195" s="41"/>
      <c r="L195" s="41"/>
      <c r="M195" s="41"/>
      <c r="N195" s="166"/>
      <c r="O195" s="166"/>
      <c r="P195" s="41"/>
      <c r="Q195" s="41"/>
      <c r="R195" s="41"/>
      <c r="S195" s="41"/>
      <c r="T195" s="41"/>
      <c r="U195" s="41"/>
      <c r="V195" s="41"/>
      <c r="W195" s="41"/>
      <c r="X195" s="41"/>
      <c r="Y195" s="166"/>
      <c r="Z195" s="166"/>
      <c r="AA195" s="41"/>
      <c r="AB195" s="41"/>
      <c r="AC195" s="41"/>
      <c r="AD195" s="41"/>
      <c r="AE195" s="41"/>
      <c r="AF195" s="41"/>
      <c r="AG195" s="41"/>
      <c r="AH195" s="41"/>
      <c r="AI195" s="41"/>
    </row>
    <row r="196" spans="1:35" ht="15.75" customHeight="1" x14ac:dyDescent="0.2">
      <c r="A196" s="217"/>
      <c r="B196" s="218"/>
      <c r="C196" s="218"/>
      <c r="D196" s="41"/>
      <c r="E196" s="218"/>
      <c r="F196" s="218"/>
      <c r="G196" s="41"/>
      <c r="H196" s="41"/>
      <c r="I196" s="41"/>
      <c r="J196" s="166"/>
      <c r="K196" s="41"/>
      <c r="L196" s="41"/>
      <c r="M196" s="41"/>
      <c r="N196" s="166"/>
      <c r="O196" s="166"/>
      <c r="P196" s="41"/>
      <c r="Q196" s="41"/>
      <c r="R196" s="41"/>
      <c r="S196" s="41"/>
      <c r="T196" s="41"/>
      <c r="U196" s="41"/>
      <c r="V196" s="41"/>
      <c r="W196" s="41"/>
      <c r="X196" s="41"/>
      <c r="Y196" s="166"/>
      <c r="Z196" s="166"/>
      <c r="AA196" s="41"/>
      <c r="AB196" s="41"/>
      <c r="AC196" s="41"/>
      <c r="AD196" s="41"/>
      <c r="AE196" s="41"/>
      <c r="AF196" s="41"/>
      <c r="AG196" s="41"/>
      <c r="AH196" s="41"/>
      <c r="AI196" s="41"/>
    </row>
    <row r="197" spans="1:35" ht="15.75" customHeight="1" x14ac:dyDescent="0.2">
      <c r="A197" s="217"/>
      <c r="B197" s="218"/>
      <c r="C197" s="218"/>
      <c r="D197" s="41"/>
      <c r="E197" s="218"/>
      <c r="F197" s="218"/>
      <c r="G197" s="41"/>
      <c r="H197" s="41"/>
      <c r="I197" s="41"/>
      <c r="J197" s="166"/>
      <c r="K197" s="41"/>
      <c r="L197" s="41"/>
      <c r="M197" s="41"/>
      <c r="N197" s="166"/>
      <c r="O197" s="166"/>
      <c r="P197" s="41"/>
      <c r="Q197" s="41"/>
      <c r="R197" s="41"/>
      <c r="S197" s="41"/>
      <c r="T197" s="41"/>
      <c r="U197" s="41"/>
      <c r="V197" s="41"/>
      <c r="W197" s="41"/>
      <c r="X197" s="41"/>
      <c r="Y197" s="166"/>
      <c r="Z197" s="166"/>
      <c r="AA197" s="41"/>
      <c r="AB197" s="41"/>
      <c r="AC197" s="41"/>
      <c r="AD197" s="41"/>
      <c r="AE197" s="41"/>
      <c r="AF197" s="41"/>
      <c r="AG197" s="41"/>
      <c r="AH197" s="41"/>
      <c r="AI197" s="41"/>
    </row>
    <row r="198" spans="1:35" ht="15.75" customHeight="1" x14ac:dyDescent="0.2">
      <c r="A198" s="217"/>
      <c r="B198" s="218"/>
      <c r="C198" s="218"/>
      <c r="D198" s="41"/>
      <c r="E198" s="218"/>
      <c r="F198" s="218"/>
      <c r="G198" s="41"/>
      <c r="H198" s="41"/>
      <c r="I198" s="41"/>
      <c r="J198" s="166"/>
      <c r="K198" s="41"/>
      <c r="L198" s="41"/>
      <c r="M198" s="41"/>
      <c r="N198" s="166"/>
      <c r="O198" s="166"/>
      <c r="P198" s="41"/>
      <c r="Q198" s="41"/>
      <c r="R198" s="41"/>
      <c r="S198" s="41"/>
      <c r="T198" s="41"/>
      <c r="U198" s="41"/>
      <c r="V198" s="41"/>
      <c r="W198" s="41"/>
      <c r="X198" s="41"/>
      <c r="Y198" s="166"/>
      <c r="Z198" s="166"/>
      <c r="AA198" s="41"/>
      <c r="AB198" s="41"/>
      <c r="AC198" s="41"/>
      <c r="AD198" s="41"/>
      <c r="AE198" s="41"/>
      <c r="AF198" s="41"/>
      <c r="AG198" s="41"/>
      <c r="AH198" s="41"/>
      <c r="AI198" s="41"/>
    </row>
    <row r="199" spans="1:35" ht="15.75" customHeight="1" x14ac:dyDescent="0.2">
      <c r="A199" s="217"/>
      <c r="B199" s="218"/>
      <c r="C199" s="218"/>
      <c r="D199" s="41"/>
      <c r="E199" s="218"/>
      <c r="F199" s="218"/>
      <c r="G199" s="41"/>
      <c r="H199" s="41"/>
      <c r="I199" s="41"/>
      <c r="J199" s="166"/>
      <c r="K199" s="41"/>
      <c r="L199" s="41"/>
      <c r="M199" s="41"/>
      <c r="N199" s="166"/>
      <c r="O199" s="166"/>
      <c r="P199" s="41"/>
      <c r="Q199" s="41"/>
      <c r="R199" s="41"/>
      <c r="S199" s="41"/>
      <c r="T199" s="41"/>
      <c r="U199" s="41"/>
      <c r="V199" s="41"/>
      <c r="W199" s="41"/>
      <c r="X199" s="41"/>
      <c r="Y199" s="166"/>
      <c r="Z199" s="166"/>
      <c r="AA199" s="41"/>
      <c r="AB199" s="41"/>
      <c r="AC199" s="41"/>
      <c r="AD199" s="41"/>
      <c r="AE199" s="41"/>
      <c r="AF199" s="41"/>
      <c r="AG199" s="41"/>
      <c r="AH199" s="41"/>
      <c r="AI199" s="41"/>
    </row>
    <row r="200" spans="1:35" ht="15.75" customHeight="1" x14ac:dyDescent="0.2">
      <c r="A200" s="217"/>
      <c r="B200" s="218"/>
      <c r="C200" s="218"/>
      <c r="D200" s="41"/>
      <c r="E200" s="218"/>
      <c r="F200" s="218"/>
      <c r="G200" s="41"/>
      <c r="H200" s="41"/>
      <c r="I200" s="41"/>
      <c r="J200" s="166"/>
      <c r="K200" s="41"/>
      <c r="L200" s="41"/>
      <c r="M200" s="41"/>
      <c r="N200" s="166"/>
      <c r="O200" s="166"/>
      <c r="P200" s="41"/>
      <c r="Q200" s="41"/>
      <c r="R200" s="41"/>
      <c r="S200" s="41"/>
      <c r="T200" s="41"/>
      <c r="U200" s="41"/>
      <c r="V200" s="41"/>
      <c r="W200" s="41"/>
      <c r="X200" s="41"/>
      <c r="Y200" s="166"/>
      <c r="Z200" s="166"/>
      <c r="AA200" s="41"/>
      <c r="AB200" s="41"/>
      <c r="AC200" s="41"/>
      <c r="AD200" s="41"/>
      <c r="AE200" s="41"/>
      <c r="AF200" s="41"/>
      <c r="AG200" s="41"/>
      <c r="AH200" s="41"/>
      <c r="AI200" s="41"/>
    </row>
    <row r="201" spans="1:35" ht="15.75" customHeight="1" x14ac:dyDescent="0.2">
      <c r="A201" s="217"/>
      <c r="B201" s="218"/>
      <c r="C201" s="218"/>
      <c r="D201" s="41"/>
      <c r="E201" s="218"/>
      <c r="F201" s="218"/>
      <c r="G201" s="41"/>
      <c r="H201" s="41"/>
      <c r="I201" s="41"/>
      <c r="J201" s="166"/>
      <c r="K201" s="41"/>
      <c r="L201" s="41"/>
      <c r="M201" s="41"/>
      <c r="N201" s="166"/>
      <c r="O201" s="166"/>
      <c r="P201" s="41"/>
      <c r="Q201" s="41"/>
      <c r="R201" s="41"/>
      <c r="S201" s="41"/>
      <c r="T201" s="41"/>
      <c r="U201" s="41"/>
      <c r="V201" s="41"/>
      <c r="W201" s="41"/>
      <c r="X201" s="41"/>
      <c r="Y201" s="166"/>
      <c r="Z201" s="166"/>
      <c r="AA201" s="41"/>
      <c r="AB201" s="41"/>
      <c r="AC201" s="41"/>
      <c r="AD201" s="41"/>
      <c r="AE201" s="41"/>
      <c r="AF201" s="41"/>
      <c r="AG201" s="41"/>
      <c r="AH201" s="41"/>
      <c r="AI201" s="41"/>
    </row>
    <row r="202" spans="1:35" ht="15.75" customHeight="1" x14ac:dyDescent="0.2">
      <c r="A202" s="217"/>
      <c r="B202" s="218"/>
      <c r="C202" s="218"/>
      <c r="D202" s="41"/>
      <c r="E202" s="218"/>
      <c r="F202" s="218"/>
      <c r="G202" s="41"/>
      <c r="H202" s="41"/>
      <c r="I202" s="41"/>
      <c r="J202" s="166"/>
      <c r="K202" s="41"/>
      <c r="L202" s="41"/>
      <c r="M202" s="41"/>
      <c r="N202" s="166"/>
      <c r="O202" s="166"/>
      <c r="P202" s="41"/>
      <c r="Q202" s="41"/>
      <c r="R202" s="41"/>
      <c r="S202" s="41"/>
      <c r="T202" s="41"/>
      <c r="U202" s="41"/>
      <c r="V202" s="41"/>
      <c r="W202" s="41"/>
      <c r="X202" s="41"/>
      <c r="Y202" s="166"/>
      <c r="Z202" s="166"/>
      <c r="AA202" s="41"/>
      <c r="AB202" s="41"/>
      <c r="AC202" s="41"/>
      <c r="AD202" s="41"/>
      <c r="AE202" s="41"/>
      <c r="AF202" s="41"/>
      <c r="AG202" s="41"/>
      <c r="AH202" s="41"/>
      <c r="AI202" s="41"/>
    </row>
    <row r="203" spans="1:35" ht="15.75" customHeight="1" x14ac:dyDescent="0.2">
      <c r="A203" s="217"/>
      <c r="B203" s="218"/>
      <c r="C203" s="218"/>
      <c r="D203" s="41"/>
      <c r="E203" s="218"/>
      <c r="F203" s="218"/>
      <c r="G203" s="41"/>
      <c r="H203" s="41"/>
      <c r="I203" s="41"/>
      <c r="J203" s="166"/>
      <c r="K203" s="41"/>
      <c r="L203" s="41"/>
      <c r="M203" s="41"/>
      <c r="N203" s="166"/>
      <c r="O203" s="166"/>
      <c r="P203" s="41"/>
      <c r="Q203" s="41"/>
      <c r="R203" s="41"/>
      <c r="S203" s="41"/>
      <c r="T203" s="41"/>
      <c r="U203" s="41"/>
      <c r="V203" s="41"/>
      <c r="W203" s="41"/>
      <c r="X203" s="41"/>
      <c r="Y203" s="166"/>
      <c r="Z203" s="166"/>
      <c r="AA203" s="41"/>
      <c r="AB203" s="41"/>
      <c r="AC203" s="41"/>
      <c r="AD203" s="41"/>
      <c r="AE203" s="41"/>
      <c r="AF203" s="41"/>
      <c r="AG203" s="41"/>
      <c r="AH203" s="41"/>
      <c r="AI203" s="41"/>
    </row>
    <row r="204" spans="1:35" ht="15.75" customHeight="1" x14ac:dyDescent="0.2">
      <c r="A204" s="217"/>
      <c r="B204" s="218"/>
      <c r="C204" s="218"/>
      <c r="D204" s="41"/>
      <c r="E204" s="218"/>
      <c r="F204" s="218"/>
      <c r="G204" s="41"/>
      <c r="H204" s="41"/>
      <c r="I204" s="41"/>
      <c r="J204" s="166"/>
      <c r="K204" s="41"/>
      <c r="L204" s="41"/>
      <c r="M204" s="41"/>
      <c r="N204" s="166"/>
      <c r="O204" s="166"/>
      <c r="P204" s="41"/>
      <c r="Q204" s="41"/>
      <c r="R204" s="41"/>
      <c r="S204" s="41"/>
      <c r="T204" s="41"/>
      <c r="U204" s="41"/>
      <c r="V204" s="41"/>
      <c r="W204" s="41"/>
      <c r="X204" s="41"/>
      <c r="Y204" s="166"/>
      <c r="Z204" s="166"/>
      <c r="AA204" s="41"/>
      <c r="AB204" s="41"/>
      <c r="AC204" s="41"/>
      <c r="AD204" s="41"/>
      <c r="AE204" s="41"/>
      <c r="AF204" s="41"/>
      <c r="AG204" s="41"/>
      <c r="AH204" s="41"/>
      <c r="AI204" s="41"/>
    </row>
    <row r="205" spans="1:35" ht="15.75" customHeight="1" x14ac:dyDescent="0.2">
      <c r="A205" s="217"/>
      <c r="B205" s="218"/>
      <c r="C205" s="218"/>
      <c r="D205" s="41"/>
      <c r="E205" s="218"/>
      <c r="F205" s="218"/>
      <c r="G205" s="41"/>
      <c r="H205" s="41"/>
      <c r="I205" s="41"/>
      <c r="J205" s="166"/>
      <c r="K205" s="41"/>
      <c r="L205" s="41"/>
      <c r="M205" s="41"/>
      <c r="N205" s="166"/>
      <c r="O205" s="166"/>
      <c r="P205" s="41"/>
      <c r="Q205" s="41"/>
      <c r="R205" s="41"/>
      <c r="S205" s="41"/>
      <c r="T205" s="41"/>
      <c r="U205" s="41"/>
      <c r="V205" s="41"/>
      <c r="W205" s="41"/>
      <c r="X205" s="41"/>
      <c r="Y205" s="166"/>
      <c r="Z205" s="166"/>
      <c r="AA205" s="41"/>
      <c r="AB205" s="41"/>
      <c r="AC205" s="41"/>
      <c r="AD205" s="41"/>
      <c r="AE205" s="41"/>
      <c r="AF205" s="41"/>
      <c r="AG205" s="41"/>
      <c r="AH205" s="41"/>
      <c r="AI205" s="41"/>
    </row>
    <row r="206" spans="1:35" ht="15.75" customHeight="1" x14ac:dyDescent="0.2">
      <c r="A206" s="217"/>
      <c r="B206" s="218"/>
      <c r="C206" s="218"/>
      <c r="D206" s="41"/>
      <c r="E206" s="218"/>
      <c r="F206" s="218"/>
      <c r="G206" s="41"/>
      <c r="H206" s="41"/>
      <c r="I206" s="41"/>
      <c r="J206" s="166"/>
      <c r="K206" s="41"/>
      <c r="L206" s="41"/>
      <c r="M206" s="41"/>
      <c r="N206" s="166"/>
      <c r="O206" s="166"/>
      <c r="P206" s="41"/>
      <c r="Q206" s="41"/>
      <c r="R206" s="41"/>
      <c r="S206" s="41"/>
      <c r="T206" s="41"/>
      <c r="U206" s="41"/>
      <c r="V206" s="41"/>
      <c r="W206" s="41"/>
      <c r="X206" s="41"/>
      <c r="Y206" s="166"/>
      <c r="Z206" s="166"/>
      <c r="AA206" s="41"/>
      <c r="AB206" s="41"/>
      <c r="AC206" s="41"/>
      <c r="AD206" s="41"/>
      <c r="AE206" s="41"/>
      <c r="AF206" s="41"/>
      <c r="AG206" s="41"/>
      <c r="AH206" s="41"/>
      <c r="AI206" s="41"/>
    </row>
    <row r="207" spans="1:35" ht="15.75" customHeight="1" x14ac:dyDescent="0.2">
      <c r="A207" s="217"/>
      <c r="B207" s="218"/>
      <c r="C207" s="218"/>
      <c r="D207" s="41"/>
      <c r="E207" s="218"/>
      <c r="F207" s="218"/>
      <c r="G207" s="41"/>
      <c r="H207" s="41"/>
      <c r="I207" s="41"/>
      <c r="J207" s="166"/>
      <c r="K207" s="41"/>
      <c r="L207" s="41"/>
      <c r="M207" s="41"/>
      <c r="N207" s="166"/>
      <c r="O207" s="166"/>
      <c r="P207" s="41"/>
      <c r="Q207" s="41"/>
      <c r="R207" s="41"/>
      <c r="S207" s="41"/>
      <c r="T207" s="41"/>
      <c r="U207" s="41"/>
      <c r="V207" s="41"/>
      <c r="W207" s="41"/>
      <c r="X207" s="41"/>
      <c r="Y207" s="166"/>
      <c r="Z207" s="166"/>
      <c r="AA207" s="41"/>
      <c r="AB207" s="41"/>
      <c r="AC207" s="41"/>
      <c r="AD207" s="41"/>
      <c r="AE207" s="41"/>
      <c r="AF207" s="41"/>
      <c r="AG207" s="41"/>
      <c r="AH207" s="41"/>
      <c r="AI207" s="41"/>
    </row>
    <row r="208" spans="1:35" ht="15.75" customHeight="1" x14ac:dyDescent="0.2">
      <c r="A208" s="217"/>
      <c r="B208" s="218"/>
      <c r="C208" s="218"/>
      <c r="D208" s="41"/>
      <c r="E208" s="218"/>
      <c r="F208" s="218"/>
      <c r="G208" s="41"/>
      <c r="H208" s="41"/>
      <c r="I208" s="41"/>
      <c r="J208" s="166"/>
      <c r="K208" s="41"/>
      <c r="L208" s="41"/>
      <c r="M208" s="41"/>
      <c r="N208" s="166"/>
      <c r="O208" s="166"/>
      <c r="P208" s="41"/>
      <c r="Q208" s="41"/>
      <c r="R208" s="41"/>
      <c r="S208" s="41"/>
      <c r="T208" s="41"/>
      <c r="U208" s="41"/>
      <c r="V208" s="41"/>
      <c r="W208" s="41"/>
      <c r="X208" s="41"/>
      <c r="Y208" s="166"/>
      <c r="Z208" s="166"/>
      <c r="AA208" s="41"/>
      <c r="AB208" s="41"/>
      <c r="AC208" s="41"/>
      <c r="AD208" s="41"/>
      <c r="AE208" s="41"/>
      <c r="AF208" s="41"/>
      <c r="AG208" s="41"/>
      <c r="AH208" s="41"/>
      <c r="AI208" s="41"/>
    </row>
    <row r="209" spans="1:35" ht="15.75" customHeight="1" x14ac:dyDescent="0.2">
      <c r="A209" s="217"/>
      <c r="B209" s="218"/>
      <c r="C209" s="218"/>
      <c r="D209" s="41"/>
      <c r="E209" s="218"/>
      <c r="F209" s="218"/>
      <c r="G209" s="41"/>
      <c r="H209" s="41"/>
      <c r="I209" s="41"/>
      <c r="J209" s="166"/>
      <c r="K209" s="41"/>
      <c r="L209" s="41"/>
      <c r="M209" s="41"/>
      <c r="N209" s="166"/>
      <c r="O209" s="166"/>
      <c r="P209" s="41"/>
      <c r="Q209" s="41"/>
      <c r="R209" s="41"/>
      <c r="S209" s="41"/>
      <c r="T209" s="41"/>
      <c r="U209" s="41"/>
      <c r="V209" s="41"/>
      <c r="W209" s="41"/>
      <c r="X209" s="41"/>
      <c r="Y209" s="166"/>
      <c r="Z209" s="166"/>
      <c r="AA209" s="41"/>
      <c r="AB209" s="41"/>
      <c r="AC209" s="41"/>
      <c r="AD209" s="41"/>
      <c r="AE209" s="41"/>
      <c r="AF209" s="41"/>
      <c r="AG209" s="41"/>
      <c r="AH209" s="41"/>
      <c r="AI209" s="41"/>
    </row>
    <row r="210" spans="1:35" ht="15.75" customHeight="1" x14ac:dyDescent="0.2">
      <c r="A210" s="217"/>
      <c r="B210" s="218"/>
      <c r="C210" s="218"/>
      <c r="D210" s="41"/>
      <c r="E210" s="218"/>
      <c r="F210" s="218"/>
      <c r="G210" s="41"/>
      <c r="H210" s="41"/>
      <c r="I210" s="41"/>
      <c r="J210" s="166"/>
      <c r="K210" s="41"/>
      <c r="L210" s="41"/>
      <c r="M210" s="41"/>
      <c r="N210" s="166"/>
      <c r="O210" s="166"/>
      <c r="P210" s="41"/>
      <c r="Q210" s="41"/>
      <c r="R210" s="41"/>
      <c r="S210" s="41"/>
      <c r="T210" s="41"/>
      <c r="U210" s="41"/>
      <c r="V210" s="41"/>
      <c r="W210" s="41"/>
      <c r="X210" s="41"/>
      <c r="Y210" s="166"/>
      <c r="Z210" s="166"/>
      <c r="AA210" s="41"/>
      <c r="AB210" s="41"/>
      <c r="AC210" s="41"/>
      <c r="AD210" s="41"/>
      <c r="AE210" s="41"/>
      <c r="AF210" s="41"/>
      <c r="AG210" s="41"/>
      <c r="AH210" s="41"/>
      <c r="AI210" s="41"/>
    </row>
    <row r="211" spans="1:35" ht="15.75" customHeight="1" x14ac:dyDescent="0.2">
      <c r="A211" s="217"/>
      <c r="B211" s="218"/>
      <c r="C211" s="218"/>
      <c r="D211" s="41"/>
      <c r="E211" s="218"/>
      <c r="F211" s="218"/>
      <c r="G211" s="41"/>
      <c r="H211" s="41"/>
      <c r="I211" s="41"/>
      <c r="J211" s="166"/>
      <c r="K211" s="41"/>
      <c r="L211" s="41"/>
      <c r="M211" s="41"/>
      <c r="N211" s="166"/>
      <c r="O211" s="166"/>
      <c r="P211" s="41"/>
      <c r="Q211" s="41"/>
      <c r="R211" s="41"/>
      <c r="S211" s="41"/>
      <c r="T211" s="41"/>
      <c r="U211" s="41"/>
      <c r="V211" s="41"/>
      <c r="W211" s="41"/>
      <c r="X211" s="41"/>
      <c r="Y211" s="166"/>
      <c r="Z211" s="166"/>
      <c r="AA211" s="41"/>
      <c r="AB211" s="41"/>
      <c r="AC211" s="41"/>
      <c r="AD211" s="41"/>
      <c r="AE211" s="41"/>
      <c r="AF211" s="41"/>
      <c r="AG211" s="41"/>
      <c r="AH211" s="41"/>
      <c r="AI211" s="41"/>
    </row>
    <row r="212" spans="1:35" ht="15.75" customHeight="1" x14ac:dyDescent="0.2">
      <c r="A212" s="217"/>
      <c r="B212" s="218"/>
      <c r="C212" s="218"/>
      <c r="D212" s="41"/>
      <c r="E212" s="218"/>
      <c r="F212" s="218"/>
      <c r="G212" s="41"/>
      <c r="H212" s="41"/>
      <c r="I212" s="41"/>
      <c r="J212" s="166"/>
      <c r="K212" s="41"/>
      <c r="L212" s="41"/>
      <c r="M212" s="41"/>
      <c r="N212" s="166"/>
      <c r="O212" s="166"/>
      <c r="P212" s="41"/>
      <c r="Q212" s="41"/>
      <c r="R212" s="41"/>
      <c r="S212" s="41"/>
      <c r="T212" s="41"/>
      <c r="U212" s="41"/>
      <c r="V212" s="41"/>
      <c r="W212" s="41"/>
      <c r="X212" s="41"/>
      <c r="Y212" s="166"/>
      <c r="Z212" s="166"/>
      <c r="AA212" s="41"/>
      <c r="AB212" s="41"/>
      <c r="AC212" s="41"/>
      <c r="AD212" s="41"/>
      <c r="AE212" s="41"/>
      <c r="AF212" s="41"/>
      <c r="AG212" s="41"/>
      <c r="AH212" s="41"/>
      <c r="AI212" s="41"/>
    </row>
    <row r="213" spans="1:35" ht="15.75" customHeight="1" x14ac:dyDescent="0.2">
      <c r="A213" s="217"/>
      <c r="B213" s="218"/>
      <c r="C213" s="218"/>
      <c r="D213" s="41"/>
      <c r="E213" s="218"/>
      <c r="F213" s="218"/>
      <c r="G213" s="41"/>
      <c r="H213" s="41"/>
      <c r="I213" s="41"/>
      <c r="J213" s="166"/>
      <c r="K213" s="41"/>
      <c r="L213" s="41"/>
      <c r="M213" s="41"/>
      <c r="N213" s="166"/>
      <c r="O213" s="166"/>
      <c r="P213" s="41"/>
      <c r="Q213" s="41"/>
      <c r="R213" s="41"/>
      <c r="S213" s="41"/>
      <c r="T213" s="41"/>
      <c r="U213" s="41"/>
      <c r="V213" s="41"/>
      <c r="W213" s="41"/>
      <c r="X213" s="41"/>
      <c r="Y213" s="166"/>
      <c r="Z213" s="166"/>
      <c r="AA213" s="41"/>
      <c r="AB213" s="41"/>
      <c r="AC213" s="41"/>
      <c r="AD213" s="41"/>
      <c r="AE213" s="41"/>
      <c r="AF213" s="41"/>
      <c r="AG213" s="41"/>
      <c r="AH213" s="41"/>
      <c r="AI213" s="41"/>
    </row>
    <row r="214" spans="1:35" ht="15.75" customHeight="1" x14ac:dyDescent="0.2">
      <c r="A214" s="217"/>
      <c r="B214" s="218"/>
      <c r="C214" s="218"/>
      <c r="D214" s="41"/>
      <c r="E214" s="218"/>
      <c r="F214" s="218"/>
      <c r="G214" s="41"/>
      <c r="H214" s="41"/>
      <c r="I214" s="41"/>
      <c r="J214" s="166"/>
      <c r="K214" s="41"/>
      <c r="L214" s="41"/>
      <c r="M214" s="41"/>
      <c r="N214" s="166"/>
      <c r="O214" s="166"/>
      <c r="P214" s="41"/>
      <c r="Q214" s="41"/>
      <c r="R214" s="41"/>
      <c r="S214" s="41"/>
      <c r="T214" s="41"/>
      <c r="U214" s="41"/>
      <c r="V214" s="41"/>
      <c r="W214" s="41"/>
      <c r="X214" s="41"/>
      <c r="Y214" s="166"/>
      <c r="Z214" s="166"/>
      <c r="AA214" s="41"/>
      <c r="AB214" s="41"/>
      <c r="AC214" s="41"/>
      <c r="AD214" s="41"/>
      <c r="AE214" s="41"/>
      <c r="AF214" s="41"/>
      <c r="AG214" s="41"/>
      <c r="AH214" s="41"/>
      <c r="AI214" s="41"/>
    </row>
    <row r="215" spans="1:35" ht="15.75" customHeight="1" x14ac:dyDescent="0.2">
      <c r="A215" s="217"/>
      <c r="B215" s="218"/>
      <c r="C215" s="218"/>
      <c r="D215" s="41"/>
      <c r="E215" s="218"/>
      <c r="F215" s="218"/>
      <c r="G215" s="41"/>
      <c r="H215" s="41"/>
      <c r="I215" s="41"/>
      <c r="J215" s="166"/>
      <c r="K215" s="41"/>
      <c r="L215" s="41"/>
      <c r="M215" s="41"/>
      <c r="N215" s="166"/>
      <c r="O215" s="166"/>
      <c r="P215" s="41"/>
      <c r="Q215" s="41"/>
      <c r="R215" s="41"/>
      <c r="S215" s="41"/>
      <c r="T215" s="41"/>
      <c r="U215" s="41"/>
      <c r="V215" s="41"/>
      <c r="W215" s="41"/>
      <c r="X215" s="41"/>
      <c r="Y215" s="166"/>
      <c r="Z215" s="166"/>
      <c r="AA215" s="41"/>
      <c r="AB215" s="41"/>
      <c r="AC215" s="41"/>
      <c r="AD215" s="41"/>
      <c r="AE215" s="41"/>
      <c r="AF215" s="41"/>
      <c r="AG215" s="41"/>
      <c r="AH215" s="41"/>
      <c r="AI215" s="41"/>
    </row>
    <row r="216" spans="1:35" ht="15.75" customHeight="1" x14ac:dyDescent="0.2">
      <c r="A216" s="217"/>
      <c r="B216" s="218"/>
      <c r="C216" s="218"/>
      <c r="D216" s="41"/>
      <c r="E216" s="218"/>
      <c r="F216" s="218"/>
      <c r="G216" s="41"/>
      <c r="H216" s="41"/>
      <c r="I216" s="41"/>
      <c r="J216" s="166"/>
      <c r="K216" s="41"/>
      <c r="L216" s="41"/>
      <c r="M216" s="41"/>
      <c r="N216" s="166"/>
      <c r="O216" s="166"/>
      <c r="P216" s="41"/>
      <c r="Q216" s="41"/>
      <c r="R216" s="41"/>
      <c r="S216" s="41"/>
      <c r="T216" s="41"/>
      <c r="U216" s="41"/>
      <c r="V216" s="41"/>
      <c r="W216" s="41"/>
      <c r="X216" s="41"/>
      <c r="Y216" s="166"/>
      <c r="Z216" s="166"/>
      <c r="AA216" s="41"/>
      <c r="AB216" s="41"/>
      <c r="AC216" s="41"/>
      <c r="AD216" s="41"/>
      <c r="AE216" s="41"/>
      <c r="AF216" s="41"/>
      <c r="AG216" s="41"/>
      <c r="AH216" s="41"/>
      <c r="AI216" s="41"/>
    </row>
    <row r="217" spans="1:35" ht="15.75" customHeight="1" x14ac:dyDescent="0.2">
      <c r="A217" s="217"/>
      <c r="B217" s="218"/>
      <c r="C217" s="218"/>
      <c r="D217" s="41"/>
      <c r="E217" s="218"/>
      <c r="F217" s="218"/>
      <c r="G217" s="41"/>
      <c r="H217" s="41"/>
      <c r="I217" s="41"/>
      <c r="J217" s="166"/>
      <c r="K217" s="41"/>
      <c r="L217" s="41"/>
      <c r="M217" s="41"/>
      <c r="N217" s="166"/>
      <c r="O217" s="166"/>
      <c r="P217" s="41"/>
      <c r="Q217" s="41"/>
      <c r="R217" s="41"/>
      <c r="S217" s="41"/>
      <c r="T217" s="41"/>
      <c r="U217" s="41"/>
      <c r="V217" s="41"/>
      <c r="W217" s="41"/>
      <c r="X217" s="41"/>
      <c r="Y217" s="166"/>
      <c r="Z217" s="166"/>
      <c r="AA217" s="41"/>
      <c r="AB217" s="41"/>
      <c r="AC217" s="41"/>
      <c r="AD217" s="41"/>
      <c r="AE217" s="41"/>
      <c r="AF217" s="41"/>
      <c r="AG217" s="41"/>
      <c r="AH217" s="41"/>
      <c r="AI217" s="41"/>
    </row>
    <row r="218" spans="1:35" ht="15.75" customHeight="1" x14ac:dyDescent="0.2">
      <c r="A218" s="217"/>
      <c r="B218" s="218"/>
      <c r="C218" s="218"/>
      <c r="D218" s="41"/>
      <c r="E218" s="218"/>
      <c r="F218" s="218"/>
      <c r="G218" s="41"/>
      <c r="H218" s="41"/>
      <c r="I218" s="41"/>
      <c r="J218" s="166"/>
      <c r="K218" s="41"/>
      <c r="L218" s="41"/>
      <c r="M218" s="41"/>
      <c r="N218" s="166"/>
      <c r="O218" s="166"/>
      <c r="P218" s="41"/>
      <c r="Q218" s="41"/>
      <c r="R218" s="41"/>
      <c r="S218" s="41"/>
      <c r="T218" s="41"/>
      <c r="U218" s="41"/>
      <c r="V218" s="41"/>
      <c r="W218" s="41"/>
      <c r="X218" s="41"/>
      <c r="Y218" s="166"/>
      <c r="Z218" s="166"/>
      <c r="AA218" s="41"/>
      <c r="AB218" s="41"/>
      <c r="AC218" s="41"/>
      <c r="AD218" s="41"/>
      <c r="AE218" s="41"/>
      <c r="AF218" s="41"/>
      <c r="AG218" s="41"/>
      <c r="AH218" s="41"/>
      <c r="AI218" s="41"/>
    </row>
    <row r="219" spans="1:35" ht="15.75" customHeight="1" x14ac:dyDescent="0.2">
      <c r="A219" s="217"/>
      <c r="B219" s="218"/>
      <c r="C219" s="218"/>
      <c r="D219" s="41"/>
      <c r="E219" s="218"/>
      <c r="F219" s="218"/>
      <c r="G219" s="41"/>
      <c r="H219" s="41"/>
      <c r="I219" s="41"/>
      <c r="J219" s="166"/>
      <c r="K219" s="41"/>
      <c r="L219" s="41"/>
      <c r="M219" s="41"/>
      <c r="N219" s="166"/>
      <c r="O219" s="166"/>
      <c r="P219" s="41"/>
      <c r="Q219" s="41"/>
      <c r="R219" s="41"/>
      <c r="S219" s="41"/>
      <c r="T219" s="41"/>
      <c r="U219" s="41"/>
      <c r="V219" s="41"/>
      <c r="W219" s="41"/>
      <c r="X219" s="41"/>
      <c r="Y219" s="166"/>
      <c r="Z219" s="166"/>
      <c r="AA219" s="41"/>
      <c r="AB219" s="41"/>
      <c r="AC219" s="41"/>
      <c r="AD219" s="41"/>
      <c r="AE219" s="41"/>
      <c r="AF219" s="41"/>
      <c r="AG219" s="41"/>
      <c r="AH219" s="41"/>
      <c r="AI219" s="41"/>
    </row>
    <row r="220" spans="1:35" ht="15.75" customHeight="1" x14ac:dyDescent="0.2">
      <c r="A220" s="217"/>
      <c r="B220" s="218"/>
      <c r="C220" s="218"/>
      <c r="D220" s="41"/>
      <c r="E220" s="218"/>
      <c r="F220" s="218"/>
      <c r="G220" s="41"/>
      <c r="H220" s="41"/>
      <c r="I220" s="41"/>
      <c r="J220" s="166"/>
      <c r="K220" s="41"/>
      <c r="L220" s="41"/>
      <c r="M220" s="41"/>
      <c r="N220" s="166"/>
      <c r="O220" s="166"/>
      <c r="P220" s="41"/>
      <c r="Q220" s="41"/>
      <c r="R220" s="41"/>
      <c r="S220" s="41"/>
      <c r="T220" s="41"/>
      <c r="U220" s="41"/>
      <c r="V220" s="41"/>
      <c r="W220" s="41"/>
      <c r="X220" s="41"/>
      <c r="Y220" s="166"/>
      <c r="Z220" s="166"/>
      <c r="AA220" s="41"/>
      <c r="AB220" s="41"/>
      <c r="AC220" s="41"/>
      <c r="AD220" s="41"/>
      <c r="AE220" s="41"/>
      <c r="AF220" s="41"/>
      <c r="AG220" s="41"/>
      <c r="AH220" s="41"/>
      <c r="AI220" s="41"/>
    </row>
    <row r="221" spans="1:35" ht="15.75" customHeight="1" x14ac:dyDescent="0.2">
      <c r="A221" s="217"/>
      <c r="B221" s="218"/>
      <c r="C221" s="218"/>
      <c r="D221" s="41"/>
      <c r="E221" s="218"/>
      <c r="F221" s="218"/>
      <c r="G221" s="41"/>
      <c r="H221" s="41"/>
      <c r="I221" s="41"/>
      <c r="J221" s="166"/>
      <c r="K221" s="41"/>
      <c r="L221" s="41"/>
      <c r="M221" s="41"/>
      <c r="N221" s="166"/>
      <c r="O221" s="166"/>
      <c r="P221" s="41"/>
      <c r="Q221" s="41"/>
      <c r="R221" s="41"/>
      <c r="S221" s="41"/>
      <c r="T221" s="41"/>
      <c r="U221" s="41"/>
      <c r="V221" s="41"/>
      <c r="W221" s="41"/>
      <c r="X221" s="41"/>
      <c r="Y221" s="166"/>
      <c r="Z221" s="166"/>
      <c r="AA221" s="41"/>
      <c r="AB221" s="41"/>
      <c r="AC221" s="41"/>
      <c r="AD221" s="41"/>
      <c r="AE221" s="41"/>
      <c r="AF221" s="41"/>
      <c r="AG221" s="41"/>
      <c r="AH221" s="41"/>
      <c r="AI221" s="41"/>
    </row>
    <row r="222" spans="1:35" ht="15.75" customHeight="1" x14ac:dyDescent="0.2">
      <c r="A222" s="217"/>
      <c r="B222" s="218"/>
      <c r="C222" s="218"/>
      <c r="D222" s="41"/>
      <c r="E222" s="218"/>
      <c r="F222" s="218"/>
      <c r="G222" s="41"/>
      <c r="H222" s="41"/>
      <c r="I222" s="41"/>
      <c r="J222" s="166"/>
      <c r="K222" s="41"/>
      <c r="L222" s="41"/>
      <c r="M222" s="41"/>
      <c r="N222" s="166"/>
      <c r="O222" s="166"/>
      <c r="P222" s="41"/>
      <c r="Q222" s="41"/>
      <c r="R222" s="41"/>
      <c r="S222" s="41"/>
      <c r="T222" s="41"/>
      <c r="U222" s="41"/>
      <c r="V222" s="41"/>
      <c r="W222" s="41"/>
      <c r="X222" s="41"/>
      <c r="Y222" s="166"/>
      <c r="Z222" s="166"/>
      <c r="AA222" s="41"/>
      <c r="AB222" s="41"/>
      <c r="AC222" s="41"/>
      <c r="AD222" s="41"/>
      <c r="AE222" s="41"/>
      <c r="AF222" s="41"/>
      <c r="AG222" s="41"/>
      <c r="AH222" s="41"/>
      <c r="AI222" s="41"/>
    </row>
    <row r="223" spans="1:35" ht="15.75" customHeight="1" x14ac:dyDescent="0.2">
      <c r="A223" s="217"/>
      <c r="B223" s="218"/>
      <c r="C223" s="218"/>
      <c r="D223" s="41"/>
      <c r="E223" s="218"/>
      <c r="F223" s="218"/>
      <c r="G223" s="41"/>
      <c r="H223" s="41"/>
      <c r="I223" s="41"/>
      <c r="J223" s="166"/>
      <c r="K223" s="41"/>
      <c r="L223" s="41"/>
      <c r="M223" s="41"/>
      <c r="N223" s="166"/>
      <c r="O223" s="166"/>
      <c r="P223" s="41"/>
      <c r="Q223" s="41"/>
      <c r="R223" s="41"/>
      <c r="S223" s="41"/>
      <c r="T223" s="41"/>
      <c r="U223" s="41"/>
      <c r="V223" s="41"/>
      <c r="W223" s="41"/>
      <c r="X223" s="41"/>
      <c r="Y223" s="166"/>
      <c r="Z223" s="166"/>
      <c r="AA223" s="41"/>
      <c r="AB223" s="41"/>
      <c r="AC223" s="41"/>
      <c r="AD223" s="41"/>
      <c r="AE223" s="41"/>
      <c r="AF223" s="41"/>
      <c r="AG223" s="41"/>
      <c r="AH223" s="41"/>
      <c r="AI223" s="41"/>
    </row>
    <row r="224" spans="1:35" ht="15.75" customHeight="1" x14ac:dyDescent="0.2">
      <c r="A224" s="217"/>
      <c r="B224" s="218"/>
      <c r="C224" s="218"/>
      <c r="D224" s="41"/>
      <c r="E224" s="218"/>
      <c r="F224" s="218"/>
      <c r="G224" s="41"/>
      <c r="H224" s="41"/>
      <c r="I224" s="41"/>
      <c r="J224" s="166"/>
      <c r="K224" s="41"/>
      <c r="L224" s="41"/>
      <c r="M224" s="41"/>
      <c r="N224" s="166"/>
      <c r="O224" s="166"/>
      <c r="P224" s="41"/>
      <c r="Q224" s="41"/>
      <c r="R224" s="41"/>
      <c r="S224" s="41"/>
      <c r="T224" s="41"/>
      <c r="U224" s="41"/>
      <c r="V224" s="41"/>
      <c r="W224" s="41"/>
      <c r="X224" s="41"/>
      <c r="Y224" s="166"/>
      <c r="Z224" s="166"/>
      <c r="AA224" s="41"/>
      <c r="AB224" s="41"/>
      <c r="AC224" s="41"/>
      <c r="AD224" s="41"/>
      <c r="AE224" s="41"/>
      <c r="AF224" s="41"/>
      <c r="AG224" s="41"/>
      <c r="AH224" s="41"/>
      <c r="AI224" s="41"/>
    </row>
    <row r="225" spans="1:35" ht="15.75" customHeight="1" x14ac:dyDescent="0.2">
      <c r="A225" s="217"/>
      <c r="B225" s="218"/>
      <c r="C225" s="218"/>
      <c r="D225" s="41"/>
      <c r="E225" s="218"/>
      <c r="F225" s="218"/>
      <c r="G225" s="41"/>
      <c r="H225" s="41"/>
      <c r="I225" s="41"/>
      <c r="J225" s="166"/>
      <c r="K225" s="41"/>
      <c r="L225" s="41"/>
      <c r="M225" s="41"/>
      <c r="N225" s="166"/>
      <c r="O225" s="166"/>
      <c r="P225" s="41"/>
      <c r="Q225" s="41"/>
      <c r="R225" s="41"/>
      <c r="S225" s="41"/>
      <c r="T225" s="41"/>
      <c r="U225" s="41"/>
      <c r="V225" s="41"/>
      <c r="W225" s="41"/>
      <c r="X225" s="41"/>
      <c r="Y225" s="166"/>
      <c r="Z225" s="166"/>
      <c r="AA225" s="41"/>
      <c r="AB225" s="41"/>
      <c r="AC225" s="41"/>
      <c r="AD225" s="41"/>
      <c r="AE225" s="41"/>
      <c r="AF225" s="41"/>
      <c r="AG225" s="41"/>
      <c r="AH225" s="41"/>
      <c r="AI225" s="41"/>
    </row>
    <row r="226" spans="1:35" ht="15.75" customHeight="1" x14ac:dyDescent="0.2">
      <c r="A226" s="217"/>
      <c r="B226" s="218"/>
      <c r="C226" s="218"/>
      <c r="D226" s="41"/>
      <c r="E226" s="218"/>
      <c r="F226" s="218"/>
      <c r="G226" s="41"/>
      <c r="H226" s="41"/>
      <c r="I226" s="41"/>
      <c r="J226" s="166"/>
      <c r="K226" s="41"/>
      <c r="L226" s="41"/>
      <c r="M226" s="41"/>
      <c r="N226" s="166"/>
      <c r="O226" s="166"/>
      <c r="P226" s="41"/>
      <c r="Q226" s="41"/>
      <c r="R226" s="41"/>
      <c r="S226" s="41"/>
      <c r="T226" s="41"/>
      <c r="U226" s="41"/>
      <c r="V226" s="41"/>
      <c r="W226" s="41"/>
      <c r="X226" s="41"/>
      <c r="Y226" s="166"/>
      <c r="Z226" s="166"/>
      <c r="AA226" s="41"/>
      <c r="AB226" s="41"/>
      <c r="AC226" s="41"/>
      <c r="AD226" s="41"/>
      <c r="AE226" s="41"/>
      <c r="AF226" s="41"/>
      <c r="AG226" s="41"/>
      <c r="AH226" s="41"/>
      <c r="AI226" s="41"/>
    </row>
    <row r="227" spans="1:35" ht="15.75" customHeight="1" x14ac:dyDescent="0.2">
      <c r="A227" s="217"/>
      <c r="B227" s="218"/>
      <c r="C227" s="218"/>
      <c r="D227" s="41"/>
      <c r="E227" s="218"/>
      <c r="F227" s="218"/>
      <c r="G227" s="41"/>
      <c r="H227" s="41"/>
      <c r="I227" s="41"/>
      <c r="J227" s="166"/>
      <c r="K227" s="41"/>
      <c r="L227" s="41"/>
      <c r="M227" s="41"/>
      <c r="N227" s="166"/>
      <c r="O227" s="166"/>
      <c r="P227" s="41"/>
      <c r="Q227" s="41"/>
      <c r="R227" s="41"/>
      <c r="S227" s="41"/>
      <c r="T227" s="41"/>
      <c r="U227" s="41"/>
      <c r="V227" s="41"/>
      <c r="W227" s="41"/>
      <c r="X227" s="41"/>
      <c r="Y227" s="166"/>
      <c r="Z227" s="166"/>
      <c r="AA227" s="41"/>
      <c r="AB227" s="41"/>
      <c r="AC227" s="41"/>
      <c r="AD227" s="41"/>
      <c r="AE227" s="41"/>
      <c r="AF227" s="41"/>
      <c r="AG227" s="41"/>
      <c r="AH227" s="41"/>
      <c r="AI227" s="41"/>
    </row>
    <row r="228" spans="1:35" ht="15.75" customHeight="1" x14ac:dyDescent="0.2">
      <c r="A228" s="217"/>
      <c r="B228" s="218"/>
      <c r="C228" s="218"/>
      <c r="D228" s="41"/>
      <c r="E228" s="218"/>
      <c r="F228" s="218"/>
      <c r="G228" s="41"/>
      <c r="H228" s="41"/>
      <c r="I228" s="41"/>
      <c r="J228" s="166"/>
      <c r="K228" s="41"/>
      <c r="L228" s="41"/>
      <c r="M228" s="41"/>
      <c r="N228" s="166"/>
      <c r="O228" s="166"/>
      <c r="P228" s="41"/>
      <c r="Q228" s="41"/>
      <c r="R228" s="41"/>
      <c r="S228" s="41"/>
      <c r="T228" s="41"/>
      <c r="U228" s="41"/>
      <c r="V228" s="41"/>
      <c r="W228" s="41"/>
      <c r="X228" s="41"/>
      <c r="Y228" s="166"/>
      <c r="Z228" s="166"/>
      <c r="AA228" s="41"/>
      <c r="AB228" s="41"/>
      <c r="AC228" s="41"/>
      <c r="AD228" s="41"/>
      <c r="AE228" s="41"/>
      <c r="AF228" s="41"/>
      <c r="AG228" s="41"/>
      <c r="AH228" s="41"/>
      <c r="AI228" s="41"/>
    </row>
    <row r="229" spans="1:35" ht="15.75" customHeight="1" x14ac:dyDescent="0.2">
      <c r="A229" s="217"/>
      <c r="B229" s="218"/>
      <c r="C229" s="218"/>
      <c r="D229" s="41"/>
      <c r="E229" s="218"/>
      <c r="F229" s="218"/>
      <c r="G229" s="41"/>
      <c r="H229" s="41"/>
      <c r="I229" s="41"/>
      <c r="J229" s="166"/>
      <c r="K229" s="41"/>
      <c r="L229" s="41"/>
      <c r="M229" s="41"/>
      <c r="N229" s="166"/>
      <c r="O229" s="166"/>
      <c r="P229" s="41"/>
      <c r="Q229" s="41"/>
      <c r="R229" s="41"/>
      <c r="S229" s="41"/>
      <c r="T229" s="41"/>
      <c r="U229" s="41"/>
      <c r="V229" s="41"/>
      <c r="W229" s="41"/>
      <c r="X229" s="41"/>
      <c r="Y229" s="166"/>
      <c r="Z229" s="166"/>
      <c r="AA229" s="41"/>
      <c r="AB229" s="41"/>
      <c r="AC229" s="41"/>
      <c r="AD229" s="41"/>
      <c r="AE229" s="41"/>
      <c r="AF229" s="41"/>
      <c r="AG229" s="41"/>
      <c r="AH229" s="41"/>
      <c r="AI229" s="41"/>
    </row>
    <row r="230" spans="1:35" ht="15.75" customHeight="1" x14ac:dyDescent="0.2">
      <c r="A230" s="217"/>
      <c r="B230" s="218"/>
      <c r="C230" s="218"/>
      <c r="D230" s="41"/>
      <c r="E230" s="218"/>
      <c r="F230" s="218"/>
      <c r="G230" s="41"/>
      <c r="H230" s="41"/>
      <c r="I230" s="41"/>
      <c r="J230" s="166"/>
      <c r="K230" s="41"/>
      <c r="L230" s="41"/>
      <c r="M230" s="41"/>
      <c r="N230" s="166"/>
      <c r="O230" s="166"/>
      <c r="P230" s="41"/>
      <c r="Q230" s="41"/>
      <c r="R230" s="41"/>
      <c r="S230" s="41"/>
      <c r="T230" s="41"/>
      <c r="U230" s="41"/>
      <c r="V230" s="41"/>
      <c r="W230" s="41"/>
      <c r="X230" s="41"/>
      <c r="Y230" s="166"/>
      <c r="Z230" s="166"/>
      <c r="AA230" s="41"/>
      <c r="AB230" s="41"/>
      <c r="AC230" s="41"/>
      <c r="AD230" s="41"/>
      <c r="AE230" s="41"/>
      <c r="AF230" s="41"/>
      <c r="AG230" s="41"/>
      <c r="AH230" s="41"/>
      <c r="AI230" s="41"/>
    </row>
    <row r="231" spans="1:35" ht="15.75" customHeight="1" x14ac:dyDescent="0.2">
      <c r="A231" s="217"/>
      <c r="B231" s="218"/>
      <c r="C231" s="218"/>
      <c r="D231" s="41"/>
      <c r="E231" s="218"/>
      <c r="F231" s="218"/>
      <c r="G231" s="41"/>
      <c r="H231" s="41"/>
      <c r="I231" s="41"/>
      <c r="J231" s="166"/>
      <c r="K231" s="41"/>
      <c r="L231" s="41"/>
      <c r="M231" s="41"/>
      <c r="N231" s="166"/>
      <c r="O231" s="166"/>
      <c r="P231" s="41"/>
      <c r="Q231" s="41"/>
      <c r="R231" s="41"/>
      <c r="S231" s="41"/>
      <c r="T231" s="41"/>
      <c r="U231" s="41"/>
      <c r="V231" s="41"/>
      <c r="W231" s="41"/>
      <c r="X231" s="41"/>
      <c r="Y231" s="166"/>
      <c r="Z231" s="166"/>
      <c r="AA231" s="41"/>
      <c r="AB231" s="41"/>
      <c r="AC231" s="41"/>
      <c r="AD231" s="41"/>
      <c r="AE231" s="41"/>
      <c r="AF231" s="41"/>
      <c r="AG231" s="41"/>
      <c r="AH231" s="41"/>
      <c r="AI231" s="41"/>
    </row>
    <row r="232" spans="1:35" ht="15.75" customHeight="1" x14ac:dyDescent="0.2">
      <c r="A232" s="217"/>
      <c r="B232" s="218"/>
      <c r="C232" s="218"/>
      <c r="D232" s="41"/>
      <c r="E232" s="218"/>
      <c r="F232" s="218"/>
      <c r="G232" s="41"/>
      <c r="H232" s="41"/>
      <c r="I232" s="41"/>
      <c r="J232" s="166"/>
      <c r="K232" s="41"/>
      <c r="L232" s="41"/>
      <c r="M232" s="41"/>
      <c r="N232" s="166"/>
      <c r="O232" s="166"/>
      <c r="P232" s="41"/>
      <c r="Q232" s="41"/>
      <c r="R232" s="41"/>
      <c r="S232" s="41"/>
      <c r="T232" s="41"/>
      <c r="U232" s="41"/>
      <c r="V232" s="41"/>
      <c r="W232" s="41"/>
      <c r="X232" s="41"/>
      <c r="Y232" s="166"/>
      <c r="Z232" s="166"/>
      <c r="AA232" s="41"/>
      <c r="AB232" s="41"/>
      <c r="AC232" s="41"/>
      <c r="AD232" s="41"/>
      <c r="AE232" s="41"/>
      <c r="AF232" s="41"/>
      <c r="AG232" s="41"/>
      <c r="AH232" s="41"/>
      <c r="AI232" s="41"/>
    </row>
    <row r="233" spans="1:35" ht="15.75" customHeight="1" x14ac:dyDescent="0.2">
      <c r="A233" s="219"/>
      <c r="E233" s="220"/>
      <c r="F233" s="220"/>
    </row>
    <row r="234" spans="1:35" ht="15.75" customHeight="1" x14ac:dyDescent="0.2">
      <c r="A234" s="219"/>
      <c r="E234" s="220"/>
      <c r="F234" s="220"/>
    </row>
    <row r="235" spans="1:35" ht="15.75" customHeight="1" x14ac:dyDescent="0.2">
      <c r="A235" s="219"/>
      <c r="E235" s="220"/>
      <c r="F235" s="220"/>
    </row>
    <row r="236" spans="1:35" ht="15.75" customHeight="1" x14ac:dyDescent="0.2">
      <c r="A236" s="219"/>
      <c r="E236" s="220"/>
      <c r="F236" s="220"/>
    </row>
    <row r="237" spans="1:35" ht="15.75" customHeight="1" x14ac:dyDescent="0.2">
      <c r="A237" s="219"/>
      <c r="E237" s="220"/>
      <c r="F237" s="220"/>
    </row>
    <row r="238" spans="1:35" ht="15.75" customHeight="1" x14ac:dyDescent="0.2">
      <c r="A238" s="219"/>
      <c r="E238" s="220"/>
      <c r="F238" s="220"/>
    </row>
    <row r="239" spans="1:35" ht="15.75" customHeight="1" x14ac:dyDescent="0.2">
      <c r="A239" s="219"/>
      <c r="E239" s="220"/>
      <c r="F239" s="220"/>
    </row>
    <row r="240" spans="1:35" ht="15.75" customHeight="1" x14ac:dyDescent="0.2">
      <c r="A240" s="219"/>
      <c r="E240" s="220"/>
      <c r="F240" s="220"/>
    </row>
    <row r="241" spans="1:6" ht="15.75" customHeight="1" x14ac:dyDescent="0.2">
      <c r="A241" s="219"/>
      <c r="E241" s="220"/>
      <c r="F241" s="220"/>
    </row>
    <row r="242" spans="1:6" ht="15.75" customHeight="1" x14ac:dyDescent="0.2">
      <c r="A242" s="219"/>
      <c r="E242" s="220"/>
      <c r="F242" s="220"/>
    </row>
    <row r="243" spans="1:6" ht="15.75" customHeight="1" x14ac:dyDescent="0.2">
      <c r="A243" s="219"/>
      <c r="E243" s="220"/>
      <c r="F243" s="220"/>
    </row>
    <row r="244" spans="1:6" ht="15.75" customHeight="1" x14ac:dyDescent="0.2">
      <c r="A244" s="219"/>
      <c r="E244" s="220"/>
      <c r="F244" s="220"/>
    </row>
    <row r="245" spans="1:6" ht="15.75" customHeight="1" x14ac:dyDescent="0.2">
      <c r="A245" s="219"/>
      <c r="E245" s="220"/>
      <c r="F245" s="220"/>
    </row>
    <row r="246" spans="1:6" ht="15.75" customHeight="1" x14ac:dyDescent="0.2">
      <c r="A246" s="219"/>
      <c r="E246" s="220"/>
      <c r="F246" s="220"/>
    </row>
    <row r="247" spans="1:6" ht="15.75" customHeight="1" x14ac:dyDescent="0.2">
      <c r="A247" s="219"/>
      <c r="E247" s="220"/>
      <c r="F247" s="220"/>
    </row>
    <row r="248" spans="1:6" ht="15.75" customHeight="1" x14ac:dyDescent="0.2">
      <c r="A248" s="219"/>
      <c r="E248" s="220"/>
      <c r="F248" s="220"/>
    </row>
    <row r="249" spans="1:6" ht="15.75" customHeight="1" x14ac:dyDescent="0.2">
      <c r="A249" s="219"/>
      <c r="E249" s="220"/>
      <c r="F249" s="220"/>
    </row>
    <row r="250" spans="1:6" ht="15.75" customHeight="1" x14ac:dyDescent="0.2">
      <c r="A250" s="219"/>
      <c r="E250" s="220"/>
      <c r="F250" s="220"/>
    </row>
    <row r="251" spans="1:6" ht="15.75" customHeight="1" x14ac:dyDescent="0.2">
      <c r="A251" s="219"/>
      <c r="E251" s="220"/>
      <c r="F251" s="220"/>
    </row>
    <row r="252" spans="1:6" ht="15.75" customHeight="1" x14ac:dyDescent="0.2">
      <c r="A252" s="219"/>
      <c r="E252" s="220"/>
      <c r="F252" s="220"/>
    </row>
    <row r="253" spans="1:6" ht="15.75" customHeight="1" x14ac:dyDescent="0.2">
      <c r="A253" s="219"/>
      <c r="E253" s="220"/>
      <c r="F253" s="220"/>
    </row>
    <row r="254" spans="1:6" ht="15.75" customHeight="1" x14ac:dyDescent="0.2">
      <c r="A254" s="219"/>
      <c r="E254" s="220"/>
      <c r="F254" s="220"/>
    </row>
    <row r="255" spans="1:6" ht="15.75" customHeight="1" x14ac:dyDescent="0.2">
      <c r="A255" s="219"/>
      <c r="E255" s="220"/>
      <c r="F255" s="220"/>
    </row>
    <row r="256" spans="1:6" ht="15.75" customHeight="1" x14ac:dyDescent="0.2">
      <c r="A256" s="219"/>
      <c r="E256" s="220"/>
      <c r="F256" s="220"/>
    </row>
    <row r="257" spans="1:6" ht="15.75" customHeight="1" x14ac:dyDescent="0.2">
      <c r="A257" s="219"/>
      <c r="E257" s="220"/>
      <c r="F257" s="220"/>
    </row>
    <row r="258" spans="1:6" ht="15.75" customHeight="1" x14ac:dyDescent="0.2">
      <c r="A258" s="219"/>
      <c r="E258" s="220"/>
      <c r="F258" s="220"/>
    </row>
    <row r="259" spans="1:6" ht="15.75" customHeight="1" x14ac:dyDescent="0.2">
      <c r="A259" s="219"/>
      <c r="E259" s="220"/>
      <c r="F259" s="220"/>
    </row>
    <row r="260" spans="1:6" ht="15.75" customHeight="1" x14ac:dyDescent="0.2">
      <c r="A260" s="219"/>
      <c r="E260" s="220"/>
      <c r="F260" s="220"/>
    </row>
    <row r="261" spans="1:6" ht="15.75" customHeight="1" x14ac:dyDescent="0.2">
      <c r="A261" s="219"/>
      <c r="E261" s="220"/>
      <c r="F261" s="220"/>
    </row>
    <row r="262" spans="1:6" ht="15.75" customHeight="1" x14ac:dyDescent="0.2">
      <c r="A262" s="219"/>
      <c r="E262" s="220"/>
      <c r="F262" s="220"/>
    </row>
    <row r="263" spans="1:6" ht="15.75" customHeight="1" x14ac:dyDescent="0.2">
      <c r="A263" s="219"/>
      <c r="E263" s="220"/>
      <c r="F263" s="220"/>
    </row>
    <row r="264" spans="1:6" ht="15.75" customHeight="1" x14ac:dyDescent="0.2">
      <c r="A264" s="219"/>
      <c r="E264" s="220"/>
      <c r="F264" s="220"/>
    </row>
    <row r="265" spans="1:6" ht="15.75" customHeight="1" x14ac:dyDescent="0.2">
      <c r="A265" s="219"/>
      <c r="E265" s="220"/>
      <c r="F265" s="220"/>
    </row>
    <row r="266" spans="1:6" ht="15.75" customHeight="1" x14ac:dyDescent="0.2">
      <c r="A266" s="219"/>
      <c r="E266" s="220"/>
      <c r="F266" s="220"/>
    </row>
    <row r="267" spans="1:6" ht="15.75" customHeight="1" x14ac:dyDescent="0.2">
      <c r="A267" s="219"/>
      <c r="E267" s="220"/>
      <c r="F267" s="220"/>
    </row>
    <row r="268" spans="1:6" ht="15.75" customHeight="1" x14ac:dyDescent="0.2">
      <c r="A268" s="219"/>
      <c r="E268" s="220"/>
      <c r="F268" s="220"/>
    </row>
    <row r="269" spans="1:6" ht="15.75" customHeight="1" x14ac:dyDescent="0.2">
      <c r="A269" s="219"/>
      <c r="E269" s="220"/>
      <c r="F269" s="220"/>
    </row>
    <row r="270" spans="1:6" ht="15.75" customHeight="1" x14ac:dyDescent="0.2">
      <c r="A270" s="219"/>
      <c r="E270" s="220"/>
      <c r="F270" s="220"/>
    </row>
    <row r="271" spans="1:6" ht="15.75" customHeight="1" x14ac:dyDescent="0.2">
      <c r="A271" s="219"/>
      <c r="E271" s="220"/>
      <c r="F271" s="220"/>
    </row>
    <row r="272" spans="1:6" ht="15.75" customHeight="1" x14ac:dyDescent="0.2">
      <c r="A272" s="219"/>
      <c r="E272" s="220"/>
      <c r="F272" s="220"/>
    </row>
    <row r="273" spans="1:6" ht="15.75" customHeight="1" x14ac:dyDescent="0.2">
      <c r="A273" s="219"/>
      <c r="E273" s="220"/>
      <c r="F273" s="220"/>
    </row>
    <row r="274" spans="1:6" ht="15.75" customHeight="1" x14ac:dyDescent="0.2">
      <c r="A274" s="219"/>
      <c r="E274" s="220"/>
      <c r="F274" s="220"/>
    </row>
    <row r="275" spans="1:6" ht="15.75" customHeight="1" x14ac:dyDescent="0.2">
      <c r="A275" s="219"/>
      <c r="E275" s="220"/>
      <c r="F275" s="220"/>
    </row>
    <row r="276" spans="1:6" ht="15.75" customHeight="1" x14ac:dyDescent="0.2">
      <c r="A276" s="219"/>
      <c r="E276" s="220"/>
      <c r="F276" s="220"/>
    </row>
    <row r="277" spans="1:6" ht="15.75" customHeight="1" x14ac:dyDescent="0.2">
      <c r="A277" s="219"/>
      <c r="E277" s="220"/>
      <c r="F277" s="220"/>
    </row>
    <row r="278" spans="1:6" ht="15.75" customHeight="1" x14ac:dyDescent="0.2">
      <c r="A278" s="219"/>
      <c r="E278" s="220"/>
      <c r="F278" s="220"/>
    </row>
    <row r="279" spans="1:6" ht="15.75" customHeight="1" x14ac:dyDescent="0.2">
      <c r="A279" s="219"/>
      <c r="E279" s="220"/>
      <c r="F279" s="220"/>
    </row>
    <row r="280" spans="1:6" ht="15.75" customHeight="1" x14ac:dyDescent="0.2">
      <c r="A280" s="219"/>
      <c r="E280" s="220"/>
      <c r="F280" s="220"/>
    </row>
    <row r="281" spans="1:6" ht="15.75" customHeight="1" x14ac:dyDescent="0.2">
      <c r="A281" s="219"/>
      <c r="E281" s="220"/>
      <c r="F281" s="220"/>
    </row>
    <row r="282" spans="1:6" ht="15.75" customHeight="1" x14ac:dyDescent="0.2">
      <c r="A282" s="219"/>
      <c r="E282" s="220"/>
      <c r="F282" s="220"/>
    </row>
    <row r="283" spans="1:6" ht="15.75" customHeight="1" x14ac:dyDescent="0.2">
      <c r="A283" s="219"/>
      <c r="E283" s="220"/>
      <c r="F283" s="220"/>
    </row>
    <row r="284" spans="1:6" ht="15.75" customHeight="1" x14ac:dyDescent="0.2">
      <c r="A284" s="219"/>
      <c r="E284" s="220"/>
      <c r="F284" s="220"/>
    </row>
    <row r="285" spans="1:6" ht="15.75" customHeight="1" x14ac:dyDescent="0.2">
      <c r="A285" s="219"/>
      <c r="E285" s="220"/>
      <c r="F285" s="220"/>
    </row>
    <row r="286" spans="1:6" ht="15.75" customHeight="1" x14ac:dyDescent="0.2">
      <c r="A286" s="219"/>
      <c r="E286" s="220"/>
      <c r="F286" s="220"/>
    </row>
    <row r="287" spans="1:6" ht="15.75" customHeight="1" x14ac:dyDescent="0.2">
      <c r="A287" s="219"/>
      <c r="E287" s="220"/>
      <c r="F287" s="220"/>
    </row>
    <row r="288" spans="1:6" ht="15.75" customHeight="1" x14ac:dyDescent="0.2">
      <c r="A288" s="219"/>
      <c r="E288" s="220"/>
      <c r="F288" s="220"/>
    </row>
    <row r="289" spans="1:6" ht="15.75" customHeight="1" x14ac:dyDescent="0.2">
      <c r="A289" s="219"/>
      <c r="E289" s="220"/>
      <c r="F289" s="220"/>
    </row>
    <row r="290" spans="1:6" ht="15.75" customHeight="1" x14ac:dyDescent="0.2">
      <c r="A290" s="219"/>
      <c r="E290" s="220"/>
      <c r="F290" s="220"/>
    </row>
    <row r="291" spans="1:6" ht="15.75" customHeight="1" x14ac:dyDescent="0.2">
      <c r="A291" s="219"/>
      <c r="E291" s="220"/>
      <c r="F291" s="220"/>
    </row>
    <row r="292" spans="1:6" ht="15.75" customHeight="1" x14ac:dyDescent="0.2">
      <c r="A292" s="219"/>
      <c r="E292" s="220"/>
      <c r="F292" s="220"/>
    </row>
    <row r="293" spans="1:6" ht="15.75" customHeight="1" x14ac:dyDescent="0.2">
      <c r="A293" s="219"/>
      <c r="E293" s="220"/>
      <c r="F293" s="220"/>
    </row>
    <row r="294" spans="1:6" ht="15.75" customHeight="1" x14ac:dyDescent="0.2">
      <c r="A294" s="219"/>
      <c r="E294" s="220"/>
      <c r="F294" s="220"/>
    </row>
    <row r="295" spans="1:6" ht="15.75" customHeight="1" x14ac:dyDescent="0.2">
      <c r="A295" s="219"/>
      <c r="E295" s="220"/>
      <c r="F295" s="220"/>
    </row>
    <row r="296" spans="1:6" ht="15.75" customHeight="1" x14ac:dyDescent="0.2">
      <c r="A296" s="219"/>
      <c r="E296" s="220"/>
      <c r="F296" s="220"/>
    </row>
    <row r="297" spans="1:6" ht="15.75" customHeight="1" x14ac:dyDescent="0.2">
      <c r="A297" s="219"/>
      <c r="E297" s="220"/>
      <c r="F297" s="220"/>
    </row>
    <row r="298" spans="1:6" ht="15.75" customHeight="1" x14ac:dyDescent="0.2">
      <c r="A298" s="219"/>
      <c r="E298" s="220"/>
      <c r="F298" s="220"/>
    </row>
    <row r="299" spans="1:6" ht="15.75" customHeight="1" x14ac:dyDescent="0.2">
      <c r="A299" s="219"/>
      <c r="E299" s="220"/>
      <c r="F299" s="220"/>
    </row>
    <row r="300" spans="1:6" ht="15.75" customHeight="1" x14ac:dyDescent="0.2">
      <c r="A300" s="219"/>
      <c r="E300" s="220"/>
      <c r="F300" s="220"/>
    </row>
    <row r="301" spans="1:6" ht="15.75" customHeight="1" x14ac:dyDescent="0.2">
      <c r="A301" s="219"/>
      <c r="E301" s="220"/>
      <c r="F301" s="220"/>
    </row>
    <row r="302" spans="1:6" ht="15.75" customHeight="1" x14ac:dyDescent="0.2">
      <c r="A302" s="219"/>
      <c r="E302" s="220"/>
      <c r="F302" s="220"/>
    </row>
    <row r="303" spans="1:6" ht="15.75" customHeight="1" x14ac:dyDescent="0.2">
      <c r="A303" s="219"/>
      <c r="E303" s="220"/>
      <c r="F303" s="220"/>
    </row>
    <row r="304" spans="1:6" ht="15.75" customHeight="1" x14ac:dyDescent="0.2">
      <c r="A304" s="219"/>
      <c r="E304" s="220"/>
      <c r="F304" s="220"/>
    </row>
    <row r="305" spans="1:6" ht="15.75" customHeight="1" x14ac:dyDescent="0.2">
      <c r="A305" s="219"/>
      <c r="E305" s="220"/>
      <c r="F305" s="220"/>
    </row>
    <row r="306" spans="1:6" ht="15.75" customHeight="1" x14ac:dyDescent="0.2">
      <c r="A306" s="219"/>
      <c r="E306" s="220"/>
      <c r="F306" s="220"/>
    </row>
    <row r="307" spans="1:6" ht="15.75" customHeight="1" x14ac:dyDescent="0.2">
      <c r="A307" s="219"/>
      <c r="E307" s="220"/>
      <c r="F307" s="220"/>
    </row>
    <row r="308" spans="1:6" ht="15.75" customHeight="1" x14ac:dyDescent="0.2">
      <c r="A308" s="219"/>
      <c r="E308" s="220"/>
      <c r="F308" s="220"/>
    </row>
    <row r="309" spans="1:6" ht="15.75" customHeight="1" x14ac:dyDescent="0.2">
      <c r="A309" s="219"/>
      <c r="E309" s="220"/>
      <c r="F309" s="220"/>
    </row>
    <row r="310" spans="1:6" ht="15.75" customHeight="1" x14ac:dyDescent="0.2">
      <c r="A310" s="219"/>
      <c r="E310" s="220"/>
      <c r="F310" s="220"/>
    </row>
    <row r="311" spans="1:6" ht="15.75" customHeight="1" x14ac:dyDescent="0.2">
      <c r="A311" s="219"/>
      <c r="E311" s="220"/>
      <c r="F311" s="220"/>
    </row>
    <row r="312" spans="1:6" ht="15.75" customHeight="1" x14ac:dyDescent="0.2">
      <c r="A312" s="219"/>
      <c r="E312" s="220"/>
      <c r="F312" s="220"/>
    </row>
    <row r="313" spans="1:6" ht="15.75" customHeight="1" x14ac:dyDescent="0.2">
      <c r="A313" s="219"/>
      <c r="E313" s="220"/>
      <c r="F313" s="220"/>
    </row>
    <row r="314" spans="1:6" ht="15.75" customHeight="1" x14ac:dyDescent="0.2">
      <c r="A314" s="219"/>
      <c r="E314" s="220"/>
      <c r="F314" s="220"/>
    </row>
    <row r="315" spans="1:6" ht="15.75" customHeight="1" x14ac:dyDescent="0.2">
      <c r="A315" s="219"/>
      <c r="E315" s="220"/>
      <c r="F315" s="220"/>
    </row>
    <row r="316" spans="1:6" ht="15.75" customHeight="1" x14ac:dyDescent="0.2">
      <c r="A316" s="219"/>
      <c r="E316" s="220"/>
      <c r="F316" s="220"/>
    </row>
    <row r="317" spans="1:6" ht="15.75" customHeight="1" x14ac:dyDescent="0.2">
      <c r="A317" s="219"/>
      <c r="E317" s="220"/>
      <c r="F317" s="220"/>
    </row>
    <row r="318" spans="1:6" ht="15.75" customHeight="1" x14ac:dyDescent="0.2">
      <c r="A318" s="219"/>
      <c r="E318" s="220"/>
      <c r="F318" s="220"/>
    </row>
    <row r="319" spans="1:6" ht="15.75" customHeight="1" x14ac:dyDescent="0.2">
      <c r="A319" s="219"/>
      <c r="E319" s="220"/>
      <c r="F319" s="220"/>
    </row>
    <row r="320" spans="1:6" ht="15.75" customHeight="1" x14ac:dyDescent="0.2">
      <c r="A320" s="219"/>
      <c r="E320" s="220"/>
      <c r="F320" s="220"/>
    </row>
    <row r="321" spans="1:6" ht="15.75" customHeight="1" x14ac:dyDescent="0.2">
      <c r="A321" s="219"/>
      <c r="E321" s="220"/>
      <c r="F321" s="220"/>
    </row>
    <row r="322" spans="1:6" ht="15.75" customHeight="1" x14ac:dyDescent="0.2">
      <c r="A322" s="219"/>
      <c r="E322" s="220"/>
      <c r="F322" s="220"/>
    </row>
    <row r="323" spans="1:6" ht="15.75" customHeight="1" x14ac:dyDescent="0.2">
      <c r="A323" s="219"/>
      <c r="E323" s="220"/>
      <c r="F323" s="220"/>
    </row>
    <row r="324" spans="1:6" ht="15.75" customHeight="1" x14ac:dyDescent="0.2">
      <c r="A324" s="219"/>
      <c r="E324" s="220"/>
      <c r="F324" s="220"/>
    </row>
    <row r="325" spans="1:6" ht="15.75" customHeight="1" x14ac:dyDescent="0.2">
      <c r="A325" s="219"/>
      <c r="E325" s="220"/>
      <c r="F325" s="220"/>
    </row>
    <row r="326" spans="1:6" ht="15.75" customHeight="1" x14ac:dyDescent="0.2">
      <c r="A326" s="219"/>
      <c r="E326" s="220"/>
      <c r="F326" s="220"/>
    </row>
    <row r="327" spans="1:6" ht="15.75" customHeight="1" x14ac:dyDescent="0.2">
      <c r="A327" s="219"/>
      <c r="E327" s="220"/>
      <c r="F327" s="220"/>
    </row>
    <row r="328" spans="1:6" ht="15.75" customHeight="1" x14ac:dyDescent="0.2">
      <c r="A328" s="219"/>
      <c r="E328" s="220"/>
      <c r="F328" s="220"/>
    </row>
    <row r="329" spans="1:6" ht="15.75" customHeight="1" x14ac:dyDescent="0.2">
      <c r="A329" s="219"/>
      <c r="E329" s="220"/>
      <c r="F329" s="220"/>
    </row>
    <row r="330" spans="1:6" ht="15.75" customHeight="1" x14ac:dyDescent="0.2">
      <c r="A330" s="219"/>
      <c r="E330" s="220"/>
      <c r="F330" s="220"/>
    </row>
    <row r="331" spans="1:6" ht="15.75" customHeight="1" x14ac:dyDescent="0.2">
      <c r="A331" s="219"/>
      <c r="E331" s="220"/>
      <c r="F331" s="220"/>
    </row>
    <row r="332" spans="1:6" ht="15.75" customHeight="1" x14ac:dyDescent="0.2">
      <c r="A332" s="219"/>
      <c r="E332" s="220"/>
      <c r="F332" s="220"/>
    </row>
    <row r="333" spans="1:6" ht="15.75" customHeight="1" x14ac:dyDescent="0.2">
      <c r="A333" s="219"/>
      <c r="E333" s="220"/>
      <c r="F333" s="220"/>
    </row>
    <row r="334" spans="1:6" ht="15.75" customHeight="1" x14ac:dyDescent="0.2">
      <c r="A334" s="219"/>
      <c r="E334" s="220"/>
      <c r="F334" s="220"/>
    </row>
    <row r="335" spans="1:6" ht="15.75" customHeight="1" x14ac:dyDescent="0.2">
      <c r="A335" s="219"/>
      <c r="E335" s="220"/>
      <c r="F335" s="220"/>
    </row>
    <row r="336" spans="1:6" ht="15.75" customHeight="1" x14ac:dyDescent="0.2">
      <c r="A336" s="219"/>
      <c r="E336" s="220"/>
      <c r="F336" s="220"/>
    </row>
    <row r="337" spans="1:6" ht="15.75" customHeight="1" x14ac:dyDescent="0.2">
      <c r="A337" s="219"/>
      <c r="E337" s="220"/>
      <c r="F337" s="220"/>
    </row>
    <row r="338" spans="1:6" ht="15.75" customHeight="1" x14ac:dyDescent="0.2">
      <c r="A338" s="219"/>
      <c r="E338" s="220"/>
      <c r="F338" s="220"/>
    </row>
    <row r="339" spans="1:6" ht="15.75" customHeight="1" x14ac:dyDescent="0.2">
      <c r="A339" s="219"/>
      <c r="E339" s="220"/>
      <c r="F339" s="220"/>
    </row>
    <row r="340" spans="1:6" ht="15.75" customHeight="1" x14ac:dyDescent="0.2">
      <c r="A340" s="219"/>
      <c r="E340" s="220"/>
      <c r="F340" s="220"/>
    </row>
    <row r="341" spans="1:6" ht="15.75" customHeight="1" x14ac:dyDescent="0.2">
      <c r="A341" s="219"/>
      <c r="E341" s="220"/>
      <c r="F341" s="220"/>
    </row>
    <row r="342" spans="1:6" ht="15.75" customHeight="1" x14ac:dyDescent="0.2">
      <c r="A342" s="219"/>
      <c r="E342" s="220"/>
      <c r="F342" s="220"/>
    </row>
    <row r="343" spans="1:6" ht="15.75" customHeight="1" x14ac:dyDescent="0.2">
      <c r="A343" s="219"/>
      <c r="E343" s="220"/>
      <c r="F343" s="220"/>
    </row>
    <row r="344" spans="1:6" ht="15.75" customHeight="1" x14ac:dyDescent="0.2">
      <c r="A344" s="219"/>
      <c r="E344" s="220"/>
      <c r="F344" s="220"/>
    </row>
    <row r="345" spans="1:6" ht="15.75" customHeight="1" x14ac:dyDescent="0.2">
      <c r="A345" s="219"/>
      <c r="E345" s="220"/>
      <c r="F345" s="220"/>
    </row>
    <row r="346" spans="1:6" ht="15.75" customHeight="1" x14ac:dyDescent="0.2">
      <c r="A346" s="219"/>
      <c r="E346" s="220"/>
      <c r="F346" s="220"/>
    </row>
    <row r="347" spans="1:6" ht="15.75" customHeight="1" x14ac:dyDescent="0.2">
      <c r="A347" s="219"/>
      <c r="E347" s="220"/>
      <c r="F347" s="220"/>
    </row>
    <row r="348" spans="1:6" ht="15.75" customHeight="1" x14ac:dyDescent="0.2">
      <c r="A348" s="219"/>
      <c r="E348" s="220"/>
      <c r="F348" s="220"/>
    </row>
    <row r="349" spans="1:6" ht="15.75" customHeight="1" x14ac:dyDescent="0.2">
      <c r="A349" s="219"/>
      <c r="E349" s="220"/>
      <c r="F349" s="220"/>
    </row>
    <row r="350" spans="1:6" ht="15.75" customHeight="1" x14ac:dyDescent="0.2">
      <c r="A350" s="219"/>
      <c r="E350" s="220"/>
      <c r="F350" s="220"/>
    </row>
    <row r="351" spans="1:6" ht="15.75" customHeight="1" x14ac:dyDescent="0.2">
      <c r="A351" s="219"/>
      <c r="E351" s="220"/>
      <c r="F351" s="220"/>
    </row>
    <row r="352" spans="1:6" ht="15.75" customHeight="1" x14ac:dyDescent="0.2">
      <c r="A352" s="219"/>
      <c r="E352" s="220"/>
      <c r="F352" s="220"/>
    </row>
    <row r="353" spans="1:6" ht="15.75" customHeight="1" x14ac:dyDescent="0.2">
      <c r="A353" s="219"/>
      <c r="E353" s="220"/>
      <c r="F353" s="220"/>
    </row>
    <row r="354" spans="1:6" ht="15.75" customHeight="1" x14ac:dyDescent="0.2">
      <c r="A354" s="219"/>
      <c r="E354" s="220"/>
      <c r="F354" s="220"/>
    </row>
    <row r="355" spans="1:6" ht="15.75" customHeight="1" x14ac:dyDescent="0.2">
      <c r="A355" s="219"/>
      <c r="E355" s="220"/>
      <c r="F355" s="220"/>
    </row>
    <row r="356" spans="1:6" ht="15.75" customHeight="1" x14ac:dyDescent="0.2">
      <c r="A356" s="219"/>
      <c r="E356" s="220"/>
      <c r="F356" s="220"/>
    </row>
    <row r="357" spans="1:6" ht="15.75" customHeight="1" x14ac:dyDescent="0.2">
      <c r="A357" s="219"/>
      <c r="E357" s="220"/>
      <c r="F357" s="220"/>
    </row>
    <row r="358" spans="1:6" ht="15.75" customHeight="1" x14ac:dyDescent="0.2">
      <c r="A358" s="219"/>
      <c r="E358" s="220"/>
      <c r="F358" s="220"/>
    </row>
    <row r="359" spans="1:6" ht="15.75" customHeight="1" x14ac:dyDescent="0.2">
      <c r="A359" s="219"/>
      <c r="E359" s="220"/>
      <c r="F359" s="220"/>
    </row>
    <row r="360" spans="1:6" ht="15.75" customHeight="1" x14ac:dyDescent="0.2">
      <c r="A360" s="219"/>
      <c r="E360" s="220"/>
      <c r="F360" s="220"/>
    </row>
    <row r="361" spans="1:6" ht="15.75" customHeight="1" x14ac:dyDescent="0.2">
      <c r="A361" s="219"/>
      <c r="E361" s="220"/>
      <c r="F361" s="220"/>
    </row>
    <row r="362" spans="1:6" ht="15.75" customHeight="1" x14ac:dyDescent="0.2">
      <c r="A362" s="219"/>
      <c r="E362" s="220"/>
      <c r="F362" s="220"/>
    </row>
    <row r="363" spans="1:6" ht="15.75" customHeight="1" x14ac:dyDescent="0.2">
      <c r="A363" s="219"/>
      <c r="E363" s="220"/>
      <c r="F363" s="220"/>
    </row>
    <row r="364" spans="1:6" ht="15.75" customHeight="1" x14ac:dyDescent="0.2">
      <c r="A364" s="219"/>
      <c r="E364" s="220"/>
      <c r="F364" s="220"/>
    </row>
    <row r="365" spans="1:6" ht="15.75" customHeight="1" x14ac:dyDescent="0.2">
      <c r="A365" s="219"/>
      <c r="E365" s="220"/>
      <c r="F365" s="220"/>
    </row>
    <row r="366" spans="1:6" ht="15.75" customHeight="1" x14ac:dyDescent="0.2">
      <c r="A366" s="219"/>
      <c r="E366" s="220"/>
      <c r="F366" s="220"/>
    </row>
    <row r="367" spans="1:6" ht="15.75" customHeight="1" x14ac:dyDescent="0.2">
      <c r="A367" s="219"/>
      <c r="E367" s="220"/>
      <c r="F367" s="220"/>
    </row>
    <row r="368" spans="1:6" ht="15.75" customHeight="1" x14ac:dyDescent="0.2">
      <c r="A368" s="219"/>
      <c r="E368" s="220"/>
      <c r="F368" s="220"/>
    </row>
    <row r="369" spans="1:6" ht="15.75" customHeight="1" x14ac:dyDescent="0.2">
      <c r="A369" s="219"/>
      <c r="E369" s="220"/>
      <c r="F369" s="220"/>
    </row>
    <row r="370" spans="1:6" ht="15.75" customHeight="1" x14ac:dyDescent="0.2">
      <c r="A370" s="219"/>
      <c r="E370" s="220"/>
      <c r="F370" s="220"/>
    </row>
    <row r="371" spans="1:6" ht="15.75" customHeight="1" x14ac:dyDescent="0.2">
      <c r="A371" s="219"/>
      <c r="E371" s="220"/>
      <c r="F371" s="220"/>
    </row>
    <row r="372" spans="1:6" ht="15.75" customHeight="1" x14ac:dyDescent="0.2">
      <c r="A372" s="219"/>
      <c r="E372" s="220"/>
      <c r="F372" s="220"/>
    </row>
    <row r="373" spans="1:6" ht="15.75" customHeight="1" x14ac:dyDescent="0.2">
      <c r="A373" s="219"/>
      <c r="E373" s="220"/>
      <c r="F373" s="220"/>
    </row>
    <row r="374" spans="1:6" ht="15.75" customHeight="1" x14ac:dyDescent="0.2">
      <c r="A374" s="219"/>
      <c r="E374" s="220"/>
      <c r="F374" s="220"/>
    </row>
    <row r="375" spans="1:6" ht="15.75" customHeight="1" x14ac:dyDescent="0.2">
      <c r="A375" s="219"/>
      <c r="E375" s="220"/>
      <c r="F375" s="220"/>
    </row>
    <row r="376" spans="1:6" ht="15.75" customHeight="1" x14ac:dyDescent="0.2">
      <c r="A376" s="219"/>
      <c r="E376" s="220"/>
      <c r="F376" s="220"/>
    </row>
    <row r="377" spans="1:6" ht="15.75" customHeight="1" x14ac:dyDescent="0.2">
      <c r="A377" s="219"/>
      <c r="E377" s="220"/>
      <c r="F377" s="220"/>
    </row>
    <row r="378" spans="1:6" ht="15.75" customHeight="1" x14ac:dyDescent="0.2">
      <c r="A378" s="219"/>
      <c r="E378" s="220"/>
      <c r="F378" s="220"/>
    </row>
    <row r="379" spans="1:6" ht="15.75" customHeight="1" x14ac:dyDescent="0.2">
      <c r="A379" s="219"/>
      <c r="E379" s="220"/>
      <c r="F379" s="220"/>
    </row>
    <row r="380" spans="1:6" ht="15.75" customHeight="1" x14ac:dyDescent="0.2">
      <c r="A380" s="219"/>
      <c r="E380" s="220"/>
      <c r="F380" s="220"/>
    </row>
    <row r="381" spans="1:6" ht="15.75" customHeight="1" x14ac:dyDescent="0.2">
      <c r="A381" s="219"/>
      <c r="E381" s="220"/>
      <c r="F381" s="220"/>
    </row>
    <row r="382" spans="1:6" ht="15.75" customHeight="1" x14ac:dyDescent="0.2">
      <c r="A382" s="219"/>
      <c r="E382" s="220"/>
      <c r="F382" s="220"/>
    </row>
    <row r="383" spans="1:6" ht="15.75" customHeight="1" x14ac:dyDescent="0.2">
      <c r="A383" s="219"/>
      <c r="E383" s="220"/>
      <c r="F383" s="220"/>
    </row>
    <row r="384" spans="1:6" ht="15.75" customHeight="1" x14ac:dyDescent="0.2">
      <c r="A384" s="219"/>
      <c r="E384" s="220"/>
      <c r="F384" s="220"/>
    </row>
    <row r="385" spans="1:6" ht="15.75" customHeight="1" x14ac:dyDescent="0.2">
      <c r="A385" s="219"/>
      <c r="E385" s="220"/>
      <c r="F385" s="220"/>
    </row>
    <row r="386" spans="1:6" ht="15.75" customHeight="1" x14ac:dyDescent="0.2">
      <c r="A386" s="219"/>
      <c r="E386" s="220"/>
      <c r="F386" s="220"/>
    </row>
    <row r="387" spans="1:6" ht="15.75" customHeight="1" x14ac:dyDescent="0.2">
      <c r="A387" s="219"/>
      <c r="E387" s="220"/>
      <c r="F387" s="220"/>
    </row>
    <row r="388" spans="1:6" ht="15.75" customHeight="1" x14ac:dyDescent="0.2">
      <c r="A388" s="219"/>
      <c r="E388" s="220"/>
      <c r="F388" s="220"/>
    </row>
    <row r="389" spans="1:6" ht="15.75" customHeight="1" x14ac:dyDescent="0.2">
      <c r="A389" s="219"/>
      <c r="E389" s="220"/>
      <c r="F389" s="220"/>
    </row>
    <row r="390" spans="1:6" ht="15.75" customHeight="1" x14ac:dyDescent="0.2">
      <c r="A390" s="219"/>
      <c r="E390" s="220"/>
      <c r="F390" s="220"/>
    </row>
    <row r="391" spans="1:6" ht="15.75" customHeight="1" x14ac:dyDescent="0.2">
      <c r="A391" s="219"/>
      <c r="E391" s="220"/>
      <c r="F391" s="220"/>
    </row>
    <row r="392" spans="1:6" ht="15.75" customHeight="1" x14ac:dyDescent="0.2">
      <c r="A392" s="219"/>
      <c r="E392" s="220"/>
      <c r="F392" s="220"/>
    </row>
    <row r="393" spans="1:6" ht="15.75" customHeight="1" x14ac:dyDescent="0.2">
      <c r="A393" s="219"/>
      <c r="E393" s="220"/>
      <c r="F393" s="220"/>
    </row>
    <row r="394" spans="1:6" ht="15.75" customHeight="1" x14ac:dyDescent="0.2">
      <c r="A394" s="219"/>
      <c r="E394" s="220"/>
      <c r="F394" s="220"/>
    </row>
    <row r="395" spans="1:6" ht="15.75" customHeight="1" x14ac:dyDescent="0.2">
      <c r="A395" s="219"/>
      <c r="E395" s="220"/>
      <c r="F395" s="220"/>
    </row>
    <row r="396" spans="1:6" ht="15.75" customHeight="1" x14ac:dyDescent="0.2">
      <c r="A396" s="219"/>
      <c r="E396" s="220"/>
      <c r="F396" s="220"/>
    </row>
    <row r="397" spans="1:6" ht="15.75" customHeight="1" x14ac:dyDescent="0.2">
      <c r="A397" s="219"/>
      <c r="E397" s="220"/>
      <c r="F397" s="220"/>
    </row>
    <row r="398" spans="1:6" ht="15.75" customHeight="1" x14ac:dyDescent="0.2">
      <c r="A398" s="219"/>
      <c r="E398" s="220"/>
      <c r="F398" s="220"/>
    </row>
    <row r="399" spans="1:6" ht="15.75" customHeight="1" x14ac:dyDescent="0.2">
      <c r="A399" s="219"/>
      <c r="E399" s="220"/>
      <c r="F399" s="220"/>
    </row>
    <row r="400" spans="1:6" ht="15.75" customHeight="1" x14ac:dyDescent="0.2">
      <c r="A400" s="219"/>
      <c r="E400" s="220"/>
      <c r="F400" s="220"/>
    </row>
    <row r="401" spans="1:6" ht="15.75" customHeight="1" x14ac:dyDescent="0.2">
      <c r="A401" s="219"/>
      <c r="E401" s="220"/>
      <c r="F401" s="220"/>
    </row>
    <row r="402" spans="1:6" ht="15.75" customHeight="1" x14ac:dyDescent="0.2">
      <c r="A402" s="219"/>
      <c r="E402" s="220"/>
      <c r="F402" s="220"/>
    </row>
    <row r="403" spans="1:6" ht="15.75" customHeight="1" x14ac:dyDescent="0.2">
      <c r="A403" s="219"/>
      <c r="E403" s="220"/>
      <c r="F403" s="220"/>
    </row>
    <row r="404" spans="1:6" ht="15.75" customHeight="1" x14ac:dyDescent="0.2">
      <c r="A404" s="219"/>
      <c r="E404" s="220"/>
      <c r="F404" s="220"/>
    </row>
    <row r="405" spans="1:6" ht="15.75" customHeight="1" x14ac:dyDescent="0.2">
      <c r="A405" s="219"/>
      <c r="E405" s="220"/>
      <c r="F405" s="220"/>
    </row>
    <row r="406" spans="1:6" ht="15.75" customHeight="1" x14ac:dyDescent="0.2">
      <c r="A406" s="219"/>
      <c r="E406" s="220"/>
      <c r="F406" s="220"/>
    </row>
    <row r="407" spans="1:6" ht="15.75" customHeight="1" x14ac:dyDescent="0.2">
      <c r="A407" s="219"/>
      <c r="E407" s="220"/>
      <c r="F407" s="220"/>
    </row>
    <row r="408" spans="1:6" ht="15.75" customHeight="1" x14ac:dyDescent="0.2">
      <c r="A408" s="219"/>
      <c r="E408" s="220"/>
      <c r="F408" s="220"/>
    </row>
    <row r="409" spans="1:6" ht="15.75" customHeight="1" x14ac:dyDescent="0.2">
      <c r="A409" s="219"/>
      <c r="E409" s="220"/>
      <c r="F409" s="220"/>
    </row>
    <row r="410" spans="1:6" ht="15.75" customHeight="1" x14ac:dyDescent="0.2">
      <c r="A410" s="219"/>
      <c r="E410" s="220"/>
      <c r="F410" s="220"/>
    </row>
    <row r="411" spans="1:6" ht="15.75" customHeight="1" x14ac:dyDescent="0.2">
      <c r="A411" s="219"/>
      <c r="E411" s="220"/>
      <c r="F411" s="220"/>
    </row>
    <row r="412" spans="1:6" ht="15.75" customHeight="1" x14ac:dyDescent="0.2">
      <c r="A412" s="219"/>
      <c r="E412" s="220"/>
      <c r="F412" s="220"/>
    </row>
    <row r="413" spans="1:6" ht="15.75" customHeight="1" x14ac:dyDescent="0.2">
      <c r="A413" s="219"/>
      <c r="E413" s="220"/>
      <c r="F413" s="220"/>
    </row>
    <row r="414" spans="1:6" ht="15.75" customHeight="1" x14ac:dyDescent="0.2">
      <c r="A414" s="219"/>
      <c r="E414" s="220"/>
      <c r="F414" s="220"/>
    </row>
    <row r="415" spans="1:6" ht="15.75" customHeight="1" x14ac:dyDescent="0.2">
      <c r="A415" s="219"/>
      <c r="E415" s="220"/>
      <c r="F415" s="220"/>
    </row>
    <row r="416" spans="1:6" ht="15.75" customHeight="1" x14ac:dyDescent="0.2">
      <c r="A416" s="219"/>
      <c r="E416" s="220"/>
      <c r="F416" s="220"/>
    </row>
    <row r="417" spans="1:6" ht="15.75" customHeight="1" x14ac:dyDescent="0.2">
      <c r="A417" s="219"/>
      <c r="E417" s="220"/>
      <c r="F417" s="220"/>
    </row>
    <row r="418" spans="1:6" ht="15.75" customHeight="1" x14ac:dyDescent="0.2">
      <c r="A418" s="219"/>
      <c r="E418" s="220"/>
      <c r="F418" s="220"/>
    </row>
    <row r="419" spans="1:6" ht="15.75" customHeight="1" x14ac:dyDescent="0.2">
      <c r="A419" s="219"/>
      <c r="E419" s="220"/>
      <c r="F419" s="220"/>
    </row>
    <row r="420" spans="1:6" ht="15.75" customHeight="1" x14ac:dyDescent="0.2">
      <c r="A420" s="219"/>
      <c r="E420" s="220"/>
      <c r="F420" s="220"/>
    </row>
    <row r="421" spans="1:6" ht="15.75" customHeight="1" x14ac:dyDescent="0.2">
      <c r="A421" s="219"/>
      <c r="E421" s="220"/>
      <c r="F421" s="220"/>
    </row>
    <row r="422" spans="1:6" ht="15.75" customHeight="1" x14ac:dyDescent="0.2">
      <c r="A422" s="219"/>
      <c r="E422" s="220"/>
      <c r="F422" s="220"/>
    </row>
    <row r="423" spans="1:6" ht="15.75" customHeight="1" x14ac:dyDescent="0.2">
      <c r="A423" s="219"/>
      <c r="E423" s="220"/>
      <c r="F423" s="220"/>
    </row>
    <row r="424" spans="1:6" ht="15.75" customHeight="1" x14ac:dyDescent="0.2">
      <c r="A424" s="219"/>
      <c r="E424" s="220"/>
      <c r="F424" s="220"/>
    </row>
    <row r="425" spans="1:6" ht="15.75" customHeight="1" x14ac:dyDescent="0.2">
      <c r="A425" s="219"/>
      <c r="E425" s="220"/>
      <c r="F425" s="220"/>
    </row>
    <row r="426" spans="1:6" ht="15.75" customHeight="1" x14ac:dyDescent="0.2">
      <c r="A426" s="219"/>
      <c r="E426" s="220"/>
      <c r="F426" s="220"/>
    </row>
    <row r="427" spans="1:6" ht="15.75" customHeight="1" x14ac:dyDescent="0.2">
      <c r="A427" s="219"/>
      <c r="E427" s="220"/>
      <c r="F427" s="220"/>
    </row>
    <row r="428" spans="1:6" ht="15.75" customHeight="1" x14ac:dyDescent="0.2">
      <c r="A428" s="219"/>
      <c r="E428" s="220"/>
      <c r="F428" s="220"/>
    </row>
    <row r="429" spans="1:6" ht="15.75" customHeight="1" x14ac:dyDescent="0.2">
      <c r="A429" s="219"/>
      <c r="E429" s="220"/>
      <c r="F429" s="220"/>
    </row>
    <row r="430" spans="1:6" ht="15.75" customHeight="1" x14ac:dyDescent="0.2">
      <c r="A430" s="219"/>
      <c r="E430" s="220"/>
      <c r="F430" s="220"/>
    </row>
    <row r="431" spans="1:6" ht="15.75" customHeight="1" x14ac:dyDescent="0.2">
      <c r="A431" s="219"/>
      <c r="E431" s="220"/>
      <c r="F431" s="220"/>
    </row>
    <row r="432" spans="1:6" ht="15.75" customHeight="1" x14ac:dyDescent="0.2">
      <c r="A432" s="219"/>
      <c r="E432" s="220"/>
      <c r="F432" s="220"/>
    </row>
    <row r="433" spans="1:6" ht="15.75" customHeight="1" x14ac:dyDescent="0.2">
      <c r="A433" s="219"/>
      <c r="E433" s="220"/>
      <c r="F433" s="220"/>
    </row>
    <row r="434" spans="1:6" ht="15.75" customHeight="1" x14ac:dyDescent="0.2">
      <c r="A434" s="219"/>
      <c r="E434" s="220"/>
      <c r="F434" s="220"/>
    </row>
    <row r="435" spans="1:6" ht="15.75" customHeight="1" x14ac:dyDescent="0.2">
      <c r="A435" s="219"/>
      <c r="E435" s="220"/>
      <c r="F435" s="220"/>
    </row>
    <row r="436" spans="1:6" ht="15.75" customHeight="1" x14ac:dyDescent="0.2">
      <c r="A436" s="219"/>
      <c r="E436" s="220"/>
      <c r="F436" s="220"/>
    </row>
    <row r="437" spans="1:6" ht="15.75" customHeight="1" x14ac:dyDescent="0.2">
      <c r="A437" s="219"/>
      <c r="E437" s="220"/>
      <c r="F437" s="220"/>
    </row>
    <row r="438" spans="1:6" ht="15.75" customHeight="1" x14ac:dyDescent="0.2">
      <c r="A438" s="219"/>
      <c r="E438" s="220"/>
      <c r="F438" s="220"/>
    </row>
    <row r="439" spans="1:6" ht="15.75" customHeight="1" x14ac:dyDescent="0.2">
      <c r="A439" s="219"/>
      <c r="E439" s="220"/>
      <c r="F439" s="220"/>
    </row>
    <row r="440" spans="1:6" ht="15.75" customHeight="1" x14ac:dyDescent="0.2">
      <c r="A440" s="219"/>
      <c r="E440" s="220"/>
      <c r="F440" s="220"/>
    </row>
    <row r="441" spans="1:6" ht="15.75" customHeight="1" x14ac:dyDescent="0.2">
      <c r="A441" s="219"/>
      <c r="E441" s="220"/>
      <c r="F441" s="220"/>
    </row>
    <row r="442" spans="1:6" ht="15.75" customHeight="1" x14ac:dyDescent="0.2">
      <c r="A442" s="219"/>
      <c r="E442" s="220"/>
      <c r="F442" s="220"/>
    </row>
    <row r="443" spans="1:6" ht="15.75" customHeight="1" x14ac:dyDescent="0.2">
      <c r="A443" s="219"/>
      <c r="E443" s="220"/>
      <c r="F443" s="220"/>
    </row>
    <row r="444" spans="1:6" ht="15.75" customHeight="1" x14ac:dyDescent="0.2">
      <c r="A444" s="219"/>
      <c r="E444" s="220"/>
      <c r="F444" s="220"/>
    </row>
    <row r="445" spans="1:6" ht="15.75" customHeight="1" x14ac:dyDescent="0.2">
      <c r="A445" s="219"/>
      <c r="E445" s="220"/>
      <c r="F445" s="220"/>
    </row>
    <row r="446" spans="1:6" ht="15.75" customHeight="1" x14ac:dyDescent="0.2">
      <c r="A446" s="219"/>
      <c r="E446" s="220"/>
      <c r="F446" s="220"/>
    </row>
    <row r="447" spans="1:6" ht="15.75" customHeight="1" x14ac:dyDescent="0.2">
      <c r="A447" s="219"/>
      <c r="E447" s="220"/>
      <c r="F447" s="220"/>
    </row>
    <row r="448" spans="1:6" ht="15.75" customHeight="1" x14ac:dyDescent="0.2">
      <c r="A448" s="219"/>
      <c r="E448" s="220"/>
      <c r="F448" s="220"/>
    </row>
    <row r="449" spans="1:6" ht="15.75" customHeight="1" x14ac:dyDescent="0.2">
      <c r="A449" s="219"/>
      <c r="E449" s="220"/>
      <c r="F449" s="220"/>
    </row>
    <row r="450" spans="1:6" ht="15.75" customHeight="1" x14ac:dyDescent="0.2">
      <c r="A450" s="219"/>
      <c r="E450" s="220"/>
      <c r="F450" s="220"/>
    </row>
    <row r="451" spans="1:6" ht="15.75" customHeight="1" x14ac:dyDescent="0.2">
      <c r="A451" s="219"/>
      <c r="E451" s="220"/>
      <c r="F451" s="220"/>
    </row>
    <row r="452" spans="1:6" ht="15.75" customHeight="1" x14ac:dyDescent="0.2">
      <c r="A452" s="219"/>
      <c r="E452" s="220"/>
      <c r="F452" s="220"/>
    </row>
    <row r="453" spans="1:6" ht="15.75" customHeight="1" x14ac:dyDescent="0.2">
      <c r="A453" s="219"/>
      <c r="E453" s="220"/>
      <c r="F453" s="220"/>
    </row>
    <row r="454" spans="1:6" ht="15.75" customHeight="1" x14ac:dyDescent="0.2">
      <c r="A454" s="219"/>
      <c r="E454" s="220"/>
      <c r="F454" s="220"/>
    </row>
    <row r="455" spans="1:6" ht="15.75" customHeight="1" x14ac:dyDescent="0.2">
      <c r="A455" s="219"/>
      <c r="E455" s="220"/>
      <c r="F455" s="220"/>
    </row>
    <row r="456" spans="1:6" ht="15.75" customHeight="1" x14ac:dyDescent="0.2">
      <c r="A456" s="219"/>
      <c r="E456" s="220"/>
      <c r="F456" s="220"/>
    </row>
    <row r="457" spans="1:6" ht="15.75" customHeight="1" x14ac:dyDescent="0.2">
      <c r="A457" s="219"/>
      <c r="E457" s="220"/>
      <c r="F457" s="220"/>
    </row>
    <row r="458" spans="1:6" ht="15.75" customHeight="1" x14ac:dyDescent="0.2">
      <c r="A458" s="219"/>
      <c r="E458" s="220"/>
      <c r="F458" s="220"/>
    </row>
    <row r="459" spans="1:6" ht="15.75" customHeight="1" x14ac:dyDescent="0.2">
      <c r="A459" s="219"/>
      <c r="E459" s="220"/>
      <c r="F459" s="220"/>
    </row>
    <row r="460" spans="1:6" ht="15.75" customHeight="1" x14ac:dyDescent="0.2">
      <c r="A460" s="219"/>
      <c r="E460" s="220"/>
      <c r="F460" s="220"/>
    </row>
    <row r="461" spans="1:6" ht="15.75" customHeight="1" x14ac:dyDescent="0.2">
      <c r="A461" s="219"/>
      <c r="E461" s="220"/>
      <c r="F461" s="220"/>
    </row>
    <row r="462" spans="1:6" ht="15.75" customHeight="1" x14ac:dyDescent="0.2">
      <c r="A462" s="219"/>
      <c r="E462" s="220"/>
      <c r="F462" s="220"/>
    </row>
    <row r="463" spans="1:6" ht="15.75" customHeight="1" x14ac:dyDescent="0.2">
      <c r="A463" s="219"/>
      <c r="E463" s="220"/>
      <c r="F463" s="220"/>
    </row>
    <row r="464" spans="1:6" ht="15.75" customHeight="1" x14ac:dyDescent="0.2">
      <c r="A464" s="219"/>
      <c r="E464" s="220"/>
      <c r="F464" s="220"/>
    </row>
    <row r="465" spans="1:6" ht="15.75" customHeight="1" x14ac:dyDescent="0.2">
      <c r="A465" s="219"/>
      <c r="E465" s="220"/>
      <c r="F465" s="220"/>
    </row>
    <row r="466" spans="1:6" ht="15.75" customHeight="1" x14ac:dyDescent="0.2">
      <c r="A466" s="219"/>
      <c r="E466" s="220"/>
      <c r="F466" s="220"/>
    </row>
    <row r="467" spans="1:6" ht="15.75" customHeight="1" x14ac:dyDescent="0.2">
      <c r="A467" s="219"/>
      <c r="E467" s="220"/>
      <c r="F467" s="220"/>
    </row>
    <row r="468" spans="1:6" ht="15.75" customHeight="1" x14ac:dyDescent="0.2">
      <c r="A468" s="219"/>
      <c r="E468" s="220"/>
      <c r="F468" s="220"/>
    </row>
    <row r="469" spans="1:6" ht="15.75" customHeight="1" x14ac:dyDescent="0.2">
      <c r="A469" s="219"/>
      <c r="E469" s="220"/>
      <c r="F469" s="220"/>
    </row>
    <row r="470" spans="1:6" ht="15.75" customHeight="1" x14ac:dyDescent="0.2">
      <c r="A470" s="219"/>
      <c r="E470" s="220"/>
      <c r="F470" s="220"/>
    </row>
    <row r="471" spans="1:6" ht="15.75" customHeight="1" x14ac:dyDescent="0.2">
      <c r="A471" s="219"/>
      <c r="E471" s="220"/>
      <c r="F471" s="220"/>
    </row>
    <row r="472" spans="1:6" ht="15.75" customHeight="1" x14ac:dyDescent="0.2">
      <c r="A472" s="219"/>
      <c r="E472" s="220"/>
      <c r="F472" s="220"/>
    </row>
    <row r="473" spans="1:6" ht="15.75" customHeight="1" x14ac:dyDescent="0.2">
      <c r="A473" s="219"/>
      <c r="E473" s="220"/>
      <c r="F473" s="220"/>
    </row>
    <row r="474" spans="1:6" ht="15.75" customHeight="1" x14ac:dyDescent="0.2">
      <c r="A474" s="219"/>
      <c r="E474" s="220"/>
      <c r="F474" s="220"/>
    </row>
    <row r="475" spans="1:6" ht="15.75" customHeight="1" x14ac:dyDescent="0.2">
      <c r="A475" s="219"/>
      <c r="E475" s="220"/>
      <c r="F475" s="220"/>
    </row>
    <row r="476" spans="1:6" ht="15.75" customHeight="1" x14ac:dyDescent="0.2">
      <c r="A476" s="219"/>
      <c r="E476" s="220"/>
      <c r="F476" s="220"/>
    </row>
    <row r="477" spans="1:6" ht="15.75" customHeight="1" x14ac:dyDescent="0.2">
      <c r="A477" s="219"/>
      <c r="E477" s="220"/>
      <c r="F477" s="220"/>
    </row>
    <row r="478" spans="1:6" ht="15.75" customHeight="1" x14ac:dyDescent="0.2">
      <c r="A478" s="219"/>
      <c r="E478" s="220"/>
      <c r="F478" s="220"/>
    </row>
    <row r="479" spans="1:6" ht="15.75" customHeight="1" x14ac:dyDescent="0.2">
      <c r="A479" s="219"/>
      <c r="E479" s="220"/>
      <c r="F479" s="220"/>
    </row>
    <row r="480" spans="1:6" ht="15.75" customHeight="1" x14ac:dyDescent="0.2">
      <c r="A480" s="219"/>
      <c r="E480" s="220"/>
      <c r="F480" s="220"/>
    </row>
    <row r="481" spans="1:6" ht="15.75" customHeight="1" x14ac:dyDescent="0.2">
      <c r="A481" s="219"/>
      <c r="E481" s="220"/>
      <c r="F481" s="220"/>
    </row>
    <row r="482" spans="1:6" ht="15.75" customHeight="1" x14ac:dyDescent="0.2">
      <c r="A482" s="219"/>
      <c r="E482" s="220"/>
      <c r="F482" s="220"/>
    </row>
    <row r="483" spans="1:6" ht="15.75" customHeight="1" x14ac:dyDescent="0.2">
      <c r="A483" s="219"/>
      <c r="E483" s="220"/>
      <c r="F483" s="220"/>
    </row>
    <row r="484" spans="1:6" ht="15.75" customHeight="1" x14ac:dyDescent="0.2">
      <c r="A484" s="219"/>
      <c r="E484" s="220"/>
      <c r="F484" s="220"/>
    </row>
    <row r="485" spans="1:6" ht="15.75" customHeight="1" x14ac:dyDescent="0.2">
      <c r="A485" s="219"/>
      <c r="E485" s="220"/>
      <c r="F485" s="220"/>
    </row>
    <row r="486" spans="1:6" ht="15.75" customHeight="1" x14ac:dyDescent="0.2">
      <c r="A486" s="219"/>
      <c r="E486" s="220"/>
      <c r="F486" s="220"/>
    </row>
    <row r="487" spans="1:6" ht="15.75" customHeight="1" x14ac:dyDescent="0.2">
      <c r="A487" s="219"/>
      <c r="E487" s="220"/>
      <c r="F487" s="220"/>
    </row>
    <row r="488" spans="1:6" ht="15.75" customHeight="1" x14ac:dyDescent="0.2">
      <c r="A488" s="219"/>
      <c r="E488" s="220"/>
      <c r="F488" s="220"/>
    </row>
    <row r="489" spans="1:6" ht="15.75" customHeight="1" x14ac:dyDescent="0.2">
      <c r="A489" s="219"/>
      <c r="E489" s="220"/>
      <c r="F489" s="220"/>
    </row>
    <row r="490" spans="1:6" ht="15.75" customHeight="1" x14ac:dyDescent="0.2">
      <c r="A490" s="219"/>
      <c r="E490" s="220"/>
      <c r="F490" s="220"/>
    </row>
    <row r="491" spans="1:6" ht="15.75" customHeight="1" x14ac:dyDescent="0.2">
      <c r="A491" s="219"/>
      <c r="E491" s="220"/>
      <c r="F491" s="220"/>
    </row>
    <row r="492" spans="1:6" ht="15.75" customHeight="1" x14ac:dyDescent="0.2">
      <c r="A492" s="219"/>
      <c r="E492" s="220"/>
      <c r="F492" s="220"/>
    </row>
    <row r="493" spans="1:6" ht="15.75" customHeight="1" x14ac:dyDescent="0.2">
      <c r="A493" s="219"/>
      <c r="E493" s="220"/>
      <c r="F493" s="220"/>
    </row>
    <row r="494" spans="1:6" ht="15.75" customHeight="1" x14ac:dyDescent="0.2">
      <c r="A494" s="219"/>
      <c r="E494" s="220"/>
      <c r="F494" s="220"/>
    </row>
    <row r="495" spans="1:6" ht="15.75" customHeight="1" x14ac:dyDescent="0.2">
      <c r="A495" s="219"/>
      <c r="E495" s="220"/>
      <c r="F495" s="220"/>
    </row>
    <row r="496" spans="1:6" ht="15.75" customHeight="1" x14ac:dyDescent="0.2">
      <c r="A496" s="219"/>
      <c r="E496" s="220"/>
      <c r="F496" s="220"/>
    </row>
    <row r="497" spans="1:6" ht="15.75" customHeight="1" x14ac:dyDescent="0.2">
      <c r="A497" s="219"/>
      <c r="E497" s="220"/>
      <c r="F497" s="220"/>
    </row>
    <row r="498" spans="1:6" ht="15.75" customHeight="1" x14ac:dyDescent="0.2">
      <c r="A498" s="219"/>
      <c r="E498" s="220"/>
      <c r="F498" s="220"/>
    </row>
    <row r="499" spans="1:6" ht="15.75" customHeight="1" x14ac:dyDescent="0.2">
      <c r="A499" s="219"/>
      <c r="E499" s="220"/>
      <c r="F499" s="220"/>
    </row>
    <row r="500" spans="1:6" ht="15.75" customHeight="1" x14ac:dyDescent="0.2">
      <c r="A500" s="219"/>
      <c r="E500" s="220"/>
      <c r="F500" s="220"/>
    </row>
    <row r="501" spans="1:6" ht="15.75" customHeight="1" x14ac:dyDescent="0.2">
      <c r="A501" s="219"/>
      <c r="E501" s="220"/>
      <c r="F501" s="220"/>
    </row>
    <row r="502" spans="1:6" ht="15.75" customHeight="1" x14ac:dyDescent="0.2">
      <c r="A502" s="219"/>
      <c r="E502" s="220"/>
      <c r="F502" s="220"/>
    </row>
    <row r="503" spans="1:6" ht="15.75" customHeight="1" x14ac:dyDescent="0.2">
      <c r="A503" s="219"/>
      <c r="E503" s="220"/>
      <c r="F503" s="220"/>
    </row>
    <row r="504" spans="1:6" ht="15.75" customHeight="1" x14ac:dyDescent="0.2">
      <c r="A504" s="219"/>
      <c r="E504" s="220"/>
      <c r="F504" s="220"/>
    </row>
    <row r="505" spans="1:6" ht="15.75" customHeight="1" x14ac:dyDescent="0.2">
      <c r="A505" s="219"/>
      <c r="E505" s="220"/>
      <c r="F505" s="220"/>
    </row>
    <row r="506" spans="1:6" ht="15.75" customHeight="1" x14ac:dyDescent="0.2">
      <c r="A506" s="219"/>
      <c r="E506" s="220"/>
      <c r="F506" s="220"/>
    </row>
    <row r="507" spans="1:6" ht="15.75" customHeight="1" x14ac:dyDescent="0.2">
      <c r="A507" s="219"/>
      <c r="E507" s="220"/>
      <c r="F507" s="220"/>
    </row>
    <row r="508" spans="1:6" ht="15.75" customHeight="1" x14ac:dyDescent="0.2">
      <c r="A508" s="219"/>
      <c r="E508" s="220"/>
      <c r="F508" s="220"/>
    </row>
    <row r="509" spans="1:6" ht="15.75" customHeight="1" x14ac:dyDescent="0.2">
      <c r="A509" s="219"/>
      <c r="E509" s="220"/>
      <c r="F509" s="220"/>
    </row>
    <row r="510" spans="1:6" ht="15.75" customHeight="1" x14ac:dyDescent="0.2">
      <c r="A510" s="219"/>
      <c r="E510" s="220"/>
      <c r="F510" s="220"/>
    </row>
    <row r="511" spans="1:6" ht="15.75" customHeight="1" x14ac:dyDescent="0.2">
      <c r="A511" s="219"/>
      <c r="E511" s="220"/>
      <c r="F511" s="220"/>
    </row>
    <row r="512" spans="1:6" ht="15.75" customHeight="1" x14ac:dyDescent="0.2">
      <c r="A512" s="219"/>
      <c r="E512" s="220"/>
      <c r="F512" s="220"/>
    </row>
    <row r="513" spans="1:6" ht="15.75" customHeight="1" x14ac:dyDescent="0.2">
      <c r="A513" s="219"/>
      <c r="E513" s="220"/>
      <c r="F513" s="220"/>
    </row>
    <row r="514" spans="1:6" ht="15.75" customHeight="1" x14ac:dyDescent="0.2">
      <c r="A514" s="219"/>
      <c r="E514" s="220"/>
      <c r="F514" s="220"/>
    </row>
    <row r="515" spans="1:6" ht="15.75" customHeight="1" x14ac:dyDescent="0.2">
      <c r="A515" s="219"/>
      <c r="E515" s="220"/>
      <c r="F515" s="220"/>
    </row>
    <row r="516" spans="1:6" ht="15.75" customHeight="1" x14ac:dyDescent="0.2">
      <c r="A516" s="219"/>
      <c r="E516" s="220"/>
      <c r="F516" s="220"/>
    </row>
    <row r="517" spans="1:6" ht="15.75" customHeight="1" x14ac:dyDescent="0.2">
      <c r="A517" s="219"/>
      <c r="E517" s="220"/>
      <c r="F517" s="220"/>
    </row>
    <row r="518" spans="1:6" ht="15.75" customHeight="1" x14ac:dyDescent="0.2">
      <c r="A518" s="219"/>
      <c r="E518" s="220"/>
      <c r="F518" s="220"/>
    </row>
    <row r="519" spans="1:6" ht="15.75" customHeight="1" x14ac:dyDescent="0.2">
      <c r="A519" s="219"/>
      <c r="E519" s="220"/>
      <c r="F519" s="220"/>
    </row>
    <row r="520" spans="1:6" ht="15.75" customHeight="1" x14ac:dyDescent="0.2">
      <c r="A520" s="219"/>
      <c r="E520" s="220"/>
      <c r="F520" s="220"/>
    </row>
    <row r="521" spans="1:6" ht="15.75" customHeight="1" x14ac:dyDescent="0.2">
      <c r="A521" s="219"/>
      <c r="E521" s="220"/>
      <c r="F521" s="220"/>
    </row>
    <row r="522" spans="1:6" ht="15.75" customHeight="1" x14ac:dyDescent="0.2">
      <c r="A522" s="219"/>
      <c r="E522" s="220"/>
      <c r="F522" s="220"/>
    </row>
    <row r="523" spans="1:6" ht="15.75" customHeight="1" x14ac:dyDescent="0.2">
      <c r="A523" s="219"/>
      <c r="E523" s="220"/>
      <c r="F523" s="220"/>
    </row>
    <row r="524" spans="1:6" ht="15.75" customHeight="1" x14ac:dyDescent="0.2">
      <c r="A524" s="219"/>
      <c r="E524" s="220"/>
      <c r="F524" s="220"/>
    </row>
    <row r="525" spans="1:6" ht="15.75" customHeight="1" x14ac:dyDescent="0.2">
      <c r="A525" s="219"/>
      <c r="E525" s="220"/>
      <c r="F525" s="220"/>
    </row>
    <row r="526" spans="1:6" ht="15.75" customHeight="1" x14ac:dyDescent="0.2">
      <c r="A526" s="219"/>
      <c r="E526" s="220"/>
      <c r="F526" s="220"/>
    </row>
    <row r="527" spans="1:6" ht="15.75" customHeight="1" x14ac:dyDescent="0.2">
      <c r="A527" s="219"/>
      <c r="E527" s="220"/>
      <c r="F527" s="220"/>
    </row>
    <row r="528" spans="1:6" ht="15.75" customHeight="1" x14ac:dyDescent="0.2">
      <c r="A528" s="219"/>
      <c r="E528" s="220"/>
      <c r="F528" s="220"/>
    </row>
    <row r="529" spans="1:6" ht="15.75" customHeight="1" x14ac:dyDescent="0.2">
      <c r="A529" s="219"/>
      <c r="E529" s="220"/>
      <c r="F529" s="220"/>
    </row>
    <row r="530" spans="1:6" ht="15.75" customHeight="1" x14ac:dyDescent="0.2">
      <c r="A530" s="219"/>
      <c r="E530" s="220"/>
      <c r="F530" s="220"/>
    </row>
    <row r="531" spans="1:6" ht="15.75" customHeight="1" x14ac:dyDescent="0.2">
      <c r="A531" s="219"/>
      <c r="E531" s="220"/>
      <c r="F531" s="220"/>
    </row>
    <row r="532" spans="1:6" ht="15.75" customHeight="1" x14ac:dyDescent="0.2">
      <c r="A532" s="219"/>
      <c r="E532" s="220"/>
      <c r="F532" s="220"/>
    </row>
    <row r="533" spans="1:6" ht="15.75" customHeight="1" x14ac:dyDescent="0.2">
      <c r="A533" s="219"/>
      <c r="E533" s="220"/>
      <c r="F533" s="220"/>
    </row>
    <row r="534" spans="1:6" ht="15.75" customHeight="1" x14ac:dyDescent="0.2">
      <c r="A534" s="219"/>
      <c r="E534" s="220"/>
      <c r="F534" s="220"/>
    </row>
    <row r="535" spans="1:6" ht="15.75" customHeight="1" x14ac:dyDescent="0.2">
      <c r="A535" s="219"/>
      <c r="E535" s="220"/>
      <c r="F535" s="220"/>
    </row>
    <row r="536" spans="1:6" ht="15.75" customHeight="1" x14ac:dyDescent="0.2">
      <c r="A536" s="219"/>
      <c r="E536" s="220"/>
      <c r="F536" s="220"/>
    </row>
    <row r="537" spans="1:6" ht="15.75" customHeight="1" x14ac:dyDescent="0.2">
      <c r="A537" s="219"/>
      <c r="E537" s="220"/>
      <c r="F537" s="220"/>
    </row>
    <row r="538" spans="1:6" ht="15.75" customHeight="1" x14ac:dyDescent="0.2">
      <c r="A538" s="219"/>
      <c r="E538" s="220"/>
      <c r="F538" s="220"/>
    </row>
    <row r="539" spans="1:6" ht="15.75" customHeight="1" x14ac:dyDescent="0.2">
      <c r="A539" s="219"/>
      <c r="E539" s="220"/>
      <c r="F539" s="220"/>
    </row>
    <row r="540" spans="1:6" ht="15.75" customHeight="1" x14ac:dyDescent="0.2">
      <c r="A540" s="219"/>
      <c r="E540" s="220"/>
      <c r="F540" s="220"/>
    </row>
    <row r="541" spans="1:6" ht="15.75" customHeight="1" x14ac:dyDescent="0.2">
      <c r="A541" s="219"/>
      <c r="E541" s="220"/>
      <c r="F541" s="220"/>
    </row>
    <row r="542" spans="1:6" ht="15.75" customHeight="1" x14ac:dyDescent="0.2">
      <c r="A542" s="219"/>
      <c r="E542" s="220"/>
      <c r="F542" s="220"/>
    </row>
    <row r="543" spans="1:6" ht="15.75" customHeight="1" x14ac:dyDescent="0.2">
      <c r="A543" s="219"/>
      <c r="E543" s="220"/>
      <c r="F543" s="220"/>
    </row>
    <row r="544" spans="1:6" ht="15.75" customHeight="1" x14ac:dyDescent="0.2">
      <c r="A544" s="219"/>
      <c r="E544" s="220"/>
      <c r="F544" s="220"/>
    </row>
    <row r="545" spans="1:6" ht="15.75" customHeight="1" x14ac:dyDescent="0.2">
      <c r="A545" s="219"/>
      <c r="E545" s="220"/>
      <c r="F545" s="220"/>
    </row>
    <row r="546" spans="1:6" ht="15.75" customHeight="1" x14ac:dyDescent="0.2">
      <c r="A546" s="219"/>
      <c r="E546" s="220"/>
      <c r="F546" s="220"/>
    </row>
    <row r="547" spans="1:6" ht="15.75" customHeight="1" x14ac:dyDescent="0.2">
      <c r="A547" s="219"/>
      <c r="E547" s="220"/>
      <c r="F547" s="220"/>
    </row>
    <row r="548" spans="1:6" ht="15.75" customHeight="1" x14ac:dyDescent="0.2">
      <c r="A548" s="219"/>
      <c r="E548" s="220"/>
      <c r="F548" s="220"/>
    </row>
    <row r="549" spans="1:6" ht="15.75" customHeight="1" x14ac:dyDescent="0.2">
      <c r="A549" s="219"/>
      <c r="E549" s="220"/>
      <c r="F549" s="220"/>
    </row>
    <row r="550" spans="1:6" ht="15.75" customHeight="1" x14ac:dyDescent="0.2">
      <c r="A550" s="219"/>
      <c r="E550" s="220"/>
      <c r="F550" s="220"/>
    </row>
    <row r="551" spans="1:6" ht="15.75" customHeight="1" x14ac:dyDescent="0.2">
      <c r="A551" s="219"/>
      <c r="E551" s="220"/>
      <c r="F551" s="220"/>
    </row>
    <row r="552" spans="1:6" ht="15.75" customHeight="1" x14ac:dyDescent="0.2">
      <c r="A552" s="219"/>
      <c r="E552" s="220"/>
      <c r="F552" s="220"/>
    </row>
    <row r="553" spans="1:6" ht="15.75" customHeight="1" x14ac:dyDescent="0.2">
      <c r="A553" s="219"/>
      <c r="E553" s="220"/>
      <c r="F553" s="220"/>
    </row>
    <row r="554" spans="1:6" ht="15.75" customHeight="1" x14ac:dyDescent="0.2">
      <c r="A554" s="219"/>
      <c r="E554" s="220"/>
      <c r="F554" s="220"/>
    </row>
    <row r="555" spans="1:6" ht="15.75" customHeight="1" x14ac:dyDescent="0.2">
      <c r="A555" s="219"/>
      <c r="E555" s="220"/>
      <c r="F555" s="220"/>
    </row>
    <row r="556" spans="1:6" ht="15.75" customHeight="1" x14ac:dyDescent="0.2">
      <c r="A556" s="219"/>
      <c r="E556" s="220"/>
      <c r="F556" s="220"/>
    </row>
    <row r="557" spans="1:6" ht="15.75" customHeight="1" x14ac:dyDescent="0.2">
      <c r="A557" s="219"/>
      <c r="E557" s="220"/>
      <c r="F557" s="220"/>
    </row>
    <row r="558" spans="1:6" ht="15.75" customHeight="1" x14ac:dyDescent="0.2">
      <c r="A558" s="219"/>
      <c r="E558" s="220"/>
      <c r="F558" s="220"/>
    </row>
    <row r="559" spans="1:6" ht="15.75" customHeight="1" x14ac:dyDescent="0.2">
      <c r="A559" s="219"/>
      <c r="E559" s="220"/>
      <c r="F559" s="220"/>
    </row>
    <row r="560" spans="1:6" ht="15.75" customHeight="1" x14ac:dyDescent="0.2">
      <c r="A560" s="219"/>
      <c r="E560" s="220"/>
      <c r="F560" s="220"/>
    </row>
    <row r="561" spans="1:6" ht="15.75" customHeight="1" x14ac:dyDescent="0.2">
      <c r="A561" s="219"/>
      <c r="E561" s="220"/>
      <c r="F561" s="220"/>
    </row>
    <row r="562" spans="1:6" ht="15.75" customHeight="1" x14ac:dyDescent="0.2">
      <c r="A562" s="219"/>
      <c r="E562" s="220"/>
      <c r="F562" s="220"/>
    </row>
    <row r="563" spans="1:6" ht="15.75" customHeight="1" x14ac:dyDescent="0.2">
      <c r="A563" s="219"/>
      <c r="E563" s="220"/>
      <c r="F563" s="220"/>
    </row>
    <row r="564" spans="1:6" ht="15.75" customHeight="1" x14ac:dyDescent="0.2">
      <c r="A564" s="219"/>
      <c r="E564" s="220"/>
      <c r="F564" s="220"/>
    </row>
    <row r="565" spans="1:6" ht="15.75" customHeight="1" x14ac:dyDescent="0.2">
      <c r="A565" s="219"/>
      <c r="E565" s="220"/>
      <c r="F565" s="220"/>
    </row>
    <row r="566" spans="1:6" ht="15.75" customHeight="1" x14ac:dyDescent="0.2">
      <c r="A566" s="219"/>
      <c r="E566" s="220"/>
      <c r="F566" s="220"/>
    </row>
    <row r="567" spans="1:6" ht="15.75" customHeight="1" x14ac:dyDescent="0.2">
      <c r="A567" s="219"/>
      <c r="E567" s="220"/>
      <c r="F567" s="220"/>
    </row>
    <row r="568" spans="1:6" ht="15.75" customHeight="1" x14ac:dyDescent="0.2">
      <c r="A568" s="219"/>
      <c r="E568" s="220"/>
      <c r="F568" s="220"/>
    </row>
    <row r="569" spans="1:6" ht="15.75" customHeight="1" x14ac:dyDescent="0.2">
      <c r="A569" s="219"/>
      <c r="E569" s="220"/>
      <c r="F569" s="220"/>
    </row>
    <row r="570" spans="1:6" ht="15.75" customHeight="1" x14ac:dyDescent="0.2">
      <c r="A570" s="219"/>
      <c r="E570" s="220"/>
      <c r="F570" s="220"/>
    </row>
    <row r="571" spans="1:6" ht="15.75" customHeight="1" x14ac:dyDescent="0.2">
      <c r="A571" s="219"/>
      <c r="E571" s="220"/>
      <c r="F571" s="220"/>
    </row>
    <row r="572" spans="1:6" ht="15.75" customHeight="1" x14ac:dyDescent="0.2">
      <c r="A572" s="219"/>
      <c r="E572" s="220"/>
      <c r="F572" s="220"/>
    </row>
    <row r="573" spans="1:6" ht="15.75" customHeight="1" x14ac:dyDescent="0.2">
      <c r="A573" s="219"/>
      <c r="E573" s="220"/>
      <c r="F573" s="220"/>
    </row>
    <row r="574" spans="1:6" ht="15.75" customHeight="1" x14ac:dyDescent="0.2">
      <c r="A574" s="219"/>
      <c r="E574" s="220"/>
      <c r="F574" s="220"/>
    </row>
    <row r="575" spans="1:6" ht="15.75" customHeight="1" x14ac:dyDescent="0.2">
      <c r="A575" s="219"/>
      <c r="E575" s="220"/>
      <c r="F575" s="220"/>
    </row>
    <row r="576" spans="1:6" ht="15.75" customHeight="1" x14ac:dyDescent="0.2">
      <c r="A576" s="219"/>
      <c r="E576" s="220"/>
      <c r="F576" s="220"/>
    </row>
    <row r="577" spans="1:6" ht="15.75" customHeight="1" x14ac:dyDescent="0.2">
      <c r="A577" s="219"/>
      <c r="E577" s="220"/>
      <c r="F577" s="220"/>
    </row>
    <row r="578" spans="1:6" ht="15.75" customHeight="1" x14ac:dyDescent="0.2">
      <c r="A578" s="219"/>
      <c r="E578" s="220"/>
      <c r="F578" s="220"/>
    </row>
    <row r="579" spans="1:6" ht="15.75" customHeight="1" x14ac:dyDescent="0.2">
      <c r="A579" s="219"/>
      <c r="E579" s="220"/>
      <c r="F579" s="220"/>
    </row>
    <row r="580" spans="1:6" ht="15.75" customHeight="1" x14ac:dyDescent="0.2">
      <c r="A580" s="219"/>
      <c r="E580" s="220"/>
      <c r="F580" s="220"/>
    </row>
    <row r="581" spans="1:6" ht="15.75" customHeight="1" x14ac:dyDescent="0.2">
      <c r="A581" s="219"/>
      <c r="E581" s="220"/>
      <c r="F581" s="220"/>
    </row>
    <row r="582" spans="1:6" ht="15.75" customHeight="1" x14ac:dyDescent="0.2">
      <c r="A582" s="219"/>
      <c r="E582" s="220"/>
      <c r="F582" s="220"/>
    </row>
    <row r="583" spans="1:6" ht="15.75" customHeight="1" x14ac:dyDescent="0.2">
      <c r="A583" s="219"/>
      <c r="E583" s="220"/>
      <c r="F583" s="220"/>
    </row>
    <row r="584" spans="1:6" ht="15.75" customHeight="1" x14ac:dyDescent="0.2">
      <c r="A584" s="219"/>
      <c r="E584" s="220"/>
      <c r="F584" s="220"/>
    </row>
    <row r="585" spans="1:6" ht="15.75" customHeight="1" x14ac:dyDescent="0.2">
      <c r="A585" s="219"/>
      <c r="E585" s="220"/>
      <c r="F585" s="220"/>
    </row>
    <row r="586" spans="1:6" ht="15.75" customHeight="1" x14ac:dyDescent="0.2">
      <c r="A586" s="219"/>
      <c r="E586" s="220"/>
      <c r="F586" s="220"/>
    </row>
    <row r="587" spans="1:6" ht="15.75" customHeight="1" x14ac:dyDescent="0.2">
      <c r="A587" s="219"/>
      <c r="E587" s="220"/>
      <c r="F587" s="220"/>
    </row>
    <row r="588" spans="1:6" ht="15.75" customHeight="1" x14ac:dyDescent="0.2">
      <c r="A588" s="219"/>
      <c r="E588" s="220"/>
      <c r="F588" s="220"/>
    </row>
    <row r="589" spans="1:6" ht="15.75" customHeight="1" x14ac:dyDescent="0.2">
      <c r="A589" s="219"/>
      <c r="E589" s="220"/>
      <c r="F589" s="220"/>
    </row>
    <row r="590" spans="1:6" ht="15.75" customHeight="1" x14ac:dyDescent="0.2">
      <c r="A590" s="219"/>
      <c r="E590" s="220"/>
      <c r="F590" s="220"/>
    </row>
    <row r="591" spans="1:6" ht="15.75" customHeight="1" x14ac:dyDescent="0.2">
      <c r="A591" s="219"/>
      <c r="E591" s="220"/>
      <c r="F591" s="220"/>
    </row>
    <row r="592" spans="1:6" ht="15.75" customHeight="1" x14ac:dyDescent="0.2">
      <c r="A592" s="219"/>
      <c r="E592" s="220"/>
      <c r="F592" s="220"/>
    </row>
    <row r="593" spans="1:6" ht="15.75" customHeight="1" x14ac:dyDescent="0.2">
      <c r="A593" s="219"/>
      <c r="E593" s="220"/>
      <c r="F593" s="220"/>
    </row>
    <row r="594" spans="1:6" ht="15.75" customHeight="1" x14ac:dyDescent="0.2">
      <c r="A594" s="219"/>
      <c r="E594" s="220"/>
      <c r="F594" s="220"/>
    </row>
    <row r="595" spans="1:6" ht="15.75" customHeight="1" x14ac:dyDescent="0.2">
      <c r="A595" s="219"/>
      <c r="E595" s="220"/>
      <c r="F595" s="220"/>
    </row>
    <row r="596" spans="1:6" ht="15.75" customHeight="1" x14ac:dyDescent="0.2">
      <c r="A596" s="219"/>
      <c r="E596" s="220"/>
      <c r="F596" s="220"/>
    </row>
    <row r="597" spans="1:6" ht="15.75" customHeight="1" x14ac:dyDescent="0.2">
      <c r="A597" s="219"/>
      <c r="E597" s="220"/>
      <c r="F597" s="220"/>
    </row>
    <row r="598" spans="1:6" ht="15.75" customHeight="1" x14ac:dyDescent="0.2">
      <c r="A598" s="219"/>
      <c r="E598" s="220"/>
      <c r="F598" s="220"/>
    </row>
    <row r="599" spans="1:6" ht="15.75" customHeight="1" x14ac:dyDescent="0.2">
      <c r="A599" s="219"/>
      <c r="E599" s="220"/>
      <c r="F599" s="220"/>
    </row>
    <row r="600" spans="1:6" ht="15.75" customHeight="1" x14ac:dyDescent="0.2">
      <c r="A600" s="219"/>
      <c r="E600" s="220"/>
      <c r="F600" s="220"/>
    </row>
    <row r="601" spans="1:6" ht="15.75" customHeight="1" x14ac:dyDescent="0.2">
      <c r="A601" s="219"/>
      <c r="E601" s="220"/>
      <c r="F601" s="220"/>
    </row>
    <row r="602" spans="1:6" ht="15.75" customHeight="1" x14ac:dyDescent="0.2">
      <c r="A602" s="219"/>
      <c r="E602" s="220"/>
      <c r="F602" s="220"/>
    </row>
    <row r="603" spans="1:6" ht="15.75" customHeight="1" x14ac:dyDescent="0.2">
      <c r="A603" s="219"/>
      <c r="E603" s="220"/>
      <c r="F603" s="220"/>
    </row>
    <row r="604" spans="1:6" ht="15.75" customHeight="1" x14ac:dyDescent="0.2">
      <c r="A604" s="219"/>
      <c r="E604" s="220"/>
      <c r="F604" s="220"/>
    </row>
    <row r="605" spans="1:6" ht="15.75" customHeight="1" x14ac:dyDescent="0.2">
      <c r="A605" s="219"/>
      <c r="E605" s="220"/>
      <c r="F605" s="220"/>
    </row>
    <row r="606" spans="1:6" ht="15.75" customHeight="1" x14ac:dyDescent="0.2">
      <c r="A606" s="219"/>
      <c r="E606" s="220"/>
      <c r="F606" s="220"/>
    </row>
    <row r="607" spans="1:6" ht="15.75" customHeight="1" x14ac:dyDescent="0.2">
      <c r="A607" s="219"/>
      <c r="E607" s="220"/>
      <c r="F607" s="220"/>
    </row>
    <row r="608" spans="1:6" ht="15.75" customHeight="1" x14ac:dyDescent="0.2">
      <c r="A608" s="219"/>
      <c r="E608" s="220"/>
      <c r="F608" s="220"/>
    </row>
    <row r="609" spans="1:6" ht="15.75" customHeight="1" x14ac:dyDescent="0.2">
      <c r="A609" s="219"/>
      <c r="E609" s="220"/>
      <c r="F609" s="220"/>
    </row>
    <row r="610" spans="1:6" ht="15.75" customHeight="1" x14ac:dyDescent="0.2">
      <c r="A610" s="219"/>
      <c r="E610" s="220"/>
      <c r="F610" s="220"/>
    </row>
    <row r="611" spans="1:6" ht="15.75" customHeight="1" x14ac:dyDescent="0.2">
      <c r="A611" s="219"/>
      <c r="E611" s="220"/>
      <c r="F611" s="220"/>
    </row>
    <row r="612" spans="1:6" ht="15.75" customHeight="1" x14ac:dyDescent="0.2">
      <c r="A612" s="219"/>
      <c r="E612" s="220"/>
      <c r="F612" s="220"/>
    </row>
    <row r="613" spans="1:6" ht="15.75" customHeight="1" x14ac:dyDescent="0.2">
      <c r="A613" s="219"/>
      <c r="E613" s="220"/>
      <c r="F613" s="220"/>
    </row>
    <row r="614" spans="1:6" ht="15.75" customHeight="1" x14ac:dyDescent="0.2">
      <c r="A614" s="219"/>
      <c r="E614" s="220"/>
      <c r="F614" s="220"/>
    </row>
    <row r="615" spans="1:6" ht="15.75" customHeight="1" x14ac:dyDescent="0.2">
      <c r="A615" s="219"/>
      <c r="E615" s="220"/>
      <c r="F615" s="220"/>
    </row>
    <row r="616" spans="1:6" ht="15.75" customHeight="1" x14ac:dyDescent="0.2">
      <c r="A616" s="219"/>
      <c r="E616" s="220"/>
      <c r="F616" s="220"/>
    </row>
    <row r="617" spans="1:6" ht="15.75" customHeight="1" x14ac:dyDescent="0.2">
      <c r="A617" s="219"/>
      <c r="E617" s="220"/>
      <c r="F617" s="220"/>
    </row>
    <row r="618" spans="1:6" ht="15.75" customHeight="1" x14ac:dyDescent="0.2">
      <c r="A618" s="219"/>
      <c r="E618" s="220"/>
      <c r="F618" s="220"/>
    </row>
    <row r="619" spans="1:6" ht="15.75" customHeight="1" x14ac:dyDescent="0.2">
      <c r="A619" s="219"/>
      <c r="E619" s="220"/>
      <c r="F619" s="220"/>
    </row>
    <row r="620" spans="1:6" ht="15.75" customHeight="1" x14ac:dyDescent="0.2">
      <c r="A620" s="219"/>
      <c r="E620" s="220"/>
      <c r="F620" s="220"/>
    </row>
    <row r="621" spans="1:6" ht="15.75" customHeight="1" x14ac:dyDescent="0.2">
      <c r="A621" s="219"/>
      <c r="E621" s="220"/>
      <c r="F621" s="220"/>
    </row>
    <row r="622" spans="1:6" ht="15.75" customHeight="1" x14ac:dyDescent="0.2">
      <c r="A622" s="219"/>
      <c r="E622" s="220"/>
      <c r="F622" s="220"/>
    </row>
    <row r="623" spans="1:6" ht="15.75" customHeight="1" x14ac:dyDescent="0.2">
      <c r="A623" s="219"/>
      <c r="E623" s="220"/>
      <c r="F623" s="220"/>
    </row>
    <row r="624" spans="1:6" ht="15.75" customHeight="1" x14ac:dyDescent="0.2">
      <c r="A624" s="219"/>
      <c r="E624" s="220"/>
      <c r="F624" s="220"/>
    </row>
    <row r="625" spans="1:6" ht="15.75" customHeight="1" x14ac:dyDescent="0.2">
      <c r="A625" s="219"/>
      <c r="E625" s="220"/>
      <c r="F625" s="220"/>
    </row>
    <row r="626" spans="1:6" ht="15.75" customHeight="1" x14ac:dyDescent="0.2">
      <c r="A626" s="219"/>
      <c r="E626" s="220"/>
      <c r="F626" s="220"/>
    </row>
    <row r="627" spans="1:6" ht="15.75" customHeight="1" x14ac:dyDescent="0.2">
      <c r="A627" s="219"/>
      <c r="E627" s="220"/>
      <c r="F627" s="220"/>
    </row>
    <row r="628" spans="1:6" ht="15.75" customHeight="1" x14ac:dyDescent="0.2">
      <c r="A628" s="219"/>
      <c r="E628" s="220"/>
      <c r="F628" s="220"/>
    </row>
    <row r="629" spans="1:6" ht="15.75" customHeight="1" x14ac:dyDescent="0.2">
      <c r="A629" s="219"/>
      <c r="E629" s="220"/>
      <c r="F629" s="220"/>
    </row>
    <row r="630" spans="1:6" ht="15.75" customHeight="1" x14ac:dyDescent="0.2">
      <c r="A630" s="219"/>
      <c r="E630" s="220"/>
      <c r="F630" s="220"/>
    </row>
    <row r="631" spans="1:6" ht="15.75" customHeight="1" x14ac:dyDescent="0.2">
      <c r="A631" s="219"/>
      <c r="E631" s="220"/>
      <c r="F631" s="220"/>
    </row>
    <row r="632" spans="1:6" ht="15.75" customHeight="1" x14ac:dyDescent="0.2">
      <c r="A632" s="219"/>
      <c r="E632" s="220"/>
      <c r="F632" s="220"/>
    </row>
    <row r="633" spans="1:6" ht="15.75" customHeight="1" x14ac:dyDescent="0.2">
      <c r="A633" s="219"/>
      <c r="E633" s="220"/>
      <c r="F633" s="220"/>
    </row>
    <row r="634" spans="1:6" ht="15.75" customHeight="1" x14ac:dyDescent="0.2">
      <c r="A634" s="219"/>
      <c r="E634" s="220"/>
      <c r="F634" s="220"/>
    </row>
    <row r="635" spans="1:6" ht="15.75" customHeight="1" x14ac:dyDescent="0.2">
      <c r="A635" s="219"/>
      <c r="E635" s="220"/>
      <c r="F635" s="220"/>
    </row>
    <row r="636" spans="1:6" ht="15.75" customHeight="1" x14ac:dyDescent="0.2">
      <c r="A636" s="219"/>
      <c r="E636" s="220"/>
      <c r="F636" s="220"/>
    </row>
    <row r="637" spans="1:6" ht="15.75" customHeight="1" x14ac:dyDescent="0.2">
      <c r="A637" s="219"/>
      <c r="E637" s="220"/>
      <c r="F637" s="220"/>
    </row>
    <row r="638" spans="1:6" ht="15.75" customHeight="1" x14ac:dyDescent="0.2">
      <c r="A638" s="219"/>
      <c r="E638" s="220"/>
      <c r="F638" s="220"/>
    </row>
    <row r="639" spans="1:6" ht="15.75" customHeight="1" x14ac:dyDescent="0.2">
      <c r="A639" s="219"/>
      <c r="E639" s="220"/>
      <c r="F639" s="220"/>
    </row>
    <row r="640" spans="1:6" ht="15.75" customHeight="1" x14ac:dyDescent="0.2">
      <c r="A640" s="219"/>
      <c r="E640" s="220"/>
      <c r="F640" s="220"/>
    </row>
    <row r="641" spans="1:6" ht="15.75" customHeight="1" x14ac:dyDescent="0.2">
      <c r="A641" s="219"/>
      <c r="E641" s="220"/>
      <c r="F641" s="220"/>
    </row>
    <row r="642" spans="1:6" ht="15.75" customHeight="1" x14ac:dyDescent="0.2">
      <c r="A642" s="219"/>
      <c r="E642" s="220"/>
      <c r="F642" s="220"/>
    </row>
    <row r="643" spans="1:6" ht="15.75" customHeight="1" x14ac:dyDescent="0.2">
      <c r="A643" s="219"/>
      <c r="E643" s="220"/>
      <c r="F643" s="220"/>
    </row>
    <row r="644" spans="1:6" ht="15.75" customHeight="1" x14ac:dyDescent="0.2">
      <c r="A644" s="219"/>
      <c r="E644" s="220"/>
      <c r="F644" s="220"/>
    </row>
    <row r="645" spans="1:6" ht="15.75" customHeight="1" x14ac:dyDescent="0.2">
      <c r="A645" s="219"/>
      <c r="E645" s="220"/>
      <c r="F645" s="220"/>
    </row>
    <row r="646" spans="1:6" ht="15.75" customHeight="1" x14ac:dyDescent="0.2">
      <c r="A646" s="219"/>
      <c r="E646" s="220"/>
      <c r="F646" s="220"/>
    </row>
    <row r="647" spans="1:6" ht="15.75" customHeight="1" x14ac:dyDescent="0.2">
      <c r="A647" s="219"/>
      <c r="E647" s="220"/>
      <c r="F647" s="220"/>
    </row>
    <row r="648" spans="1:6" ht="15.75" customHeight="1" x14ac:dyDescent="0.2">
      <c r="A648" s="219"/>
      <c r="E648" s="220"/>
      <c r="F648" s="220"/>
    </row>
    <row r="649" spans="1:6" ht="15.75" customHeight="1" x14ac:dyDescent="0.2">
      <c r="A649" s="219"/>
      <c r="E649" s="220"/>
      <c r="F649" s="220"/>
    </row>
    <row r="650" spans="1:6" ht="15.75" customHeight="1" x14ac:dyDescent="0.2">
      <c r="A650" s="219"/>
      <c r="E650" s="220"/>
      <c r="F650" s="220"/>
    </row>
    <row r="651" spans="1:6" ht="15.75" customHeight="1" x14ac:dyDescent="0.2">
      <c r="A651" s="219"/>
      <c r="E651" s="220"/>
      <c r="F651" s="220"/>
    </row>
    <row r="652" spans="1:6" ht="15.75" customHeight="1" x14ac:dyDescent="0.2">
      <c r="A652" s="219"/>
      <c r="E652" s="220"/>
      <c r="F652" s="220"/>
    </row>
    <row r="653" spans="1:6" ht="15.75" customHeight="1" x14ac:dyDescent="0.2">
      <c r="A653" s="219"/>
      <c r="E653" s="220"/>
      <c r="F653" s="220"/>
    </row>
    <row r="654" spans="1:6" ht="15.75" customHeight="1" x14ac:dyDescent="0.2">
      <c r="A654" s="219"/>
      <c r="E654" s="220"/>
      <c r="F654" s="220"/>
    </row>
    <row r="655" spans="1:6" ht="15.75" customHeight="1" x14ac:dyDescent="0.2">
      <c r="A655" s="219"/>
      <c r="E655" s="220"/>
      <c r="F655" s="220"/>
    </row>
    <row r="656" spans="1:6" ht="15.75" customHeight="1" x14ac:dyDescent="0.2">
      <c r="A656" s="219"/>
      <c r="E656" s="220"/>
      <c r="F656" s="220"/>
    </row>
    <row r="657" spans="1:6" ht="15.75" customHeight="1" x14ac:dyDescent="0.2">
      <c r="A657" s="219"/>
      <c r="E657" s="220"/>
      <c r="F657" s="220"/>
    </row>
    <row r="658" spans="1:6" ht="15.75" customHeight="1" x14ac:dyDescent="0.2">
      <c r="A658" s="219"/>
      <c r="E658" s="220"/>
      <c r="F658" s="220"/>
    </row>
    <row r="659" spans="1:6" ht="15.75" customHeight="1" x14ac:dyDescent="0.2">
      <c r="A659" s="219"/>
      <c r="E659" s="220"/>
      <c r="F659" s="220"/>
    </row>
    <row r="660" spans="1:6" ht="15.75" customHeight="1" x14ac:dyDescent="0.2">
      <c r="A660" s="219"/>
      <c r="E660" s="220"/>
      <c r="F660" s="220"/>
    </row>
    <row r="661" spans="1:6" ht="15.75" customHeight="1" x14ac:dyDescent="0.2">
      <c r="A661" s="219"/>
      <c r="E661" s="220"/>
      <c r="F661" s="220"/>
    </row>
    <row r="662" spans="1:6" ht="15.75" customHeight="1" x14ac:dyDescent="0.2">
      <c r="A662" s="219"/>
      <c r="E662" s="220"/>
      <c r="F662" s="220"/>
    </row>
    <row r="663" spans="1:6" ht="15.75" customHeight="1" x14ac:dyDescent="0.2">
      <c r="A663" s="219"/>
      <c r="E663" s="220"/>
      <c r="F663" s="220"/>
    </row>
    <row r="664" spans="1:6" ht="15.75" customHeight="1" x14ac:dyDescent="0.2">
      <c r="A664" s="219"/>
      <c r="E664" s="220"/>
      <c r="F664" s="220"/>
    </row>
    <row r="665" spans="1:6" ht="15.75" customHeight="1" x14ac:dyDescent="0.2">
      <c r="A665" s="219"/>
      <c r="E665" s="220"/>
      <c r="F665" s="220"/>
    </row>
    <row r="666" spans="1:6" ht="15.75" customHeight="1" x14ac:dyDescent="0.2">
      <c r="A666" s="219"/>
      <c r="E666" s="220"/>
      <c r="F666" s="220"/>
    </row>
    <row r="667" spans="1:6" ht="15.75" customHeight="1" x14ac:dyDescent="0.2">
      <c r="A667" s="219"/>
      <c r="E667" s="220"/>
      <c r="F667" s="220"/>
    </row>
    <row r="668" spans="1:6" ht="15.75" customHeight="1" x14ac:dyDescent="0.2">
      <c r="A668" s="219"/>
      <c r="E668" s="220"/>
      <c r="F668" s="220"/>
    </row>
    <row r="669" spans="1:6" ht="15.75" customHeight="1" x14ac:dyDescent="0.2">
      <c r="A669" s="219"/>
      <c r="E669" s="220"/>
      <c r="F669" s="220"/>
    </row>
    <row r="670" spans="1:6" ht="15.75" customHeight="1" x14ac:dyDescent="0.2">
      <c r="A670" s="219"/>
      <c r="E670" s="220"/>
      <c r="F670" s="220"/>
    </row>
    <row r="671" spans="1:6" ht="15.75" customHeight="1" x14ac:dyDescent="0.2">
      <c r="A671" s="219"/>
      <c r="E671" s="220"/>
      <c r="F671" s="220"/>
    </row>
    <row r="672" spans="1:6" ht="15.75" customHeight="1" x14ac:dyDescent="0.2">
      <c r="A672" s="219"/>
      <c r="E672" s="220"/>
      <c r="F672" s="220"/>
    </row>
    <row r="673" spans="1:6" ht="15.75" customHeight="1" x14ac:dyDescent="0.2">
      <c r="A673" s="219"/>
      <c r="E673" s="220"/>
      <c r="F673" s="220"/>
    </row>
    <row r="674" spans="1:6" ht="15.75" customHeight="1" x14ac:dyDescent="0.2">
      <c r="A674" s="219"/>
      <c r="E674" s="220"/>
      <c r="F674" s="220"/>
    </row>
    <row r="675" spans="1:6" ht="15.75" customHeight="1" x14ac:dyDescent="0.2">
      <c r="A675" s="219"/>
      <c r="E675" s="220"/>
      <c r="F675" s="220"/>
    </row>
    <row r="676" spans="1:6" ht="15.75" customHeight="1" x14ac:dyDescent="0.2">
      <c r="A676" s="219"/>
      <c r="E676" s="220"/>
      <c r="F676" s="220"/>
    </row>
    <row r="677" spans="1:6" ht="15.75" customHeight="1" x14ac:dyDescent="0.2">
      <c r="A677" s="219"/>
      <c r="E677" s="220"/>
      <c r="F677" s="220"/>
    </row>
    <row r="678" spans="1:6" ht="15.75" customHeight="1" x14ac:dyDescent="0.2">
      <c r="A678" s="219"/>
      <c r="E678" s="220"/>
      <c r="F678" s="220"/>
    </row>
    <row r="679" spans="1:6" ht="15.75" customHeight="1" x14ac:dyDescent="0.2">
      <c r="A679" s="219"/>
      <c r="E679" s="220"/>
      <c r="F679" s="220"/>
    </row>
    <row r="680" spans="1:6" ht="15.75" customHeight="1" x14ac:dyDescent="0.2">
      <c r="A680" s="219"/>
      <c r="E680" s="220"/>
      <c r="F680" s="220"/>
    </row>
    <row r="681" spans="1:6" ht="15.75" customHeight="1" x14ac:dyDescent="0.2">
      <c r="A681" s="219"/>
      <c r="E681" s="220"/>
      <c r="F681" s="220"/>
    </row>
    <row r="682" spans="1:6" ht="15.75" customHeight="1" x14ac:dyDescent="0.2">
      <c r="A682" s="219"/>
      <c r="E682" s="220"/>
      <c r="F682" s="220"/>
    </row>
    <row r="683" spans="1:6" ht="15.75" customHeight="1" x14ac:dyDescent="0.2">
      <c r="A683" s="219"/>
      <c r="E683" s="220"/>
      <c r="F683" s="220"/>
    </row>
    <row r="684" spans="1:6" ht="15.75" customHeight="1" x14ac:dyDescent="0.2">
      <c r="A684" s="219"/>
      <c r="E684" s="220"/>
      <c r="F684" s="220"/>
    </row>
    <row r="685" spans="1:6" ht="15.75" customHeight="1" x14ac:dyDescent="0.2">
      <c r="A685" s="219"/>
      <c r="E685" s="220"/>
      <c r="F685" s="220"/>
    </row>
    <row r="686" spans="1:6" ht="15.75" customHeight="1" x14ac:dyDescent="0.2">
      <c r="A686" s="219"/>
      <c r="E686" s="220"/>
      <c r="F686" s="220"/>
    </row>
    <row r="687" spans="1:6" ht="15.75" customHeight="1" x14ac:dyDescent="0.2">
      <c r="A687" s="219"/>
      <c r="E687" s="220"/>
      <c r="F687" s="220"/>
    </row>
    <row r="688" spans="1:6" ht="15.75" customHeight="1" x14ac:dyDescent="0.2">
      <c r="A688" s="219"/>
      <c r="E688" s="220"/>
      <c r="F688" s="220"/>
    </row>
    <row r="689" spans="1:6" ht="15.75" customHeight="1" x14ac:dyDescent="0.2">
      <c r="A689" s="219"/>
      <c r="E689" s="220"/>
      <c r="F689" s="220"/>
    </row>
    <row r="690" spans="1:6" ht="15.75" customHeight="1" x14ac:dyDescent="0.2">
      <c r="A690" s="219"/>
      <c r="E690" s="220"/>
      <c r="F690" s="220"/>
    </row>
    <row r="691" spans="1:6" ht="15.75" customHeight="1" x14ac:dyDescent="0.2">
      <c r="A691" s="219"/>
      <c r="E691" s="220"/>
      <c r="F691" s="220"/>
    </row>
    <row r="692" spans="1:6" ht="15.75" customHeight="1" x14ac:dyDescent="0.2">
      <c r="A692" s="219"/>
      <c r="E692" s="220"/>
      <c r="F692" s="220"/>
    </row>
    <row r="693" spans="1:6" ht="15.75" customHeight="1" x14ac:dyDescent="0.2">
      <c r="A693" s="219"/>
      <c r="E693" s="220"/>
      <c r="F693" s="220"/>
    </row>
    <row r="694" spans="1:6" ht="15.75" customHeight="1" x14ac:dyDescent="0.2">
      <c r="A694" s="219"/>
      <c r="E694" s="220"/>
      <c r="F694" s="220"/>
    </row>
    <row r="695" spans="1:6" ht="15.75" customHeight="1" x14ac:dyDescent="0.2">
      <c r="A695" s="219"/>
      <c r="E695" s="220"/>
      <c r="F695" s="220"/>
    </row>
    <row r="696" spans="1:6" ht="15.75" customHeight="1" x14ac:dyDescent="0.2">
      <c r="A696" s="219"/>
      <c r="E696" s="220"/>
      <c r="F696" s="220"/>
    </row>
    <row r="697" spans="1:6" ht="15.75" customHeight="1" x14ac:dyDescent="0.2">
      <c r="A697" s="219"/>
      <c r="E697" s="220"/>
      <c r="F697" s="220"/>
    </row>
    <row r="698" spans="1:6" ht="15.75" customHeight="1" x14ac:dyDescent="0.2">
      <c r="A698" s="219"/>
      <c r="E698" s="220"/>
      <c r="F698" s="220"/>
    </row>
    <row r="699" spans="1:6" ht="15.75" customHeight="1" x14ac:dyDescent="0.2">
      <c r="A699" s="219"/>
      <c r="E699" s="220"/>
      <c r="F699" s="220"/>
    </row>
    <row r="700" spans="1:6" ht="15.75" customHeight="1" x14ac:dyDescent="0.2">
      <c r="A700" s="219"/>
      <c r="E700" s="220"/>
      <c r="F700" s="220"/>
    </row>
    <row r="701" spans="1:6" ht="15.75" customHeight="1" x14ac:dyDescent="0.2">
      <c r="A701" s="219"/>
      <c r="E701" s="220"/>
      <c r="F701" s="220"/>
    </row>
    <row r="702" spans="1:6" ht="15.75" customHeight="1" x14ac:dyDescent="0.2">
      <c r="A702" s="219"/>
      <c r="E702" s="220"/>
      <c r="F702" s="220"/>
    </row>
    <row r="703" spans="1:6" ht="15.75" customHeight="1" x14ac:dyDescent="0.2">
      <c r="A703" s="219"/>
      <c r="E703" s="220"/>
      <c r="F703" s="220"/>
    </row>
    <row r="704" spans="1:6" ht="15.75" customHeight="1" x14ac:dyDescent="0.2">
      <c r="A704" s="219"/>
      <c r="E704" s="220"/>
      <c r="F704" s="220"/>
    </row>
    <row r="705" spans="1:6" ht="15.75" customHeight="1" x14ac:dyDescent="0.2">
      <c r="A705" s="219"/>
      <c r="E705" s="220"/>
      <c r="F705" s="220"/>
    </row>
    <row r="706" spans="1:6" ht="15.75" customHeight="1" x14ac:dyDescent="0.2">
      <c r="A706" s="219"/>
      <c r="E706" s="220"/>
      <c r="F706" s="220"/>
    </row>
    <row r="707" spans="1:6" ht="15.75" customHeight="1" x14ac:dyDescent="0.2">
      <c r="A707" s="219"/>
      <c r="E707" s="220"/>
      <c r="F707" s="220"/>
    </row>
    <row r="708" spans="1:6" ht="15.75" customHeight="1" x14ac:dyDescent="0.2">
      <c r="A708" s="219"/>
      <c r="E708" s="220"/>
      <c r="F708" s="220"/>
    </row>
    <row r="709" spans="1:6" ht="15.75" customHeight="1" x14ac:dyDescent="0.2">
      <c r="A709" s="219"/>
      <c r="E709" s="220"/>
      <c r="F709" s="220"/>
    </row>
    <row r="710" spans="1:6" ht="15.75" customHeight="1" x14ac:dyDescent="0.2">
      <c r="A710" s="219"/>
      <c r="E710" s="220"/>
      <c r="F710" s="220"/>
    </row>
    <row r="711" spans="1:6" ht="15.75" customHeight="1" x14ac:dyDescent="0.2">
      <c r="A711" s="219"/>
      <c r="E711" s="220"/>
      <c r="F711" s="220"/>
    </row>
    <row r="712" spans="1:6" ht="15.75" customHeight="1" x14ac:dyDescent="0.2">
      <c r="A712" s="219"/>
      <c r="E712" s="220"/>
      <c r="F712" s="220"/>
    </row>
    <row r="713" spans="1:6" ht="15.75" customHeight="1" x14ac:dyDescent="0.2">
      <c r="A713" s="219"/>
      <c r="E713" s="220"/>
      <c r="F713" s="220"/>
    </row>
    <row r="714" spans="1:6" ht="15.75" customHeight="1" x14ac:dyDescent="0.2">
      <c r="A714" s="219"/>
      <c r="E714" s="220"/>
      <c r="F714" s="220"/>
    </row>
    <row r="715" spans="1:6" ht="15.75" customHeight="1" x14ac:dyDescent="0.2">
      <c r="A715" s="219"/>
      <c r="E715" s="220"/>
      <c r="F715" s="220"/>
    </row>
    <row r="716" spans="1:6" ht="15.75" customHeight="1" x14ac:dyDescent="0.2">
      <c r="A716" s="219"/>
      <c r="E716" s="220"/>
      <c r="F716" s="220"/>
    </row>
    <row r="717" spans="1:6" ht="15.75" customHeight="1" x14ac:dyDescent="0.2">
      <c r="A717" s="219"/>
      <c r="E717" s="220"/>
      <c r="F717" s="220"/>
    </row>
    <row r="718" spans="1:6" ht="15.75" customHeight="1" x14ac:dyDescent="0.2">
      <c r="A718" s="219"/>
      <c r="E718" s="220"/>
      <c r="F718" s="220"/>
    </row>
    <row r="719" spans="1:6" ht="15.75" customHeight="1" x14ac:dyDescent="0.2">
      <c r="A719" s="219"/>
      <c r="E719" s="220"/>
      <c r="F719" s="220"/>
    </row>
    <row r="720" spans="1:6" ht="15.75" customHeight="1" x14ac:dyDescent="0.2">
      <c r="A720" s="219"/>
      <c r="E720" s="220"/>
      <c r="F720" s="220"/>
    </row>
    <row r="721" spans="1:6" ht="15.75" customHeight="1" x14ac:dyDescent="0.2">
      <c r="A721" s="219"/>
      <c r="E721" s="220"/>
      <c r="F721" s="220"/>
    </row>
    <row r="722" spans="1:6" ht="15.75" customHeight="1" x14ac:dyDescent="0.2">
      <c r="A722" s="219"/>
      <c r="E722" s="220"/>
      <c r="F722" s="220"/>
    </row>
    <row r="723" spans="1:6" ht="15.75" customHeight="1" x14ac:dyDescent="0.2">
      <c r="A723" s="219"/>
      <c r="E723" s="220"/>
      <c r="F723" s="220"/>
    </row>
    <row r="724" spans="1:6" ht="15.75" customHeight="1" x14ac:dyDescent="0.2">
      <c r="A724" s="219"/>
      <c r="E724" s="220"/>
      <c r="F724" s="220"/>
    </row>
    <row r="725" spans="1:6" ht="15.75" customHeight="1" x14ac:dyDescent="0.2">
      <c r="A725" s="219"/>
      <c r="E725" s="220"/>
      <c r="F725" s="220"/>
    </row>
    <row r="726" spans="1:6" ht="15.75" customHeight="1" x14ac:dyDescent="0.2">
      <c r="A726" s="219"/>
      <c r="E726" s="220"/>
      <c r="F726" s="220"/>
    </row>
    <row r="727" spans="1:6" ht="15.75" customHeight="1" x14ac:dyDescent="0.2">
      <c r="A727" s="219"/>
      <c r="E727" s="220"/>
      <c r="F727" s="220"/>
    </row>
    <row r="728" spans="1:6" ht="15.75" customHeight="1" x14ac:dyDescent="0.2">
      <c r="A728" s="219"/>
      <c r="E728" s="220"/>
      <c r="F728" s="220"/>
    </row>
    <row r="729" spans="1:6" ht="15.75" customHeight="1" x14ac:dyDescent="0.2">
      <c r="A729" s="219"/>
      <c r="E729" s="220"/>
      <c r="F729" s="220"/>
    </row>
    <row r="730" spans="1:6" ht="15.75" customHeight="1" x14ac:dyDescent="0.2">
      <c r="A730" s="219"/>
      <c r="E730" s="220"/>
      <c r="F730" s="220"/>
    </row>
    <row r="731" spans="1:6" ht="15.75" customHeight="1" x14ac:dyDescent="0.2">
      <c r="A731" s="219"/>
      <c r="E731" s="220"/>
      <c r="F731" s="220"/>
    </row>
    <row r="732" spans="1:6" ht="15.75" customHeight="1" x14ac:dyDescent="0.2">
      <c r="A732" s="219"/>
      <c r="E732" s="220"/>
      <c r="F732" s="220"/>
    </row>
    <row r="733" spans="1:6" ht="15.75" customHeight="1" x14ac:dyDescent="0.2">
      <c r="A733" s="219"/>
      <c r="E733" s="220"/>
      <c r="F733" s="220"/>
    </row>
    <row r="734" spans="1:6" ht="15.75" customHeight="1" x14ac:dyDescent="0.2">
      <c r="A734" s="219"/>
      <c r="E734" s="220"/>
      <c r="F734" s="220"/>
    </row>
    <row r="735" spans="1:6" ht="15.75" customHeight="1" x14ac:dyDescent="0.2">
      <c r="A735" s="219"/>
      <c r="E735" s="220"/>
      <c r="F735" s="220"/>
    </row>
    <row r="736" spans="1:6" ht="15.75" customHeight="1" x14ac:dyDescent="0.2">
      <c r="A736" s="219"/>
      <c r="E736" s="220"/>
      <c r="F736" s="220"/>
    </row>
    <row r="737" spans="1:6" ht="15.75" customHeight="1" x14ac:dyDescent="0.2">
      <c r="A737" s="219"/>
      <c r="E737" s="220"/>
      <c r="F737" s="220"/>
    </row>
    <row r="738" spans="1:6" ht="15.75" customHeight="1" x14ac:dyDescent="0.2">
      <c r="A738" s="219"/>
      <c r="E738" s="220"/>
      <c r="F738" s="220"/>
    </row>
    <row r="739" spans="1:6" ht="15.75" customHeight="1" x14ac:dyDescent="0.2">
      <c r="A739" s="219"/>
      <c r="E739" s="220"/>
      <c r="F739" s="220"/>
    </row>
    <row r="740" spans="1:6" ht="15.75" customHeight="1" x14ac:dyDescent="0.2">
      <c r="A740" s="219"/>
      <c r="E740" s="220"/>
      <c r="F740" s="220"/>
    </row>
    <row r="741" spans="1:6" ht="15.75" customHeight="1" x14ac:dyDescent="0.2">
      <c r="A741" s="219"/>
      <c r="E741" s="220"/>
      <c r="F741" s="220"/>
    </row>
    <row r="742" spans="1:6" ht="15.75" customHeight="1" x14ac:dyDescent="0.2">
      <c r="A742" s="219"/>
      <c r="E742" s="220"/>
      <c r="F742" s="220"/>
    </row>
    <row r="743" spans="1:6" ht="15.75" customHeight="1" x14ac:dyDescent="0.2">
      <c r="A743" s="219"/>
      <c r="E743" s="220"/>
      <c r="F743" s="220"/>
    </row>
    <row r="744" spans="1:6" ht="15.75" customHeight="1" x14ac:dyDescent="0.2">
      <c r="A744" s="219"/>
      <c r="E744" s="220"/>
      <c r="F744" s="220"/>
    </row>
    <row r="745" spans="1:6" ht="15.75" customHeight="1" x14ac:dyDescent="0.2">
      <c r="A745" s="219"/>
      <c r="E745" s="220"/>
      <c r="F745" s="220"/>
    </row>
    <row r="746" spans="1:6" ht="15.75" customHeight="1" x14ac:dyDescent="0.2">
      <c r="A746" s="219"/>
      <c r="E746" s="220"/>
      <c r="F746" s="220"/>
    </row>
    <row r="747" spans="1:6" ht="15.75" customHeight="1" x14ac:dyDescent="0.2">
      <c r="A747" s="219"/>
      <c r="E747" s="220"/>
      <c r="F747" s="220"/>
    </row>
    <row r="748" spans="1:6" ht="15.75" customHeight="1" x14ac:dyDescent="0.2">
      <c r="A748" s="219"/>
      <c r="E748" s="220"/>
      <c r="F748" s="220"/>
    </row>
    <row r="749" spans="1:6" ht="15.75" customHeight="1" x14ac:dyDescent="0.2">
      <c r="A749" s="219"/>
      <c r="E749" s="220"/>
      <c r="F749" s="220"/>
    </row>
    <row r="750" spans="1:6" ht="15.75" customHeight="1" x14ac:dyDescent="0.2">
      <c r="A750" s="219"/>
      <c r="E750" s="220"/>
      <c r="F750" s="220"/>
    </row>
    <row r="751" spans="1:6" ht="15.75" customHeight="1" x14ac:dyDescent="0.2">
      <c r="A751" s="219"/>
      <c r="E751" s="220"/>
      <c r="F751" s="220"/>
    </row>
    <row r="752" spans="1:6" ht="15.75" customHeight="1" x14ac:dyDescent="0.2">
      <c r="A752" s="219"/>
      <c r="E752" s="220"/>
      <c r="F752" s="220"/>
    </row>
    <row r="753" spans="1:6" ht="15.75" customHeight="1" x14ac:dyDescent="0.2">
      <c r="A753" s="219"/>
      <c r="E753" s="220"/>
      <c r="F753" s="220"/>
    </row>
    <row r="754" spans="1:6" ht="15.75" customHeight="1" x14ac:dyDescent="0.2">
      <c r="A754" s="219"/>
      <c r="E754" s="220"/>
      <c r="F754" s="220"/>
    </row>
    <row r="755" spans="1:6" ht="15.75" customHeight="1" x14ac:dyDescent="0.2">
      <c r="A755" s="219"/>
      <c r="E755" s="220"/>
      <c r="F755" s="220"/>
    </row>
    <row r="756" spans="1:6" ht="15.75" customHeight="1" x14ac:dyDescent="0.2">
      <c r="A756" s="219"/>
      <c r="E756" s="220"/>
      <c r="F756" s="220"/>
    </row>
    <row r="757" spans="1:6" ht="15.75" customHeight="1" x14ac:dyDescent="0.2">
      <c r="A757" s="219"/>
      <c r="E757" s="220"/>
      <c r="F757" s="220"/>
    </row>
    <row r="758" spans="1:6" ht="15.75" customHeight="1" x14ac:dyDescent="0.2">
      <c r="A758" s="219"/>
      <c r="E758" s="220"/>
      <c r="F758" s="220"/>
    </row>
    <row r="759" spans="1:6" ht="15.75" customHeight="1" x14ac:dyDescent="0.2">
      <c r="A759" s="219"/>
      <c r="E759" s="220"/>
      <c r="F759" s="220"/>
    </row>
    <row r="760" spans="1:6" ht="15.75" customHeight="1" x14ac:dyDescent="0.2">
      <c r="A760" s="219"/>
      <c r="E760" s="220"/>
      <c r="F760" s="220"/>
    </row>
    <row r="761" spans="1:6" ht="15.75" customHeight="1" x14ac:dyDescent="0.2">
      <c r="A761" s="219"/>
      <c r="E761" s="220"/>
      <c r="F761" s="220"/>
    </row>
    <row r="762" spans="1:6" ht="15.75" customHeight="1" x14ac:dyDescent="0.2">
      <c r="A762" s="219"/>
      <c r="E762" s="220"/>
      <c r="F762" s="220"/>
    </row>
    <row r="763" spans="1:6" ht="15.75" customHeight="1" x14ac:dyDescent="0.2">
      <c r="A763" s="219"/>
      <c r="E763" s="220"/>
      <c r="F763" s="220"/>
    </row>
    <row r="764" spans="1:6" ht="15.75" customHeight="1" x14ac:dyDescent="0.2">
      <c r="A764" s="219"/>
      <c r="E764" s="220"/>
      <c r="F764" s="220"/>
    </row>
    <row r="765" spans="1:6" ht="15.75" customHeight="1" x14ac:dyDescent="0.2">
      <c r="A765" s="219"/>
      <c r="E765" s="220"/>
      <c r="F765" s="220"/>
    </row>
    <row r="766" spans="1:6" ht="15.75" customHeight="1" x14ac:dyDescent="0.2">
      <c r="A766" s="219"/>
      <c r="E766" s="220"/>
      <c r="F766" s="220"/>
    </row>
    <row r="767" spans="1:6" ht="15.75" customHeight="1" x14ac:dyDescent="0.2">
      <c r="A767" s="219"/>
      <c r="E767" s="220"/>
      <c r="F767" s="220"/>
    </row>
    <row r="768" spans="1:6" ht="15.75" customHeight="1" x14ac:dyDescent="0.2">
      <c r="A768" s="219"/>
      <c r="E768" s="220"/>
      <c r="F768" s="220"/>
    </row>
    <row r="769" spans="1:6" ht="15.75" customHeight="1" x14ac:dyDescent="0.2">
      <c r="A769" s="219"/>
      <c r="E769" s="220"/>
      <c r="F769" s="220"/>
    </row>
    <row r="770" spans="1:6" ht="15.75" customHeight="1" x14ac:dyDescent="0.2">
      <c r="A770" s="219"/>
      <c r="E770" s="220"/>
      <c r="F770" s="220"/>
    </row>
    <row r="771" spans="1:6" ht="15.75" customHeight="1" x14ac:dyDescent="0.2">
      <c r="A771" s="219"/>
      <c r="E771" s="220"/>
      <c r="F771" s="220"/>
    </row>
    <row r="772" spans="1:6" ht="15.75" customHeight="1" x14ac:dyDescent="0.2">
      <c r="A772" s="219"/>
      <c r="E772" s="220"/>
      <c r="F772" s="220"/>
    </row>
    <row r="773" spans="1:6" ht="15.75" customHeight="1" x14ac:dyDescent="0.2">
      <c r="A773" s="219"/>
      <c r="E773" s="220"/>
      <c r="F773" s="220"/>
    </row>
    <row r="774" spans="1:6" ht="15.75" customHeight="1" x14ac:dyDescent="0.2">
      <c r="A774" s="219"/>
      <c r="E774" s="220"/>
      <c r="F774" s="220"/>
    </row>
    <row r="775" spans="1:6" ht="15.75" customHeight="1" x14ac:dyDescent="0.2">
      <c r="A775" s="219"/>
      <c r="E775" s="220"/>
      <c r="F775" s="220"/>
    </row>
    <row r="776" spans="1:6" ht="15.75" customHeight="1" x14ac:dyDescent="0.2">
      <c r="A776" s="219"/>
      <c r="E776" s="220"/>
      <c r="F776" s="220"/>
    </row>
    <row r="777" spans="1:6" ht="15.75" customHeight="1" x14ac:dyDescent="0.2">
      <c r="A777" s="219"/>
      <c r="E777" s="220"/>
      <c r="F777" s="220"/>
    </row>
    <row r="778" spans="1:6" ht="15.75" customHeight="1" x14ac:dyDescent="0.2">
      <c r="A778" s="219"/>
      <c r="E778" s="220"/>
      <c r="F778" s="220"/>
    </row>
    <row r="779" spans="1:6" ht="15.75" customHeight="1" x14ac:dyDescent="0.2">
      <c r="A779" s="219"/>
      <c r="E779" s="220"/>
      <c r="F779" s="220"/>
    </row>
    <row r="780" spans="1:6" ht="15.75" customHeight="1" x14ac:dyDescent="0.2">
      <c r="A780" s="219"/>
      <c r="E780" s="220"/>
      <c r="F780" s="220"/>
    </row>
    <row r="781" spans="1:6" ht="15.75" customHeight="1" x14ac:dyDescent="0.2">
      <c r="A781" s="219"/>
      <c r="E781" s="220"/>
      <c r="F781" s="220"/>
    </row>
    <row r="782" spans="1:6" ht="15.75" customHeight="1" x14ac:dyDescent="0.2">
      <c r="A782" s="219"/>
      <c r="E782" s="220"/>
      <c r="F782" s="220"/>
    </row>
    <row r="783" spans="1:6" ht="15.75" customHeight="1" x14ac:dyDescent="0.2">
      <c r="A783" s="219"/>
      <c r="E783" s="220"/>
      <c r="F783" s="220"/>
    </row>
    <row r="784" spans="1:6" ht="15.75" customHeight="1" x14ac:dyDescent="0.2">
      <c r="A784" s="219"/>
      <c r="E784" s="220"/>
      <c r="F784" s="220"/>
    </row>
    <row r="785" spans="1:6" ht="15.75" customHeight="1" x14ac:dyDescent="0.2">
      <c r="A785" s="219"/>
      <c r="E785" s="220"/>
      <c r="F785" s="220"/>
    </row>
    <row r="786" spans="1:6" ht="15.75" customHeight="1" x14ac:dyDescent="0.2">
      <c r="A786" s="219"/>
      <c r="E786" s="220"/>
      <c r="F786" s="220"/>
    </row>
    <row r="787" spans="1:6" ht="15.75" customHeight="1" x14ac:dyDescent="0.2">
      <c r="A787" s="219"/>
      <c r="E787" s="220"/>
      <c r="F787" s="220"/>
    </row>
    <row r="788" spans="1:6" ht="15.75" customHeight="1" x14ac:dyDescent="0.2">
      <c r="A788" s="219"/>
      <c r="E788" s="220"/>
      <c r="F788" s="220"/>
    </row>
    <row r="789" spans="1:6" ht="15.75" customHeight="1" x14ac:dyDescent="0.2">
      <c r="A789" s="219"/>
      <c r="E789" s="220"/>
      <c r="F789" s="220"/>
    </row>
    <row r="790" spans="1:6" ht="15.75" customHeight="1" x14ac:dyDescent="0.2">
      <c r="A790" s="219"/>
      <c r="E790" s="220"/>
      <c r="F790" s="220"/>
    </row>
    <row r="791" spans="1:6" ht="15.75" customHeight="1" x14ac:dyDescent="0.2">
      <c r="A791" s="219"/>
      <c r="E791" s="220"/>
      <c r="F791" s="220"/>
    </row>
    <row r="792" spans="1:6" ht="15.75" customHeight="1" x14ac:dyDescent="0.2">
      <c r="A792" s="219"/>
      <c r="E792" s="220"/>
      <c r="F792" s="220"/>
    </row>
    <row r="793" spans="1:6" ht="15.75" customHeight="1" x14ac:dyDescent="0.2">
      <c r="A793" s="219"/>
      <c r="E793" s="220"/>
      <c r="F793" s="220"/>
    </row>
    <row r="794" spans="1:6" ht="15.75" customHeight="1" x14ac:dyDescent="0.2">
      <c r="A794" s="219"/>
      <c r="E794" s="220"/>
      <c r="F794" s="220"/>
    </row>
    <row r="795" spans="1:6" ht="15.75" customHeight="1" x14ac:dyDescent="0.2">
      <c r="A795" s="219"/>
      <c r="E795" s="220"/>
      <c r="F795" s="220"/>
    </row>
    <row r="796" spans="1:6" ht="15.75" customHeight="1" x14ac:dyDescent="0.2">
      <c r="A796" s="219"/>
      <c r="E796" s="220"/>
      <c r="F796" s="220"/>
    </row>
    <row r="797" spans="1:6" ht="15.75" customHeight="1" x14ac:dyDescent="0.2">
      <c r="A797" s="219"/>
      <c r="E797" s="220"/>
      <c r="F797" s="220"/>
    </row>
    <row r="798" spans="1:6" ht="15.75" customHeight="1" x14ac:dyDescent="0.2">
      <c r="A798" s="219"/>
      <c r="E798" s="220"/>
      <c r="F798" s="220"/>
    </row>
    <row r="799" spans="1:6" ht="15.75" customHeight="1" x14ac:dyDescent="0.2">
      <c r="A799" s="219"/>
      <c r="E799" s="220"/>
      <c r="F799" s="220"/>
    </row>
    <row r="800" spans="1:6" ht="15.75" customHeight="1" x14ac:dyDescent="0.2">
      <c r="A800" s="219"/>
      <c r="E800" s="220"/>
      <c r="F800" s="220"/>
    </row>
    <row r="801" spans="1:6" ht="15.75" customHeight="1" x14ac:dyDescent="0.2">
      <c r="A801" s="219"/>
      <c r="E801" s="220"/>
      <c r="F801" s="220"/>
    </row>
    <row r="802" spans="1:6" ht="15.75" customHeight="1" x14ac:dyDescent="0.2">
      <c r="A802" s="219"/>
      <c r="E802" s="220"/>
      <c r="F802" s="220"/>
    </row>
    <row r="803" spans="1:6" ht="15.75" customHeight="1" x14ac:dyDescent="0.2">
      <c r="A803" s="219"/>
      <c r="E803" s="220"/>
      <c r="F803" s="220"/>
    </row>
    <row r="804" spans="1:6" ht="15.75" customHeight="1" x14ac:dyDescent="0.2">
      <c r="A804" s="219"/>
      <c r="E804" s="220"/>
      <c r="F804" s="220"/>
    </row>
    <row r="805" spans="1:6" ht="15.75" customHeight="1" x14ac:dyDescent="0.2">
      <c r="A805" s="219"/>
      <c r="E805" s="220"/>
      <c r="F805" s="220"/>
    </row>
    <row r="806" spans="1:6" ht="15.75" customHeight="1" x14ac:dyDescent="0.2">
      <c r="A806" s="219"/>
      <c r="E806" s="220"/>
      <c r="F806" s="220"/>
    </row>
    <row r="807" spans="1:6" ht="15.75" customHeight="1" x14ac:dyDescent="0.2">
      <c r="A807" s="219"/>
      <c r="E807" s="220"/>
      <c r="F807" s="220"/>
    </row>
    <row r="808" spans="1:6" ht="15.75" customHeight="1" x14ac:dyDescent="0.2">
      <c r="A808" s="219"/>
      <c r="E808" s="220"/>
      <c r="F808" s="220"/>
    </row>
    <row r="809" spans="1:6" ht="15.75" customHeight="1" x14ac:dyDescent="0.2">
      <c r="A809" s="219"/>
      <c r="E809" s="220"/>
      <c r="F809" s="220"/>
    </row>
    <row r="810" spans="1:6" ht="15.75" customHeight="1" x14ac:dyDescent="0.2">
      <c r="A810" s="219"/>
      <c r="E810" s="220"/>
      <c r="F810" s="220"/>
    </row>
    <row r="811" spans="1:6" ht="15.75" customHeight="1" x14ac:dyDescent="0.2">
      <c r="A811" s="219"/>
      <c r="E811" s="220"/>
      <c r="F811" s="220"/>
    </row>
    <row r="812" spans="1:6" ht="15.75" customHeight="1" x14ac:dyDescent="0.2">
      <c r="A812" s="219"/>
      <c r="E812" s="220"/>
      <c r="F812" s="220"/>
    </row>
    <row r="813" spans="1:6" ht="15.75" customHeight="1" x14ac:dyDescent="0.2">
      <c r="A813" s="219"/>
      <c r="E813" s="220"/>
      <c r="F813" s="220"/>
    </row>
    <row r="814" spans="1:6" ht="15.75" customHeight="1" x14ac:dyDescent="0.2">
      <c r="A814" s="219"/>
      <c r="E814" s="220"/>
      <c r="F814" s="220"/>
    </row>
    <row r="815" spans="1:6" ht="15.75" customHeight="1" x14ac:dyDescent="0.2">
      <c r="A815" s="219"/>
      <c r="E815" s="220"/>
      <c r="F815" s="220"/>
    </row>
    <row r="816" spans="1:6" ht="15.75" customHeight="1" x14ac:dyDescent="0.2">
      <c r="A816" s="219"/>
      <c r="E816" s="220"/>
      <c r="F816" s="220"/>
    </row>
    <row r="817" spans="1:6" ht="15.75" customHeight="1" x14ac:dyDescent="0.2">
      <c r="A817" s="219"/>
      <c r="E817" s="220"/>
      <c r="F817" s="220"/>
    </row>
    <row r="818" spans="1:6" ht="15.75" customHeight="1" x14ac:dyDescent="0.2">
      <c r="A818" s="219"/>
      <c r="E818" s="220"/>
      <c r="F818" s="220"/>
    </row>
    <row r="819" spans="1:6" ht="15.75" customHeight="1" x14ac:dyDescent="0.2">
      <c r="A819" s="219"/>
      <c r="E819" s="220"/>
      <c r="F819" s="220"/>
    </row>
    <row r="820" spans="1:6" ht="15.75" customHeight="1" x14ac:dyDescent="0.2">
      <c r="A820" s="219"/>
      <c r="E820" s="220"/>
      <c r="F820" s="220"/>
    </row>
    <row r="821" spans="1:6" ht="15.75" customHeight="1" x14ac:dyDescent="0.2">
      <c r="A821" s="219"/>
      <c r="E821" s="220"/>
      <c r="F821" s="220"/>
    </row>
    <row r="822" spans="1:6" ht="15.75" customHeight="1" x14ac:dyDescent="0.2">
      <c r="A822" s="219"/>
      <c r="E822" s="220"/>
      <c r="F822" s="220"/>
    </row>
    <row r="823" spans="1:6" ht="15.75" customHeight="1" x14ac:dyDescent="0.2">
      <c r="A823" s="219"/>
      <c r="E823" s="220"/>
      <c r="F823" s="220"/>
    </row>
    <row r="824" spans="1:6" ht="15.75" customHeight="1" x14ac:dyDescent="0.2">
      <c r="A824" s="219"/>
      <c r="E824" s="220"/>
      <c r="F824" s="220"/>
    </row>
    <row r="825" spans="1:6" ht="15.75" customHeight="1" x14ac:dyDescent="0.2">
      <c r="A825" s="219"/>
      <c r="E825" s="220"/>
      <c r="F825" s="220"/>
    </row>
    <row r="826" spans="1:6" ht="15.75" customHeight="1" x14ac:dyDescent="0.2">
      <c r="A826" s="219"/>
      <c r="E826" s="220"/>
      <c r="F826" s="220"/>
    </row>
    <row r="827" spans="1:6" ht="15.75" customHeight="1" x14ac:dyDescent="0.2">
      <c r="A827" s="219"/>
      <c r="E827" s="220"/>
      <c r="F827" s="220"/>
    </row>
    <row r="828" spans="1:6" ht="15.75" customHeight="1" x14ac:dyDescent="0.2">
      <c r="A828" s="219"/>
      <c r="E828" s="220"/>
      <c r="F828" s="220"/>
    </row>
    <row r="829" spans="1:6" ht="15.75" customHeight="1" x14ac:dyDescent="0.2">
      <c r="A829" s="219"/>
      <c r="E829" s="220"/>
      <c r="F829" s="220"/>
    </row>
    <row r="830" spans="1:6" ht="15.75" customHeight="1" x14ac:dyDescent="0.2">
      <c r="A830" s="219"/>
      <c r="E830" s="220"/>
      <c r="F830" s="220"/>
    </row>
    <row r="831" spans="1:6" ht="15.75" customHeight="1" x14ac:dyDescent="0.2">
      <c r="A831" s="219"/>
      <c r="E831" s="220"/>
      <c r="F831" s="220"/>
    </row>
    <row r="832" spans="1:6" ht="15.75" customHeight="1" x14ac:dyDescent="0.2">
      <c r="A832" s="219"/>
      <c r="E832" s="220"/>
      <c r="F832" s="220"/>
    </row>
    <row r="833" spans="1:6" ht="15.75" customHeight="1" x14ac:dyDescent="0.2">
      <c r="A833" s="219"/>
      <c r="E833" s="220"/>
      <c r="F833" s="220"/>
    </row>
    <row r="834" spans="1:6" ht="15.75" customHeight="1" x14ac:dyDescent="0.2">
      <c r="A834" s="219"/>
      <c r="E834" s="220"/>
      <c r="F834" s="220"/>
    </row>
    <row r="835" spans="1:6" ht="15.75" customHeight="1" x14ac:dyDescent="0.2">
      <c r="A835" s="219"/>
      <c r="E835" s="220"/>
      <c r="F835" s="220"/>
    </row>
    <row r="836" spans="1:6" ht="15.75" customHeight="1" x14ac:dyDescent="0.2">
      <c r="A836" s="219"/>
      <c r="E836" s="220"/>
      <c r="F836" s="220"/>
    </row>
    <row r="837" spans="1:6" ht="15.75" customHeight="1" x14ac:dyDescent="0.2">
      <c r="A837" s="219"/>
      <c r="E837" s="220"/>
      <c r="F837" s="220"/>
    </row>
    <row r="838" spans="1:6" ht="15.75" customHeight="1" x14ac:dyDescent="0.2">
      <c r="A838" s="219"/>
      <c r="E838" s="220"/>
      <c r="F838" s="220"/>
    </row>
    <row r="839" spans="1:6" ht="15.75" customHeight="1" x14ac:dyDescent="0.2">
      <c r="A839" s="219"/>
      <c r="E839" s="220"/>
      <c r="F839" s="220"/>
    </row>
    <row r="840" spans="1:6" ht="15.75" customHeight="1" x14ac:dyDescent="0.2">
      <c r="A840" s="219"/>
      <c r="E840" s="220"/>
      <c r="F840" s="220"/>
    </row>
    <row r="841" spans="1:6" ht="15.75" customHeight="1" x14ac:dyDescent="0.2">
      <c r="A841" s="219"/>
      <c r="E841" s="220"/>
      <c r="F841" s="220"/>
    </row>
    <row r="842" spans="1:6" ht="15.75" customHeight="1" x14ac:dyDescent="0.2">
      <c r="A842" s="219"/>
      <c r="E842" s="220"/>
      <c r="F842" s="220"/>
    </row>
    <row r="843" spans="1:6" ht="15.75" customHeight="1" x14ac:dyDescent="0.2">
      <c r="A843" s="219"/>
      <c r="E843" s="220"/>
      <c r="F843" s="220"/>
    </row>
    <row r="844" spans="1:6" ht="15.75" customHeight="1" x14ac:dyDescent="0.2">
      <c r="A844" s="219"/>
      <c r="E844" s="220"/>
      <c r="F844" s="220"/>
    </row>
    <row r="845" spans="1:6" ht="15.75" customHeight="1" x14ac:dyDescent="0.2">
      <c r="A845" s="219"/>
      <c r="E845" s="220"/>
      <c r="F845" s="220"/>
    </row>
    <row r="846" spans="1:6" ht="15.75" customHeight="1" x14ac:dyDescent="0.2">
      <c r="A846" s="219"/>
      <c r="E846" s="220"/>
      <c r="F846" s="220"/>
    </row>
    <row r="847" spans="1:6" ht="15.75" customHeight="1" x14ac:dyDescent="0.2">
      <c r="A847" s="219"/>
      <c r="E847" s="220"/>
      <c r="F847" s="220"/>
    </row>
    <row r="848" spans="1:6" ht="15.75" customHeight="1" x14ac:dyDescent="0.2">
      <c r="A848" s="219"/>
      <c r="E848" s="220"/>
      <c r="F848" s="220"/>
    </row>
    <row r="849" spans="1:6" ht="15.75" customHeight="1" x14ac:dyDescent="0.2">
      <c r="A849" s="219"/>
      <c r="E849" s="220"/>
      <c r="F849" s="220"/>
    </row>
    <row r="850" spans="1:6" ht="15.75" customHeight="1" x14ac:dyDescent="0.2">
      <c r="A850" s="219"/>
      <c r="E850" s="220"/>
      <c r="F850" s="220"/>
    </row>
    <row r="851" spans="1:6" ht="15.75" customHeight="1" x14ac:dyDescent="0.2">
      <c r="A851" s="219"/>
      <c r="E851" s="220"/>
      <c r="F851" s="220"/>
    </row>
    <row r="852" spans="1:6" ht="15.75" customHeight="1" x14ac:dyDescent="0.2">
      <c r="A852" s="219"/>
      <c r="E852" s="220"/>
      <c r="F852" s="220"/>
    </row>
    <row r="853" spans="1:6" ht="15.75" customHeight="1" x14ac:dyDescent="0.2">
      <c r="A853" s="219"/>
      <c r="E853" s="220"/>
      <c r="F853" s="220"/>
    </row>
    <row r="854" spans="1:6" ht="15.75" customHeight="1" x14ac:dyDescent="0.2">
      <c r="A854" s="219"/>
      <c r="E854" s="220"/>
      <c r="F854" s="220"/>
    </row>
    <row r="855" spans="1:6" ht="15.75" customHeight="1" x14ac:dyDescent="0.2">
      <c r="A855" s="219"/>
      <c r="E855" s="220"/>
      <c r="F855" s="220"/>
    </row>
    <row r="856" spans="1:6" ht="15.75" customHeight="1" x14ac:dyDescent="0.2">
      <c r="A856" s="219"/>
      <c r="E856" s="220"/>
      <c r="F856" s="220"/>
    </row>
    <row r="857" spans="1:6" ht="15.75" customHeight="1" x14ac:dyDescent="0.2">
      <c r="A857" s="219"/>
      <c r="E857" s="220"/>
      <c r="F857" s="220"/>
    </row>
    <row r="858" spans="1:6" ht="15.75" customHeight="1" x14ac:dyDescent="0.2">
      <c r="A858" s="219"/>
      <c r="E858" s="220"/>
      <c r="F858" s="220"/>
    </row>
    <row r="859" spans="1:6" ht="15.75" customHeight="1" x14ac:dyDescent="0.2">
      <c r="A859" s="219"/>
      <c r="E859" s="220"/>
      <c r="F859" s="220"/>
    </row>
    <row r="860" spans="1:6" ht="15.75" customHeight="1" x14ac:dyDescent="0.2">
      <c r="A860" s="219"/>
      <c r="E860" s="220"/>
      <c r="F860" s="220"/>
    </row>
    <row r="861" spans="1:6" ht="15.75" customHeight="1" x14ac:dyDescent="0.2">
      <c r="A861" s="219"/>
      <c r="E861" s="220"/>
      <c r="F861" s="220"/>
    </row>
    <row r="862" spans="1:6" ht="15.75" customHeight="1" x14ac:dyDescent="0.2">
      <c r="A862" s="219"/>
      <c r="E862" s="220"/>
      <c r="F862" s="220"/>
    </row>
    <row r="863" spans="1:6" ht="15.75" customHeight="1" x14ac:dyDescent="0.2">
      <c r="A863" s="219"/>
      <c r="E863" s="220"/>
      <c r="F863" s="220"/>
    </row>
    <row r="864" spans="1:6" ht="15.75" customHeight="1" x14ac:dyDescent="0.2">
      <c r="A864" s="219"/>
      <c r="E864" s="220"/>
      <c r="F864" s="220"/>
    </row>
    <row r="865" spans="1:6" ht="15.75" customHeight="1" x14ac:dyDescent="0.2">
      <c r="A865" s="219"/>
      <c r="E865" s="220"/>
      <c r="F865" s="220"/>
    </row>
    <row r="866" spans="1:6" ht="15.75" customHeight="1" x14ac:dyDescent="0.2">
      <c r="A866" s="219"/>
      <c r="E866" s="220"/>
      <c r="F866" s="220"/>
    </row>
    <row r="867" spans="1:6" ht="15.75" customHeight="1" x14ac:dyDescent="0.2">
      <c r="A867" s="219"/>
      <c r="E867" s="220"/>
      <c r="F867" s="220"/>
    </row>
    <row r="868" spans="1:6" ht="15.75" customHeight="1" x14ac:dyDescent="0.2">
      <c r="A868" s="219"/>
      <c r="E868" s="220"/>
      <c r="F868" s="220"/>
    </row>
    <row r="869" spans="1:6" ht="15.75" customHeight="1" x14ac:dyDescent="0.2">
      <c r="A869" s="219"/>
      <c r="E869" s="220"/>
      <c r="F869" s="220"/>
    </row>
    <row r="870" spans="1:6" ht="15.75" customHeight="1" x14ac:dyDescent="0.2">
      <c r="A870" s="219"/>
      <c r="E870" s="220"/>
      <c r="F870" s="220"/>
    </row>
    <row r="871" spans="1:6" ht="15.75" customHeight="1" x14ac:dyDescent="0.2">
      <c r="A871" s="219"/>
      <c r="E871" s="220"/>
      <c r="F871" s="220"/>
    </row>
    <row r="872" spans="1:6" ht="15.75" customHeight="1" x14ac:dyDescent="0.2">
      <c r="A872" s="219"/>
      <c r="E872" s="220"/>
      <c r="F872" s="220"/>
    </row>
    <row r="873" spans="1:6" ht="15.75" customHeight="1" x14ac:dyDescent="0.2">
      <c r="A873" s="219"/>
      <c r="E873" s="220"/>
      <c r="F873" s="220"/>
    </row>
    <row r="874" spans="1:6" ht="15.75" customHeight="1" x14ac:dyDescent="0.2">
      <c r="A874" s="219"/>
      <c r="E874" s="220"/>
      <c r="F874" s="220"/>
    </row>
    <row r="875" spans="1:6" ht="15.75" customHeight="1" x14ac:dyDescent="0.2">
      <c r="A875" s="219"/>
      <c r="E875" s="220"/>
      <c r="F875" s="220"/>
    </row>
    <row r="876" spans="1:6" ht="15.75" customHeight="1" x14ac:dyDescent="0.2">
      <c r="A876" s="219"/>
      <c r="E876" s="220"/>
      <c r="F876" s="220"/>
    </row>
    <row r="877" spans="1:6" ht="15.75" customHeight="1" x14ac:dyDescent="0.2">
      <c r="A877" s="219"/>
      <c r="E877" s="220"/>
      <c r="F877" s="220"/>
    </row>
    <row r="878" spans="1:6" ht="15.75" customHeight="1" x14ac:dyDescent="0.2">
      <c r="A878" s="219"/>
      <c r="E878" s="220"/>
      <c r="F878" s="220"/>
    </row>
    <row r="879" spans="1:6" ht="15.75" customHeight="1" x14ac:dyDescent="0.2">
      <c r="A879" s="219"/>
      <c r="E879" s="220"/>
      <c r="F879" s="220"/>
    </row>
    <row r="880" spans="1:6" ht="15.75" customHeight="1" x14ac:dyDescent="0.2">
      <c r="A880" s="219"/>
      <c r="E880" s="220"/>
      <c r="F880" s="220"/>
    </row>
    <row r="881" spans="1:6" ht="15.75" customHeight="1" x14ac:dyDescent="0.2">
      <c r="A881" s="219"/>
      <c r="E881" s="220"/>
      <c r="F881" s="220"/>
    </row>
    <row r="882" spans="1:6" ht="15.75" customHeight="1" x14ac:dyDescent="0.2">
      <c r="A882" s="219"/>
      <c r="E882" s="220"/>
      <c r="F882" s="220"/>
    </row>
    <row r="883" spans="1:6" ht="15.75" customHeight="1" x14ac:dyDescent="0.2">
      <c r="A883" s="219"/>
      <c r="E883" s="220"/>
      <c r="F883" s="220"/>
    </row>
    <row r="884" spans="1:6" ht="15.75" customHeight="1" x14ac:dyDescent="0.2">
      <c r="A884" s="219"/>
      <c r="E884" s="220"/>
      <c r="F884" s="220"/>
    </row>
    <row r="885" spans="1:6" ht="15.75" customHeight="1" x14ac:dyDescent="0.2">
      <c r="A885" s="219"/>
      <c r="E885" s="220"/>
      <c r="F885" s="220"/>
    </row>
    <row r="886" spans="1:6" ht="15.75" customHeight="1" x14ac:dyDescent="0.2">
      <c r="A886" s="219"/>
      <c r="E886" s="220"/>
      <c r="F886" s="220"/>
    </row>
    <row r="887" spans="1:6" ht="15.75" customHeight="1" x14ac:dyDescent="0.2">
      <c r="A887" s="219"/>
      <c r="E887" s="220"/>
      <c r="F887" s="220"/>
    </row>
    <row r="888" spans="1:6" ht="15.75" customHeight="1" x14ac:dyDescent="0.2">
      <c r="A888" s="219"/>
      <c r="E888" s="220"/>
      <c r="F888" s="220"/>
    </row>
    <row r="889" spans="1:6" ht="15.75" customHeight="1" x14ac:dyDescent="0.2">
      <c r="A889" s="219"/>
      <c r="E889" s="220"/>
      <c r="F889" s="220"/>
    </row>
    <row r="890" spans="1:6" ht="15.75" customHeight="1" x14ac:dyDescent="0.2">
      <c r="A890" s="219"/>
      <c r="E890" s="220"/>
      <c r="F890" s="220"/>
    </row>
    <row r="891" spans="1:6" ht="15.75" customHeight="1" x14ac:dyDescent="0.2">
      <c r="A891" s="219"/>
      <c r="E891" s="220"/>
      <c r="F891" s="220"/>
    </row>
    <row r="892" spans="1:6" ht="15.75" customHeight="1" x14ac:dyDescent="0.2">
      <c r="A892" s="219"/>
      <c r="E892" s="220"/>
      <c r="F892" s="220"/>
    </row>
    <row r="893" spans="1:6" ht="15.75" customHeight="1" x14ac:dyDescent="0.2">
      <c r="A893" s="219"/>
      <c r="E893" s="220"/>
      <c r="F893" s="220"/>
    </row>
    <row r="894" spans="1:6" ht="15.75" customHeight="1" x14ac:dyDescent="0.2">
      <c r="A894" s="219"/>
      <c r="E894" s="220"/>
      <c r="F894" s="220"/>
    </row>
    <row r="895" spans="1:6" ht="15.75" customHeight="1" x14ac:dyDescent="0.2">
      <c r="A895" s="219"/>
      <c r="E895" s="220"/>
      <c r="F895" s="220"/>
    </row>
    <row r="896" spans="1:6" ht="15.75" customHeight="1" x14ac:dyDescent="0.2">
      <c r="A896" s="219"/>
      <c r="E896" s="220"/>
      <c r="F896" s="220"/>
    </row>
    <row r="897" spans="1:6" ht="15.75" customHeight="1" x14ac:dyDescent="0.2">
      <c r="A897" s="219"/>
      <c r="E897" s="220"/>
      <c r="F897" s="220"/>
    </row>
    <row r="898" spans="1:6" ht="15.75" customHeight="1" x14ac:dyDescent="0.2">
      <c r="A898" s="219"/>
      <c r="E898" s="220"/>
      <c r="F898" s="220"/>
    </row>
    <row r="899" spans="1:6" ht="15.75" customHeight="1" x14ac:dyDescent="0.2">
      <c r="A899" s="219"/>
      <c r="E899" s="220"/>
      <c r="F899" s="220"/>
    </row>
    <row r="900" spans="1:6" ht="15.75" customHeight="1" x14ac:dyDescent="0.2">
      <c r="A900" s="219"/>
      <c r="E900" s="220"/>
      <c r="F900" s="220"/>
    </row>
    <row r="901" spans="1:6" ht="15.75" customHeight="1" x14ac:dyDescent="0.2">
      <c r="A901" s="219"/>
      <c r="E901" s="220"/>
      <c r="F901" s="220"/>
    </row>
    <row r="902" spans="1:6" ht="15.75" customHeight="1" x14ac:dyDescent="0.2">
      <c r="A902" s="219"/>
      <c r="E902" s="220"/>
      <c r="F902" s="220"/>
    </row>
    <row r="903" spans="1:6" ht="15.75" customHeight="1" x14ac:dyDescent="0.2">
      <c r="A903" s="219"/>
      <c r="E903" s="220"/>
      <c r="F903" s="220"/>
    </row>
    <row r="904" spans="1:6" ht="15.75" customHeight="1" x14ac:dyDescent="0.2">
      <c r="A904" s="219"/>
      <c r="E904" s="220"/>
      <c r="F904" s="220"/>
    </row>
    <row r="905" spans="1:6" ht="15.75" customHeight="1" x14ac:dyDescent="0.2">
      <c r="A905" s="219"/>
      <c r="E905" s="220"/>
      <c r="F905" s="220"/>
    </row>
    <row r="906" spans="1:6" ht="15.75" customHeight="1" x14ac:dyDescent="0.2">
      <c r="A906" s="219"/>
      <c r="E906" s="220"/>
      <c r="F906" s="220"/>
    </row>
    <row r="907" spans="1:6" ht="15.75" customHeight="1" x14ac:dyDescent="0.2">
      <c r="A907" s="219"/>
      <c r="E907" s="220"/>
      <c r="F907" s="220"/>
    </row>
    <row r="908" spans="1:6" ht="15.75" customHeight="1" x14ac:dyDescent="0.2">
      <c r="A908" s="219"/>
      <c r="E908" s="220"/>
      <c r="F908" s="220"/>
    </row>
    <row r="909" spans="1:6" ht="15.75" customHeight="1" x14ac:dyDescent="0.2">
      <c r="A909" s="219"/>
      <c r="E909" s="220"/>
      <c r="F909" s="220"/>
    </row>
    <row r="910" spans="1:6" ht="15.75" customHeight="1" x14ac:dyDescent="0.2">
      <c r="A910" s="219"/>
      <c r="E910" s="220"/>
      <c r="F910" s="220"/>
    </row>
    <row r="911" spans="1:6" ht="15.75" customHeight="1" x14ac:dyDescent="0.2">
      <c r="A911" s="219"/>
      <c r="E911" s="220"/>
      <c r="F911" s="220"/>
    </row>
    <row r="912" spans="1:6" ht="15.75" customHeight="1" x14ac:dyDescent="0.2">
      <c r="A912" s="219"/>
      <c r="E912" s="220"/>
      <c r="F912" s="220"/>
    </row>
    <row r="913" spans="1:6" ht="15.75" customHeight="1" x14ac:dyDescent="0.2">
      <c r="A913" s="219"/>
      <c r="E913" s="220"/>
      <c r="F913" s="220"/>
    </row>
    <row r="914" spans="1:6" ht="15.75" customHeight="1" x14ac:dyDescent="0.2">
      <c r="A914" s="219"/>
      <c r="E914" s="220"/>
      <c r="F914" s="220"/>
    </row>
    <row r="915" spans="1:6" ht="15.75" customHeight="1" x14ac:dyDescent="0.2">
      <c r="A915" s="219"/>
      <c r="E915" s="220"/>
      <c r="F915" s="220"/>
    </row>
    <row r="916" spans="1:6" ht="15.75" customHeight="1" x14ac:dyDescent="0.2">
      <c r="A916" s="219"/>
      <c r="E916" s="220"/>
      <c r="F916" s="220"/>
    </row>
    <row r="917" spans="1:6" ht="15.75" customHeight="1" x14ac:dyDescent="0.2">
      <c r="A917" s="219"/>
      <c r="E917" s="220"/>
      <c r="F917" s="220"/>
    </row>
    <row r="918" spans="1:6" ht="15.75" customHeight="1" x14ac:dyDescent="0.2">
      <c r="A918" s="219"/>
      <c r="E918" s="220"/>
      <c r="F918" s="220"/>
    </row>
    <row r="919" spans="1:6" ht="15.75" customHeight="1" x14ac:dyDescent="0.2">
      <c r="A919" s="219"/>
      <c r="E919" s="220"/>
      <c r="F919" s="220"/>
    </row>
    <row r="920" spans="1:6" ht="15.75" customHeight="1" x14ac:dyDescent="0.2">
      <c r="A920" s="219"/>
      <c r="E920" s="220"/>
      <c r="F920" s="220"/>
    </row>
    <row r="921" spans="1:6" ht="15.75" customHeight="1" x14ac:dyDescent="0.2">
      <c r="A921" s="219"/>
      <c r="E921" s="220"/>
      <c r="F921" s="220"/>
    </row>
    <row r="922" spans="1:6" ht="15.75" customHeight="1" x14ac:dyDescent="0.2">
      <c r="A922" s="219"/>
      <c r="E922" s="220"/>
      <c r="F922" s="220"/>
    </row>
    <row r="923" spans="1:6" ht="15.75" customHeight="1" x14ac:dyDescent="0.2">
      <c r="A923" s="219"/>
      <c r="E923" s="220"/>
      <c r="F923" s="220"/>
    </row>
    <row r="924" spans="1:6" ht="15.75" customHeight="1" x14ac:dyDescent="0.2">
      <c r="A924" s="219"/>
      <c r="E924" s="220"/>
      <c r="F924" s="220"/>
    </row>
    <row r="925" spans="1:6" ht="15.75" customHeight="1" x14ac:dyDescent="0.2">
      <c r="A925" s="219"/>
      <c r="E925" s="220"/>
      <c r="F925" s="220"/>
    </row>
    <row r="926" spans="1:6" ht="15.75" customHeight="1" x14ac:dyDescent="0.2">
      <c r="A926" s="219"/>
      <c r="E926" s="220"/>
      <c r="F926" s="220"/>
    </row>
    <row r="927" spans="1:6" ht="15.75" customHeight="1" x14ac:dyDescent="0.2">
      <c r="A927" s="219"/>
      <c r="E927" s="220"/>
      <c r="F927" s="220"/>
    </row>
    <row r="928" spans="1:6" ht="15.75" customHeight="1" x14ac:dyDescent="0.2">
      <c r="A928" s="219"/>
      <c r="E928" s="220"/>
      <c r="F928" s="220"/>
    </row>
    <row r="929" spans="1:6" ht="15.75" customHeight="1" x14ac:dyDescent="0.2">
      <c r="A929" s="219"/>
      <c r="E929" s="220"/>
      <c r="F929" s="220"/>
    </row>
    <row r="930" spans="1:6" ht="15.75" customHeight="1" x14ac:dyDescent="0.2">
      <c r="A930" s="219"/>
      <c r="E930" s="220"/>
      <c r="F930" s="220"/>
    </row>
    <row r="931" spans="1:6" ht="15.75" customHeight="1" x14ac:dyDescent="0.2">
      <c r="A931" s="219"/>
      <c r="E931" s="220"/>
      <c r="F931" s="220"/>
    </row>
    <row r="932" spans="1:6" ht="15.75" customHeight="1" x14ac:dyDescent="0.2">
      <c r="A932" s="219"/>
      <c r="E932" s="220"/>
      <c r="F932" s="220"/>
    </row>
    <row r="933" spans="1:6" ht="15.75" customHeight="1" x14ac:dyDescent="0.2">
      <c r="A933" s="219"/>
      <c r="E933" s="220"/>
      <c r="F933" s="220"/>
    </row>
    <row r="934" spans="1:6" ht="15.75" customHeight="1" x14ac:dyDescent="0.2">
      <c r="A934" s="219"/>
      <c r="E934" s="220"/>
      <c r="F934" s="220"/>
    </row>
    <row r="935" spans="1:6" ht="15.75" customHeight="1" x14ac:dyDescent="0.2">
      <c r="A935" s="219"/>
      <c r="E935" s="220"/>
      <c r="F935" s="220"/>
    </row>
    <row r="936" spans="1:6" ht="15.75" customHeight="1" x14ac:dyDescent="0.2">
      <c r="A936" s="219"/>
      <c r="E936" s="220"/>
      <c r="F936" s="220"/>
    </row>
    <row r="937" spans="1:6" ht="15.75" customHeight="1" x14ac:dyDescent="0.2">
      <c r="A937" s="219"/>
      <c r="E937" s="220"/>
      <c r="F937" s="220"/>
    </row>
    <row r="938" spans="1:6" ht="15.75" customHeight="1" x14ac:dyDescent="0.2">
      <c r="A938" s="219"/>
      <c r="E938" s="220"/>
      <c r="F938" s="220"/>
    </row>
    <row r="939" spans="1:6" ht="15.75" customHeight="1" x14ac:dyDescent="0.2">
      <c r="A939" s="219"/>
      <c r="E939" s="220"/>
      <c r="F939" s="220"/>
    </row>
    <row r="940" spans="1:6" ht="15.75" customHeight="1" x14ac:dyDescent="0.2">
      <c r="A940" s="219"/>
      <c r="E940" s="220"/>
      <c r="F940" s="220"/>
    </row>
    <row r="941" spans="1:6" ht="15.75" customHeight="1" x14ac:dyDescent="0.2">
      <c r="A941" s="219"/>
      <c r="E941" s="220"/>
      <c r="F941" s="220"/>
    </row>
    <row r="942" spans="1:6" ht="15.75" customHeight="1" x14ac:dyDescent="0.2">
      <c r="A942" s="219"/>
      <c r="E942" s="220"/>
      <c r="F942" s="220"/>
    </row>
    <row r="943" spans="1:6" ht="15.75" customHeight="1" x14ac:dyDescent="0.2">
      <c r="A943" s="219"/>
      <c r="E943" s="220"/>
      <c r="F943" s="220"/>
    </row>
    <row r="944" spans="1:6" ht="15.75" customHeight="1" x14ac:dyDescent="0.2">
      <c r="A944" s="219"/>
      <c r="E944" s="220"/>
      <c r="F944" s="220"/>
    </row>
    <row r="945" spans="1:6" ht="15.75" customHeight="1" x14ac:dyDescent="0.2">
      <c r="A945" s="219"/>
      <c r="E945" s="220"/>
      <c r="F945" s="220"/>
    </row>
    <row r="946" spans="1:6" ht="15.75" customHeight="1" x14ac:dyDescent="0.2">
      <c r="A946" s="219"/>
      <c r="E946" s="220"/>
      <c r="F946" s="220"/>
    </row>
    <row r="947" spans="1:6" ht="15.75" customHeight="1" x14ac:dyDescent="0.2">
      <c r="A947" s="219"/>
      <c r="E947" s="220"/>
      <c r="F947" s="220"/>
    </row>
    <row r="948" spans="1:6" ht="15.75" customHeight="1" x14ac:dyDescent="0.2">
      <c r="A948" s="219"/>
      <c r="E948" s="220"/>
      <c r="F948" s="220"/>
    </row>
    <row r="949" spans="1:6" ht="15.75" customHeight="1" x14ac:dyDescent="0.2">
      <c r="A949" s="219"/>
      <c r="E949" s="220"/>
      <c r="F949" s="220"/>
    </row>
    <row r="950" spans="1:6" ht="15.75" customHeight="1" x14ac:dyDescent="0.2">
      <c r="A950" s="219"/>
      <c r="E950" s="220"/>
      <c r="F950" s="220"/>
    </row>
    <row r="951" spans="1:6" ht="15.75" customHeight="1" x14ac:dyDescent="0.2">
      <c r="A951" s="219"/>
      <c r="E951" s="220"/>
      <c r="F951" s="220"/>
    </row>
    <row r="952" spans="1:6" ht="15.75" customHeight="1" x14ac:dyDescent="0.2">
      <c r="A952" s="219"/>
      <c r="E952" s="220"/>
      <c r="F952" s="220"/>
    </row>
    <row r="953" spans="1:6" ht="15.75" customHeight="1" x14ac:dyDescent="0.2">
      <c r="A953" s="219"/>
      <c r="E953" s="220"/>
      <c r="F953" s="220"/>
    </row>
    <row r="954" spans="1:6" ht="15.75" customHeight="1" x14ac:dyDescent="0.2">
      <c r="A954" s="219"/>
      <c r="E954" s="220"/>
      <c r="F954" s="220"/>
    </row>
    <row r="955" spans="1:6" ht="15.75" customHeight="1" x14ac:dyDescent="0.2">
      <c r="A955" s="219"/>
      <c r="E955" s="220"/>
      <c r="F955" s="220"/>
    </row>
    <row r="956" spans="1:6" ht="15.75" customHeight="1" x14ac:dyDescent="0.2">
      <c r="A956" s="219"/>
      <c r="E956" s="220"/>
      <c r="F956" s="220"/>
    </row>
    <row r="957" spans="1:6" ht="15.75" customHeight="1" x14ac:dyDescent="0.2">
      <c r="A957" s="219"/>
      <c r="E957" s="220"/>
      <c r="F957" s="220"/>
    </row>
    <row r="958" spans="1:6" ht="15.75" customHeight="1" x14ac:dyDescent="0.2">
      <c r="A958" s="219"/>
      <c r="E958" s="220"/>
      <c r="F958" s="220"/>
    </row>
    <row r="959" spans="1:6" ht="15.75" customHeight="1" x14ac:dyDescent="0.2">
      <c r="A959" s="219"/>
      <c r="E959" s="220"/>
      <c r="F959" s="220"/>
    </row>
    <row r="960" spans="1:6" ht="15.75" customHeight="1" x14ac:dyDescent="0.2">
      <c r="A960" s="219"/>
      <c r="E960" s="220"/>
      <c r="F960" s="220"/>
    </row>
    <row r="961" spans="1:6" ht="15.75" customHeight="1" x14ac:dyDescent="0.2">
      <c r="A961" s="219"/>
      <c r="E961" s="220"/>
      <c r="F961" s="220"/>
    </row>
    <row r="962" spans="1:6" ht="15.75" customHeight="1" x14ac:dyDescent="0.2">
      <c r="A962" s="219"/>
      <c r="E962" s="220"/>
      <c r="F962" s="220"/>
    </row>
    <row r="963" spans="1:6" ht="15.75" customHeight="1" x14ac:dyDescent="0.2">
      <c r="A963" s="219"/>
      <c r="E963" s="220"/>
      <c r="F963" s="220"/>
    </row>
    <row r="964" spans="1:6" ht="15.75" customHeight="1" x14ac:dyDescent="0.2">
      <c r="A964" s="219"/>
      <c r="E964" s="220"/>
      <c r="F964" s="220"/>
    </row>
    <row r="965" spans="1:6" ht="15.75" customHeight="1" x14ac:dyDescent="0.2">
      <c r="A965" s="219"/>
      <c r="E965" s="220"/>
      <c r="F965" s="220"/>
    </row>
    <row r="966" spans="1:6" ht="15.75" customHeight="1" x14ac:dyDescent="0.2">
      <c r="A966" s="219"/>
      <c r="E966" s="220"/>
      <c r="F966" s="220"/>
    </row>
    <row r="967" spans="1:6" ht="15.75" customHeight="1" x14ac:dyDescent="0.2">
      <c r="A967" s="219"/>
      <c r="E967" s="220"/>
      <c r="F967" s="220"/>
    </row>
    <row r="968" spans="1:6" ht="15.75" customHeight="1" x14ac:dyDescent="0.2">
      <c r="A968" s="219"/>
      <c r="E968" s="220"/>
      <c r="F968" s="220"/>
    </row>
    <row r="969" spans="1:6" ht="15.75" customHeight="1" x14ac:dyDescent="0.2">
      <c r="A969" s="219"/>
      <c r="E969" s="220"/>
      <c r="F969" s="220"/>
    </row>
    <row r="970" spans="1:6" ht="15.75" customHeight="1" x14ac:dyDescent="0.2">
      <c r="A970" s="219"/>
      <c r="E970" s="220"/>
      <c r="F970" s="220"/>
    </row>
    <row r="971" spans="1:6" ht="15.75" customHeight="1" x14ac:dyDescent="0.2">
      <c r="A971" s="219"/>
      <c r="E971" s="220"/>
      <c r="F971" s="220"/>
    </row>
    <row r="972" spans="1:6" ht="15.75" customHeight="1" x14ac:dyDescent="0.2">
      <c r="A972" s="219"/>
      <c r="E972" s="220"/>
      <c r="F972" s="220"/>
    </row>
    <row r="973" spans="1:6" ht="15.75" customHeight="1" x14ac:dyDescent="0.2">
      <c r="A973" s="219"/>
      <c r="E973" s="220"/>
      <c r="F973" s="220"/>
    </row>
    <row r="974" spans="1:6" ht="15.75" customHeight="1" x14ac:dyDescent="0.2">
      <c r="A974" s="219"/>
      <c r="E974" s="220"/>
      <c r="F974" s="220"/>
    </row>
    <row r="975" spans="1:6" ht="15.75" customHeight="1" x14ac:dyDescent="0.2">
      <c r="A975" s="219"/>
      <c r="E975" s="220"/>
      <c r="F975" s="220"/>
    </row>
    <row r="976" spans="1:6" ht="15.75" customHeight="1" x14ac:dyDescent="0.2">
      <c r="A976" s="219"/>
      <c r="E976" s="220"/>
      <c r="F976" s="220"/>
    </row>
    <row r="977" spans="1:6" ht="15.75" customHeight="1" x14ac:dyDescent="0.2">
      <c r="A977" s="219"/>
      <c r="E977" s="220"/>
      <c r="F977" s="220"/>
    </row>
    <row r="978" spans="1:6" ht="15.75" customHeight="1" x14ac:dyDescent="0.2">
      <c r="A978" s="219"/>
      <c r="E978" s="220"/>
      <c r="F978" s="220"/>
    </row>
    <row r="979" spans="1:6" ht="15.75" customHeight="1" x14ac:dyDescent="0.2">
      <c r="A979" s="219"/>
      <c r="E979" s="220"/>
      <c r="F979" s="220"/>
    </row>
    <row r="980" spans="1:6" ht="15.75" customHeight="1" x14ac:dyDescent="0.2">
      <c r="A980" s="219"/>
      <c r="E980" s="220"/>
      <c r="F980" s="220"/>
    </row>
    <row r="981" spans="1:6" ht="15.75" customHeight="1" x14ac:dyDescent="0.2">
      <c r="A981" s="219"/>
      <c r="E981" s="220"/>
      <c r="F981" s="220"/>
    </row>
    <row r="982" spans="1:6" ht="15.75" customHeight="1" x14ac:dyDescent="0.2">
      <c r="A982" s="219"/>
      <c r="E982" s="220"/>
      <c r="F982" s="220"/>
    </row>
    <row r="983" spans="1:6" ht="15.75" customHeight="1" x14ac:dyDescent="0.2">
      <c r="A983" s="219"/>
      <c r="E983" s="220"/>
      <c r="F983" s="220"/>
    </row>
    <row r="984" spans="1:6" ht="15.75" customHeight="1" x14ac:dyDescent="0.2">
      <c r="A984" s="219"/>
      <c r="E984" s="220"/>
      <c r="F984" s="220"/>
    </row>
    <row r="985" spans="1:6" ht="15.75" customHeight="1" x14ac:dyDescent="0.2">
      <c r="A985" s="219"/>
      <c r="E985" s="220"/>
      <c r="F985" s="220"/>
    </row>
    <row r="986" spans="1:6" ht="15.75" customHeight="1" x14ac:dyDescent="0.2">
      <c r="A986" s="219"/>
      <c r="E986" s="220"/>
      <c r="F986" s="220"/>
    </row>
    <row r="987" spans="1:6" ht="15.75" customHeight="1" x14ac:dyDescent="0.2">
      <c r="A987" s="219"/>
      <c r="E987" s="220"/>
      <c r="F987" s="220"/>
    </row>
    <row r="988" spans="1:6" ht="15.75" customHeight="1" x14ac:dyDescent="0.2">
      <c r="A988" s="219"/>
      <c r="E988" s="220"/>
      <c r="F988" s="220"/>
    </row>
    <row r="989" spans="1:6" ht="15.75" customHeight="1" x14ac:dyDescent="0.2">
      <c r="A989" s="219"/>
      <c r="E989" s="220"/>
      <c r="F989" s="220"/>
    </row>
    <row r="990" spans="1:6" ht="15.75" customHeight="1" x14ac:dyDescent="0.2">
      <c r="A990" s="219"/>
      <c r="E990" s="220"/>
      <c r="F990" s="220"/>
    </row>
    <row r="991" spans="1:6" ht="15.75" customHeight="1" x14ac:dyDescent="0.2">
      <c r="A991" s="219"/>
      <c r="E991" s="220"/>
      <c r="F991" s="220"/>
    </row>
    <row r="992" spans="1:6" ht="15.75" customHeight="1" x14ac:dyDescent="0.2">
      <c r="A992" s="219"/>
      <c r="E992" s="220"/>
      <c r="F992" s="220"/>
    </row>
    <row r="993" spans="1:6" ht="15.75" customHeight="1" x14ac:dyDescent="0.2">
      <c r="A993" s="219"/>
      <c r="E993" s="220"/>
      <c r="F993" s="220"/>
    </row>
    <row r="994" spans="1:6" ht="15.75" customHeight="1" x14ac:dyDescent="0.2">
      <c r="A994" s="219"/>
      <c r="E994" s="220"/>
      <c r="F994" s="220"/>
    </row>
    <row r="995" spans="1:6" ht="15.75" customHeight="1" x14ac:dyDescent="0.2">
      <c r="A995" s="219"/>
      <c r="E995" s="220"/>
      <c r="F995" s="220"/>
    </row>
    <row r="996" spans="1:6" ht="15.75" customHeight="1" x14ac:dyDescent="0.2">
      <c r="A996" s="219"/>
      <c r="E996" s="220"/>
      <c r="F996" s="220"/>
    </row>
    <row r="997" spans="1:6" ht="15.75" customHeight="1" x14ac:dyDescent="0.2">
      <c r="A997" s="219"/>
      <c r="E997" s="220"/>
      <c r="F997" s="220"/>
    </row>
    <row r="998" spans="1:6" ht="15.75" customHeight="1" x14ac:dyDescent="0.2">
      <c r="A998" s="219"/>
      <c r="E998" s="220"/>
      <c r="F998" s="220"/>
    </row>
    <row r="999" spans="1:6" ht="15.75" customHeight="1" x14ac:dyDescent="0.2">
      <c r="A999" s="219"/>
      <c r="E999" s="220"/>
      <c r="F999" s="220"/>
    </row>
    <row r="1000" spans="1:6" ht="15.75" customHeight="1" x14ac:dyDescent="0.2">
      <c r="A1000" s="219"/>
      <c r="E1000" s="220"/>
      <c r="F1000" s="220"/>
    </row>
  </sheetData>
  <mergeCells count="9">
    <mergeCell ref="AJ17:AJ18"/>
    <mergeCell ref="AJ19:AJ20"/>
    <mergeCell ref="AF17:AF18"/>
    <mergeCell ref="AG17:AG18"/>
    <mergeCell ref="AH17:AH18"/>
    <mergeCell ref="AI17:AI18"/>
    <mergeCell ref="AF19:AF20"/>
    <mergeCell ref="AG19:AG20"/>
    <mergeCell ref="AH19:AH20"/>
  </mergeCells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K1000"/>
  <sheetViews>
    <sheetView workbookViewId="0">
      <pane xSplit="1" topLeftCell="C1" activePane="topRight" state="frozen"/>
      <selection pane="topRight" activeCell="X3" sqref="X3"/>
    </sheetView>
  </sheetViews>
  <sheetFormatPr defaultColWidth="12.5703125" defaultRowHeight="15" customHeight="1" x14ac:dyDescent="0.2"/>
  <cols>
    <col min="1" max="1" width="16.42578125" customWidth="1"/>
    <col min="2" max="2" width="10.42578125" customWidth="1"/>
    <col min="3" max="3" width="8.28515625" customWidth="1"/>
    <col min="4" max="4" width="8.7109375" customWidth="1"/>
    <col min="5" max="5" width="10.28515625" customWidth="1"/>
    <col min="6" max="6" width="7.5703125" customWidth="1"/>
    <col min="7" max="8" width="9.7109375" customWidth="1"/>
    <col min="9" max="10" width="9.140625" customWidth="1"/>
    <col min="11" max="11" width="8.42578125" customWidth="1"/>
    <col min="12" max="12" width="9.42578125" customWidth="1"/>
    <col min="13" max="13" width="9" customWidth="1"/>
    <col min="14" max="14" width="8.42578125" customWidth="1"/>
    <col min="15" max="15" width="10.7109375" hidden="1" customWidth="1"/>
    <col min="16" max="16" width="0.42578125" customWidth="1"/>
    <col min="17" max="19" width="6.42578125" customWidth="1"/>
    <col min="20" max="20" width="9.42578125" customWidth="1"/>
    <col min="21" max="21" width="8.28515625" customWidth="1"/>
    <col min="22" max="22" width="7.7109375" customWidth="1"/>
    <col min="23" max="23" width="8.85546875" customWidth="1"/>
    <col min="24" max="24" width="8.140625" customWidth="1"/>
    <col min="25" max="26" width="12.28515625" customWidth="1"/>
    <col min="27" max="27" width="10" customWidth="1"/>
    <col min="28" max="28" width="12.7109375" customWidth="1"/>
    <col min="29" max="29" width="10" customWidth="1"/>
    <col min="30" max="30" width="12.42578125" customWidth="1"/>
    <col min="31" max="31" width="7" customWidth="1"/>
  </cols>
  <sheetData>
    <row r="1" spans="1:37" ht="23.25" customHeight="1" x14ac:dyDescent="0.2">
      <c r="A1" s="129"/>
      <c r="B1" s="168"/>
      <c r="C1" s="168"/>
      <c r="D1" s="130"/>
      <c r="E1" s="130"/>
      <c r="F1" s="130"/>
      <c r="G1" s="130"/>
      <c r="H1" s="130"/>
      <c r="I1" s="130"/>
      <c r="J1" s="129"/>
      <c r="K1" s="129"/>
      <c r="L1" s="129"/>
      <c r="M1" s="88" t="s">
        <v>1</v>
      </c>
      <c r="N1" s="129"/>
      <c r="O1" s="129"/>
      <c r="P1" s="130"/>
      <c r="Q1" s="130"/>
      <c r="R1" s="130"/>
      <c r="S1" s="130"/>
      <c r="T1" s="130"/>
      <c r="U1" s="130"/>
      <c r="V1" s="130"/>
      <c r="W1" s="130"/>
      <c r="X1" s="130"/>
      <c r="Y1" s="129"/>
      <c r="Z1" s="129"/>
      <c r="AA1" s="130"/>
      <c r="AB1" s="130"/>
      <c r="AC1" s="130"/>
      <c r="AD1" s="130"/>
      <c r="AE1" s="130"/>
      <c r="AF1" s="130"/>
      <c r="AG1" s="130"/>
      <c r="AH1" s="130"/>
      <c r="AI1" s="130"/>
    </row>
    <row r="2" spans="1:37" ht="15.75" customHeight="1" x14ac:dyDescent="0.2">
      <c r="A2" s="130"/>
      <c r="B2" s="168"/>
      <c r="C2" s="168"/>
      <c r="D2" s="130"/>
      <c r="E2" s="130"/>
      <c r="F2" s="130"/>
      <c r="G2" s="130"/>
      <c r="H2" s="130"/>
      <c r="I2" s="130"/>
      <c r="J2" s="133" t="s">
        <v>2</v>
      </c>
      <c r="K2" s="169">
        <v>7200</v>
      </c>
      <c r="L2" s="41"/>
      <c r="M2" s="131">
        <v>200000</v>
      </c>
      <c r="N2" s="130"/>
      <c r="O2" s="9">
        <v>0</v>
      </c>
      <c r="P2" s="130"/>
      <c r="Q2" s="130">
        <v>250</v>
      </c>
      <c r="R2" s="130">
        <v>200</v>
      </c>
      <c r="S2" s="130">
        <v>150</v>
      </c>
      <c r="T2" s="130"/>
      <c r="U2" s="130"/>
      <c r="V2" s="9">
        <v>0.12</v>
      </c>
      <c r="W2" s="130"/>
      <c r="X2" s="9">
        <v>7.0000000000000007E-2</v>
      </c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</row>
    <row r="3" spans="1:37" ht="27.75" customHeight="1" x14ac:dyDescent="0.2">
      <c r="A3" s="136" t="s">
        <v>336</v>
      </c>
      <c r="B3" s="171" t="s">
        <v>4</v>
      </c>
      <c r="C3" s="171" t="s">
        <v>337</v>
      </c>
      <c r="D3" s="136" t="s">
        <v>338</v>
      </c>
      <c r="E3" s="221" t="s">
        <v>427</v>
      </c>
      <c r="F3" s="136" t="s">
        <v>340</v>
      </c>
      <c r="G3" s="136" t="s">
        <v>341</v>
      </c>
      <c r="H3" s="136" t="s">
        <v>342</v>
      </c>
      <c r="I3" s="136" t="s">
        <v>9</v>
      </c>
      <c r="J3" s="136" t="s">
        <v>10</v>
      </c>
      <c r="K3" s="136" t="s">
        <v>11</v>
      </c>
      <c r="L3" s="10" t="s">
        <v>12</v>
      </c>
      <c r="M3" s="136" t="s">
        <v>13</v>
      </c>
      <c r="N3" s="136" t="s">
        <v>14</v>
      </c>
      <c r="O3" s="136"/>
      <c r="P3" s="136" t="s">
        <v>15</v>
      </c>
      <c r="Q3" s="136" t="s">
        <v>16</v>
      </c>
      <c r="R3" s="136" t="s">
        <v>17</v>
      </c>
      <c r="S3" s="10" t="s">
        <v>18</v>
      </c>
      <c r="T3" s="136" t="s">
        <v>19</v>
      </c>
      <c r="U3" s="136" t="s">
        <v>20</v>
      </c>
      <c r="V3" s="136" t="s">
        <v>21</v>
      </c>
      <c r="W3" s="136" t="s">
        <v>22</v>
      </c>
      <c r="X3" s="136" t="s">
        <v>23</v>
      </c>
      <c r="Y3" s="136" t="s">
        <v>24</v>
      </c>
      <c r="Z3" s="136" t="s">
        <v>25</v>
      </c>
      <c r="AA3" s="136"/>
      <c r="AB3" s="136" t="s">
        <v>26</v>
      </c>
      <c r="AC3" s="136" t="s">
        <v>27</v>
      </c>
      <c r="AD3" s="136" t="s">
        <v>28</v>
      </c>
      <c r="AE3" s="136" t="s">
        <v>29</v>
      </c>
      <c r="AF3" s="10" t="s">
        <v>30</v>
      </c>
      <c r="AG3" s="45" t="s">
        <v>31</v>
      </c>
      <c r="AH3" s="45" t="s">
        <v>32</v>
      </c>
      <c r="AI3" s="45" t="s">
        <v>33</v>
      </c>
      <c r="AJ3" s="45" t="s">
        <v>34</v>
      </c>
    </row>
    <row r="4" spans="1:37" ht="15.75" customHeight="1" x14ac:dyDescent="0.2">
      <c r="A4" s="222" t="s">
        <v>343</v>
      </c>
      <c r="B4" s="200">
        <f t="shared" ref="B4:B14" si="0">C4+E4+G4</f>
        <v>128.44</v>
      </c>
      <c r="C4" s="200">
        <v>108.3</v>
      </c>
      <c r="D4" s="200">
        <f t="shared" ref="D4:D28" si="1">C4*10.764</f>
        <v>1165.7411999999999</v>
      </c>
      <c r="E4" s="200">
        <v>20.14</v>
      </c>
      <c r="F4" s="200">
        <f t="shared" ref="F4:F28" si="2">E4*10.764</f>
        <v>216.78695999999999</v>
      </c>
      <c r="G4" s="200">
        <f t="shared" ref="G4:G28" si="3">H4/10.764</f>
        <v>0</v>
      </c>
      <c r="H4" s="201">
        <v>0</v>
      </c>
      <c r="I4" s="200">
        <f t="shared" ref="I4:I28" si="4">D4+F4+H4</f>
        <v>1382.5281599999998</v>
      </c>
      <c r="J4" s="202">
        <f t="shared" ref="J4:J28" si="5">(D4+F4+(H4/2))*1.45</f>
        <v>2004.6658319999997</v>
      </c>
      <c r="K4" s="203">
        <f t="shared" ref="K4:K28" si="6">J4*$K$2</f>
        <v>14433593.990399998</v>
      </c>
      <c r="L4" s="204">
        <v>800000</v>
      </c>
      <c r="M4" s="204">
        <v>400000</v>
      </c>
      <c r="N4" s="205">
        <f t="shared" ref="N4:N28" si="7">SUM(K4:M4)</f>
        <v>15633593.990399998</v>
      </c>
      <c r="O4" s="205">
        <f t="shared" ref="O4:O28" si="8">($O$2*N4)</f>
        <v>0</v>
      </c>
      <c r="P4" s="203">
        <f t="shared" ref="P4:P28" si="9">N4-O4</f>
        <v>15633593.990399998</v>
      </c>
      <c r="Q4" s="203">
        <f t="shared" ref="Q4:Q28" si="10">J4*$Q$2</f>
        <v>501166.45799999993</v>
      </c>
      <c r="R4" s="203">
        <f t="shared" ref="R4:R28" si="11">J4*$R$2</f>
        <v>400933.16639999993</v>
      </c>
      <c r="S4" s="203">
        <f t="shared" ref="S4:S28" si="12">J4*$S$2</f>
        <v>300699.87479999993</v>
      </c>
      <c r="T4" s="203">
        <f t="shared" ref="T4:T28" si="13">SUM(P4:S4)</f>
        <v>16836393.489599999</v>
      </c>
      <c r="U4" s="203">
        <v>30000</v>
      </c>
      <c r="V4" s="203">
        <f t="shared" ref="V4:V28" si="14">$V$2*P4</f>
        <v>1876031.2788479996</v>
      </c>
      <c r="W4" s="203">
        <f t="shared" ref="W4:W28" si="15">(12%*Q4)+(12%*R4)</f>
        <v>108251.95492799999</v>
      </c>
      <c r="X4" s="203">
        <f t="shared" ref="X4:X28" si="16">CEILING(($X$2*P4),100)</f>
        <v>1094400</v>
      </c>
      <c r="Y4" s="205">
        <v>6000</v>
      </c>
      <c r="Z4" s="205">
        <f t="shared" ref="Z4:Z28" si="17">SUM(T4:Y4)</f>
        <v>19951076.723375998</v>
      </c>
      <c r="AA4" s="206"/>
      <c r="AB4" s="206" t="s">
        <v>382</v>
      </c>
      <c r="AC4" s="206"/>
      <c r="AD4" s="206"/>
      <c r="AE4" s="206"/>
      <c r="AF4" s="207" t="s">
        <v>428</v>
      </c>
      <c r="AG4" s="209" t="s">
        <v>429</v>
      </c>
      <c r="AH4" s="207" t="s">
        <v>430</v>
      </c>
      <c r="AI4" s="209" t="s">
        <v>354</v>
      </c>
      <c r="AJ4" s="207" t="s">
        <v>335</v>
      </c>
    </row>
    <row r="5" spans="1:37" ht="15.75" customHeight="1" x14ac:dyDescent="0.2">
      <c r="A5" s="222" t="s">
        <v>350</v>
      </c>
      <c r="B5" s="200">
        <f t="shared" si="0"/>
        <v>97.109999999999985</v>
      </c>
      <c r="C5" s="200">
        <v>81.819999999999993</v>
      </c>
      <c r="D5" s="200">
        <f t="shared" si="1"/>
        <v>880.71047999999985</v>
      </c>
      <c r="E5" s="200">
        <v>15.29</v>
      </c>
      <c r="F5" s="200">
        <f t="shared" si="2"/>
        <v>164.58155999999997</v>
      </c>
      <c r="G5" s="200">
        <f t="shared" si="3"/>
        <v>0</v>
      </c>
      <c r="H5" s="201">
        <v>0</v>
      </c>
      <c r="I5" s="200">
        <f t="shared" si="4"/>
        <v>1045.2920399999998</v>
      </c>
      <c r="J5" s="202">
        <f t="shared" si="5"/>
        <v>1515.6734579999998</v>
      </c>
      <c r="K5" s="203">
        <f t="shared" si="6"/>
        <v>10912848.897599999</v>
      </c>
      <c r="L5" s="204">
        <v>800000</v>
      </c>
      <c r="M5" s="204">
        <v>400000</v>
      </c>
      <c r="N5" s="205">
        <f t="shared" si="7"/>
        <v>12112848.897599999</v>
      </c>
      <c r="O5" s="205">
        <f t="shared" si="8"/>
        <v>0</v>
      </c>
      <c r="P5" s="203">
        <f t="shared" si="9"/>
        <v>12112848.897599999</v>
      </c>
      <c r="Q5" s="203">
        <f t="shared" si="10"/>
        <v>378918.36449999997</v>
      </c>
      <c r="R5" s="203">
        <f t="shared" si="11"/>
        <v>303134.69159999996</v>
      </c>
      <c r="S5" s="203">
        <f t="shared" si="12"/>
        <v>227351.01869999996</v>
      </c>
      <c r="T5" s="203">
        <f t="shared" si="13"/>
        <v>13022252.972399998</v>
      </c>
      <c r="U5" s="203">
        <v>30000</v>
      </c>
      <c r="V5" s="203">
        <f t="shared" si="14"/>
        <v>1453541.8677119999</v>
      </c>
      <c r="W5" s="203">
        <f t="shared" si="15"/>
        <v>81846.366731999995</v>
      </c>
      <c r="X5" s="203">
        <f t="shared" si="16"/>
        <v>847900</v>
      </c>
      <c r="Y5" s="205">
        <v>6000</v>
      </c>
      <c r="Z5" s="205">
        <f t="shared" si="17"/>
        <v>15441541.206843998</v>
      </c>
      <c r="AA5" s="206"/>
      <c r="AB5" s="206" t="s">
        <v>382</v>
      </c>
      <c r="AC5" s="206"/>
      <c r="AD5" s="206"/>
      <c r="AE5" s="206"/>
      <c r="AF5" s="212" t="s">
        <v>431</v>
      </c>
      <c r="AG5" s="209" t="s">
        <v>432</v>
      </c>
      <c r="AH5" s="207" t="s">
        <v>430</v>
      </c>
      <c r="AI5" s="209" t="s">
        <v>354</v>
      </c>
      <c r="AJ5" s="207" t="s">
        <v>335</v>
      </c>
    </row>
    <row r="6" spans="1:37" ht="15.75" customHeight="1" x14ac:dyDescent="0.2">
      <c r="A6" s="223" t="s">
        <v>355</v>
      </c>
      <c r="B6" s="180">
        <f t="shared" si="0"/>
        <v>102.72</v>
      </c>
      <c r="C6" s="180">
        <v>86.13</v>
      </c>
      <c r="D6" s="180">
        <f t="shared" si="1"/>
        <v>927.10331999999994</v>
      </c>
      <c r="E6" s="180">
        <v>16.59</v>
      </c>
      <c r="F6" s="180">
        <f t="shared" si="2"/>
        <v>178.57476</v>
      </c>
      <c r="G6" s="180">
        <f t="shared" si="3"/>
        <v>0</v>
      </c>
      <c r="H6" s="223">
        <v>0</v>
      </c>
      <c r="I6" s="180">
        <f t="shared" si="4"/>
        <v>1105.6780799999999</v>
      </c>
      <c r="J6" s="181">
        <f t="shared" si="5"/>
        <v>1603.2332159999999</v>
      </c>
      <c r="K6" s="182">
        <f t="shared" si="6"/>
        <v>11543279.155199999</v>
      </c>
      <c r="L6" s="182">
        <v>500000</v>
      </c>
      <c r="M6" s="183">
        <v>400000</v>
      </c>
      <c r="N6" s="184">
        <f t="shared" si="7"/>
        <v>12443279.155199999</v>
      </c>
      <c r="O6" s="184">
        <f t="shared" si="8"/>
        <v>0</v>
      </c>
      <c r="P6" s="182">
        <f t="shared" si="9"/>
        <v>12443279.155199999</v>
      </c>
      <c r="Q6" s="182">
        <f t="shared" si="10"/>
        <v>400808.30399999995</v>
      </c>
      <c r="R6" s="182">
        <f t="shared" si="11"/>
        <v>320646.64319999999</v>
      </c>
      <c r="S6" s="182">
        <f t="shared" si="12"/>
        <v>240484.98239999998</v>
      </c>
      <c r="T6" s="182">
        <f t="shared" si="13"/>
        <v>13405219.084799999</v>
      </c>
      <c r="U6" s="182">
        <v>30000</v>
      </c>
      <c r="V6" s="182">
        <f t="shared" si="14"/>
        <v>1493193.4986239998</v>
      </c>
      <c r="W6" s="182">
        <f t="shared" si="15"/>
        <v>86574.593663999985</v>
      </c>
      <c r="X6" s="182">
        <f t="shared" si="16"/>
        <v>871100</v>
      </c>
      <c r="Y6" s="184">
        <v>6000</v>
      </c>
      <c r="Z6" s="184">
        <f t="shared" si="17"/>
        <v>15892087.177087998</v>
      </c>
      <c r="AA6" s="185"/>
      <c r="AB6" s="185"/>
      <c r="AC6" s="185"/>
      <c r="AD6" s="185"/>
      <c r="AE6" s="185"/>
      <c r="AF6" s="188" t="s">
        <v>433</v>
      </c>
      <c r="AG6" s="188" t="s">
        <v>434</v>
      </c>
      <c r="AH6" s="185" t="s">
        <v>45</v>
      </c>
      <c r="AI6" s="188" t="s">
        <v>354</v>
      </c>
      <c r="AJ6" s="187" t="s">
        <v>335</v>
      </c>
    </row>
    <row r="7" spans="1:37" ht="15.75" customHeight="1" x14ac:dyDescent="0.2">
      <c r="A7" s="222" t="s">
        <v>359</v>
      </c>
      <c r="B7" s="200">
        <f t="shared" si="0"/>
        <v>63.91</v>
      </c>
      <c r="C7" s="200">
        <v>54.97</v>
      </c>
      <c r="D7" s="200">
        <f t="shared" si="1"/>
        <v>591.69707999999991</v>
      </c>
      <c r="E7" s="200">
        <v>8.94</v>
      </c>
      <c r="F7" s="200">
        <f t="shared" si="2"/>
        <v>96.230159999999984</v>
      </c>
      <c r="G7" s="200">
        <f t="shared" si="3"/>
        <v>0</v>
      </c>
      <c r="H7" s="201">
        <v>0</v>
      </c>
      <c r="I7" s="200">
        <f t="shared" si="4"/>
        <v>687.92723999999987</v>
      </c>
      <c r="J7" s="202">
        <f t="shared" si="5"/>
        <v>997.49449799999979</v>
      </c>
      <c r="K7" s="203">
        <f t="shared" si="6"/>
        <v>7181960.3855999988</v>
      </c>
      <c r="L7" s="204">
        <v>1500000</v>
      </c>
      <c r="M7" s="204">
        <v>1000000</v>
      </c>
      <c r="N7" s="205">
        <f t="shared" si="7"/>
        <v>9681960.3855999988</v>
      </c>
      <c r="O7" s="205">
        <f t="shared" si="8"/>
        <v>0</v>
      </c>
      <c r="P7" s="203">
        <f t="shared" si="9"/>
        <v>9681960.3855999988</v>
      </c>
      <c r="Q7" s="203">
        <f t="shared" si="10"/>
        <v>249373.62449999995</v>
      </c>
      <c r="R7" s="203">
        <f t="shared" si="11"/>
        <v>199498.89959999995</v>
      </c>
      <c r="S7" s="203">
        <f t="shared" si="12"/>
        <v>149624.17469999997</v>
      </c>
      <c r="T7" s="203">
        <f t="shared" si="13"/>
        <v>10280457.084399998</v>
      </c>
      <c r="U7" s="203">
        <v>30000</v>
      </c>
      <c r="V7" s="203">
        <f t="shared" si="14"/>
        <v>1161835.2462719998</v>
      </c>
      <c r="W7" s="203">
        <f t="shared" si="15"/>
        <v>53864.702891999987</v>
      </c>
      <c r="X7" s="203">
        <f t="shared" si="16"/>
        <v>677800</v>
      </c>
      <c r="Y7" s="205">
        <v>6000</v>
      </c>
      <c r="Z7" s="205">
        <f t="shared" si="17"/>
        <v>12209957.033563998</v>
      </c>
      <c r="AA7" s="206"/>
      <c r="AB7" s="206" t="s">
        <v>435</v>
      </c>
      <c r="AC7" s="206"/>
      <c r="AD7" s="206"/>
      <c r="AE7" s="206"/>
      <c r="AF7" s="505" t="s">
        <v>436</v>
      </c>
      <c r="AG7" s="505" t="s">
        <v>437</v>
      </c>
      <c r="AH7" s="505" t="s">
        <v>438</v>
      </c>
      <c r="AI7" s="505" t="s">
        <v>439</v>
      </c>
      <c r="AJ7" s="508" t="s">
        <v>349</v>
      </c>
      <c r="AK7" s="509"/>
    </row>
    <row r="8" spans="1:37" ht="15.75" customHeight="1" x14ac:dyDescent="0.2">
      <c r="A8" s="222" t="s">
        <v>363</v>
      </c>
      <c r="B8" s="200">
        <f t="shared" si="0"/>
        <v>51.209999999999994</v>
      </c>
      <c r="C8" s="200">
        <v>44.12</v>
      </c>
      <c r="D8" s="200">
        <f t="shared" si="1"/>
        <v>474.90767999999997</v>
      </c>
      <c r="E8" s="200">
        <v>7.09</v>
      </c>
      <c r="F8" s="200">
        <f t="shared" si="2"/>
        <v>76.316759999999988</v>
      </c>
      <c r="G8" s="200">
        <f t="shared" si="3"/>
        <v>0</v>
      </c>
      <c r="H8" s="201">
        <v>0</v>
      </c>
      <c r="I8" s="200">
        <f t="shared" si="4"/>
        <v>551.22443999999996</v>
      </c>
      <c r="J8" s="202">
        <f t="shared" si="5"/>
        <v>799.27543799999989</v>
      </c>
      <c r="K8" s="203">
        <f t="shared" si="6"/>
        <v>5754783.1535999989</v>
      </c>
      <c r="L8" s="203"/>
      <c r="M8" s="204">
        <v>0</v>
      </c>
      <c r="N8" s="205">
        <f t="shared" si="7"/>
        <v>5754783.1535999989</v>
      </c>
      <c r="O8" s="205">
        <f t="shared" si="8"/>
        <v>0</v>
      </c>
      <c r="P8" s="203">
        <f t="shared" si="9"/>
        <v>5754783.1535999989</v>
      </c>
      <c r="Q8" s="203">
        <f t="shared" si="10"/>
        <v>199818.85949999996</v>
      </c>
      <c r="R8" s="203">
        <f t="shared" si="11"/>
        <v>159855.08759999997</v>
      </c>
      <c r="S8" s="203">
        <f t="shared" si="12"/>
        <v>119891.31569999998</v>
      </c>
      <c r="T8" s="203">
        <f t="shared" si="13"/>
        <v>6234348.4163999995</v>
      </c>
      <c r="U8" s="203">
        <v>30000</v>
      </c>
      <c r="V8" s="203">
        <f t="shared" si="14"/>
        <v>690573.9784319998</v>
      </c>
      <c r="W8" s="203">
        <f t="shared" si="15"/>
        <v>43160.873651999995</v>
      </c>
      <c r="X8" s="203">
        <f t="shared" si="16"/>
        <v>402900</v>
      </c>
      <c r="Y8" s="205">
        <v>6000</v>
      </c>
      <c r="Z8" s="205">
        <f t="shared" si="17"/>
        <v>7406983.2684839992</v>
      </c>
      <c r="AA8" s="206"/>
      <c r="AB8" s="206" t="s">
        <v>435</v>
      </c>
      <c r="AC8" s="206"/>
      <c r="AD8" s="206"/>
      <c r="AE8" s="206"/>
      <c r="AF8" s="507"/>
      <c r="AG8" s="507"/>
      <c r="AH8" s="507"/>
      <c r="AI8" s="507"/>
      <c r="AJ8" s="507"/>
      <c r="AK8" s="510"/>
    </row>
    <row r="9" spans="1:37" ht="15.75" customHeight="1" x14ac:dyDescent="0.2">
      <c r="A9" s="222" t="s">
        <v>367</v>
      </c>
      <c r="B9" s="200">
        <f t="shared" si="0"/>
        <v>51.209999999999994</v>
      </c>
      <c r="C9" s="200">
        <v>44.12</v>
      </c>
      <c r="D9" s="200">
        <f t="shared" si="1"/>
        <v>474.90767999999997</v>
      </c>
      <c r="E9" s="200">
        <v>7.09</v>
      </c>
      <c r="F9" s="200">
        <f t="shared" si="2"/>
        <v>76.316759999999988</v>
      </c>
      <c r="G9" s="200">
        <f t="shared" si="3"/>
        <v>0</v>
      </c>
      <c r="H9" s="201">
        <v>0</v>
      </c>
      <c r="I9" s="200">
        <f t="shared" si="4"/>
        <v>551.22443999999996</v>
      </c>
      <c r="J9" s="202">
        <f t="shared" si="5"/>
        <v>799.27543799999989</v>
      </c>
      <c r="K9" s="203">
        <f t="shared" si="6"/>
        <v>5754783.1535999989</v>
      </c>
      <c r="L9" s="203"/>
      <c r="M9" s="204">
        <v>0</v>
      </c>
      <c r="N9" s="205">
        <f t="shared" si="7"/>
        <v>5754783.1535999989</v>
      </c>
      <c r="O9" s="205">
        <f t="shared" si="8"/>
        <v>0</v>
      </c>
      <c r="P9" s="203">
        <f t="shared" si="9"/>
        <v>5754783.1535999989</v>
      </c>
      <c r="Q9" s="203">
        <f t="shared" si="10"/>
        <v>199818.85949999996</v>
      </c>
      <c r="R9" s="203">
        <f t="shared" si="11"/>
        <v>159855.08759999997</v>
      </c>
      <c r="S9" s="203">
        <f t="shared" si="12"/>
        <v>119891.31569999998</v>
      </c>
      <c r="T9" s="203">
        <f t="shared" si="13"/>
        <v>6234348.4163999995</v>
      </c>
      <c r="U9" s="203">
        <v>30000</v>
      </c>
      <c r="V9" s="203">
        <f t="shared" si="14"/>
        <v>690573.9784319998</v>
      </c>
      <c r="W9" s="203">
        <f t="shared" si="15"/>
        <v>43160.873651999995</v>
      </c>
      <c r="X9" s="203">
        <f t="shared" si="16"/>
        <v>402900</v>
      </c>
      <c r="Y9" s="205">
        <v>6000</v>
      </c>
      <c r="Z9" s="205">
        <f t="shared" si="17"/>
        <v>7406983.2684839992</v>
      </c>
      <c r="AA9" s="206"/>
      <c r="AB9" s="206" t="s">
        <v>435</v>
      </c>
      <c r="AC9" s="206"/>
      <c r="AD9" s="206"/>
      <c r="AE9" s="206"/>
      <c r="AF9" s="507"/>
      <c r="AG9" s="507"/>
      <c r="AH9" s="507"/>
      <c r="AI9" s="507"/>
      <c r="AJ9" s="507"/>
      <c r="AK9" s="510"/>
    </row>
    <row r="10" spans="1:37" ht="15.75" customHeight="1" x14ac:dyDescent="0.2">
      <c r="A10" s="222" t="s">
        <v>370</v>
      </c>
      <c r="B10" s="200">
        <f t="shared" si="0"/>
        <v>51.209999999999994</v>
      </c>
      <c r="C10" s="200">
        <v>44.12</v>
      </c>
      <c r="D10" s="200">
        <f t="shared" si="1"/>
        <v>474.90767999999997</v>
      </c>
      <c r="E10" s="200">
        <v>7.09</v>
      </c>
      <c r="F10" s="200">
        <f t="shared" si="2"/>
        <v>76.316759999999988</v>
      </c>
      <c r="G10" s="200">
        <f t="shared" si="3"/>
        <v>0</v>
      </c>
      <c r="H10" s="201">
        <v>0</v>
      </c>
      <c r="I10" s="200">
        <f t="shared" si="4"/>
        <v>551.22443999999996</v>
      </c>
      <c r="J10" s="202">
        <f t="shared" si="5"/>
        <v>799.27543799999989</v>
      </c>
      <c r="K10" s="203">
        <f t="shared" si="6"/>
        <v>5754783.1535999989</v>
      </c>
      <c r="L10" s="203"/>
      <c r="M10" s="204">
        <v>0</v>
      </c>
      <c r="N10" s="205">
        <f t="shared" si="7"/>
        <v>5754783.1535999989</v>
      </c>
      <c r="O10" s="205">
        <f t="shared" si="8"/>
        <v>0</v>
      </c>
      <c r="P10" s="203">
        <f t="shared" si="9"/>
        <v>5754783.1535999989</v>
      </c>
      <c r="Q10" s="203">
        <f t="shared" si="10"/>
        <v>199818.85949999996</v>
      </c>
      <c r="R10" s="203">
        <f t="shared" si="11"/>
        <v>159855.08759999997</v>
      </c>
      <c r="S10" s="203">
        <f t="shared" si="12"/>
        <v>119891.31569999998</v>
      </c>
      <c r="T10" s="203">
        <f t="shared" si="13"/>
        <v>6234348.4163999995</v>
      </c>
      <c r="U10" s="203">
        <v>30000</v>
      </c>
      <c r="V10" s="203">
        <f t="shared" si="14"/>
        <v>690573.9784319998</v>
      </c>
      <c r="W10" s="203">
        <f t="shared" si="15"/>
        <v>43160.873651999995</v>
      </c>
      <c r="X10" s="203">
        <f t="shared" si="16"/>
        <v>402900</v>
      </c>
      <c r="Y10" s="205">
        <v>6000</v>
      </c>
      <c r="Z10" s="205">
        <f t="shared" si="17"/>
        <v>7406983.2684839992</v>
      </c>
      <c r="AA10" s="206"/>
      <c r="AB10" s="206" t="s">
        <v>435</v>
      </c>
      <c r="AC10" s="206"/>
      <c r="AD10" s="206"/>
      <c r="AE10" s="206"/>
      <c r="AF10" s="507"/>
      <c r="AG10" s="507"/>
      <c r="AH10" s="507"/>
      <c r="AI10" s="507"/>
      <c r="AJ10" s="507"/>
      <c r="AK10" s="510"/>
    </row>
    <row r="11" spans="1:37" ht="15.75" customHeight="1" x14ac:dyDescent="0.2">
      <c r="A11" s="222" t="s">
        <v>372</v>
      </c>
      <c r="B11" s="200">
        <f t="shared" si="0"/>
        <v>51.209999999999994</v>
      </c>
      <c r="C11" s="200">
        <v>44.12</v>
      </c>
      <c r="D11" s="200">
        <f t="shared" si="1"/>
        <v>474.90767999999997</v>
      </c>
      <c r="E11" s="200">
        <v>7.09</v>
      </c>
      <c r="F11" s="200">
        <f t="shared" si="2"/>
        <v>76.316759999999988</v>
      </c>
      <c r="G11" s="200">
        <f t="shared" si="3"/>
        <v>0</v>
      </c>
      <c r="H11" s="201">
        <v>0</v>
      </c>
      <c r="I11" s="200">
        <f t="shared" si="4"/>
        <v>551.22443999999996</v>
      </c>
      <c r="J11" s="202">
        <f t="shared" si="5"/>
        <v>799.27543799999989</v>
      </c>
      <c r="K11" s="203">
        <f t="shared" si="6"/>
        <v>5754783.1535999989</v>
      </c>
      <c r="L11" s="203"/>
      <c r="M11" s="204">
        <v>0</v>
      </c>
      <c r="N11" s="205">
        <f t="shared" si="7"/>
        <v>5754783.1535999989</v>
      </c>
      <c r="O11" s="205">
        <f t="shared" si="8"/>
        <v>0</v>
      </c>
      <c r="P11" s="203">
        <f t="shared" si="9"/>
        <v>5754783.1535999989</v>
      </c>
      <c r="Q11" s="203">
        <f t="shared" si="10"/>
        <v>199818.85949999996</v>
      </c>
      <c r="R11" s="203">
        <f t="shared" si="11"/>
        <v>159855.08759999997</v>
      </c>
      <c r="S11" s="203">
        <f t="shared" si="12"/>
        <v>119891.31569999998</v>
      </c>
      <c r="T11" s="203">
        <f t="shared" si="13"/>
        <v>6234348.4163999995</v>
      </c>
      <c r="U11" s="203">
        <v>30000</v>
      </c>
      <c r="V11" s="203">
        <f t="shared" si="14"/>
        <v>690573.9784319998</v>
      </c>
      <c r="W11" s="203">
        <f t="shared" si="15"/>
        <v>43160.873651999995</v>
      </c>
      <c r="X11" s="203">
        <f t="shared" si="16"/>
        <v>402900</v>
      </c>
      <c r="Y11" s="205">
        <v>6000</v>
      </c>
      <c r="Z11" s="205">
        <f t="shared" si="17"/>
        <v>7406983.2684839992</v>
      </c>
      <c r="AA11" s="206"/>
      <c r="AB11" s="206" t="s">
        <v>435</v>
      </c>
      <c r="AC11" s="206"/>
      <c r="AD11" s="206"/>
      <c r="AE11" s="206"/>
      <c r="AF11" s="507"/>
      <c r="AG11" s="507"/>
      <c r="AH11" s="507"/>
      <c r="AI11" s="507"/>
      <c r="AJ11" s="507"/>
      <c r="AK11" s="510"/>
    </row>
    <row r="12" spans="1:37" ht="15.75" customHeight="1" x14ac:dyDescent="0.2">
      <c r="A12" s="222" t="s">
        <v>374</v>
      </c>
      <c r="B12" s="200">
        <f t="shared" si="0"/>
        <v>62.88</v>
      </c>
      <c r="C12" s="200">
        <v>54.09</v>
      </c>
      <c r="D12" s="200">
        <f t="shared" si="1"/>
        <v>582.22475999999995</v>
      </c>
      <c r="E12" s="200">
        <v>8.7899999999999991</v>
      </c>
      <c r="F12" s="200">
        <f t="shared" si="2"/>
        <v>94.615559999999988</v>
      </c>
      <c r="G12" s="200">
        <f t="shared" si="3"/>
        <v>0</v>
      </c>
      <c r="H12" s="201">
        <v>0</v>
      </c>
      <c r="I12" s="200">
        <f t="shared" si="4"/>
        <v>676.84031999999991</v>
      </c>
      <c r="J12" s="202">
        <f t="shared" si="5"/>
        <v>981.41846399999986</v>
      </c>
      <c r="K12" s="203">
        <f t="shared" si="6"/>
        <v>7066212.9407999991</v>
      </c>
      <c r="L12" s="203"/>
      <c r="M12" s="204">
        <v>0</v>
      </c>
      <c r="N12" s="205">
        <f t="shared" si="7"/>
        <v>7066212.9407999991</v>
      </c>
      <c r="O12" s="205">
        <f t="shared" si="8"/>
        <v>0</v>
      </c>
      <c r="P12" s="203">
        <f t="shared" si="9"/>
        <v>7066212.9407999991</v>
      </c>
      <c r="Q12" s="203">
        <f t="shared" si="10"/>
        <v>245354.61599999995</v>
      </c>
      <c r="R12" s="203">
        <f t="shared" si="11"/>
        <v>196283.69279999996</v>
      </c>
      <c r="S12" s="203">
        <f t="shared" si="12"/>
        <v>147212.76959999997</v>
      </c>
      <c r="T12" s="203">
        <f t="shared" si="13"/>
        <v>7655064.0192</v>
      </c>
      <c r="U12" s="203">
        <v>30000</v>
      </c>
      <c r="V12" s="203">
        <f t="shared" si="14"/>
        <v>847945.55289599986</v>
      </c>
      <c r="W12" s="203">
        <f t="shared" si="15"/>
        <v>52996.597055999984</v>
      </c>
      <c r="X12" s="203">
        <f t="shared" si="16"/>
        <v>494700</v>
      </c>
      <c r="Y12" s="205">
        <v>6000</v>
      </c>
      <c r="Z12" s="205">
        <f t="shared" si="17"/>
        <v>9086706.1691519991</v>
      </c>
      <c r="AA12" s="206"/>
      <c r="AB12" s="206" t="s">
        <v>435</v>
      </c>
      <c r="AC12" s="206"/>
      <c r="AD12" s="206"/>
      <c r="AE12" s="206"/>
      <c r="AF12" s="502"/>
      <c r="AG12" s="502"/>
      <c r="AH12" s="502"/>
      <c r="AI12" s="502"/>
      <c r="AJ12" s="502"/>
      <c r="AK12" s="510"/>
    </row>
    <row r="13" spans="1:37" ht="15.75" customHeight="1" x14ac:dyDescent="0.2">
      <c r="A13" s="222" t="s">
        <v>377</v>
      </c>
      <c r="B13" s="200">
        <f t="shared" si="0"/>
        <v>62.88</v>
      </c>
      <c r="C13" s="200">
        <v>54.09</v>
      </c>
      <c r="D13" s="200">
        <f t="shared" si="1"/>
        <v>582.22475999999995</v>
      </c>
      <c r="E13" s="200">
        <v>8.7899999999999991</v>
      </c>
      <c r="F13" s="200">
        <f t="shared" si="2"/>
        <v>94.615559999999988</v>
      </c>
      <c r="G13" s="200">
        <f t="shared" si="3"/>
        <v>0</v>
      </c>
      <c r="H13" s="201">
        <v>0</v>
      </c>
      <c r="I13" s="200">
        <f t="shared" si="4"/>
        <v>676.84031999999991</v>
      </c>
      <c r="J13" s="202">
        <f t="shared" si="5"/>
        <v>981.41846399999986</v>
      </c>
      <c r="K13" s="203">
        <f t="shared" si="6"/>
        <v>7066212.9407999991</v>
      </c>
      <c r="L13" s="204">
        <v>500000</v>
      </c>
      <c r="M13" s="204">
        <v>300000</v>
      </c>
      <c r="N13" s="205">
        <f t="shared" si="7"/>
        <v>7866212.9407999991</v>
      </c>
      <c r="O13" s="205">
        <f t="shared" si="8"/>
        <v>0</v>
      </c>
      <c r="P13" s="203">
        <f t="shared" si="9"/>
        <v>7866212.9407999991</v>
      </c>
      <c r="Q13" s="203">
        <f t="shared" si="10"/>
        <v>245354.61599999995</v>
      </c>
      <c r="R13" s="203">
        <f t="shared" si="11"/>
        <v>196283.69279999996</v>
      </c>
      <c r="S13" s="203">
        <f t="shared" si="12"/>
        <v>147212.76959999997</v>
      </c>
      <c r="T13" s="203">
        <f t="shared" si="13"/>
        <v>8455064.019199999</v>
      </c>
      <c r="U13" s="203">
        <v>30000</v>
      </c>
      <c r="V13" s="203">
        <f t="shared" si="14"/>
        <v>943945.55289599986</v>
      </c>
      <c r="W13" s="203">
        <f t="shared" si="15"/>
        <v>52996.597055999984</v>
      </c>
      <c r="X13" s="203">
        <f t="shared" si="16"/>
        <v>550700</v>
      </c>
      <c r="Y13" s="205">
        <v>6000</v>
      </c>
      <c r="Z13" s="205">
        <f t="shared" si="17"/>
        <v>10038706.169151999</v>
      </c>
      <c r="AA13" s="206"/>
      <c r="AB13" s="209" t="s">
        <v>440</v>
      </c>
      <c r="AC13" s="206"/>
      <c r="AD13" s="206"/>
      <c r="AE13" s="206"/>
      <c r="AF13" s="505" t="s">
        <v>441</v>
      </c>
      <c r="AG13" s="505" t="s">
        <v>442</v>
      </c>
      <c r="AH13" s="505" t="s">
        <v>443</v>
      </c>
      <c r="AI13" s="505" t="s">
        <v>438</v>
      </c>
      <c r="AJ13" s="505" t="s">
        <v>349</v>
      </c>
    </row>
    <row r="14" spans="1:37" ht="15.75" customHeight="1" x14ac:dyDescent="0.2">
      <c r="A14" s="222" t="s">
        <v>380</v>
      </c>
      <c r="B14" s="200">
        <f t="shared" si="0"/>
        <v>64.25</v>
      </c>
      <c r="C14" s="200">
        <v>55.26</v>
      </c>
      <c r="D14" s="200">
        <f t="shared" si="1"/>
        <v>594.81863999999996</v>
      </c>
      <c r="E14" s="200">
        <v>8.99</v>
      </c>
      <c r="F14" s="200">
        <f t="shared" si="2"/>
        <v>96.768360000000001</v>
      </c>
      <c r="G14" s="200">
        <f t="shared" si="3"/>
        <v>0</v>
      </c>
      <c r="H14" s="201">
        <v>0</v>
      </c>
      <c r="I14" s="200">
        <f t="shared" si="4"/>
        <v>691.58699999999999</v>
      </c>
      <c r="J14" s="202">
        <f t="shared" si="5"/>
        <v>1002.80115</v>
      </c>
      <c r="K14" s="203">
        <f t="shared" si="6"/>
        <v>7220168.2800000003</v>
      </c>
      <c r="L14" s="204">
        <v>500000</v>
      </c>
      <c r="M14" s="204">
        <v>300000</v>
      </c>
      <c r="N14" s="205">
        <f t="shared" si="7"/>
        <v>8020168.2800000003</v>
      </c>
      <c r="O14" s="205">
        <f t="shared" si="8"/>
        <v>0</v>
      </c>
      <c r="P14" s="203">
        <f t="shared" si="9"/>
        <v>8020168.2800000003</v>
      </c>
      <c r="Q14" s="203">
        <f t="shared" si="10"/>
        <v>250700.28750000001</v>
      </c>
      <c r="R14" s="203">
        <f t="shared" si="11"/>
        <v>200560.23</v>
      </c>
      <c r="S14" s="203">
        <f t="shared" si="12"/>
        <v>150420.17250000002</v>
      </c>
      <c r="T14" s="203">
        <f t="shared" si="13"/>
        <v>8621848.9699999988</v>
      </c>
      <c r="U14" s="203">
        <v>30000</v>
      </c>
      <c r="V14" s="203">
        <f t="shared" si="14"/>
        <v>962420.1936</v>
      </c>
      <c r="W14" s="203">
        <f t="shared" si="15"/>
        <v>54151.2621</v>
      </c>
      <c r="X14" s="203">
        <f t="shared" si="16"/>
        <v>561500</v>
      </c>
      <c r="Y14" s="205">
        <v>6000</v>
      </c>
      <c r="Z14" s="205">
        <f t="shared" si="17"/>
        <v>10235920.4257</v>
      </c>
      <c r="AA14" s="206"/>
      <c r="AB14" s="209" t="s">
        <v>440</v>
      </c>
      <c r="AC14" s="206"/>
      <c r="AD14" s="206"/>
      <c r="AE14" s="206"/>
      <c r="AF14" s="502"/>
      <c r="AG14" s="502"/>
      <c r="AH14" s="502"/>
      <c r="AI14" s="502"/>
      <c r="AJ14" s="502"/>
    </row>
    <row r="15" spans="1:37" ht="15.75" customHeight="1" x14ac:dyDescent="0.2">
      <c r="A15" s="153" t="s">
        <v>384</v>
      </c>
      <c r="B15" s="31">
        <v>79.180000000000007</v>
      </c>
      <c r="C15" s="31">
        <v>53.16</v>
      </c>
      <c r="D15" s="13">
        <f t="shared" si="1"/>
        <v>572.2142399999999</v>
      </c>
      <c r="E15" s="31">
        <v>26.02</v>
      </c>
      <c r="F15" s="13">
        <f t="shared" si="2"/>
        <v>280.07927999999998</v>
      </c>
      <c r="G15" s="13">
        <f t="shared" si="3"/>
        <v>0</v>
      </c>
      <c r="H15" s="13">
        <v>0</v>
      </c>
      <c r="I15" s="13">
        <f t="shared" si="4"/>
        <v>852.29351999999994</v>
      </c>
      <c r="J15" s="13">
        <f t="shared" si="5"/>
        <v>1235.8256039999999</v>
      </c>
      <c r="K15" s="15">
        <f t="shared" si="6"/>
        <v>8897944.3487999998</v>
      </c>
      <c r="L15" s="30">
        <v>400000</v>
      </c>
      <c r="M15" s="30">
        <v>200000</v>
      </c>
      <c r="N15" s="16">
        <f t="shared" si="7"/>
        <v>9497944.3487999998</v>
      </c>
      <c r="O15" s="16">
        <f t="shared" si="8"/>
        <v>0</v>
      </c>
      <c r="P15" s="15">
        <f t="shared" si="9"/>
        <v>9497944.3487999998</v>
      </c>
      <c r="Q15" s="15">
        <f t="shared" si="10"/>
        <v>308956.40099999995</v>
      </c>
      <c r="R15" s="15">
        <f t="shared" si="11"/>
        <v>247165.12079999998</v>
      </c>
      <c r="S15" s="15">
        <f t="shared" si="12"/>
        <v>185373.8406</v>
      </c>
      <c r="T15" s="15">
        <f t="shared" si="13"/>
        <v>10239439.711200001</v>
      </c>
      <c r="U15" s="15">
        <v>30000</v>
      </c>
      <c r="V15" s="15">
        <f t="shared" si="14"/>
        <v>1139753.321856</v>
      </c>
      <c r="W15" s="15">
        <f t="shared" si="15"/>
        <v>66734.582615999985</v>
      </c>
      <c r="X15" s="15">
        <f t="shared" si="16"/>
        <v>664900</v>
      </c>
      <c r="Y15" s="153">
        <v>6000</v>
      </c>
      <c r="Z15" s="153">
        <f t="shared" si="17"/>
        <v>12146827.615672</v>
      </c>
      <c r="AA15" s="13"/>
      <c r="AB15" s="13" t="s">
        <v>382</v>
      </c>
      <c r="AC15" s="13"/>
      <c r="AD15" s="13"/>
      <c r="AE15" s="13"/>
      <c r="AF15" s="31" t="s">
        <v>444</v>
      </c>
      <c r="AG15" s="31" t="s">
        <v>445</v>
      </c>
      <c r="AH15" s="31" t="s">
        <v>50</v>
      </c>
      <c r="AI15" s="31" t="s">
        <v>354</v>
      </c>
      <c r="AJ15" s="31" t="s">
        <v>446</v>
      </c>
      <c r="AK15" s="176"/>
    </row>
    <row r="16" spans="1:37" ht="15.75" customHeight="1" x14ac:dyDescent="0.2">
      <c r="A16" s="224" t="s">
        <v>387</v>
      </c>
      <c r="B16" s="155">
        <v>87.91</v>
      </c>
      <c r="C16" s="156">
        <v>74.92</v>
      </c>
      <c r="D16" s="156">
        <f t="shared" si="1"/>
        <v>806.43887999999993</v>
      </c>
      <c r="E16" s="155">
        <v>12.99</v>
      </c>
      <c r="F16" s="156">
        <f t="shared" si="2"/>
        <v>139.82435999999998</v>
      </c>
      <c r="G16" s="156">
        <f t="shared" si="3"/>
        <v>0</v>
      </c>
      <c r="H16" s="156">
        <v>0</v>
      </c>
      <c r="I16" s="156">
        <f t="shared" si="4"/>
        <v>946.26323999999988</v>
      </c>
      <c r="J16" s="156">
        <f t="shared" si="5"/>
        <v>1372.0816979999997</v>
      </c>
      <c r="K16" s="158">
        <f t="shared" si="6"/>
        <v>9878988.2255999986</v>
      </c>
      <c r="L16" s="159">
        <v>500000</v>
      </c>
      <c r="M16" s="159">
        <v>200000</v>
      </c>
      <c r="N16" s="160">
        <f t="shared" si="7"/>
        <v>10578988.225599999</v>
      </c>
      <c r="O16" s="160">
        <f t="shared" si="8"/>
        <v>0</v>
      </c>
      <c r="P16" s="158">
        <f t="shared" si="9"/>
        <v>10578988.225599999</v>
      </c>
      <c r="Q16" s="158">
        <f t="shared" si="10"/>
        <v>343020.42449999991</v>
      </c>
      <c r="R16" s="158">
        <f t="shared" si="11"/>
        <v>274416.33959999995</v>
      </c>
      <c r="S16" s="158">
        <f t="shared" si="12"/>
        <v>205812.25469999996</v>
      </c>
      <c r="T16" s="158">
        <f t="shared" si="13"/>
        <v>11402237.244399998</v>
      </c>
      <c r="U16" s="158">
        <v>30000</v>
      </c>
      <c r="V16" s="158">
        <f t="shared" si="14"/>
        <v>1269478.5870719997</v>
      </c>
      <c r="W16" s="158">
        <f t="shared" si="15"/>
        <v>74092.41169199998</v>
      </c>
      <c r="X16" s="158">
        <f t="shared" si="16"/>
        <v>740600</v>
      </c>
      <c r="Y16" s="224">
        <v>6000</v>
      </c>
      <c r="Z16" s="224">
        <f t="shared" si="17"/>
        <v>13522408.243163997</v>
      </c>
      <c r="AA16" s="156"/>
      <c r="AB16" s="156" t="s">
        <v>447</v>
      </c>
      <c r="AC16" s="156"/>
      <c r="AD16" s="156" t="s">
        <v>104</v>
      </c>
      <c r="AE16" s="156"/>
      <c r="AF16" s="156" t="s">
        <v>448</v>
      </c>
      <c r="AG16" s="155" t="s">
        <v>449</v>
      </c>
      <c r="AH16" s="156" t="s">
        <v>45</v>
      </c>
      <c r="AI16" s="156" t="s">
        <v>45</v>
      </c>
      <c r="AJ16" s="155" t="s">
        <v>450</v>
      </c>
      <c r="AK16" s="198"/>
    </row>
    <row r="17" spans="1:37" ht="15.75" customHeight="1" x14ac:dyDescent="0.2">
      <c r="A17" s="225" t="s">
        <v>389</v>
      </c>
      <c r="B17" s="226">
        <f t="shared" ref="B17:B28" si="18">C17+E17+G17</f>
        <v>65.930000000000007</v>
      </c>
      <c r="C17" s="226">
        <v>56.78</v>
      </c>
      <c r="D17" s="226">
        <f t="shared" si="1"/>
        <v>611.17991999999992</v>
      </c>
      <c r="E17" s="226">
        <v>9.15</v>
      </c>
      <c r="F17" s="226">
        <f t="shared" si="2"/>
        <v>98.490600000000001</v>
      </c>
      <c r="G17" s="226">
        <f t="shared" si="3"/>
        <v>0</v>
      </c>
      <c r="H17" s="226">
        <v>0</v>
      </c>
      <c r="I17" s="226">
        <f t="shared" si="4"/>
        <v>709.6705199999999</v>
      </c>
      <c r="J17" s="226">
        <f t="shared" si="5"/>
        <v>1029.0222539999997</v>
      </c>
      <c r="K17" s="227">
        <f t="shared" si="6"/>
        <v>7408960.2287999978</v>
      </c>
      <c r="L17" s="227">
        <v>400000</v>
      </c>
      <c r="M17" s="228">
        <v>200000</v>
      </c>
      <c r="N17" s="229">
        <f t="shared" si="7"/>
        <v>8008960.2287999978</v>
      </c>
      <c r="O17" s="229">
        <f t="shared" si="8"/>
        <v>0</v>
      </c>
      <c r="P17" s="227">
        <f t="shared" si="9"/>
        <v>8008960.2287999978</v>
      </c>
      <c r="Q17" s="227">
        <f t="shared" si="10"/>
        <v>257255.56349999993</v>
      </c>
      <c r="R17" s="227">
        <f t="shared" si="11"/>
        <v>205804.45079999996</v>
      </c>
      <c r="S17" s="227">
        <f t="shared" si="12"/>
        <v>154353.33809999996</v>
      </c>
      <c r="T17" s="227">
        <f t="shared" si="13"/>
        <v>8626373.581199998</v>
      </c>
      <c r="U17" s="227">
        <v>30000</v>
      </c>
      <c r="V17" s="227">
        <f t="shared" si="14"/>
        <v>961075.2274559997</v>
      </c>
      <c r="W17" s="227">
        <f t="shared" si="15"/>
        <v>55567.201715999981</v>
      </c>
      <c r="X17" s="227">
        <f t="shared" si="16"/>
        <v>560700</v>
      </c>
      <c r="Y17" s="225">
        <v>6000</v>
      </c>
      <c r="Z17" s="225">
        <f t="shared" si="17"/>
        <v>10239716.010371998</v>
      </c>
      <c r="AA17" s="226"/>
      <c r="AB17" s="226" t="s">
        <v>451</v>
      </c>
      <c r="AC17" s="226"/>
      <c r="AD17" s="226"/>
      <c r="AE17" s="226"/>
      <c r="AF17" s="230">
        <v>160</v>
      </c>
      <c r="AG17" s="231" t="s">
        <v>452</v>
      </c>
      <c r="AH17" s="226" t="s">
        <v>40</v>
      </c>
      <c r="AI17" s="231" t="s">
        <v>45</v>
      </c>
      <c r="AJ17" s="231" t="s">
        <v>453</v>
      </c>
      <c r="AK17" s="232"/>
    </row>
    <row r="18" spans="1:37" ht="15.75" customHeight="1" x14ac:dyDescent="0.2">
      <c r="A18" s="150" t="s">
        <v>394</v>
      </c>
      <c r="B18" s="13">
        <f t="shared" si="18"/>
        <v>51.07</v>
      </c>
      <c r="C18" s="13">
        <v>44.52</v>
      </c>
      <c r="D18" s="13">
        <f t="shared" si="1"/>
        <v>479.21328</v>
      </c>
      <c r="E18" s="13">
        <v>6.55</v>
      </c>
      <c r="F18" s="13">
        <f t="shared" si="2"/>
        <v>70.504199999999997</v>
      </c>
      <c r="G18" s="13">
        <f t="shared" si="3"/>
        <v>0</v>
      </c>
      <c r="H18" s="150">
        <v>0</v>
      </c>
      <c r="I18" s="13">
        <f t="shared" si="4"/>
        <v>549.71748000000002</v>
      </c>
      <c r="J18" s="173">
        <f t="shared" si="5"/>
        <v>797.09034599999995</v>
      </c>
      <c r="K18" s="15">
        <f t="shared" si="6"/>
        <v>5739050.4912</v>
      </c>
      <c r="L18" s="15">
        <v>300000</v>
      </c>
      <c r="M18" s="30">
        <v>200000</v>
      </c>
      <c r="N18" s="16">
        <f t="shared" si="7"/>
        <v>6239050.4912</v>
      </c>
      <c r="O18" s="16">
        <f t="shared" si="8"/>
        <v>0</v>
      </c>
      <c r="P18" s="15">
        <f t="shared" si="9"/>
        <v>6239050.4912</v>
      </c>
      <c r="Q18" s="15">
        <f t="shared" si="10"/>
        <v>199272.58649999998</v>
      </c>
      <c r="R18" s="15">
        <f t="shared" si="11"/>
        <v>159418.0692</v>
      </c>
      <c r="S18" s="15">
        <f t="shared" si="12"/>
        <v>119563.55189999999</v>
      </c>
      <c r="T18" s="15">
        <f t="shared" si="13"/>
        <v>6717304.6988000004</v>
      </c>
      <c r="U18" s="15">
        <v>30000</v>
      </c>
      <c r="V18" s="15">
        <f t="shared" si="14"/>
        <v>748686.05894399993</v>
      </c>
      <c r="W18" s="15">
        <f t="shared" si="15"/>
        <v>43042.878683999996</v>
      </c>
      <c r="X18" s="15">
        <f t="shared" si="16"/>
        <v>436800</v>
      </c>
      <c r="Y18" s="16">
        <v>6000</v>
      </c>
      <c r="Z18" s="16">
        <f t="shared" si="17"/>
        <v>7981833.6364280004</v>
      </c>
      <c r="AA18" s="151"/>
      <c r="AB18" s="152" t="s">
        <v>454</v>
      </c>
      <c r="AC18" s="151"/>
      <c r="AD18" s="151"/>
      <c r="AE18" s="151"/>
      <c r="AF18" s="151">
        <v>194</v>
      </c>
      <c r="AG18" s="152" t="s">
        <v>455</v>
      </c>
      <c r="AH18" s="151" t="s">
        <v>65</v>
      </c>
      <c r="AI18" s="152" t="s">
        <v>273</v>
      </c>
      <c r="AJ18" s="152" t="s">
        <v>456</v>
      </c>
      <c r="AK18" s="176"/>
    </row>
    <row r="19" spans="1:37" ht="15.75" customHeight="1" x14ac:dyDescent="0.2">
      <c r="A19" s="150" t="s">
        <v>395</v>
      </c>
      <c r="B19" s="13">
        <f t="shared" si="18"/>
        <v>51.07</v>
      </c>
      <c r="C19" s="13">
        <v>44.52</v>
      </c>
      <c r="D19" s="13">
        <f t="shared" si="1"/>
        <v>479.21328</v>
      </c>
      <c r="E19" s="13">
        <v>6.55</v>
      </c>
      <c r="F19" s="13">
        <f t="shared" si="2"/>
        <v>70.504199999999997</v>
      </c>
      <c r="G19" s="13">
        <f t="shared" si="3"/>
        <v>0</v>
      </c>
      <c r="H19" s="150">
        <v>0</v>
      </c>
      <c r="I19" s="13">
        <f t="shared" si="4"/>
        <v>549.71748000000002</v>
      </c>
      <c r="J19" s="173">
        <f t="shared" si="5"/>
        <v>797.09034599999995</v>
      </c>
      <c r="K19" s="15">
        <f t="shared" si="6"/>
        <v>5739050.4912</v>
      </c>
      <c r="L19" s="15">
        <v>300000</v>
      </c>
      <c r="M19" s="30">
        <v>200000</v>
      </c>
      <c r="N19" s="16">
        <f t="shared" si="7"/>
        <v>6239050.4912</v>
      </c>
      <c r="O19" s="16">
        <f t="shared" si="8"/>
        <v>0</v>
      </c>
      <c r="P19" s="15">
        <f t="shared" si="9"/>
        <v>6239050.4912</v>
      </c>
      <c r="Q19" s="15">
        <f t="shared" si="10"/>
        <v>199272.58649999998</v>
      </c>
      <c r="R19" s="15">
        <f t="shared" si="11"/>
        <v>159418.0692</v>
      </c>
      <c r="S19" s="15">
        <f t="shared" si="12"/>
        <v>119563.55189999999</v>
      </c>
      <c r="T19" s="15">
        <f t="shared" si="13"/>
        <v>6717304.6988000004</v>
      </c>
      <c r="U19" s="15">
        <v>30000</v>
      </c>
      <c r="V19" s="15">
        <f t="shared" si="14"/>
        <v>748686.05894399993</v>
      </c>
      <c r="W19" s="15">
        <f t="shared" si="15"/>
        <v>43042.878683999996</v>
      </c>
      <c r="X19" s="15">
        <f t="shared" si="16"/>
        <v>436800</v>
      </c>
      <c r="Y19" s="16">
        <v>6000</v>
      </c>
      <c r="Z19" s="16">
        <f t="shared" si="17"/>
        <v>7981833.6364280004</v>
      </c>
      <c r="AA19" s="151"/>
      <c r="AB19" s="152" t="s">
        <v>454</v>
      </c>
      <c r="AC19" s="151"/>
      <c r="AD19" s="151"/>
      <c r="AE19" s="151"/>
      <c r="AF19" s="151">
        <v>195</v>
      </c>
      <c r="AG19" s="152" t="s">
        <v>457</v>
      </c>
      <c r="AH19" s="151" t="s">
        <v>65</v>
      </c>
      <c r="AI19" s="152" t="s">
        <v>273</v>
      </c>
      <c r="AJ19" s="152" t="s">
        <v>456</v>
      </c>
      <c r="AK19" s="176"/>
    </row>
    <row r="20" spans="1:37" ht="15.75" customHeight="1" x14ac:dyDescent="0.2">
      <c r="A20" s="153" t="s">
        <v>401</v>
      </c>
      <c r="B20" s="150">
        <f t="shared" si="18"/>
        <v>40.78</v>
      </c>
      <c r="C20" s="150">
        <v>36.04</v>
      </c>
      <c r="D20" s="13">
        <f t="shared" si="1"/>
        <v>387.93455999999998</v>
      </c>
      <c r="E20" s="150">
        <v>4.74</v>
      </c>
      <c r="F20" s="13">
        <f t="shared" si="2"/>
        <v>51.021360000000001</v>
      </c>
      <c r="G20" s="150">
        <f t="shared" si="3"/>
        <v>0</v>
      </c>
      <c r="H20" s="150">
        <v>0</v>
      </c>
      <c r="I20" s="13">
        <f t="shared" si="4"/>
        <v>438.95591999999999</v>
      </c>
      <c r="J20" s="13">
        <f t="shared" si="5"/>
        <v>636.48608400000001</v>
      </c>
      <c r="K20" s="150">
        <f t="shared" si="6"/>
        <v>4582699.8048</v>
      </c>
      <c r="L20" s="150">
        <v>500000</v>
      </c>
      <c r="M20" s="175">
        <v>70000</v>
      </c>
      <c r="N20" s="150">
        <f t="shared" si="7"/>
        <v>5152699.8048</v>
      </c>
      <c r="O20" s="150">
        <f t="shared" si="8"/>
        <v>0</v>
      </c>
      <c r="P20" s="150">
        <f t="shared" si="9"/>
        <v>5152699.8048</v>
      </c>
      <c r="Q20" s="150">
        <f t="shared" si="10"/>
        <v>159121.52100000001</v>
      </c>
      <c r="R20" s="150">
        <f t="shared" si="11"/>
        <v>127297.21679999999</v>
      </c>
      <c r="S20" s="150">
        <f t="shared" si="12"/>
        <v>95472.912599999996</v>
      </c>
      <c r="T20" s="150">
        <f t="shared" si="13"/>
        <v>5534591.4551999997</v>
      </c>
      <c r="U20" s="150">
        <v>30000</v>
      </c>
      <c r="V20" s="150">
        <f t="shared" si="14"/>
        <v>618323.97657599999</v>
      </c>
      <c r="W20" s="15">
        <f t="shared" si="15"/>
        <v>34370.248535999999</v>
      </c>
      <c r="X20" s="150">
        <f t="shared" si="16"/>
        <v>360700</v>
      </c>
      <c r="Y20" s="150">
        <v>6000</v>
      </c>
      <c r="Z20" s="150">
        <f t="shared" si="17"/>
        <v>6583985.6803120002</v>
      </c>
      <c r="AA20" s="150"/>
      <c r="AB20" s="150" t="s">
        <v>458</v>
      </c>
      <c r="AC20" s="150"/>
      <c r="AD20" s="150" t="s">
        <v>104</v>
      </c>
      <c r="AE20" s="150"/>
      <c r="AF20" s="150" t="s">
        <v>459</v>
      </c>
      <c r="AG20" s="175" t="s">
        <v>460</v>
      </c>
      <c r="AH20" s="150" t="s">
        <v>45</v>
      </c>
      <c r="AI20" s="150" t="s">
        <v>40</v>
      </c>
      <c r="AJ20" s="175" t="s">
        <v>450</v>
      </c>
    </row>
    <row r="21" spans="1:37" ht="15.75" customHeight="1" x14ac:dyDescent="0.2">
      <c r="A21" s="223" t="s">
        <v>408</v>
      </c>
      <c r="B21" s="180">
        <f t="shared" si="18"/>
        <v>52.25</v>
      </c>
      <c r="C21" s="180">
        <v>45.6</v>
      </c>
      <c r="D21" s="180">
        <f t="shared" si="1"/>
        <v>490.83839999999998</v>
      </c>
      <c r="E21" s="180">
        <v>6.65</v>
      </c>
      <c r="F21" s="180">
        <f t="shared" si="2"/>
        <v>71.580600000000004</v>
      </c>
      <c r="G21" s="180">
        <f t="shared" si="3"/>
        <v>0</v>
      </c>
      <c r="H21" s="223">
        <v>0</v>
      </c>
      <c r="I21" s="180">
        <f t="shared" si="4"/>
        <v>562.41899999999998</v>
      </c>
      <c r="J21" s="180">
        <f t="shared" si="5"/>
        <v>815.50754999999992</v>
      </c>
      <c r="K21" s="182">
        <f t="shared" si="6"/>
        <v>5871654.3599999994</v>
      </c>
      <c r="L21" s="182">
        <v>300000</v>
      </c>
      <c r="M21" s="183">
        <v>200000</v>
      </c>
      <c r="N21" s="182">
        <f t="shared" si="7"/>
        <v>6371654.3599999994</v>
      </c>
      <c r="O21" s="182">
        <f t="shared" si="8"/>
        <v>0</v>
      </c>
      <c r="P21" s="182">
        <f t="shared" si="9"/>
        <v>6371654.3599999994</v>
      </c>
      <c r="Q21" s="182">
        <f t="shared" si="10"/>
        <v>203876.88749999998</v>
      </c>
      <c r="R21" s="182">
        <f t="shared" si="11"/>
        <v>163101.50999999998</v>
      </c>
      <c r="S21" s="182">
        <f t="shared" si="12"/>
        <v>122326.13249999999</v>
      </c>
      <c r="T21" s="182">
        <f t="shared" si="13"/>
        <v>6860958.8899999997</v>
      </c>
      <c r="U21" s="182">
        <v>30000</v>
      </c>
      <c r="V21" s="182">
        <f t="shared" si="14"/>
        <v>764598.52319999994</v>
      </c>
      <c r="W21" s="182">
        <f t="shared" si="15"/>
        <v>44037.407699999996</v>
      </c>
      <c r="X21" s="182">
        <f t="shared" si="16"/>
        <v>446100</v>
      </c>
      <c r="Y21" s="182">
        <v>6000</v>
      </c>
      <c r="Z21" s="182">
        <f t="shared" si="17"/>
        <v>8151694.8208999997</v>
      </c>
      <c r="AA21" s="185"/>
      <c r="AB21" s="188"/>
      <c r="AC21" s="185"/>
      <c r="AD21" s="185"/>
      <c r="AE21" s="185"/>
      <c r="AF21" s="185">
        <v>196</v>
      </c>
      <c r="AG21" s="188" t="s">
        <v>461</v>
      </c>
      <c r="AH21" s="185" t="s">
        <v>65</v>
      </c>
      <c r="AI21" s="188" t="s">
        <v>273</v>
      </c>
      <c r="AJ21" s="188" t="s">
        <v>462</v>
      </c>
      <c r="AK21" s="233"/>
    </row>
    <row r="22" spans="1:37" ht="15.75" customHeight="1" x14ac:dyDescent="0.2">
      <c r="A22" s="153" t="s">
        <v>411</v>
      </c>
      <c r="B22" s="150">
        <f t="shared" si="18"/>
        <v>50.22</v>
      </c>
      <c r="C22" s="150">
        <v>43.82</v>
      </c>
      <c r="D22" s="13">
        <f t="shared" si="1"/>
        <v>471.67847999999998</v>
      </c>
      <c r="E22" s="150">
        <v>6.4</v>
      </c>
      <c r="F22" s="13">
        <f t="shared" si="2"/>
        <v>68.889600000000002</v>
      </c>
      <c r="G22" s="150">
        <f t="shared" si="3"/>
        <v>0</v>
      </c>
      <c r="H22" s="150">
        <v>0</v>
      </c>
      <c r="I22" s="13">
        <f t="shared" si="4"/>
        <v>540.56808000000001</v>
      </c>
      <c r="J22" s="13">
        <f t="shared" si="5"/>
        <v>783.82371599999999</v>
      </c>
      <c r="K22" s="150">
        <f t="shared" si="6"/>
        <v>5643530.7551999995</v>
      </c>
      <c r="L22" s="150">
        <v>500000</v>
      </c>
      <c r="M22" s="175">
        <v>70000</v>
      </c>
      <c r="N22" s="150">
        <f t="shared" si="7"/>
        <v>6213530.7551999995</v>
      </c>
      <c r="O22" s="150">
        <f t="shared" si="8"/>
        <v>0</v>
      </c>
      <c r="P22" s="150">
        <f t="shared" si="9"/>
        <v>6213530.7551999995</v>
      </c>
      <c r="Q22" s="150">
        <f t="shared" si="10"/>
        <v>195955.929</v>
      </c>
      <c r="R22" s="150">
        <f t="shared" si="11"/>
        <v>156764.7432</v>
      </c>
      <c r="S22" s="150">
        <f t="shared" si="12"/>
        <v>117573.55740000001</v>
      </c>
      <c r="T22" s="150">
        <f t="shared" si="13"/>
        <v>6683824.9848000007</v>
      </c>
      <c r="U22" s="150">
        <v>30000</v>
      </c>
      <c r="V22" s="150">
        <f t="shared" si="14"/>
        <v>745623.69062399992</v>
      </c>
      <c r="W22" s="15">
        <f t="shared" si="15"/>
        <v>42326.480664000002</v>
      </c>
      <c r="X22" s="150">
        <f t="shared" si="16"/>
        <v>435000</v>
      </c>
      <c r="Y22" s="150">
        <v>6000</v>
      </c>
      <c r="Z22" s="150">
        <f t="shared" si="17"/>
        <v>7942775.1560880002</v>
      </c>
      <c r="AA22" s="150"/>
      <c r="AB22" s="150" t="s">
        <v>463</v>
      </c>
      <c r="AC22" s="150"/>
      <c r="AD22" s="150" t="s">
        <v>104</v>
      </c>
      <c r="AE22" s="150"/>
      <c r="AF22" s="150" t="s">
        <v>464</v>
      </c>
      <c r="AG22" s="175" t="s">
        <v>465</v>
      </c>
      <c r="AH22" s="150" t="s">
        <v>45</v>
      </c>
      <c r="AI22" s="150" t="s">
        <v>40</v>
      </c>
      <c r="AJ22" s="175" t="s">
        <v>466</v>
      </c>
    </row>
    <row r="23" spans="1:37" ht="15.75" customHeight="1" x14ac:dyDescent="0.2">
      <c r="A23" s="153" t="s">
        <v>413</v>
      </c>
      <c r="B23" s="150">
        <f t="shared" si="18"/>
        <v>41.21</v>
      </c>
      <c r="C23" s="150">
        <v>36.39</v>
      </c>
      <c r="D23" s="13">
        <f t="shared" si="1"/>
        <v>391.70195999999999</v>
      </c>
      <c r="E23" s="150">
        <v>4.82</v>
      </c>
      <c r="F23" s="13">
        <f t="shared" si="2"/>
        <v>51.882480000000001</v>
      </c>
      <c r="G23" s="150">
        <f t="shared" si="3"/>
        <v>0</v>
      </c>
      <c r="H23" s="150">
        <v>0</v>
      </c>
      <c r="I23" s="13">
        <f t="shared" si="4"/>
        <v>443.58443999999997</v>
      </c>
      <c r="J23" s="13">
        <f t="shared" si="5"/>
        <v>643.19743799999992</v>
      </c>
      <c r="K23" s="150">
        <f t="shared" si="6"/>
        <v>4631021.5535999993</v>
      </c>
      <c r="L23" s="150">
        <v>500000</v>
      </c>
      <c r="M23" s="175">
        <v>70000</v>
      </c>
      <c r="N23" s="150">
        <f t="shared" si="7"/>
        <v>5201021.5535999993</v>
      </c>
      <c r="O23" s="150">
        <f t="shared" si="8"/>
        <v>0</v>
      </c>
      <c r="P23" s="150">
        <f t="shared" si="9"/>
        <v>5201021.5535999993</v>
      </c>
      <c r="Q23" s="150">
        <f t="shared" si="10"/>
        <v>160799.35949999999</v>
      </c>
      <c r="R23" s="150">
        <f t="shared" si="11"/>
        <v>128639.48759999998</v>
      </c>
      <c r="S23" s="150">
        <f t="shared" si="12"/>
        <v>96479.615699999995</v>
      </c>
      <c r="T23" s="150">
        <f t="shared" si="13"/>
        <v>5586940.0163999991</v>
      </c>
      <c r="U23" s="150">
        <v>30000</v>
      </c>
      <c r="V23" s="150">
        <f t="shared" si="14"/>
        <v>624122.58643199992</v>
      </c>
      <c r="W23" s="15">
        <f t="shared" si="15"/>
        <v>34732.661651999995</v>
      </c>
      <c r="X23" s="150">
        <f t="shared" si="16"/>
        <v>364100</v>
      </c>
      <c r="Y23" s="150">
        <v>6000</v>
      </c>
      <c r="Z23" s="150">
        <f t="shared" si="17"/>
        <v>6645895.2644839985</v>
      </c>
      <c r="AA23" s="150"/>
      <c r="AB23" s="150" t="s">
        <v>467</v>
      </c>
      <c r="AC23" s="150"/>
      <c r="AD23" s="150"/>
      <c r="AE23" s="150"/>
      <c r="AF23" s="150" t="s">
        <v>468</v>
      </c>
      <c r="AG23" s="175" t="s">
        <v>469</v>
      </c>
      <c r="AH23" s="150" t="s">
        <v>45</v>
      </c>
      <c r="AI23" s="150" t="s">
        <v>40</v>
      </c>
      <c r="AJ23" s="175" t="s">
        <v>466</v>
      </c>
    </row>
    <row r="24" spans="1:37" ht="15.75" customHeight="1" x14ac:dyDescent="0.2">
      <c r="A24" s="153" t="s">
        <v>415</v>
      </c>
      <c r="B24" s="150">
        <f t="shared" si="18"/>
        <v>41.21</v>
      </c>
      <c r="C24" s="150">
        <v>36.39</v>
      </c>
      <c r="D24" s="13">
        <f t="shared" si="1"/>
        <v>391.70195999999999</v>
      </c>
      <c r="E24" s="150">
        <v>4.82</v>
      </c>
      <c r="F24" s="13">
        <f t="shared" si="2"/>
        <v>51.882480000000001</v>
      </c>
      <c r="G24" s="150">
        <f t="shared" si="3"/>
        <v>0</v>
      </c>
      <c r="H24" s="150">
        <v>0</v>
      </c>
      <c r="I24" s="13">
        <f t="shared" si="4"/>
        <v>443.58443999999997</v>
      </c>
      <c r="J24" s="13">
        <f t="shared" si="5"/>
        <v>643.19743799999992</v>
      </c>
      <c r="K24" s="150">
        <f t="shared" si="6"/>
        <v>4631021.5535999993</v>
      </c>
      <c r="L24" s="175">
        <v>0</v>
      </c>
      <c r="M24" s="175">
        <v>70000</v>
      </c>
      <c r="N24" s="150">
        <f t="shared" si="7"/>
        <v>4701021.5535999993</v>
      </c>
      <c r="O24" s="150">
        <f t="shared" si="8"/>
        <v>0</v>
      </c>
      <c r="P24" s="150">
        <f t="shared" si="9"/>
        <v>4701021.5535999993</v>
      </c>
      <c r="Q24" s="150">
        <f t="shared" si="10"/>
        <v>160799.35949999999</v>
      </c>
      <c r="R24" s="150">
        <f t="shared" si="11"/>
        <v>128639.48759999998</v>
      </c>
      <c r="S24" s="150">
        <f t="shared" si="12"/>
        <v>96479.615699999995</v>
      </c>
      <c r="T24" s="150">
        <f t="shared" si="13"/>
        <v>5086940.0163999991</v>
      </c>
      <c r="U24" s="150">
        <v>30000</v>
      </c>
      <c r="V24" s="150">
        <f t="shared" si="14"/>
        <v>564122.58643199992</v>
      </c>
      <c r="W24" s="15">
        <f t="shared" si="15"/>
        <v>34732.661651999995</v>
      </c>
      <c r="X24" s="150">
        <f t="shared" si="16"/>
        <v>329100</v>
      </c>
      <c r="Y24" s="150">
        <v>6000</v>
      </c>
      <c r="Z24" s="150">
        <f t="shared" si="17"/>
        <v>6050895.2644839985</v>
      </c>
      <c r="AA24" s="150"/>
      <c r="AB24" s="150" t="s">
        <v>470</v>
      </c>
      <c r="AC24" s="150"/>
      <c r="AD24" s="150" t="s">
        <v>104</v>
      </c>
      <c r="AE24" s="150"/>
      <c r="AF24" s="150" t="s">
        <v>471</v>
      </c>
      <c r="AG24" s="175" t="s">
        <v>472</v>
      </c>
      <c r="AH24" s="150"/>
      <c r="AI24" s="150" t="s">
        <v>40</v>
      </c>
      <c r="AJ24" s="175" t="s">
        <v>349</v>
      </c>
    </row>
    <row r="25" spans="1:37" ht="15.75" customHeight="1" x14ac:dyDescent="0.2">
      <c r="A25" s="150" t="s">
        <v>417</v>
      </c>
      <c r="B25" s="13">
        <f t="shared" si="18"/>
        <v>42.160000000000004</v>
      </c>
      <c r="C25" s="13">
        <v>37.340000000000003</v>
      </c>
      <c r="D25" s="13">
        <f t="shared" si="1"/>
        <v>401.92776000000003</v>
      </c>
      <c r="E25" s="13">
        <v>4.82</v>
      </c>
      <c r="F25" s="13">
        <f t="shared" si="2"/>
        <v>51.882480000000001</v>
      </c>
      <c r="G25" s="13">
        <f t="shared" si="3"/>
        <v>0</v>
      </c>
      <c r="H25" s="150">
        <v>0</v>
      </c>
      <c r="I25" s="13">
        <f t="shared" si="4"/>
        <v>453.81024000000002</v>
      </c>
      <c r="J25" s="173">
        <f t="shared" si="5"/>
        <v>658.02484800000002</v>
      </c>
      <c r="K25" s="15">
        <f t="shared" si="6"/>
        <v>4737778.9056000002</v>
      </c>
      <c r="L25" s="30">
        <v>0</v>
      </c>
      <c r="M25" s="30">
        <v>0</v>
      </c>
      <c r="N25" s="16">
        <f t="shared" si="7"/>
        <v>4737778.9056000002</v>
      </c>
      <c r="O25" s="16">
        <f t="shared" si="8"/>
        <v>0</v>
      </c>
      <c r="P25" s="15">
        <f t="shared" si="9"/>
        <v>4737778.9056000002</v>
      </c>
      <c r="Q25" s="15">
        <f t="shared" si="10"/>
        <v>164506.212</v>
      </c>
      <c r="R25" s="15">
        <f t="shared" si="11"/>
        <v>131604.96960000001</v>
      </c>
      <c r="S25" s="15">
        <f t="shared" si="12"/>
        <v>98703.727200000008</v>
      </c>
      <c r="T25" s="15">
        <f t="shared" si="13"/>
        <v>5132593.8144000005</v>
      </c>
      <c r="U25" s="15">
        <v>30000</v>
      </c>
      <c r="V25" s="15">
        <f t="shared" si="14"/>
        <v>568533.46867199999</v>
      </c>
      <c r="W25" s="15">
        <f t="shared" si="15"/>
        <v>35533.341791999999</v>
      </c>
      <c r="X25" s="15">
        <f t="shared" si="16"/>
        <v>331700</v>
      </c>
      <c r="Y25" s="16">
        <v>6000</v>
      </c>
      <c r="Z25" s="16">
        <f t="shared" si="17"/>
        <v>6104360.6248640008</v>
      </c>
      <c r="AA25" s="151"/>
      <c r="AB25" s="152" t="s">
        <v>473</v>
      </c>
      <c r="AC25" s="151"/>
      <c r="AD25" s="151"/>
      <c r="AE25" s="151"/>
      <c r="AF25" s="152" t="s">
        <v>471</v>
      </c>
      <c r="AG25" s="151"/>
      <c r="AH25" s="151"/>
      <c r="AI25" s="151"/>
      <c r="AJ25" s="151"/>
      <c r="AK25" s="176"/>
    </row>
    <row r="26" spans="1:37" ht="15.75" customHeight="1" x14ac:dyDescent="0.2">
      <c r="A26" s="223" t="s">
        <v>419</v>
      </c>
      <c r="B26" s="180">
        <f t="shared" si="18"/>
        <v>42.36</v>
      </c>
      <c r="C26" s="180">
        <v>37.340000000000003</v>
      </c>
      <c r="D26" s="180">
        <f t="shared" si="1"/>
        <v>401.92776000000003</v>
      </c>
      <c r="E26" s="180">
        <v>5.0199999999999996</v>
      </c>
      <c r="F26" s="180">
        <f t="shared" si="2"/>
        <v>54.035279999999993</v>
      </c>
      <c r="G26" s="180">
        <f t="shared" si="3"/>
        <v>0</v>
      </c>
      <c r="H26" s="223">
        <v>0</v>
      </c>
      <c r="I26" s="180">
        <f t="shared" si="4"/>
        <v>455.96304000000003</v>
      </c>
      <c r="J26" s="181">
        <f t="shared" si="5"/>
        <v>661.14640800000006</v>
      </c>
      <c r="K26" s="182">
        <f t="shared" si="6"/>
        <v>4760254.1376</v>
      </c>
      <c r="L26" s="182">
        <v>300000</v>
      </c>
      <c r="M26" s="183">
        <v>200000</v>
      </c>
      <c r="N26" s="184">
        <f t="shared" si="7"/>
        <v>5260254.1376</v>
      </c>
      <c r="O26" s="184">
        <f t="shared" si="8"/>
        <v>0</v>
      </c>
      <c r="P26" s="182">
        <f t="shared" si="9"/>
        <v>5260254.1376</v>
      </c>
      <c r="Q26" s="182">
        <f t="shared" si="10"/>
        <v>165286.60200000001</v>
      </c>
      <c r="R26" s="182">
        <f t="shared" si="11"/>
        <v>132229.28160000002</v>
      </c>
      <c r="S26" s="182">
        <f t="shared" si="12"/>
        <v>99171.961200000005</v>
      </c>
      <c r="T26" s="182">
        <f t="shared" si="13"/>
        <v>5656941.9824000001</v>
      </c>
      <c r="U26" s="182">
        <v>30000</v>
      </c>
      <c r="V26" s="182">
        <f t="shared" si="14"/>
        <v>631230.49651199998</v>
      </c>
      <c r="W26" s="182">
        <f t="shared" si="15"/>
        <v>35701.906031999999</v>
      </c>
      <c r="X26" s="182">
        <f t="shared" si="16"/>
        <v>368300</v>
      </c>
      <c r="Y26" s="184">
        <v>6000</v>
      </c>
      <c r="Z26" s="184">
        <f t="shared" si="17"/>
        <v>6728174.3849439994</v>
      </c>
      <c r="AA26" s="185"/>
      <c r="AB26" s="185"/>
      <c r="AC26" s="185"/>
      <c r="AD26" s="185"/>
      <c r="AE26" s="185"/>
      <c r="AF26" s="185">
        <v>200</v>
      </c>
      <c r="AG26" s="188" t="s">
        <v>474</v>
      </c>
      <c r="AH26" s="185" t="s">
        <v>65</v>
      </c>
      <c r="AI26" s="188" t="s">
        <v>273</v>
      </c>
      <c r="AJ26" s="188" t="s">
        <v>475</v>
      </c>
    </row>
    <row r="27" spans="1:37" ht="12" customHeight="1" x14ac:dyDescent="0.2">
      <c r="A27" s="222" t="s">
        <v>421</v>
      </c>
      <c r="B27" s="201">
        <f t="shared" si="18"/>
        <v>43.93</v>
      </c>
      <c r="C27" s="201">
        <v>38.630000000000003</v>
      </c>
      <c r="D27" s="200">
        <f t="shared" si="1"/>
        <v>415.81331999999998</v>
      </c>
      <c r="E27" s="201">
        <v>5.3</v>
      </c>
      <c r="F27" s="200">
        <f t="shared" si="2"/>
        <v>57.049199999999992</v>
      </c>
      <c r="G27" s="201">
        <f t="shared" si="3"/>
        <v>0</v>
      </c>
      <c r="H27" s="201">
        <v>0</v>
      </c>
      <c r="I27" s="200">
        <f t="shared" si="4"/>
        <v>472.86251999999996</v>
      </c>
      <c r="J27" s="200">
        <f t="shared" si="5"/>
        <v>685.65065399999992</v>
      </c>
      <c r="K27" s="201">
        <f t="shared" si="6"/>
        <v>4936684.7087999992</v>
      </c>
      <c r="L27" s="234">
        <v>400000</v>
      </c>
      <c r="M27" s="234">
        <v>200000</v>
      </c>
      <c r="N27" s="201">
        <f t="shared" si="7"/>
        <v>5536684.7087999992</v>
      </c>
      <c r="O27" s="201">
        <f t="shared" si="8"/>
        <v>0</v>
      </c>
      <c r="P27" s="201">
        <f t="shared" si="9"/>
        <v>5536684.7087999992</v>
      </c>
      <c r="Q27" s="201">
        <f t="shared" si="10"/>
        <v>171412.66349999997</v>
      </c>
      <c r="R27" s="201">
        <f t="shared" si="11"/>
        <v>137130.13079999998</v>
      </c>
      <c r="S27" s="201">
        <f t="shared" si="12"/>
        <v>102847.59809999999</v>
      </c>
      <c r="T27" s="201">
        <f t="shared" si="13"/>
        <v>5948075.1011999995</v>
      </c>
      <c r="U27" s="201">
        <v>30000</v>
      </c>
      <c r="V27" s="201">
        <f t="shared" si="14"/>
        <v>664402.16505599988</v>
      </c>
      <c r="W27" s="203">
        <f t="shared" si="15"/>
        <v>37025.135315999993</v>
      </c>
      <c r="X27" s="201">
        <f t="shared" si="16"/>
        <v>387600</v>
      </c>
      <c r="Y27" s="201">
        <v>6000</v>
      </c>
      <c r="Z27" s="201">
        <f t="shared" si="17"/>
        <v>7073102.4015719993</v>
      </c>
      <c r="AA27" s="201"/>
      <c r="AB27" s="201" t="s">
        <v>382</v>
      </c>
      <c r="AC27" s="201"/>
      <c r="AD27" s="201"/>
      <c r="AE27" s="201"/>
      <c r="AF27" s="235">
        <v>161</v>
      </c>
      <c r="AG27" s="234" t="s">
        <v>476</v>
      </c>
      <c r="AH27" s="235" t="s">
        <v>40</v>
      </c>
      <c r="AI27" s="234" t="s">
        <v>477</v>
      </c>
      <c r="AJ27" s="235" t="s">
        <v>478</v>
      </c>
    </row>
    <row r="28" spans="1:37" ht="12" customHeight="1" x14ac:dyDescent="0.2">
      <c r="A28" s="222" t="s">
        <v>423</v>
      </c>
      <c r="B28" s="201">
        <f t="shared" si="18"/>
        <v>68.28</v>
      </c>
      <c r="C28" s="201">
        <v>60.88</v>
      </c>
      <c r="D28" s="200">
        <f t="shared" si="1"/>
        <v>655.31232</v>
      </c>
      <c r="E28" s="201">
        <v>7.4</v>
      </c>
      <c r="F28" s="200">
        <f t="shared" si="2"/>
        <v>79.653599999999997</v>
      </c>
      <c r="G28" s="201">
        <f t="shared" si="3"/>
        <v>0</v>
      </c>
      <c r="H28" s="201">
        <v>0</v>
      </c>
      <c r="I28" s="200">
        <f t="shared" si="4"/>
        <v>734.96591999999998</v>
      </c>
      <c r="J28" s="200">
        <f t="shared" si="5"/>
        <v>1065.7005839999999</v>
      </c>
      <c r="K28" s="201">
        <f t="shared" si="6"/>
        <v>7673044.2047999995</v>
      </c>
      <c r="L28" s="234">
        <v>400000</v>
      </c>
      <c r="M28" s="234">
        <v>200000</v>
      </c>
      <c r="N28" s="201">
        <f t="shared" si="7"/>
        <v>8273044.2047999995</v>
      </c>
      <c r="O28" s="201">
        <f t="shared" si="8"/>
        <v>0</v>
      </c>
      <c r="P28" s="201">
        <f t="shared" si="9"/>
        <v>8273044.2047999995</v>
      </c>
      <c r="Q28" s="201">
        <f t="shared" si="10"/>
        <v>266425.14600000001</v>
      </c>
      <c r="R28" s="201">
        <f t="shared" si="11"/>
        <v>213140.11679999999</v>
      </c>
      <c r="S28" s="201">
        <f t="shared" si="12"/>
        <v>159855.0876</v>
      </c>
      <c r="T28" s="201">
        <f t="shared" si="13"/>
        <v>8912464.5552000012</v>
      </c>
      <c r="U28" s="201">
        <v>30000</v>
      </c>
      <c r="V28" s="201">
        <f t="shared" si="14"/>
        <v>992765.30457599985</v>
      </c>
      <c r="W28" s="203">
        <f t="shared" si="15"/>
        <v>57547.831535999998</v>
      </c>
      <c r="X28" s="201">
        <f t="shared" si="16"/>
        <v>579200</v>
      </c>
      <c r="Y28" s="201">
        <v>6000</v>
      </c>
      <c r="Z28" s="201">
        <f t="shared" si="17"/>
        <v>10577977.691312002</v>
      </c>
      <c r="AA28" s="201"/>
      <c r="AB28" s="201" t="s">
        <v>382</v>
      </c>
      <c r="AC28" s="201"/>
      <c r="AD28" s="201"/>
      <c r="AE28" s="201"/>
      <c r="AF28" s="234" t="s">
        <v>479</v>
      </c>
      <c r="AG28" s="234" t="s">
        <v>480</v>
      </c>
      <c r="AH28" s="236" t="s">
        <v>50</v>
      </c>
      <c r="AI28" s="234" t="s">
        <v>477</v>
      </c>
      <c r="AJ28" s="235" t="s">
        <v>478</v>
      </c>
    </row>
    <row r="29" spans="1:37" ht="15.75" customHeight="1" x14ac:dyDescent="0.2">
      <c r="A29" s="166"/>
      <c r="B29" s="166">
        <f t="shared" ref="B29:J29" si="19">SUM(B4:B28)</f>
        <v>1544.59</v>
      </c>
      <c r="C29" s="166">
        <f t="shared" si="19"/>
        <v>1317.47</v>
      </c>
      <c r="D29" s="166">
        <f t="shared" si="19"/>
        <v>14181.247080000001</v>
      </c>
      <c r="E29" s="166">
        <f t="shared" si="19"/>
        <v>227.12000000000006</v>
      </c>
      <c r="F29" s="166">
        <f t="shared" si="19"/>
        <v>2444.7196800000006</v>
      </c>
      <c r="G29" s="166">
        <f t="shared" si="19"/>
        <v>0</v>
      </c>
      <c r="H29" s="166">
        <f t="shared" si="19"/>
        <v>0</v>
      </c>
      <c r="I29" s="166">
        <f t="shared" si="19"/>
        <v>16625.966760000003</v>
      </c>
      <c r="J29" s="166">
        <f t="shared" si="19"/>
        <v>24107.651801999997</v>
      </c>
      <c r="K29" s="166"/>
      <c r="L29" s="166"/>
      <c r="M29" s="166"/>
      <c r="N29" s="166"/>
      <c r="O29" s="166"/>
      <c r="P29" s="237">
        <f>SUM(P4:P28)</f>
        <v>187855092.97440004</v>
      </c>
      <c r="Q29" s="166"/>
      <c r="R29" s="166"/>
      <c r="S29" s="166"/>
      <c r="T29" s="166"/>
      <c r="U29" s="166"/>
      <c r="V29" s="166"/>
      <c r="W29" s="166"/>
      <c r="X29" s="166"/>
      <c r="Y29" s="166"/>
      <c r="Z29" s="237">
        <f>SUM(Z4:Z28)</f>
        <v>240215408.40983593</v>
      </c>
      <c r="AA29" s="166"/>
      <c r="AB29" s="163"/>
      <c r="AC29" s="166"/>
      <c r="AD29" s="166"/>
      <c r="AE29" s="166"/>
      <c r="AF29" s="41"/>
      <c r="AG29" s="41"/>
      <c r="AH29" s="41"/>
      <c r="AI29" s="41"/>
    </row>
    <row r="30" spans="1:37" ht="15.75" customHeight="1" x14ac:dyDescent="0.2">
      <c r="A30" s="166"/>
      <c r="B30" s="218"/>
      <c r="C30" s="218"/>
      <c r="D30" s="41"/>
      <c r="E30" s="41"/>
      <c r="F30" s="41"/>
      <c r="G30" s="41"/>
      <c r="H30" s="41"/>
      <c r="I30" s="41"/>
      <c r="J30" s="166"/>
      <c r="K30" s="41"/>
      <c r="L30" s="41"/>
      <c r="M30" s="41"/>
      <c r="N30" s="166"/>
      <c r="O30" s="166"/>
      <c r="P30" s="41"/>
      <c r="Q30" s="41"/>
      <c r="R30" s="41"/>
      <c r="S30" s="41"/>
      <c r="T30" s="41"/>
      <c r="U30" s="41"/>
      <c r="V30" s="41"/>
      <c r="W30" s="41"/>
      <c r="X30" s="41"/>
      <c r="Y30" s="166"/>
      <c r="Z30" s="166"/>
      <c r="AA30" s="41"/>
      <c r="AB30" s="41"/>
      <c r="AC30" s="41"/>
      <c r="AD30" s="41"/>
      <c r="AE30" s="41"/>
      <c r="AF30" s="41"/>
      <c r="AG30" s="41"/>
      <c r="AH30" s="41"/>
      <c r="AI30" s="41"/>
    </row>
    <row r="31" spans="1:37" ht="15.75" customHeight="1" x14ac:dyDescent="0.2">
      <c r="A31" s="166"/>
      <c r="B31" s="218"/>
      <c r="C31" s="218"/>
      <c r="D31" s="41"/>
      <c r="E31" s="41"/>
      <c r="F31" s="41"/>
      <c r="G31" s="41"/>
      <c r="H31" s="41"/>
      <c r="I31" s="41"/>
      <c r="J31" s="166"/>
      <c r="K31" s="41"/>
      <c r="L31" s="41"/>
      <c r="M31" s="41" t="s">
        <v>0</v>
      </c>
      <c r="N31" s="166"/>
      <c r="O31" s="166"/>
      <c r="P31" s="41"/>
      <c r="Q31" s="41"/>
      <c r="R31" s="41"/>
      <c r="S31" s="41"/>
      <c r="T31" s="41"/>
      <c r="U31" s="41"/>
      <c r="V31" s="41"/>
      <c r="W31" s="41"/>
      <c r="X31" s="41"/>
      <c r="Y31" s="166"/>
      <c r="Z31" s="166"/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7" ht="15.75" customHeight="1" x14ac:dyDescent="0.2">
      <c r="A32" s="166"/>
      <c r="B32" s="218"/>
      <c r="C32" s="218"/>
      <c r="D32" s="41"/>
      <c r="E32" s="41"/>
      <c r="F32" s="41"/>
      <c r="G32" s="41"/>
      <c r="H32" s="41"/>
      <c r="I32" s="41">
        <f>I4+I5+I15+I27+I28</f>
        <v>4487.9421599999996</v>
      </c>
      <c r="J32" s="166"/>
      <c r="K32" s="41"/>
      <c r="L32" s="41"/>
      <c r="M32" s="41"/>
      <c r="N32" s="166"/>
      <c r="O32" s="166"/>
      <c r="P32" s="41"/>
      <c r="Q32" s="41"/>
      <c r="R32" s="41"/>
      <c r="S32" s="41"/>
      <c r="T32" s="41"/>
      <c r="U32" s="41"/>
      <c r="V32" s="41"/>
      <c r="W32" s="41"/>
      <c r="X32" s="41"/>
      <c r="Y32" s="166"/>
      <c r="Z32" s="166"/>
      <c r="AA32" s="41"/>
      <c r="AB32" s="41"/>
      <c r="AC32" s="41"/>
      <c r="AD32" s="41"/>
      <c r="AE32" s="41"/>
      <c r="AF32" s="41"/>
      <c r="AG32" s="41"/>
      <c r="AH32" s="41"/>
      <c r="AI32" s="41"/>
    </row>
    <row r="33" spans="1:35" ht="15.75" customHeight="1" x14ac:dyDescent="0.2">
      <c r="A33" s="166"/>
      <c r="B33" s="218"/>
      <c r="C33" s="218"/>
      <c r="D33" s="41"/>
      <c r="E33" s="41"/>
      <c r="F33" s="41"/>
      <c r="G33" s="41"/>
      <c r="H33" s="41"/>
      <c r="I33" s="41"/>
      <c r="J33" s="166"/>
      <c r="K33" s="41"/>
      <c r="L33" s="41"/>
      <c r="M33" s="41"/>
      <c r="N33" s="166"/>
      <c r="O33" s="166"/>
      <c r="P33" s="41"/>
      <c r="Q33" s="41"/>
      <c r="R33" s="41"/>
      <c r="S33" s="41"/>
      <c r="T33" s="41"/>
      <c r="U33" s="41"/>
      <c r="V33" s="41"/>
      <c r="W33" s="41"/>
      <c r="X33" s="41"/>
      <c r="Y33" s="166"/>
      <c r="Z33" s="166"/>
      <c r="AA33" s="41"/>
      <c r="AB33" s="41"/>
      <c r="AC33" s="41"/>
      <c r="AD33" s="41"/>
      <c r="AE33" s="41"/>
      <c r="AF33" s="41"/>
      <c r="AG33" s="41"/>
      <c r="AH33" s="41"/>
      <c r="AI33" s="41"/>
    </row>
    <row r="34" spans="1:35" ht="15.75" customHeight="1" x14ac:dyDescent="0.2">
      <c r="A34" s="166"/>
      <c r="B34" s="218"/>
      <c r="C34" s="218"/>
      <c r="D34" s="41"/>
      <c r="E34" s="41"/>
      <c r="F34" s="41"/>
      <c r="G34" s="41"/>
      <c r="H34" s="41"/>
      <c r="I34" s="41"/>
      <c r="J34" s="166"/>
      <c r="K34" s="41"/>
      <c r="L34" s="41"/>
      <c r="M34" s="41"/>
      <c r="N34" s="166"/>
      <c r="O34" s="166"/>
      <c r="P34" s="41"/>
      <c r="Q34" s="41"/>
      <c r="R34" s="41"/>
      <c r="S34" s="41"/>
      <c r="T34" s="41"/>
      <c r="U34" s="41"/>
      <c r="V34" s="41"/>
      <c r="W34" s="41"/>
      <c r="X34" s="41"/>
      <c r="Y34" s="166"/>
      <c r="Z34" s="238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ht="15.75" customHeight="1" x14ac:dyDescent="0.2">
      <c r="A35" s="166"/>
      <c r="B35" s="218"/>
      <c r="C35" s="218"/>
      <c r="D35" s="41"/>
      <c r="E35" s="41"/>
      <c r="F35" s="41"/>
      <c r="G35" s="41"/>
      <c r="H35" s="41"/>
      <c r="I35" s="41"/>
      <c r="J35" s="166"/>
      <c r="K35" s="41"/>
      <c r="L35" s="41"/>
      <c r="M35" s="41"/>
      <c r="N35" s="166"/>
      <c r="O35" s="166"/>
      <c r="P35" s="41"/>
      <c r="Q35" s="41"/>
      <c r="R35" s="41"/>
      <c r="S35" s="41"/>
      <c r="T35" s="41"/>
      <c r="U35" s="41"/>
      <c r="V35" s="41"/>
      <c r="W35" s="41"/>
      <c r="X35" s="41"/>
      <c r="Y35" s="166"/>
      <c r="Z35" s="166"/>
      <c r="AA35" s="41"/>
      <c r="AB35" s="41"/>
      <c r="AC35" s="41"/>
      <c r="AD35" s="41"/>
      <c r="AE35" s="41"/>
      <c r="AF35" s="41"/>
      <c r="AG35" s="41"/>
      <c r="AH35" s="41"/>
      <c r="AI35" s="41"/>
    </row>
    <row r="36" spans="1:35" ht="15.75" customHeight="1" x14ac:dyDescent="0.2">
      <c r="A36" s="166"/>
      <c r="B36" s="218"/>
      <c r="C36" s="218"/>
      <c r="D36" s="41"/>
      <c r="E36" s="41"/>
      <c r="F36" s="41"/>
      <c r="G36" s="41"/>
      <c r="H36" s="41"/>
      <c r="I36" s="41"/>
      <c r="J36" s="166"/>
      <c r="K36" s="41"/>
      <c r="L36" s="41"/>
      <c r="M36" s="41"/>
      <c r="N36" s="166"/>
      <c r="O36" s="166"/>
      <c r="P36" s="41"/>
      <c r="Q36" s="41"/>
      <c r="R36" s="41"/>
      <c r="S36" s="41"/>
      <c r="T36" s="41"/>
      <c r="U36" s="41"/>
      <c r="V36" s="41"/>
      <c r="W36" s="41"/>
      <c r="X36" s="41"/>
      <c r="Y36" s="166"/>
      <c r="Z36" s="166"/>
      <c r="AA36" s="41"/>
      <c r="AB36" s="41"/>
      <c r="AC36" s="41"/>
      <c r="AD36" s="41"/>
      <c r="AE36" s="41"/>
      <c r="AF36" s="41"/>
      <c r="AG36" s="41"/>
      <c r="AH36" s="41"/>
      <c r="AI36" s="41"/>
    </row>
    <row r="37" spans="1:35" ht="15.75" customHeight="1" x14ac:dyDescent="0.2">
      <c r="A37" s="166"/>
      <c r="B37" s="218"/>
      <c r="C37" s="218"/>
      <c r="D37" s="41"/>
      <c r="E37" s="41"/>
      <c r="F37" s="41"/>
      <c r="G37" s="41"/>
      <c r="H37" s="41"/>
      <c r="I37" s="41"/>
      <c r="J37" s="166"/>
      <c r="K37" s="41"/>
      <c r="L37" s="41"/>
      <c r="M37" s="41"/>
      <c r="N37" s="166"/>
      <c r="O37" s="166"/>
      <c r="P37" s="41"/>
      <c r="Q37" s="41"/>
      <c r="R37" s="41"/>
      <c r="S37" s="41"/>
      <c r="T37" s="41"/>
      <c r="U37" s="41"/>
      <c r="V37" s="41"/>
      <c r="W37" s="41"/>
      <c r="X37" s="41"/>
      <c r="Y37" s="166"/>
      <c r="Z37" s="166"/>
      <c r="AA37" s="41"/>
      <c r="AB37" s="41"/>
      <c r="AC37" s="41"/>
      <c r="AD37" s="41"/>
      <c r="AE37" s="41"/>
      <c r="AF37" s="41"/>
      <c r="AG37" s="41"/>
      <c r="AH37" s="41"/>
      <c r="AI37" s="41"/>
    </row>
    <row r="38" spans="1:35" ht="15.75" customHeight="1" x14ac:dyDescent="0.2">
      <c r="A38" s="166"/>
      <c r="B38" s="218"/>
      <c r="C38" s="218"/>
      <c r="D38" s="41"/>
      <c r="E38" s="41"/>
      <c r="F38" s="41"/>
      <c r="G38" s="41"/>
      <c r="H38" s="41"/>
      <c r="I38" s="41"/>
      <c r="J38" s="166"/>
      <c r="K38" s="41"/>
      <c r="L38" s="41"/>
      <c r="M38" s="41"/>
      <c r="N38" s="166"/>
      <c r="O38" s="166"/>
      <c r="P38" s="41"/>
      <c r="Q38" s="41"/>
      <c r="R38" s="41"/>
      <c r="S38" s="41"/>
      <c r="T38" s="41"/>
      <c r="U38" s="41"/>
      <c r="V38" s="41"/>
      <c r="W38" s="41"/>
      <c r="X38" s="41"/>
      <c r="Y38" s="166"/>
      <c r="Z38" s="166"/>
      <c r="AA38" s="41"/>
      <c r="AB38" s="41"/>
      <c r="AC38" s="41"/>
      <c r="AD38" s="41"/>
      <c r="AE38" s="41"/>
      <c r="AF38" s="41"/>
      <c r="AG38" s="41"/>
      <c r="AH38" s="41"/>
      <c r="AI38" s="41"/>
    </row>
    <row r="39" spans="1:35" ht="15.75" customHeight="1" x14ac:dyDescent="0.2">
      <c r="A39" s="166"/>
      <c r="B39" s="218"/>
      <c r="C39" s="218"/>
      <c r="D39" s="41"/>
      <c r="E39" s="41"/>
      <c r="F39" s="41"/>
      <c r="G39" s="41"/>
      <c r="H39" s="41"/>
      <c r="I39" s="41"/>
      <c r="J39" s="166"/>
      <c r="K39" s="41"/>
      <c r="L39" s="41"/>
      <c r="M39" s="41"/>
      <c r="N39" s="166"/>
      <c r="O39" s="166"/>
      <c r="P39" s="41"/>
      <c r="Q39" s="41"/>
      <c r="R39" s="41"/>
      <c r="S39" s="41"/>
      <c r="T39" s="41"/>
      <c r="U39" s="41"/>
      <c r="V39" s="41"/>
      <c r="W39" s="41"/>
      <c r="X39" s="41"/>
      <c r="Y39" s="166"/>
      <c r="Z39" s="166"/>
      <c r="AA39" s="41"/>
      <c r="AB39" s="41"/>
      <c r="AC39" s="41"/>
      <c r="AD39" s="41"/>
      <c r="AE39" s="41"/>
      <c r="AF39" s="41"/>
      <c r="AG39" s="41"/>
      <c r="AH39" s="41"/>
      <c r="AI39" s="41"/>
    </row>
    <row r="40" spans="1:35" ht="15.75" customHeight="1" x14ac:dyDescent="0.2">
      <c r="A40" s="166"/>
      <c r="B40" s="218"/>
      <c r="C40" s="218"/>
      <c r="D40" s="41"/>
      <c r="E40" s="41"/>
      <c r="F40" s="41"/>
      <c r="G40" s="41"/>
      <c r="H40" s="41"/>
      <c r="I40" s="41"/>
      <c r="J40" s="166"/>
      <c r="K40" s="41"/>
      <c r="L40" s="41"/>
      <c r="M40" s="41"/>
      <c r="N40" s="166"/>
      <c r="O40" s="166"/>
      <c r="P40" s="41"/>
      <c r="Q40" s="41"/>
      <c r="R40" s="41"/>
      <c r="S40" s="41"/>
      <c r="T40" s="41"/>
      <c r="U40" s="41"/>
      <c r="V40" s="41"/>
      <c r="W40" s="41"/>
      <c r="X40" s="41"/>
      <c r="Y40" s="166"/>
      <c r="Z40" s="166"/>
      <c r="AA40" s="41"/>
      <c r="AB40" s="41"/>
      <c r="AC40" s="41"/>
      <c r="AD40" s="41"/>
      <c r="AE40" s="41"/>
      <c r="AF40" s="41"/>
      <c r="AG40" s="41"/>
      <c r="AH40" s="41"/>
      <c r="AI40" s="41"/>
    </row>
    <row r="41" spans="1:35" ht="15.75" customHeight="1" x14ac:dyDescent="0.2">
      <c r="A41" s="166"/>
      <c r="B41" s="218"/>
      <c r="C41" s="218"/>
      <c r="D41" s="41"/>
      <c r="E41" s="41"/>
      <c r="F41" s="41"/>
      <c r="G41" s="41"/>
      <c r="H41" s="41"/>
      <c r="I41" s="41"/>
      <c r="J41" s="166"/>
      <c r="K41" s="41"/>
      <c r="L41" s="41"/>
      <c r="M41" s="41"/>
      <c r="N41" s="166"/>
      <c r="O41" s="166"/>
      <c r="P41" s="41"/>
      <c r="Q41" s="41"/>
      <c r="R41" s="41"/>
      <c r="S41" s="41"/>
      <c r="T41" s="41"/>
      <c r="U41" s="41"/>
      <c r="V41" s="41"/>
      <c r="W41" s="41"/>
      <c r="X41" s="41"/>
      <c r="Y41" s="166"/>
      <c r="Z41" s="166"/>
      <c r="AA41" s="41"/>
      <c r="AB41" s="41"/>
      <c r="AC41" s="41"/>
      <c r="AD41" s="41"/>
      <c r="AE41" s="41"/>
      <c r="AF41" s="41"/>
      <c r="AG41" s="41"/>
      <c r="AH41" s="41"/>
      <c r="AI41" s="41"/>
    </row>
    <row r="42" spans="1:35" ht="15.75" customHeight="1" x14ac:dyDescent="0.2">
      <c r="A42" s="166"/>
      <c r="B42" s="218"/>
      <c r="C42" s="218"/>
      <c r="D42" s="41"/>
      <c r="E42" s="41"/>
      <c r="F42" s="41"/>
      <c r="G42" s="41"/>
      <c r="H42" s="41"/>
      <c r="I42" s="41"/>
      <c r="J42" s="166"/>
      <c r="K42" s="41"/>
      <c r="L42" s="41"/>
      <c r="M42" s="41"/>
      <c r="N42" s="166"/>
      <c r="O42" s="166"/>
      <c r="P42" s="41"/>
      <c r="Q42" s="41"/>
      <c r="R42" s="41"/>
      <c r="S42" s="41"/>
      <c r="T42" s="41"/>
      <c r="U42" s="41"/>
      <c r="V42" s="41"/>
      <c r="W42" s="41"/>
      <c r="X42" s="41"/>
      <c r="Y42" s="166"/>
      <c r="Z42" s="166"/>
      <c r="AA42" s="41"/>
      <c r="AB42" s="41"/>
      <c r="AC42" s="41"/>
      <c r="AD42" s="41"/>
      <c r="AE42" s="41"/>
      <c r="AF42" s="41"/>
      <c r="AG42" s="41"/>
      <c r="AH42" s="41"/>
      <c r="AI42" s="41"/>
    </row>
    <row r="43" spans="1:35" ht="15.75" customHeight="1" x14ac:dyDescent="0.2">
      <c r="A43" s="166"/>
      <c r="B43" s="218"/>
      <c r="C43" s="218"/>
      <c r="D43" s="41"/>
      <c r="E43" s="41"/>
      <c r="F43" s="41"/>
      <c r="G43" s="41"/>
      <c r="H43" s="41"/>
      <c r="I43" s="41"/>
      <c r="J43" s="166"/>
      <c r="K43" s="41"/>
      <c r="L43" s="41"/>
      <c r="M43" s="41"/>
      <c r="N43" s="166"/>
      <c r="O43" s="166"/>
      <c r="P43" s="41"/>
      <c r="Q43" s="41"/>
      <c r="R43" s="41"/>
      <c r="S43" s="41"/>
      <c r="T43" s="41"/>
      <c r="U43" s="41"/>
      <c r="V43" s="41"/>
      <c r="W43" s="41"/>
      <c r="X43" s="41"/>
      <c r="Y43" s="166"/>
      <c r="Z43" s="166"/>
      <c r="AA43" s="41"/>
      <c r="AB43" s="41"/>
      <c r="AC43" s="41"/>
      <c r="AD43" s="41"/>
      <c r="AE43" s="41"/>
      <c r="AF43" s="41"/>
      <c r="AG43" s="41"/>
      <c r="AH43" s="41"/>
      <c r="AI43" s="41"/>
    </row>
    <row r="44" spans="1:35" ht="15.75" customHeight="1" x14ac:dyDescent="0.2">
      <c r="A44" s="166"/>
      <c r="B44" s="218"/>
      <c r="C44" s="218"/>
      <c r="D44" s="41"/>
      <c r="E44" s="41"/>
      <c r="F44" s="41"/>
      <c r="G44" s="41"/>
      <c r="H44" s="41"/>
      <c r="I44" s="41"/>
      <c r="J44" s="166"/>
      <c r="K44" s="41"/>
      <c r="L44" s="41"/>
      <c r="M44" s="41"/>
      <c r="N44" s="166"/>
      <c r="O44" s="166"/>
      <c r="P44" s="41"/>
      <c r="Q44" s="41"/>
      <c r="R44" s="41"/>
      <c r="S44" s="41"/>
      <c r="T44" s="41"/>
      <c r="U44" s="41"/>
      <c r="V44" s="41"/>
      <c r="W44" s="41"/>
      <c r="X44" s="41"/>
      <c r="Y44" s="166"/>
      <c r="Z44" s="166"/>
      <c r="AA44" s="41"/>
      <c r="AB44" s="41"/>
      <c r="AC44" s="41"/>
      <c r="AD44" s="41"/>
      <c r="AE44" s="41"/>
      <c r="AF44" s="41"/>
      <c r="AG44" s="41"/>
      <c r="AH44" s="41"/>
      <c r="AI44" s="41"/>
    </row>
    <row r="45" spans="1:35" ht="15.75" customHeight="1" x14ac:dyDescent="0.2">
      <c r="A45" s="166"/>
      <c r="B45" s="218"/>
      <c r="C45" s="218"/>
      <c r="D45" s="41"/>
      <c r="E45" s="41"/>
      <c r="F45" s="41"/>
      <c r="G45" s="41"/>
      <c r="H45" s="41"/>
      <c r="I45" s="41"/>
      <c r="J45" s="166"/>
      <c r="K45" s="41"/>
      <c r="L45" s="41"/>
      <c r="M45" s="41"/>
      <c r="N45" s="166"/>
      <c r="O45" s="166"/>
      <c r="P45" s="41"/>
      <c r="Q45" s="41"/>
      <c r="R45" s="41"/>
      <c r="S45" s="41"/>
      <c r="T45" s="41"/>
      <c r="U45" s="41"/>
      <c r="V45" s="41"/>
      <c r="W45" s="41"/>
      <c r="X45" s="41"/>
      <c r="Y45" s="166"/>
      <c r="Z45" s="166"/>
      <c r="AA45" s="41"/>
      <c r="AB45" s="41"/>
      <c r="AC45" s="41"/>
      <c r="AD45" s="41"/>
      <c r="AE45" s="41"/>
      <c r="AF45" s="41"/>
      <c r="AG45" s="41"/>
      <c r="AH45" s="41"/>
      <c r="AI45" s="41"/>
    </row>
    <row r="46" spans="1:35" ht="15.75" customHeight="1" x14ac:dyDescent="0.2">
      <c r="A46" s="166"/>
      <c r="B46" s="218"/>
      <c r="C46" s="218"/>
      <c r="D46" s="41"/>
      <c r="E46" s="41"/>
      <c r="F46" s="41"/>
      <c r="G46" s="41"/>
      <c r="H46" s="41"/>
      <c r="I46" s="41"/>
      <c r="J46" s="166"/>
      <c r="K46" s="41"/>
      <c r="L46" s="41"/>
      <c r="M46" s="41"/>
      <c r="N46" s="166"/>
      <c r="O46" s="166"/>
      <c r="P46" s="41"/>
      <c r="Q46" s="41"/>
      <c r="R46" s="41"/>
      <c r="S46" s="41"/>
      <c r="T46" s="41"/>
      <c r="U46" s="41"/>
      <c r="V46" s="41"/>
      <c r="W46" s="41"/>
      <c r="X46" s="41"/>
      <c r="Y46" s="166"/>
      <c r="Z46" s="166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5.75" customHeight="1" x14ac:dyDescent="0.2">
      <c r="A47" s="166"/>
      <c r="B47" s="218"/>
      <c r="C47" s="218"/>
      <c r="D47" s="41"/>
      <c r="E47" s="41"/>
      <c r="F47" s="41"/>
      <c r="G47" s="41"/>
      <c r="H47" s="41"/>
      <c r="I47" s="41"/>
      <c r="J47" s="166"/>
      <c r="K47" s="41"/>
      <c r="L47" s="41"/>
      <c r="M47" s="41"/>
      <c r="N47" s="166"/>
      <c r="O47" s="166"/>
      <c r="P47" s="41"/>
      <c r="Q47" s="41"/>
      <c r="R47" s="41"/>
      <c r="S47" s="41"/>
      <c r="T47" s="41"/>
      <c r="U47" s="41"/>
      <c r="V47" s="41"/>
      <c r="W47" s="41"/>
      <c r="X47" s="41"/>
      <c r="Y47" s="166"/>
      <c r="Z47" s="166"/>
      <c r="AA47" s="41"/>
      <c r="AB47" s="41"/>
      <c r="AC47" s="41"/>
      <c r="AD47" s="41"/>
      <c r="AE47" s="41"/>
      <c r="AF47" s="41"/>
      <c r="AG47" s="41"/>
      <c r="AH47" s="41"/>
      <c r="AI47" s="41"/>
    </row>
    <row r="48" spans="1:35" ht="15.75" customHeight="1" x14ac:dyDescent="0.2">
      <c r="A48" s="166"/>
      <c r="B48" s="218"/>
      <c r="C48" s="218"/>
      <c r="D48" s="41"/>
      <c r="E48" s="41"/>
      <c r="F48" s="41"/>
      <c r="G48" s="41"/>
      <c r="H48" s="41"/>
      <c r="I48" s="41"/>
      <c r="J48" s="166"/>
      <c r="K48" s="41"/>
      <c r="L48" s="41"/>
      <c r="M48" s="41"/>
      <c r="N48" s="166"/>
      <c r="O48" s="166"/>
      <c r="P48" s="41"/>
      <c r="Q48" s="41"/>
      <c r="R48" s="41"/>
      <c r="S48" s="41"/>
      <c r="T48" s="41"/>
      <c r="U48" s="41"/>
      <c r="V48" s="41"/>
      <c r="W48" s="41"/>
      <c r="X48" s="41"/>
      <c r="Y48" s="166"/>
      <c r="Z48" s="166"/>
      <c r="AA48" s="41"/>
      <c r="AB48" s="41"/>
      <c r="AC48" s="41"/>
      <c r="AD48" s="41"/>
      <c r="AE48" s="41"/>
      <c r="AF48" s="41"/>
      <c r="AG48" s="41"/>
      <c r="AH48" s="41"/>
      <c r="AI48" s="41"/>
    </row>
    <row r="49" spans="1:35" ht="15.75" customHeight="1" x14ac:dyDescent="0.2">
      <c r="A49" s="166"/>
      <c r="B49" s="218"/>
      <c r="C49" s="218"/>
      <c r="D49" s="41"/>
      <c r="E49" s="41"/>
      <c r="F49" s="41"/>
      <c r="G49" s="41"/>
      <c r="H49" s="41"/>
      <c r="I49" s="41"/>
      <c r="J49" s="166"/>
      <c r="K49" s="41"/>
      <c r="L49" s="41"/>
      <c r="M49" s="41"/>
      <c r="N49" s="166"/>
      <c r="O49" s="166"/>
      <c r="P49" s="41"/>
      <c r="Q49" s="41"/>
      <c r="R49" s="41"/>
      <c r="S49" s="41"/>
      <c r="T49" s="41"/>
      <c r="U49" s="41"/>
      <c r="V49" s="41"/>
      <c r="W49" s="41"/>
      <c r="X49" s="41"/>
      <c r="Y49" s="166"/>
      <c r="Z49" s="166"/>
      <c r="AA49" s="41"/>
      <c r="AB49" s="41"/>
      <c r="AC49" s="41"/>
      <c r="AD49" s="41"/>
      <c r="AE49" s="41"/>
      <c r="AF49" s="41"/>
      <c r="AG49" s="41"/>
      <c r="AH49" s="41"/>
      <c r="AI49" s="41"/>
    </row>
    <row r="50" spans="1:35" ht="15.75" customHeight="1" x14ac:dyDescent="0.2">
      <c r="A50" s="166"/>
      <c r="B50" s="218"/>
      <c r="C50" s="218"/>
      <c r="D50" s="41"/>
      <c r="E50" s="41"/>
      <c r="F50" s="41"/>
      <c r="G50" s="41"/>
      <c r="H50" s="41"/>
      <c r="I50" s="41"/>
      <c r="J50" s="166"/>
      <c r="K50" s="41"/>
      <c r="L50" s="41"/>
      <c r="M50" s="41"/>
      <c r="N50" s="166"/>
      <c r="O50" s="166"/>
      <c r="P50" s="41"/>
      <c r="Q50" s="41"/>
      <c r="R50" s="41"/>
      <c r="S50" s="41"/>
      <c r="T50" s="41"/>
      <c r="U50" s="41"/>
      <c r="V50" s="41"/>
      <c r="W50" s="41"/>
      <c r="X50" s="41"/>
      <c r="Y50" s="166"/>
      <c r="Z50" s="166"/>
      <c r="AA50" s="41"/>
      <c r="AB50" s="41"/>
      <c r="AC50" s="41"/>
      <c r="AD50" s="41"/>
      <c r="AE50" s="41"/>
      <c r="AF50" s="41"/>
      <c r="AG50" s="41"/>
      <c r="AH50" s="41"/>
      <c r="AI50" s="41"/>
    </row>
    <row r="51" spans="1:35" ht="15.75" customHeight="1" x14ac:dyDescent="0.2">
      <c r="A51" s="166"/>
      <c r="B51" s="218"/>
      <c r="C51" s="218"/>
      <c r="D51" s="41"/>
      <c r="E51" s="41"/>
      <c r="F51" s="41"/>
      <c r="G51" s="41"/>
      <c r="H51" s="41"/>
      <c r="I51" s="41"/>
      <c r="J51" s="166"/>
      <c r="K51" s="41"/>
      <c r="L51" s="41"/>
      <c r="M51" s="41"/>
      <c r="N51" s="166"/>
      <c r="O51" s="166"/>
      <c r="P51" s="41"/>
      <c r="Q51" s="41"/>
      <c r="R51" s="41"/>
      <c r="S51" s="41"/>
      <c r="T51" s="41"/>
      <c r="U51" s="41"/>
      <c r="V51" s="41"/>
      <c r="W51" s="41"/>
      <c r="X51" s="41"/>
      <c r="Y51" s="166"/>
      <c r="Z51" s="166"/>
      <c r="AA51" s="41"/>
      <c r="AB51" s="41"/>
      <c r="AC51" s="41"/>
      <c r="AD51" s="41"/>
      <c r="AE51" s="41"/>
      <c r="AF51" s="41"/>
      <c r="AG51" s="41"/>
      <c r="AH51" s="41"/>
      <c r="AI51" s="41"/>
    </row>
    <row r="52" spans="1:35" ht="15.75" customHeight="1" x14ac:dyDescent="0.2">
      <c r="A52" s="166"/>
      <c r="B52" s="218"/>
      <c r="C52" s="218"/>
      <c r="D52" s="41"/>
      <c r="E52" s="41"/>
      <c r="F52" s="41"/>
      <c r="G52" s="41"/>
      <c r="H52" s="41"/>
      <c r="I52" s="41"/>
      <c r="J52" s="166"/>
      <c r="K52" s="41"/>
      <c r="L52" s="41"/>
      <c r="M52" s="41"/>
      <c r="N52" s="166"/>
      <c r="O52" s="166"/>
      <c r="P52" s="41"/>
      <c r="Q52" s="41"/>
      <c r="R52" s="41"/>
      <c r="S52" s="41"/>
      <c r="T52" s="41"/>
      <c r="U52" s="41"/>
      <c r="V52" s="41"/>
      <c r="W52" s="41"/>
      <c r="X52" s="41"/>
      <c r="Y52" s="166"/>
      <c r="Z52" s="166"/>
      <c r="AA52" s="41"/>
      <c r="AB52" s="41"/>
      <c r="AC52" s="41"/>
      <c r="AD52" s="41"/>
      <c r="AE52" s="41"/>
      <c r="AF52" s="41"/>
      <c r="AG52" s="41"/>
      <c r="AH52" s="41"/>
      <c r="AI52" s="41"/>
    </row>
    <row r="53" spans="1:35" ht="15.75" customHeight="1" x14ac:dyDescent="0.2">
      <c r="A53" s="166"/>
      <c r="B53" s="218"/>
      <c r="C53" s="218"/>
      <c r="D53" s="41"/>
      <c r="E53" s="41"/>
      <c r="F53" s="41"/>
      <c r="G53" s="41"/>
      <c r="H53" s="41"/>
      <c r="I53" s="41"/>
      <c r="J53" s="166"/>
      <c r="K53" s="41"/>
      <c r="L53" s="41"/>
      <c r="M53" s="41"/>
      <c r="N53" s="166"/>
      <c r="O53" s="166"/>
      <c r="P53" s="41"/>
      <c r="Q53" s="41"/>
      <c r="R53" s="41"/>
      <c r="S53" s="41"/>
      <c r="T53" s="41"/>
      <c r="U53" s="41"/>
      <c r="V53" s="41"/>
      <c r="W53" s="41"/>
      <c r="X53" s="41"/>
      <c r="Y53" s="166"/>
      <c r="Z53" s="166"/>
      <c r="AA53" s="41"/>
      <c r="AB53" s="41"/>
      <c r="AC53" s="41"/>
      <c r="AD53" s="41"/>
      <c r="AE53" s="41"/>
      <c r="AF53" s="41"/>
      <c r="AG53" s="41"/>
      <c r="AH53" s="41"/>
      <c r="AI53" s="41"/>
    </row>
    <row r="54" spans="1:35" ht="15.75" customHeight="1" x14ac:dyDescent="0.2">
      <c r="A54" s="166"/>
      <c r="B54" s="218"/>
      <c r="C54" s="218"/>
      <c r="D54" s="41"/>
      <c r="E54" s="41"/>
      <c r="F54" s="41"/>
      <c r="G54" s="41"/>
      <c r="H54" s="41"/>
      <c r="I54" s="41"/>
      <c r="J54" s="166"/>
      <c r="K54" s="41"/>
      <c r="L54" s="41"/>
      <c r="M54" s="41"/>
      <c r="N54" s="166"/>
      <c r="O54" s="166"/>
      <c r="P54" s="41"/>
      <c r="Q54" s="41"/>
      <c r="R54" s="41"/>
      <c r="S54" s="41"/>
      <c r="T54" s="41"/>
      <c r="U54" s="41"/>
      <c r="V54" s="41"/>
      <c r="W54" s="41"/>
      <c r="X54" s="41"/>
      <c r="Y54" s="166"/>
      <c r="Z54" s="166"/>
      <c r="AA54" s="41"/>
      <c r="AB54" s="41"/>
      <c r="AC54" s="41"/>
      <c r="AD54" s="41"/>
      <c r="AE54" s="41"/>
      <c r="AF54" s="41"/>
      <c r="AG54" s="41"/>
      <c r="AH54" s="41"/>
      <c r="AI54" s="41"/>
    </row>
    <row r="55" spans="1:35" ht="15.75" customHeight="1" x14ac:dyDescent="0.2">
      <c r="A55" s="166"/>
      <c r="B55" s="218"/>
      <c r="C55" s="218"/>
      <c r="D55" s="41"/>
      <c r="E55" s="41"/>
      <c r="F55" s="41"/>
      <c r="G55" s="41"/>
      <c r="H55" s="41"/>
      <c r="I55" s="41"/>
      <c r="J55" s="166"/>
      <c r="K55" s="41"/>
      <c r="L55" s="41"/>
      <c r="M55" s="41"/>
      <c r="N55" s="166"/>
      <c r="O55" s="166"/>
      <c r="P55" s="41"/>
      <c r="Q55" s="41"/>
      <c r="R55" s="41"/>
      <c r="S55" s="41"/>
      <c r="T55" s="41"/>
      <c r="U55" s="41"/>
      <c r="V55" s="41"/>
      <c r="W55" s="41"/>
      <c r="X55" s="41"/>
      <c r="Y55" s="166"/>
      <c r="Z55" s="166"/>
      <c r="AA55" s="41"/>
      <c r="AB55" s="41"/>
      <c r="AC55" s="41"/>
      <c r="AD55" s="41"/>
      <c r="AE55" s="41"/>
      <c r="AF55" s="41"/>
      <c r="AG55" s="41"/>
      <c r="AH55" s="41"/>
      <c r="AI55" s="41"/>
    </row>
    <row r="56" spans="1:35" ht="15.75" customHeight="1" x14ac:dyDescent="0.2">
      <c r="A56" s="166"/>
      <c r="B56" s="218"/>
      <c r="C56" s="218"/>
      <c r="D56" s="41"/>
      <c r="E56" s="41"/>
      <c r="F56" s="41"/>
      <c r="G56" s="41"/>
      <c r="H56" s="41"/>
      <c r="I56" s="41"/>
      <c r="J56" s="166"/>
      <c r="K56" s="41"/>
      <c r="L56" s="41"/>
      <c r="M56" s="41"/>
      <c r="N56" s="166"/>
      <c r="O56" s="166"/>
      <c r="P56" s="41"/>
      <c r="Q56" s="41"/>
      <c r="R56" s="41"/>
      <c r="S56" s="41"/>
      <c r="T56" s="41"/>
      <c r="U56" s="41"/>
      <c r="V56" s="41"/>
      <c r="W56" s="41"/>
      <c r="X56" s="41"/>
      <c r="Y56" s="166"/>
      <c r="Z56" s="166"/>
      <c r="AA56" s="41"/>
      <c r="AB56" s="41"/>
      <c r="AC56" s="41"/>
      <c r="AD56" s="41"/>
      <c r="AE56" s="41"/>
      <c r="AF56" s="41"/>
      <c r="AG56" s="41"/>
      <c r="AH56" s="41"/>
      <c r="AI56" s="41"/>
    </row>
    <row r="57" spans="1:35" ht="15.75" customHeight="1" x14ac:dyDescent="0.2">
      <c r="A57" s="166"/>
      <c r="B57" s="218"/>
      <c r="C57" s="218"/>
      <c r="D57" s="41"/>
      <c r="E57" s="41"/>
      <c r="F57" s="41"/>
      <c r="G57" s="41"/>
      <c r="H57" s="41"/>
      <c r="I57" s="41"/>
      <c r="J57" s="166"/>
      <c r="K57" s="41"/>
      <c r="L57" s="41"/>
      <c r="M57" s="41"/>
      <c r="N57" s="166"/>
      <c r="O57" s="166"/>
      <c r="P57" s="41"/>
      <c r="Q57" s="41"/>
      <c r="R57" s="41"/>
      <c r="S57" s="41"/>
      <c r="T57" s="41"/>
      <c r="U57" s="41"/>
      <c r="V57" s="41"/>
      <c r="W57" s="41"/>
      <c r="X57" s="41"/>
      <c r="Y57" s="166"/>
      <c r="Z57" s="166"/>
      <c r="AA57" s="41"/>
      <c r="AB57" s="41"/>
      <c r="AC57" s="41"/>
      <c r="AD57" s="41"/>
      <c r="AE57" s="41"/>
      <c r="AF57" s="41"/>
      <c r="AG57" s="41"/>
      <c r="AH57" s="41"/>
      <c r="AI57" s="41"/>
    </row>
    <row r="58" spans="1:35" ht="15.75" customHeight="1" x14ac:dyDescent="0.2">
      <c r="A58" s="166"/>
      <c r="B58" s="218"/>
      <c r="C58" s="218"/>
      <c r="D58" s="41"/>
      <c r="E58" s="41"/>
      <c r="F58" s="41"/>
      <c r="G58" s="41"/>
      <c r="H58" s="41"/>
      <c r="I58" s="41"/>
      <c r="J58" s="166"/>
      <c r="K58" s="41"/>
      <c r="L58" s="41"/>
      <c r="M58" s="41"/>
      <c r="N58" s="166"/>
      <c r="O58" s="166"/>
      <c r="P58" s="41"/>
      <c r="Q58" s="41"/>
      <c r="R58" s="41"/>
      <c r="S58" s="41"/>
      <c r="T58" s="41"/>
      <c r="U58" s="41"/>
      <c r="V58" s="41"/>
      <c r="W58" s="41"/>
      <c r="X58" s="41"/>
      <c r="Y58" s="166"/>
      <c r="Z58" s="166"/>
      <c r="AA58" s="41"/>
      <c r="AB58" s="41"/>
      <c r="AC58" s="41"/>
      <c r="AD58" s="41"/>
      <c r="AE58" s="41"/>
      <c r="AF58" s="41"/>
      <c r="AG58" s="41"/>
      <c r="AH58" s="41"/>
      <c r="AI58" s="41"/>
    </row>
    <row r="59" spans="1:35" ht="15.75" customHeight="1" x14ac:dyDescent="0.2">
      <c r="A59" s="166"/>
      <c r="B59" s="218"/>
      <c r="C59" s="218"/>
      <c r="D59" s="41"/>
      <c r="E59" s="41"/>
      <c r="F59" s="41"/>
      <c r="G59" s="41"/>
      <c r="H59" s="41"/>
      <c r="I59" s="41"/>
      <c r="J59" s="166"/>
      <c r="K59" s="41"/>
      <c r="L59" s="41"/>
      <c r="M59" s="41"/>
      <c r="N59" s="166"/>
      <c r="O59" s="166"/>
      <c r="P59" s="41"/>
      <c r="Q59" s="41"/>
      <c r="R59" s="41"/>
      <c r="S59" s="41"/>
      <c r="T59" s="41"/>
      <c r="U59" s="41"/>
      <c r="V59" s="41"/>
      <c r="W59" s="41"/>
      <c r="X59" s="41"/>
      <c r="Y59" s="166"/>
      <c r="Z59" s="166"/>
      <c r="AA59" s="41"/>
      <c r="AB59" s="41"/>
      <c r="AC59" s="41"/>
      <c r="AD59" s="41"/>
      <c r="AE59" s="41"/>
      <c r="AF59" s="41"/>
      <c r="AG59" s="41"/>
      <c r="AH59" s="41"/>
      <c r="AI59" s="41"/>
    </row>
    <row r="60" spans="1:35" ht="15.75" customHeight="1" x14ac:dyDescent="0.2">
      <c r="A60" s="166"/>
      <c r="B60" s="218"/>
      <c r="C60" s="218"/>
      <c r="D60" s="41"/>
      <c r="E60" s="41"/>
      <c r="F60" s="41"/>
      <c r="G60" s="41"/>
      <c r="H60" s="41"/>
      <c r="I60" s="41"/>
      <c r="J60" s="166"/>
      <c r="K60" s="41"/>
      <c r="L60" s="41"/>
      <c r="M60" s="41"/>
      <c r="N60" s="166"/>
      <c r="O60" s="166"/>
      <c r="P60" s="41"/>
      <c r="Q60" s="41"/>
      <c r="R60" s="41"/>
      <c r="S60" s="41"/>
      <c r="T60" s="41"/>
      <c r="U60" s="41"/>
      <c r="V60" s="41"/>
      <c r="W60" s="41"/>
      <c r="X60" s="41"/>
      <c r="Y60" s="166"/>
      <c r="Z60" s="166"/>
      <c r="AA60" s="41"/>
      <c r="AB60" s="41"/>
      <c r="AC60" s="41"/>
      <c r="AD60" s="41"/>
      <c r="AE60" s="41"/>
      <c r="AF60" s="41"/>
      <c r="AG60" s="41"/>
      <c r="AH60" s="41"/>
      <c r="AI60" s="41"/>
    </row>
    <row r="61" spans="1:35" ht="15.75" customHeight="1" x14ac:dyDescent="0.2">
      <c r="A61" s="166"/>
      <c r="B61" s="218"/>
      <c r="C61" s="218"/>
      <c r="D61" s="41"/>
      <c r="E61" s="41"/>
      <c r="F61" s="41"/>
      <c r="G61" s="41"/>
      <c r="H61" s="41"/>
      <c r="I61" s="41"/>
      <c r="J61" s="166"/>
      <c r="K61" s="41"/>
      <c r="L61" s="41"/>
      <c r="M61" s="41"/>
      <c r="N61" s="166"/>
      <c r="O61" s="166"/>
      <c r="P61" s="41"/>
      <c r="Q61" s="41"/>
      <c r="R61" s="41"/>
      <c r="S61" s="41"/>
      <c r="T61" s="41"/>
      <c r="U61" s="41"/>
      <c r="V61" s="41"/>
      <c r="W61" s="41"/>
      <c r="X61" s="41"/>
      <c r="Y61" s="166"/>
      <c r="Z61" s="166"/>
      <c r="AA61" s="41"/>
      <c r="AB61" s="41"/>
      <c r="AC61" s="41"/>
      <c r="AD61" s="41"/>
      <c r="AE61" s="41"/>
      <c r="AF61" s="41"/>
      <c r="AG61" s="41"/>
      <c r="AH61" s="41"/>
      <c r="AI61" s="41"/>
    </row>
    <row r="62" spans="1:35" ht="15.75" customHeight="1" x14ac:dyDescent="0.2">
      <c r="A62" s="166"/>
      <c r="B62" s="218"/>
      <c r="C62" s="218"/>
      <c r="D62" s="41"/>
      <c r="E62" s="41"/>
      <c r="F62" s="41"/>
      <c r="G62" s="41"/>
      <c r="H62" s="41"/>
      <c r="I62" s="41"/>
      <c r="J62" s="166"/>
      <c r="K62" s="41"/>
      <c r="L62" s="41"/>
      <c r="M62" s="41"/>
      <c r="N62" s="166"/>
      <c r="O62" s="166"/>
      <c r="P62" s="41"/>
      <c r="Q62" s="41"/>
      <c r="R62" s="41"/>
      <c r="S62" s="41"/>
      <c r="T62" s="41"/>
      <c r="U62" s="41"/>
      <c r="V62" s="41"/>
      <c r="W62" s="41"/>
      <c r="X62" s="41"/>
      <c r="Y62" s="166"/>
      <c r="Z62" s="166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5.75" customHeight="1" x14ac:dyDescent="0.2">
      <c r="A63" s="166"/>
      <c r="B63" s="218"/>
      <c r="C63" s="218"/>
      <c r="D63" s="41"/>
      <c r="E63" s="41"/>
      <c r="F63" s="41"/>
      <c r="G63" s="41"/>
      <c r="H63" s="41"/>
      <c r="I63" s="41"/>
      <c r="J63" s="166"/>
      <c r="K63" s="41"/>
      <c r="L63" s="41"/>
      <c r="M63" s="41"/>
      <c r="N63" s="166"/>
      <c r="O63" s="166"/>
      <c r="P63" s="41"/>
      <c r="Q63" s="41"/>
      <c r="R63" s="41"/>
      <c r="S63" s="41"/>
      <c r="T63" s="41"/>
      <c r="U63" s="41"/>
      <c r="V63" s="41"/>
      <c r="W63" s="41"/>
      <c r="X63" s="41"/>
      <c r="Y63" s="166"/>
      <c r="Z63" s="166"/>
      <c r="AA63" s="41"/>
      <c r="AB63" s="41"/>
      <c r="AC63" s="41"/>
      <c r="AD63" s="41"/>
      <c r="AE63" s="41"/>
      <c r="AF63" s="41"/>
      <c r="AG63" s="41"/>
      <c r="AH63" s="41"/>
      <c r="AI63" s="41"/>
    </row>
    <row r="64" spans="1:35" ht="15.75" customHeight="1" x14ac:dyDescent="0.2">
      <c r="A64" s="166"/>
      <c r="B64" s="218"/>
      <c r="C64" s="218"/>
      <c r="D64" s="41"/>
      <c r="E64" s="41"/>
      <c r="F64" s="41"/>
      <c r="G64" s="41"/>
      <c r="H64" s="41"/>
      <c r="I64" s="41"/>
      <c r="J64" s="166"/>
      <c r="K64" s="41"/>
      <c r="L64" s="41"/>
      <c r="M64" s="41"/>
      <c r="N64" s="166"/>
      <c r="O64" s="166"/>
      <c r="P64" s="41"/>
      <c r="Q64" s="41"/>
      <c r="R64" s="41"/>
      <c r="S64" s="41"/>
      <c r="T64" s="41"/>
      <c r="U64" s="41"/>
      <c r="V64" s="41"/>
      <c r="W64" s="41"/>
      <c r="X64" s="41"/>
      <c r="Y64" s="166"/>
      <c r="Z64" s="166"/>
      <c r="AA64" s="41"/>
      <c r="AB64" s="41"/>
      <c r="AC64" s="41"/>
      <c r="AD64" s="41"/>
      <c r="AE64" s="41"/>
      <c r="AF64" s="41"/>
      <c r="AG64" s="41"/>
      <c r="AH64" s="41"/>
      <c r="AI64" s="41"/>
    </row>
    <row r="65" spans="1:35" ht="15.75" customHeight="1" x14ac:dyDescent="0.2">
      <c r="A65" s="166"/>
      <c r="B65" s="218"/>
      <c r="C65" s="218"/>
      <c r="D65" s="41"/>
      <c r="E65" s="41"/>
      <c r="F65" s="41"/>
      <c r="G65" s="41"/>
      <c r="H65" s="41"/>
      <c r="I65" s="41"/>
      <c r="J65" s="166"/>
      <c r="K65" s="41"/>
      <c r="L65" s="41"/>
      <c r="M65" s="41"/>
      <c r="N65" s="166"/>
      <c r="O65" s="166"/>
      <c r="P65" s="41"/>
      <c r="Q65" s="41"/>
      <c r="R65" s="41"/>
      <c r="S65" s="41"/>
      <c r="T65" s="41"/>
      <c r="U65" s="41"/>
      <c r="V65" s="41"/>
      <c r="W65" s="41"/>
      <c r="X65" s="41"/>
      <c r="Y65" s="166"/>
      <c r="Z65" s="166"/>
      <c r="AA65" s="41"/>
      <c r="AB65" s="41"/>
      <c r="AC65" s="41"/>
      <c r="AD65" s="41"/>
      <c r="AE65" s="41"/>
      <c r="AF65" s="41"/>
      <c r="AG65" s="41"/>
      <c r="AH65" s="41"/>
      <c r="AI65" s="41"/>
    </row>
    <row r="66" spans="1:35" ht="15.75" customHeight="1" x14ac:dyDescent="0.2">
      <c r="A66" s="166"/>
      <c r="B66" s="218"/>
      <c r="C66" s="218"/>
      <c r="D66" s="41"/>
      <c r="E66" s="41"/>
      <c r="F66" s="41"/>
      <c r="G66" s="41"/>
      <c r="H66" s="41"/>
      <c r="I66" s="41"/>
      <c r="J66" s="166"/>
      <c r="K66" s="41"/>
      <c r="L66" s="41"/>
      <c r="M66" s="41"/>
      <c r="N66" s="166"/>
      <c r="O66" s="166"/>
      <c r="P66" s="41"/>
      <c r="Q66" s="41"/>
      <c r="R66" s="41"/>
      <c r="S66" s="41"/>
      <c r="T66" s="41"/>
      <c r="U66" s="41"/>
      <c r="V66" s="41"/>
      <c r="W66" s="41"/>
      <c r="X66" s="41"/>
      <c r="Y66" s="166"/>
      <c r="Z66" s="166"/>
      <c r="AA66" s="41"/>
      <c r="AB66" s="41"/>
      <c r="AC66" s="41"/>
      <c r="AD66" s="41"/>
      <c r="AE66" s="41"/>
      <c r="AF66" s="41"/>
      <c r="AG66" s="41"/>
      <c r="AH66" s="41"/>
      <c r="AI66" s="41"/>
    </row>
    <row r="67" spans="1:35" ht="15.75" customHeight="1" x14ac:dyDescent="0.2">
      <c r="A67" s="166"/>
      <c r="B67" s="218"/>
      <c r="C67" s="218"/>
      <c r="D67" s="41"/>
      <c r="E67" s="41"/>
      <c r="F67" s="41"/>
      <c r="G67" s="41"/>
      <c r="H67" s="41"/>
      <c r="I67" s="41"/>
      <c r="J67" s="166"/>
      <c r="K67" s="41"/>
      <c r="L67" s="41"/>
      <c r="M67" s="41"/>
      <c r="N67" s="166"/>
      <c r="O67" s="166"/>
      <c r="P67" s="41"/>
      <c r="Q67" s="41"/>
      <c r="R67" s="41"/>
      <c r="S67" s="41"/>
      <c r="T67" s="41"/>
      <c r="U67" s="41"/>
      <c r="V67" s="41"/>
      <c r="W67" s="41"/>
      <c r="X67" s="41"/>
      <c r="Y67" s="166"/>
      <c r="Z67" s="166"/>
      <c r="AA67" s="41"/>
      <c r="AB67" s="41"/>
      <c r="AC67" s="41"/>
      <c r="AD67" s="41"/>
      <c r="AE67" s="41"/>
      <c r="AF67" s="41"/>
      <c r="AG67" s="41"/>
      <c r="AH67" s="41"/>
      <c r="AI67" s="41"/>
    </row>
    <row r="68" spans="1:35" ht="15.75" customHeight="1" x14ac:dyDescent="0.2">
      <c r="A68" s="166"/>
      <c r="B68" s="218"/>
      <c r="C68" s="218"/>
      <c r="D68" s="41"/>
      <c r="E68" s="41"/>
      <c r="F68" s="41"/>
      <c r="G68" s="41"/>
      <c r="H68" s="41"/>
      <c r="I68" s="41"/>
      <c r="J68" s="166"/>
      <c r="K68" s="41"/>
      <c r="L68" s="41"/>
      <c r="M68" s="41"/>
      <c r="N68" s="166"/>
      <c r="O68" s="166"/>
      <c r="P68" s="41"/>
      <c r="Q68" s="41"/>
      <c r="R68" s="41"/>
      <c r="S68" s="41"/>
      <c r="T68" s="41"/>
      <c r="U68" s="41"/>
      <c r="V68" s="41"/>
      <c r="W68" s="41"/>
      <c r="X68" s="41"/>
      <c r="Y68" s="166"/>
      <c r="Z68" s="166"/>
      <c r="AA68" s="41"/>
      <c r="AB68" s="41"/>
      <c r="AC68" s="41"/>
      <c r="AD68" s="41"/>
      <c r="AE68" s="41"/>
      <c r="AF68" s="41"/>
      <c r="AG68" s="41"/>
      <c r="AH68" s="41"/>
      <c r="AI68" s="41"/>
    </row>
    <row r="69" spans="1:35" ht="15.75" customHeight="1" x14ac:dyDescent="0.2">
      <c r="A69" s="166"/>
      <c r="B69" s="218"/>
      <c r="C69" s="218"/>
      <c r="D69" s="41"/>
      <c r="E69" s="41"/>
      <c r="F69" s="41"/>
      <c r="G69" s="41"/>
      <c r="H69" s="41"/>
      <c r="I69" s="41"/>
      <c r="J69" s="166"/>
      <c r="K69" s="41"/>
      <c r="L69" s="41"/>
      <c r="M69" s="41"/>
      <c r="N69" s="166"/>
      <c r="O69" s="166"/>
      <c r="P69" s="41"/>
      <c r="Q69" s="41"/>
      <c r="R69" s="41"/>
      <c r="S69" s="41"/>
      <c r="T69" s="41"/>
      <c r="U69" s="41"/>
      <c r="V69" s="41"/>
      <c r="W69" s="41"/>
      <c r="X69" s="41"/>
      <c r="Y69" s="166"/>
      <c r="Z69" s="166"/>
      <c r="AA69" s="41"/>
      <c r="AB69" s="41"/>
      <c r="AC69" s="41"/>
      <c r="AD69" s="41"/>
      <c r="AE69" s="41"/>
      <c r="AF69" s="41"/>
      <c r="AG69" s="41"/>
      <c r="AH69" s="41"/>
      <c r="AI69" s="41"/>
    </row>
    <row r="70" spans="1:35" ht="15.75" customHeight="1" x14ac:dyDescent="0.2">
      <c r="A70" s="166"/>
      <c r="B70" s="218"/>
      <c r="C70" s="218"/>
      <c r="D70" s="41"/>
      <c r="E70" s="41"/>
      <c r="F70" s="41"/>
      <c r="G70" s="41"/>
      <c r="H70" s="41"/>
      <c r="I70" s="41"/>
      <c r="J70" s="166"/>
      <c r="K70" s="41"/>
      <c r="L70" s="41"/>
      <c r="M70" s="41"/>
      <c r="N70" s="166"/>
      <c r="O70" s="166"/>
      <c r="P70" s="41"/>
      <c r="Q70" s="41"/>
      <c r="R70" s="41"/>
      <c r="S70" s="41"/>
      <c r="T70" s="41"/>
      <c r="U70" s="41"/>
      <c r="V70" s="41"/>
      <c r="W70" s="41"/>
      <c r="X70" s="41"/>
      <c r="Y70" s="166"/>
      <c r="Z70" s="166"/>
      <c r="AA70" s="41"/>
      <c r="AB70" s="41"/>
      <c r="AC70" s="41"/>
      <c r="AD70" s="41"/>
      <c r="AE70" s="41"/>
      <c r="AF70" s="41"/>
      <c r="AG70" s="41"/>
      <c r="AH70" s="41"/>
      <c r="AI70" s="41"/>
    </row>
    <row r="71" spans="1:35" ht="15.75" customHeight="1" x14ac:dyDescent="0.2">
      <c r="A71" s="166"/>
      <c r="B71" s="218"/>
      <c r="C71" s="218"/>
      <c r="D71" s="41"/>
      <c r="E71" s="41"/>
      <c r="F71" s="41"/>
      <c r="G71" s="41"/>
      <c r="H71" s="41"/>
      <c r="I71" s="41"/>
      <c r="J71" s="166"/>
      <c r="K71" s="41"/>
      <c r="L71" s="41"/>
      <c r="M71" s="41"/>
      <c r="N71" s="166"/>
      <c r="O71" s="166"/>
      <c r="P71" s="41"/>
      <c r="Q71" s="41"/>
      <c r="R71" s="41"/>
      <c r="S71" s="41"/>
      <c r="T71" s="41"/>
      <c r="U71" s="41"/>
      <c r="V71" s="41"/>
      <c r="W71" s="41"/>
      <c r="X71" s="41"/>
      <c r="Y71" s="166"/>
      <c r="Z71" s="166"/>
      <c r="AA71" s="41"/>
      <c r="AB71" s="41"/>
      <c r="AC71" s="41"/>
      <c r="AD71" s="41"/>
      <c r="AE71" s="41"/>
      <c r="AF71" s="41"/>
      <c r="AG71" s="41"/>
      <c r="AH71" s="41"/>
      <c r="AI71" s="41"/>
    </row>
    <row r="72" spans="1:35" ht="15.75" customHeight="1" x14ac:dyDescent="0.2">
      <c r="A72" s="166"/>
      <c r="B72" s="218"/>
      <c r="C72" s="218"/>
      <c r="D72" s="41"/>
      <c r="E72" s="41"/>
      <c r="F72" s="41"/>
      <c r="G72" s="41"/>
      <c r="H72" s="41"/>
      <c r="I72" s="41"/>
      <c r="J72" s="166"/>
      <c r="K72" s="41"/>
      <c r="L72" s="41"/>
      <c r="M72" s="41"/>
      <c r="N72" s="166"/>
      <c r="O72" s="166"/>
      <c r="P72" s="41"/>
      <c r="Q72" s="41"/>
      <c r="R72" s="41"/>
      <c r="S72" s="41"/>
      <c r="T72" s="41"/>
      <c r="U72" s="41"/>
      <c r="V72" s="41"/>
      <c r="W72" s="41"/>
      <c r="X72" s="41"/>
      <c r="Y72" s="166"/>
      <c r="Z72" s="166"/>
      <c r="AA72" s="41"/>
      <c r="AB72" s="41"/>
      <c r="AC72" s="41"/>
      <c r="AD72" s="41"/>
      <c r="AE72" s="41"/>
      <c r="AF72" s="41"/>
      <c r="AG72" s="41"/>
      <c r="AH72" s="41"/>
      <c r="AI72" s="41"/>
    </row>
    <row r="73" spans="1:35" ht="15.75" customHeight="1" x14ac:dyDescent="0.2">
      <c r="A73" s="166"/>
      <c r="B73" s="218"/>
      <c r="C73" s="218"/>
      <c r="D73" s="41"/>
      <c r="E73" s="41"/>
      <c r="F73" s="41"/>
      <c r="G73" s="41"/>
      <c r="H73" s="41"/>
      <c r="I73" s="41"/>
      <c r="J73" s="166"/>
      <c r="K73" s="41"/>
      <c r="L73" s="41"/>
      <c r="M73" s="41"/>
      <c r="N73" s="166"/>
      <c r="O73" s="166"/>
      <c r="P73" s="41"/>
      <c r="Q73" s="41"/>
      <c r="R73" s="41"/>
      <c r="S73" s="41"/>
      <c r="T73" s="41"/>
      <c r="U73" s="41"/>
      <c r="V73" s="41"/>
      <c r="W73" s="41"/>
      <c r="X73" s="41"/>
      <c r="Y73" s="166"/>
      <c r="Z73" s="166"/>
      <c r="AA73" s="41"/>
      <c r="AB73" s="41"/>
      <c r="AC73" s="41"/>
      <c r="AD73" s="41"/>
      <c r="AE73" s="41"/>
      <c r="AF73" s="41"/>
      <c r="AG73" s="41"/>
      <c r="AH73" s="41"/>
      <c r="AI73" s="41"/>
    </row>
    <row r="74" spans="1:35" ht="15.75" customHeight="1" x14ac:dyDescent="0.2">
      <c r="A74" s="166"/>
      <c r="B74" s="218"/>
      <c r="C74" s="218"/>
      <c r="D74" s="41"/>
      <c r="E74" s="41"/>
      <c r="F74" s="41"/>
      <c r="G74" s="41"/>
      <c r="H74" s="41"/>
      <c r="I74" s="41"/>
      <c r="J74" s="166"/>
      <c r="K74" s="41"/>
      <c r="L74" s="41"/>
      <c r="M74" s="41"/>
      <c r="N74" s="166"/>
      <c r="O74" s="166"/>
      <c r="P74" s="41"/>
      <c r="Q74" s="41"/>
      <c r="R74" s="41"/>
      <c r="S74" s="41"/>
      <c r="T74" s="41"/>
      <c r="U74" s="41"/>
      <c r="V74" s="41"/>
      <c r="W74" s="41"/>
      <c r="X74" s="41"/>
      <c r="Y74" s="166"/>
      <c r="Z74" s="166"/>
      <c r="AA74" s="41"/>
      <c r="AB74" s="41"/>
      <c r="AC74" s="41"/>
      <c r="AD74" s="41"/>
      <c r="AE74" s="41"/>
      <c r="AF74" s="41"/>
      <c r="AG74" s="41"/>
      <c r="AH74" s="41"/>
      <c r="AI74" s="41"/>
    </row>
    <row r="75" spans="1:35" ht="15.75" customHeight="1" x14ac:dyDescent="0.2">
      <c r="A75" s="166"/>
      <c r="B75" s="218"/>
      <c r="C75" s="218"/>
      <c r="D75" s="41"/>
      <c r="E75" s="41"/>
      <c r="F75" s="41"/>
      <c r="G75" s="41"/>
      <c r="H75" s="41"/>
      <c r="I75" s="41"/>
      <c r="J75" s="166"/>
      <c r="K75" s="41"/>
      <c r="L75" s="41"/>
      <c r="M75" s="41"/>
      <c r="N75" s="166"/>
      <c r="O75" s="166"/>
      <c r="P75" s="41"/>
      <c r="Q75" s="41"/>
      <c r="R75" s="41"/>
      <c r="S75" s="41"/>
      <c r="T75" s="41"/>
      <c r="U75" s="41"/>
      <c r="V75" s="41"/>
      <c r="W75" s="41"/>
      <c r="X75" s="41"/>
      <c r="Y75" s="166"/>
      <c r="Z75" s="166"/>
      <c r="AA75" s="41"/>
      <c r="AB75" s="41"/>
      <c r="AC75" s="41"/>
      <c r="AD75" s="41"/>
      <c r="AE75" s="41"/>
      <c r="AF75" s="41"/>
      <c r="AG75" s="41"/>
      <c r="AH75" s="41"/>
      <c r="AI75" s="41"/>
    </row>
    <row r="76" spans="1:35" ht="15.75" customHeight="1" x14ac:dyDescent="0.2">
      <c r="A76" s="166"/>
      <c r="B76" s="218"/>
      <c r="C76" s="218"/>
      <c r="D76" s="41"/>
      <c r="E76" s="41"/>
      <c r="F76" s="41"/>
      <c r="G76" s="41"/>
      <c r="H76" s="41"/>
      <c r="I76" s="41"/>
      <c r="J76" s="166"/>
      <c r="K76" s="41"/>
      <c r="L76" s="41"/>
      <c r="M76" s="41"/>
      <c r="N76" s="166"/>
      <c r="O76" s="166"/>
      <c r="P76" s="41"/>
      <c r="Q76" s="41"/>
      <c r="R76" s="41"/>
      <c r="S76" s="41"/>
      <c r="T76" s="41"/>
      <c r="U76" s="41"/>
      <c r="V76" s="41"/>
      <c r="W76" s="41"/>
      <c r="X76" s="41"/>
      <c r="Y76" s="166"/>
      <c r="Z76" s="166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5.75" customHeight="1" x14ac:dyDescent="0.2">
      <c r="A77" s="166"/>
      <c r="B77" s="218"/>
      <c r="C77" s="218"/>
      <c r="D77" s="41"/>
      <c r="E77" s="41"/>
      <c r="F77" s="41"/>
      <c r="G77" s="41"/>
      <c r="H77" s="41"/>
      <c r="I77" s="41"/>
      <c r="J77" s="166"/>
      <c r="K77" s="41"/>
      <c r="L77" s="41"/>
      <c r="M77" s="41"/>
      <c r="N77" s="166"/>
      <c r="O77" s="166"/>
      <c r="P77" s="41"/>
      <c r="Q77" s="41"/>
      <c r="R77" s="41"/>
      <c r="S77" s="41"/>
      <c r="T77" s="41"/>
      <c r="U77" s="41"/>
      <c r="V77" s="41"/>
      <c r="W77" s="41"/>
      <c r="X77" s="41"/>
      <c r="Y77" s="166"/>
      <c r="Z77" s="166"/>
      <c r="AA77" s="41"/>
      <c r="AB77" s="41"/>
      <c r="AC77" s="41"/>
      <c r="AD77" s="41"/>
      <c r="AE77" s="41"/>
      <c r="AF77" s="41"/>
      <c r="AG77" s="41"/>
      <c r="AH77" s="41"/>
      <c r="AI77" s="41"/>
    </row>
    <row r="78" spans="1:35" ht="15.75" customHeight="1" x14ac:dyDescent="0.2">
      <c r="A78" s="166"/>
      <c r="B78" s="218"/>
      <c r="C78" s="218"/>
      <c r="D78" s="41"/>
      <c r="E78" s="41"/>
      <c r="F78" s="41"/>
      <c r="G78" s="41"/>
      <c r="H78" s="41"/>
      <c r="I78" s="41"/>
      <c r="J78" s="166"/>
      <c r="K78" s="41"/>
      <c r="L78" s="41"/>
      <c r="M78" s="41"/>
      <c r="N78" s="166"/>
      <c r="O78" s="166"/>
      <c r="P78" s="41"/>
      <c r="Q78" s="41"/>
      <c r="R78" s="41"/>
      <c r="S78" s="41"/>
      <c r="T78" s="41"/>
      <c r="U78" s="41"/>
      <c r="V78" s="41"/>
      <c r="W78" s="41"/>
      <c r="X78" s="41"/>
      <c r="Y78" s="166"/>
      <c r="Z78" s="166"/>
      <c r="AA78" s="41"/>
      <c r="AB78" s="41"/>
      <c r="AC78" s="41"/>
      <c r="AD78" s="41"/>
      <c r="AE78" s="41"/>
      <c r="AF78" s="41"/>
      <c r="AG78" s="41"/>
      <c r="AH78" s="41"/>
      <c r="AI78" s="41"/>
    </row>
    <row r="79" spans="1:35" ht="15.75" customHeight="1" x14ac:dyDescent="0.2">
      <c r="A79" s="166"/>
      <c r="B79" s="218"/>
      <c r="C79" s="218"/>
      <c r="D79" s="41"/>
      <c r="E79" s="41"/>
      <c r="F79" s="41"/>
      <c r="G79" s="41"/>
      <c r="H79" s="41"/>
      <c r="I79" s="41"/>
      <c r="J79" s="166"/>
      <c r="K79" s="41"/>
      <c r="L79" s="41"/>
      <c r="M79" s="41"/>
      <c r="N79" s="166"/>
      <c r="O79" s="166"/>
      <c r="P79" s="41"/>
      <c r="Q79" s="41"/>
      <c r="R79" s="41"/>
      <c r="S79" s="41"/>
      <c r="T79" s="41"/>
      <c r="U79" s="41"/>
      <c r="V79" s="41"/>
      <c r="W79" s="41"/>
      <c r="X79" s="41"/>
      <c r="Y79" s="166"/>
      <c r="Z79" s="166"/>
      <c r="AA79" s="41"/>
      <c r="AB79" s="41"/>
      <c r="AC79" s="41"/>
      <c r="AD79" s="41"/>
      <c r="AE79" s="41"/>
      <c r="AF79" s="41"/>
      <c r="AG79" s="41"/>
      <c r="AH79" s="41"/>
      <c r="AI79" s="41"/>
    </row>
    <row r="80" spans="1:35" ht="15.75" customHeight="1" x14ac:dyDescent="0.2">
      <c r="A80" s="166"/>
      <c r="B80" s="218"/>
      <c r="C80" s="218"/>
      <c r="D80" s="41"/>
      <c r="E80" s="41"/>
      <c r="F80" s="41"/>
      <c r="G80" s="41"/>
      <c r="H80" s="41"/>
      <c r="I80" s="41"/>
      <c r="J80" s="166"/>
      <c r="K80" s="41"/>
      <c r="L80" s="41"/>
      <c r="M80" s="41"/>
      <c r="N80" s="166"/>
      <c r="O80" s="166"/>
      <c r="P80" s="41"/>
      <c r="Q80" s="41"/>
      <c r="R80" s="41"/>
      <c r="S80" s="41"/>
      <c r="T80" s="41"/>
      <c r="U80" s="41"/>
      <c r="V80" s="41"/>
      <c r="W80" s="41"/>
      <c r="X80" s="41"/>
      <c r="Y80" s="166"/>
      <c r="Z80" s="166"/>
      <c r="AA80" s="41"/>
      <c r="AB80" s="41"/>
      <c r="AC80" s="41"/>
      <c r="AD80" s="41"/>
      <c r="AE80" s="41"/>
      <c r="AF80" s="41"/>
      <c r="AG80" s="41"/>
      <c r="AH80" s="41"/>
      <c r="AI80" s="41"/>
    </row>
    <row r="81" spans="1:35" ht="15.75" customHeight="1" x14ac:dyDescent="0.2">
      <c r="A81" s="166"/>
      <c r="B81" s="218"/>
      <c r="C81" s="218"/>
      <c r="D81" s="41"/>
      <c r="E81" s="41"/>
      <c r="F81" s="41"/>
      <c r="G81" s="41"/>
      <c r="H81" s="41"/>
      <c r="I81" s="41"/>
      <c r="J81" s="166"/>
      <c r="K81" s="41"/>
      <c r="L81" s="41"/>
      <c r="M81" s="41"/>
      <c r="N81" s="166"/>
      <c r="O81" s="166"/>
      <c r="P81" s="41"/>
      <c r="Q81" s="41"/>
      <c r="R81" s="41"/>
      <c r="S81" s="41"/>
      <c r="T81" s="41"/>
      <c r="U81" s="41"/>
      <c r="V81" s="41"/>
      <c r="W81" s="41"/>
      <c r="X81" s="41"/>
      <c r="Y81" s="166"/>
      <c r="Z81" s="166"/>
      <c r="AA81" s="41"/>
      <c r="AB81" s="41"/>
      <c r="AC81" s="41"/>
      <c r="AD81" s="41"/>
      <c r="AE81" s="41"/>
      <c r="AF81" s="41"/>
      <c r="AG81" s="41"/>
      <c r="AH81" s="41"/>
      <c r="AI81" s="41"/>
    </row>
    <row r="82" spans="1:35" ht="15.75" customHeight="1" x14ac:dyDescent="0.2">
      <c r="A82" s="166"/>
      <c r="B82" s="218"/>
      <c r="C82" s="218"/>
      <c r="D82" s="41"/>
      <c r="E82" s="41"/>
      <c r="F82" s="41"/>
      <c r="G82" s="41"/>
      <c r="H82" s="41"/>
      <c r="I82" s="41"/>
      <c r="J82" s="166"/>
      <c r="K82" s="41"/>
      <c r="L82" s="41"/>
      <c r="M82" s="41"/>
      <c r="N82" s="166"/>
      <c r="O82" s="166"/>
      <c r="P82" s="41"/>
      <c r="Q82" s="41"/>
      <c r="R82" s="41"/>
      <c r="S82" s="41"/>
      <c r="T82" s="41"/>
      <c r="U82" s="41"/>
      <c r="V82" s="41"/>
      <c r="W82" s="41"/>
      <c r="X82" s="41"/>
      <c r="Y82" s="166"/>
      <c r="Z82" s="166"/>
      <c r="AA82" s="41"/>
      <c r="AB82" s="41"/>
      <c r="AC82" s="41"/>
      <c r="AD82" s="41"/>
      <c r="AE82" s="41"/>
      <c r="AF82" s="41"/>
      <c r="AG82" s="41"/>
      <c r="AH82" s="41"/>
      <c r="AI82" s="41"/>
    </row>
    <row r="83" spans="1:35" ht="15.75" customHeight="1" x14ac:dyDescent="0.2">
      <c r="A83" s="166"/>
      <c r="B83" s="218"/>
      <c r="C83" s="218"/>
      <c r="D83" s="41"/>
      <c r="E83" s="41"/>
      <c r="F83" s="41"/>
      <c r="G83" s="41"/>
      <c r="H83" s="41"/>
      <c r="I83" s="41"/>
      <c r="J83" s="166"/>
      <c r="K83" s="41"/>
      <c r="L83" s="41"/>
      <c r="M83" s="41"/>
      <c r="N83" s="166"/>
      <c r="O83" s="166"/>
      <c r="P83" s="41"/>
      <c r="Q83" s="41"/>
      <c r="R83" s="41"/>
      <c r="S83" s="41"/>
      <c r="T83" s="41"/>
      <c r="U83" s="41"/>
      <c r="V83" s="41"/>
      <c r="W83" s="41"/>
      <c r="X83" s="41"/>
      <c r="Y83" s="166"/>
      <c r="Z83" s="166"/>
      <c r="AA83" s="41"/>
      <c r="AB83" s="41"/>
      <c r="AC83" s="41"/>
      <c r="AD83" s="41"/>
      <c r="AE83" s="41"/>
      <c r="AF83" s="41"/>
      <c r="AG83" s="41"/>
      <c r="AH83" s="41"/>
      <c r="AI83" s="41"/>
    </row>
    <row r="84" spans="1:35" ht="15.75" customHeight="1" x14ac:dyDescent="0.2">
      <c r="A84" s="166"/>
      <c r="B84" s="218"/>
      <c r="C84" s="218"/>
      <c r="D84" s="41"/>
      <c r="E84" s="41"/>
      <c r="F84" s="41"/>
      <c r="G84" s="41"/>
      <c r="H84" s="41"/>
      <c r="I84" s="41"/>
      <c r="J84" s="166"/>
      <c r="K84" s="41"/>
      <c r="L84" s="41"/>
      <c r="M84" s="41"/>
      <c r="N84" s="166"/>
      <c r="O84" s="166"/>
      <c r="P84" s="41"/>
      <c r="Q84" s="41"/>
      <c r="R84" s="41"/>
      <c r="S84" s="41"/>
      <c r="T84" s="41"/>
      <c r="U84" s="41"/>
      <c r="V84" s="41"/>
      <c r="W84" s="41"/>
      <c r="X84" s="41"/>
      <c r="Y84" s="166"/>
      <c r="Z84" s="166"/>
      <c r="AA84" s="41"/>
      <c r="AB84" s="41"/>
      <c r="AC84" s="41"/>
      <c r="AD84" s="41"/>
      <c r="AE84" s="41"/>
      <c r="AF84" s="41"/>
      <c r="AG84" s="41"/>
      <c r="AH84" s="41"/>
      <c r="AI84" s="41"/>
    </row>
    <row r="85" spans="1:35" ht="15.75" customHeight="1" x14ac:dyDescent="0.2">
      <c r="A85" s="166"/>
      <c r="B85" s="218"/>
      <c r="C85" s="218"/>
      <c r="D85" s="41"/>
      <c r="E85" s="41"/>
      <c r="F85" s="41"/>
      <c r="G85" s="41"/>
      <c r="H85" s="41"/>
      <c r="I85" s="41"/>
      <c r="J85" s="166"/>
      <c r="K85" s="41"/>
      <c r="L85" s="41"/>
      <c r="M85" s="41"/>
      <c r="N85" s="166"/>
      <c r="O85" s="166"/>
      <c r="P85" s="41"/>
      <c r="Q85" s="41"/>
      <c r="R85" s="41"/>
      <c r="S85" s="41"/>
      <c r="T85" s="41"/>
      <c r="U85" s="41"/>
      <c r="V85" s="41"/>
      <c r="W85" s="41"/>
      <c r="X85" s="41"/>
      <c r="Y85" s="166"/>
      <c r="Z85" s="166"/>
      <c r="AA85" s="41"/>
      <c r="AB85" s="41"/>
      <c r="AC85" s="41"/>
      <c r="AD85" s="41"/>
      <c r="AE85" s="41"/>
      <c r="AF85" s="41"/>
      <c r="AG85" s="41"/>
      <c r="AH85" s="41"/>
      <c r="AI85" s="41"/>
    </row>
    <row r="86" spans="1:35" ht="15.75" customHeight="1" x14ac:dyDescent="0.2">
      <c r="A86" s="166"/>
      <c r="B86" s="218"/>
      <c r="C86" s="218"/>
      <c r="D86" s="41"/>
      <c r="E86" s="41"/>
      <c r="F86" s="41"/>
      <c r="G86" s="41"/>
      <c r="H86" s="41"/>
      <c r="I86" s="41"/>
      <c r="J86" s="166"/>
      <c r="K86" s="41"/>
      <c r="L86" s="41"/>
      <c r="M86" s="41"/>
      <c r="N86" s="166"/>
      <c r="O86" s="166"/>
      <c r="P86" s="41"/>
      <c r="Q86" s="41"/>
      <c r="R86" s="41"/>
      <c r="S86" s="41"/>
      <c r="T86" s="41"/>
      <c r="U86" s="41"/>
      <c r="V86" s="41"/>
      <c r="W86" s="41"/>
      <c r="X86" s="41"/>
      <c r="Y86" s="166"/>
      <c r="Z86" s="166"/>
      <c r="AA86" s="41"/>
      <c r="AB86" s="41"/>
      <c r="AC86" s="41"/>
      <c r="AD86" s="41"/>
      <c r="AE86" s="41"/>
      <c r="AF86" s="41"/>
      <c r="AG86" s="41"/>
      <c r="AH86" s="41"/>
      <c r="AI86" s="41"/>
    </row>
    <row r="87" spans="1:35" ht="15.75" customHeight="1" x14ac:dyDescent="0.2">
      <c r="A87" s="166"/>
      <c r="B87" s="218"/>
      <c r="C87" s="218"/>
      <c r="D87" s="41"/>
      <c r="E87" s="41"/>
      <c r="F87" s="41"/>
      <c r="G87" s="41"/>
      <c r="H87" s="41"/>
      <c r="I87" s="41"/>
      <c r="J87" s="166"/>
      <c r="K87" s="41"/>
      <c r="L87" s="41"/>
      <c r="M87" s="41"/>
      <c r="N87" s="166"/>
      <c r="O87" s="166"/>
      <c r="P87" s="41"/>
      <c r="Q87" s="41"/>
      <c r="R87" s="41"/>
      <c r="S87" s="41"/>
      <c r="T87" s="41"/>
      <c r="U87" s="41"/>
      <c r="V87" s="41"/>
      <c r="W87" s="41"/>
      <c r="X87" s="41"/>
      <c r="Y87" s="166"/>
      <c r="Z87" s="166"/>
      <c r="AA87" s="41"/>
      <c r="AB87" s="41"/>
      <c r="AC87" s="41"/>
      <c r="AD87" s="41"/>
      <c r="AE87" s="41"/>
      <c r="AF87" s="41"/>
      <c r="AG87" s="41"/>
      <c r="AH87" s="41"/>
      <c r="AI87" s="41"/>
    </row>
    <row r="88" spans="1:35" ht="15.75" customHeight="1" x14ac:dyDescent="0.2">
      <c r="A88" s="166"/>
      <c r="B88" s="218"/>
      <c r="C88" s="218"/>
      <c r="D88" s="41"/>
      <c r="E88" s="41"/>
      <c r="F88" s="41"/>
      <c r="G88" s="41"/>
      <c r="H88" s="41"/>
      <c r="I88" s="41"/>
      <c r="J88" s="166"/>
      <c r="K88" s="41"/>
      <c r="L88" s="41"/>
      <c r="M88" s="41"/>
      <c r="N88" s="166"/>
      <c r="O88" s="166"/>
      <c r="P88" s="41"/>
      <c r="Q88" s="41"/>
      <c r="R88" s="41"/>
      <c r="S88" s="41"/>
      <c r="T88" s="41"/>
      <c r="U88" s="41"/>
      <c r="V88" s="41"/>
      <c r="W88" s="41"/>
      <c r="X88" s="41"/>
      <c r="Y88" s="166"/>
      <c r="Z88" s="166"/>
      <c r="AA88" s="41"/>
      <c r="AB88" s="41"/>
      <c r="AC88" s="41"/>
      <c r="AD88" s="41"/>
      <c r="AE88" s="41"/>
      <c r="AF88" s="41"/>
      <c r="AG88" s="41"/>
      <c r="AH88" s="41"/>
      <c r="AI88" s="41"/>
    </row>
    <row r="89" spans="1:35" ht="15.75" customHeight="1" x14ac:dyDescent="0.2">
      <c r="A89" s="166"/>
      <c r="B89" s="218"/>
      <c r="C89" s="218"/>
      <c r="D89" s="41"/>
      <c r="E89" s="41"/>
      <c r="F89" s="41"/>
      <c r="G89" s="41"/>
      <c r="H89" s="41"/>
      <c r="I89" s="41"/>
      <c r="J89" s="166"/>
      <c r="K89" s="41"/>
      <c r="L89" s="41"/>
      <c r="M89" s="41"/>
      <c r="N89" s="166"/>
      <c r="O89" s="166"/>
      <c r="P89" s="41"/>
      <c r="Q89" s="41"/>
      <c r="R89" s="41"/>
      <c r="S89" s="41"/>
      <c r="T89" s="41"/>
      <c r="U89" s="41"/>
      <c r="V89" s="41"/>
      <c r="W89" s="41"/>
      <c r="X89" s="41"/>
      <c r="Y89" s="166"/>
      <c r="Z89" s="166"/>
      <c r="AA89" s="41"/>
      <c r="AB89" s="41"/>
      <c r="AC89" s="41"/>
      <c r="AD89" s="41"/>
      <c r="AE89" s="41"/>
      <c r="AF89" s="41"/>
      <c r="AG89" s="41"/>
      <c r="AH89" s="41"/>
      <c r="AI89" s="41"/>
    </row>
    <row r="90" spans="1:35" ht="15.75" customHeight="1" x14ac:dyDescent="0.2">
      <c r="A90" s="166"/>
      <c r="B90" s="218"/>
      <c r="C90" s="218"/>
      <c r="D90" s="41"/>
      <c r="E90" s="41"/>
      <c r="F90" s="41"/>
      <c r="G90" s="41"/>
      <c r="H90" s="41"/>
      <c r="I90" s="41"/>
      <c r="J90" s="166"/>
      <c r="K90" s="41"/>
      <c r="L90" s="41"/>
      <c r="M90" s="41"/>
      <c r="N90" s="166"/>
      <c r="O90" s="166"/>
      <c r="P90" s="41"/>
      <c r="Q90" s="41"/>
      <c r="R90" s="41"/>
      <c r="S90" s="41"/>
      <c r="T90" s="41"/>
      <c r="U90" s="41"/>
      <c r="V90" s="41"/>
      <c r="W90" s="41"/>
      <c r="X90" s="41"/>
      <c r="Y90" s="166"/>
      <c r="Z90" s="166"/>
      <c r="AA90" s="41"/>
      <c r="AB90" s="41"/>
      <c r="AC90" s="41"/>
      <c r="AD90" s="41"/>
      <c r="AE90" s="41"/>
      <c r="AF90" s="41"/>
      <c r="AG90" s="41"/>
      <c r="AH90" s="41"/>
      <c r="AI90" s="41"/>
    </row>
    <row r="91" spans="1:35" ht="15.75" customHeight="1" x14ac:dyDescent="0.2">
      <c r="A91" s="166"/>
      <c r="B91" s="218"/>
      <c r="C91" s="218"/>
      <c r="D91" s="41"/>
      <c r="E91" s="41"/>
      <c r="F91" s="41"/>
      <c r="G91" s="41"/>
      <c r="H91" s="41"/>
      <c r="I91" s="41"/>
      <c r="J91" s="166"/>
      <c r="K91" s="41"/>
      <c r="L91" s="41"/>
      <c r="M91" s="41"/>
      <c r="N91" s="166"/>
      <c r="O91" s="166"/>
      <c r="P91" s="41"/>
      <c r="Q91" s="41"/>
      <c r="R91" s="41"/>
      <c r="S91" s="41"/>
      <c r="T91" s="41"/>
      <c r="U91" s="41"/>
      <c r="V91" s="41"/>
      <c r="W91" s="41"/>
      <c r="X91" s="41"/>
      <c r="Y91" s="166"/>
      <c r="Z91" s="166"/>
      <c r="AA91" s="41"/>
      <c r="AB91" s="41"/>
      <c r="AC91" s="41"/>
      <c r="AD91" s="41"/>
      <c r="AE91" s="41"/>
      <c r="AF91" s="41"/>
      <c r="AG91" s="41"/>
      <c r="AH91" s="41"/>
      <c r="AI91" s="41"/>
    </row>
    <row r="92" spans="1:35" ht="15.75" customHeight="1" x14ac:dyDescent="0.2">
      <c r="A92" s="166"/>
      <c r="B92" s="218"/>
      <c r="C92" s="218"/>
      <c r="D92" s="41"/>
      <c r="E92" s="41"/>
      <c r="F92" s="41"/>
      <c r="G92" s="41"/>
      <c r="H92" s="41"/>
      <c r="I92" s="41"/>
      <c r="J92" s="166"/>
      <c r="K92" s="41"/>
      <c r="L92" s="41"/>
      <c r="M92" s="41"/>
      <c r="N92" s="166"/>
      <c r="O92" s="166"/>
      <c r="P92" s="41"/>
      <c r="Q92" s="41"/>
      <c r="R92" s="41"/>
      <c r="S92" s="41"/>
      <c r="T92" s="41"/>
      <c r="U92" s="41"/>
      <c r="V92" s="41"/>
      <c r="W92" s="41"/>
      <c r="X92" s="41"/>
      <c r="Y92" s="166"/>
      <c r="Z92" s="166"/>
      <c r="AA92" s="41"/>
      <c r="AB92" s="41"/>
      <c r="AC92" s="41"/>
      <c r="AD92" s="41"/>
      <c r="AE92" s="41"/>
      <c r="AF92" s="41"/>
      <c r="AG92" s="41"/>
      <c r="AH92" s="41"/>
      <c r="AI92" s="41"/>
    </row>
    <row r="93" spans="1:35" ht="15.75" customHeight="1" x14ac:dyDescent="0.2">
      <c r="A93" s="166"/>
      <c r="B93" s="218"/>
      <c r="C93" s="218"/>
      <c r="D93" s="41"/>
      <c r="E93" s="41"/>
      <c r="F93" s="41"/>
      <c r="G93" s="41"/>
      <c r="H93" s="41"/>
      <c r="I93" s="41"/>
      <c r="J93" s="166"/>
      <c r="K93" s="41"/>
      <c r="L93" s="41"/>
      <c r="M93" s="41"/>
      <c r="N93" s="166"/>
      <c r="O93" s="166"/>
      <c r="P93" s="41"/>
      <c r="Q93" s="41"/>
      <c r="R93" s="41"/>
      <c r="S93" s="41"/>
      <c r="T93" s="41"/>
      <c r="U93" s="41"/>
      <c r="V93" s="41"/>
      <c r="W93" s="41"/>
      <c r="X93" s="41"/>
      <c r="Y93" s="166"/>
      <c r="Z93" s="166"/>
      <c r="AA93" s="41"/>
      <c r="AB93" s="41"/>
      <c r="AC93" s="41"/>
      <c r="AD93" s="41"/>
      <c r="AE93" s="41"/>
      <c r="AF93" s="41"/>
      <c r="AG93" s="41"/>
      <c r="AH93" s="41"/>
      <c r="AI93" s="41"/>
    </row>
    <row r="94" spans="1:35" ht="15.75" customHeight="1" x14ac:dyDescent="0.2">
      <c r="A94" s="166"/>
      <c r="B94" s="218"/>
      <c r="C94" s="218"/>
      <c r="D94" s="41"/>
      <c r="E94" s="41"/>
      <c r="F94" s="41"/>
      <c r="G94" s="41"/>
      <c r="H94" s="41"/>
      <c r="I94" s="41"/>
      <c r="J94" s="166"/>
      <c r="K94" s="41"/>
      <c r="L94" s="41"/>
      <c r="M94" s="41"/>
      <c r="N94" s="166"/>
      <c r="O94" s="166"/>
      <c r="P94" s="41"/>
      <c r="Q94" s="41"/>
      <c r="R94" s="41"/>
      <c r="S94" s="41"/>
      <c r="T94" s="41"/>
      <c r="U94" s="41"/>
      <c r="V94" s="41"/>
      <c r="W94" s="41"/>
      <c r="X94" s="41"/>
      <c r="Y94" s="166"/>
      <c r="Z94" s="166"/>
      <c r="AA94" s="41"/>
      <c r="AB94" s="41"/>
      <c r="AC94" s="41"/>
      <c r="AD94" s="41"/>
      <c r="AE94" s="41"/>
      <c r="AF94" s="41"/>
      <c r="AG94" s="41"/>
      <c r="AH94" s="41"/>
      <c r="AI94" s="41"/>
    </row>
    <row r="95" spans="1:35" ht="15.75" customHeight="1" x14ac:dyDescent="0.2">
      <c r="A95" s="166"/>
      <c r="B95" s="218"/>
      <c r="C95" s="218"/>
      <c r="D95" s="41"/>
      <c r="E95" s="41"/>
      <c r="F95" s="41"/>
      <c r="G95" s="41"/>
      <c r="H95" s="41"/>
      <c r="I95" s="41"/>
      <c r="J95" s="166"/>
      <c r="K95" s="41"/>
      <c r="L95" s="41"/>
      <c r="M95" s="41"/>
      <c r="N95" s="166"/>
      <c r="O95" s="166"/>
      <c r="P95" s="41"/>
      <c r="Q95" s="41"/>
      <c r="R95" s="41"/>
      <c r="S95" s="41"/>
      <c r="T95" s="41"/>
      <c r="U95" s="41"/>
      <c r="V95" s="41"/>
      <c r="W95" s="41"/>
      <c r="X95" s="41"/>
      <c r="Y95" s="166"/>
      <c r="Z95" s="166"/>
      <c r="AA95" s="41"/>
      <c r="AB95" s="41"/>
      <c r="AC95" s="41"/>
      <c r="AD95" s="41"/>
      <c r="AE95" s="41"/>
      <c r="AF95" s="41"/>
      <c r="AG95" s="41"/>
      <c r="AH95" s="41"/>
      <c r="AI95" s="41"/>
    </row>
    <row r="96" spans="1:35" ht="15.75" customHeight="1" x14ac:dyDescent="0.2">
      <c r="A96" s="166"/>
      <c r="B96" s="218"/>
      <c r="C96" s="218"/>
      <c r="D96" s="41"/>
      <c r="E96" s="41"/>
      <c r="F96" s="41"/>
      <c r="G96" s="41"/>
      <c r="H96" s="41"/>
      <c r="I96" s="41"/>
      <c r="J96" s="166"/>
      <c r="K96" s="41"/>
      <c r="L96" s="41"/>
      <c r="M96" s="41"/>
      <c r="N96" s="166"/>
      <c r="O96" s="166"/>
      <c r="P96" s="41"/>
      <c r="Q96" s="41"/>
      <c r="R96" s="41"/>
      <c r="S96" s="41"/>
      <c r="T96" s="41"/>
      <c r="U96" s="41"/>
      <c r="V96" s="41"/>
      <c r="W96" s="41"/>
      <c r="X96" s="41"/>
      <c r="Y96" s="166"/>
      <c r="Z96" s="166"/>
      <c r="AA96" s="41"/>
      <c r="AB96" s="41"/>
      <c r="AC96" s="41"/>
      <c r="AD96" s="41"/>
      <c r="AE96" s="41"/>
      <c r="AF96" s="41"/>
      <c r="AG96" s="41"/>
      <c r="AH96" s="41"/>
      <c r="AI96" s="41"/>
    </row>
    <row r="97" spans="1:35" ht="15.75" customHeight="1" x14ac:dyDescent="0.2">
      <c r="A97" s="166"/>
      <c r="B97" s="218"/>
      <c r="C97" s="218"/>
      <c r="D97" s="41"/>
      <c r="E97" s="41"/>
      <c r="F97" s="41"/>
      <c r="G97" s="41"/>
      <c r="H97" s="41"/>
      <c r="I97" s="41"/>
      <c r="J97" s="166"/>
      <c r="K97" s="41"/>
      <c r="L97" s="41"/>
      <c r="M97" s="41"/>
      <c r="N97" s="166"/>
      <c r="O97" s="166"/>
      <c r="P97" s="41"/>
      <c r="Q97" s="41"/>
      <c r="R97" s="41"/>
      <c r="S97" s="41"/>
      <c r="T97" s="41"/>
      <c r="U97" s="41"/>
      <c r="V97" s="41"/>
      <c r="W97" s="41"/>
      <c r="X97" s="41"/>
      <c r="Y97" s="166"/>
      <c r="Z97" s="166"/>
      <c r="AA97" s="41"/>
      <c r="AB97" s="41"/>
      <c r="AC97" s="41"/>
      <c r="AD97" s="41"/>
      <c r="AE97" s="41"/>
      <c r="AF97" s="41"/>
      <c r="AG97" s="41"/>
      <c r="AH97" s="41"/>
      <c r="AI97" s="41"/>
    </row>
    <row r="98" spans="1:35" ht="15.75" customHeight="1" x14ac:dyDescent="0.2">
      <c r="A98" s="166"/>
      <c r="B98" s="218"/>
      <c r="C98" s="218"/>
      <c r="D98" s="41"/>
      <c r="E98" s="41"/>
      <c r="F98" s="41"/>
      <c r="G98" s="41"/>
      <c r="H98" s="41"/>
      <c r="I98" s="41"/>
      <c r="J98" s="166"/>
      <c r="K98" s="41"/>
      <c r="L98" s="41"/>
      <c r="M98" s="41"/>
      <c r="N98" s="166"/>
      <c r="O98" s="166"/>
      <c r="P98" s="41"/>
      <c r="Q98" s="41"/>
      <c r="R98" s="41"/>
      <c r="S98" s="41"/>
      <c r="T98" s="41"/>
      <c r="U98" s="41"/>
      <c r="V98" s="41"/>
      <c r="W98" s="41"/>
      <c r="X98" s="41"/>
      <c r="Y98" s="166"/>
      <c r="Z98" s="166"/>
      <c r="AA98" s="41"/>
      <c r="AB98" s="41"/>
      <c r="AC98" s="41"/>
      <c r="AD98" s="41"/>
      <c r="AE98" s="41"/>
      <c r="AF98" s="41"/>
      <c r="AG98" s="41"/>
      <c r="AH98" s="41"/>
      <c r="AI98" s="41"/>
    </row>
    <row r="99" spans="1:35" ht="15.75" customHeight="1" x14ac:dyDescent="0.2">
      <c r="A99" s="166"/>
      <c r="B99" s="218"/>
      <c r="C99" s="218"/>
      <c r="D99" s="41"/>
      <c r="E99" s="41"/>
      <c r="F99" s="41"/>
      <c r="G99" s="41"/>
      <c r="H99" s="41"/>
      <c r="I99" s="41"/>
      <c r="J99" s="166"/>
      <c r="K99" s="41"/>
      <c r="L99" s="41"/>
      <c r="M99" s="41"/>
      <c r="N99" s="166"/>
      <c r="O99" s="166"/>
      <c r="P99" s="41"/>
      <c r="Q99" s="41"/>
      <c r="R99" s="41"/>
      <c r="S99" s="41"/>
      <c r="T99" s="41"/>
      <c r="U99" s="41"/>
      <c r="V99" s="41"/>
      <c r="W99" s="41"/>
      <c r="X99" s="41"/>
      <c r="Y99" s="166"/>
      <c r="Z99" s="166"/>
      <c r="AA99" s="41"/>
      <c r="AB99" s="41"/>
      <c r="AC99" s="41"/>
      <c r="AD99" s="41"/>
      <c r="AE99" s="41"/>
      <c r="AF99" s="41"/>
      <c r="AG99" s="41"/>
      <c r="AH99" s="41"/>
      <c r="AI99" s="41"/>
    </row>
    <row r="100" spans="1:35" ht="15.75" customHeight="1" x14ac:dyDescent="0.2">
      <c r="A100" s="166"/>
      <c r="B100" s="218"/>
      <c r="C100" s="218"/>
      <c r="D100" s="41"/>
      <c r="E100" s="41"/>
      <c r="F100" s="41"/>
      <c r="G100" s="41"/>
      <c r="H100" s="41"/>
      <c r="I100" s="41"/>
      <c r="J100" s="166"/>
      <c r="K100" s="41"/>
      <c r="L100" s="41"/>
      <c r="M100" s="41"/>
      <c r="N100" s="166"/>
      <c r="O100" s="166"/>
      <c r="P100" s="41"/>
      <c r="Q100" s="41"/>
      <c r="R100" s="41"/>
      <c r="S100" s="41"/>
      <c r="T100" s="41"/>
      <c r="U100" s="41"/>
      <c r="V100" s="41"/>
      <c r="W100" s="41"/>
      <c r="X100" s="41"/>
      <c r="Y100" s="166"/>
      <c r="Z100" s="166"/>
      <c r="AA100" s="41"/>
      <c r="AB100" s="41"/>
      <c r="AC100" s="41"/>
      <c r="AD100" s="41"/>
      <c r="AE100" s="41"/>
      <c r="AF100" s="41"/>
      <c r="AG100" s="41"/>
      <c r="AH100" s="41"/>
      <c r="AI100" s="41"/>
    </row>
    <row r="101" spans="1:35" ht="15.75" customHeight="1" x14ac:dyDescent="0.2">
      <c r="A101" s="166"/>
      <c r="B101" s="218"/>
      <c r="C101" s="218"/>
      <c r="D101" s="41"/>
      <c r="E101" s="41"/>
      <c r="F101" s="41"/>
      <c r="G101" s="41"/>
      <c r="H101" s="41"/>
      <c r="I101" s="41"/>
      <c r="J101" s="166"/>
      <c r="K101" s="41"/>
      <c r="L101" s="41"/>
      <c r="M101" s="41"/>
      <c r="N101" s="166"/>
      <c r="O101" s="166"/>
      <c r="P101" s="41"/>
      <c r="Q101" s="41"/>
      <c r="R101" s="41"/>
      <c r="S101" s="41"/>
      <c r="T101" s="41"/>
      <c r="U101" s="41"/>
      <c r="V101" s="41"/>
      <c r="W101" s="41"/>
      <c r="X101" s="41"/>
      <c r="Y101" s="166"/>
      <c r="Z101" s="166"/>
      <c r="AA101" s="41"/>
      <c r="AB101" s="41"/>
      <c r="AC101" s="41"/>
      <c r="AD101" s="41"/>
      <c r="AE101" s="41"/>
      <c r="AF101" s="41"/>
      <c r="AG101" s="41"/>
      <c r="AH101" s="41"/>
      <c r="AI101" s="41"/>
    </row>
    <row r="102" spans="1:35" ht="15.75" customHeight="1" x14ac:dyDescent="0.2">
      <c r="A102" s="166"/>
      <c r="B102" s="218"/>
      <c r="C102" s="218"/>
      <c r="D102" s="41"/>
      <c r="E102" s="41"/>
      <c r="F102" s="41"/>
      <c r="G102" s="41"/>
      <c r="H102" s="41"/>
      <c r="I102" s="41"/>
      <c r="J102" s="166"/>
      <c r="K102" s="41"/>
      <c r="L102" s="41"/>
      <c r="M102" s="41"/>
      <c r="N102" s="166"/>
      <c r="O102" s="166"/>
      <c r="P102" s="41"/>
      <c r="Q102" s="41"/>
      <c r="R102" s="41"/>
      <c r="S102" s="41"/>
      <c r="T102" s="41"/>
      <c r="U102" s="41"/>
      <c r="V102" s="41"/>
      <c r="W102" s="41"/>
      <c r="X102" s="41"/>
      <c r="Y102" s="166"/>
      <c r="Z102" s="166"/>
      <c r="AA102" s="41"/>
      <c r="AB102" s="41"/>
      <c r="AC102" s="41"/>
      <c r="AD102" s="41"/>
      <c r="AE102" s="41"/>
      <c r="AF102" s="41"/>
      <c r="AG102" s="41"/>
      <c r="AH102" s="41"/>
      <c r="AI102" s="41"/>
    </row>
    <row r="103" spans="1:35" ht="15.75" customHeight="1" x14ac:dyDescent="0.2">
      <c r="A103" s="166"/>
      <c r="B103" s="218"/>
      <c r="C103" s="218"/>
      <c r="D103" s="41"/>
      <c r="E103" s="41"/>
      <c r="F103" s="41"/>
      <c r="G103" s="41"/>
      <c r="H103" s="41"/>
      <c r="I103" s="41"/>
      <c r="J103" s="166"/>
      <c r="K103" s="41"/>
      <c r="L103" s="41"/>
      <c r="M103" s="41"/>
      <c r="N103" s="166"/>
      <c r="O103" s="166"/>
      <c r="P103" s="41"/>
      <c r="Q103" s="41"/>
      <c r="R103" s="41"/>
      <c r="S103" s="41"/>
      <c r="T103" s="41"/>
      <c r="U103" s="41"/>
      <c r="V103" s="41"/>
      <c r="W103" s="41"/>
      <c r="X103" s="41"/>
      <c r="Y103" s="166"/>
      <c r="Z103" s="166"/>
      <c r="AA103" s="41"/>
      <c r="AB103" s="41"/>
      <c r="AC103" s="41"/>
      <c r="AD103" s="41"/>
      <c r="AE103" s="41"/>
      <c r="AF103" s="41"/>
      <c r="AG103" s="41"/>
      <c r="AH103" s="41"/>
      <c r="AI103" s="41"/>
    </row>
    <row r="104" spans="1:35" ht="15.75" customHeight="1" x14ac:dyDescent="0.2">
      <c r="A104" s="166"/>
      <c r="B104" s="218"/>
      <c r="C104" s="218"/>
      <c r="D104" s="41"/>
      <c r="E104" s="41"/>
      <c r="F104" s="41"/>
      <c r="G104" s="41"/>
      <c r="H104" s="41"/>
      <c r="I104" s="41"/>
      <c r="J104" s="166"/>
      <c r="K104" s="41"/>
      <c r="L104" s="41"/>
      <c r="M104" s="41"/>
      <c r="N104" s="166"/>
      <c r="O104" s="166"/>
      <c r="P104" s="41"/>
      <c r="Q104" s="41"/>
      <c r="R104" s="41"/>
      <c r="S104" s="41"/>
      <c r="T104" s="41"/>
      <c r="U104" s="41"/>
      <c r="V104" s="41"/>
      <c r="W104" s="41"/>
      <c r="X104" s="41"/>
      <c r="Y104" s="166"/>
      <c r="Z104" s="166"/>
      <c r="AA104" s="41"/>
      <c r="AB104" s="41"/>
      <c r="AC104" s="41"/>
      <c r="AD104" s="41"/>
      <c r="AE104" s="41"/>
      <c r="AF104" s="41"/>
      <c r="AG104" s="41"/>
      <c r="AH104" s="41"/>
      <c r="AI104" s="41"/>
    </row>
    <row r="105" spans="1:35" ht="15.75" customHeight="1" x14ac:dyDescent="0.2">
      <c r="A105" s="166"/>
      <c r="B105" s="218"/>
      <c r="C105" s="218"/>
      <c r="D105" s="41"/>
      <c r="E105" s="41"/>
      <c r="F105" s="41"/>
      <c r="G105" s="41"/>
      <c r="H105" s="41"/>
      <c r="I105" s="41"/>
      <c r="J105" s="166"/>
      <c r="K105" s="41"/>
      <c r="L105" s="41"/>
      <c r="M105" s="41"/>
      <c r="N105" s="166"/>
      <c r="O105" s="166"/>
      <c r="P105" s="41"/>
      <c r="Q105" s="41"/>
      <c r="R105" s="41"/>
      <c r="S105" s="41"/>
      <c r="T105" s="41"/>
      <c r="U105" s="41"/>
      <c r="V105" s="41"/>
      <c r="W105" s="41"/>
      <c r="X105" s="41"/>
      <c r="Y105" s="166"/>
      <c r="Z105" s="166"/>
      <c r="AA105" s="41"/>
      <c r="AB105" s="41"/>
      <c r="AC105" s="41"/>
      <c r="AD105" s="41"/>
      <c r="AE105" s="41"/>
      <c r="AF105" s="41"/>
      <c r="AG105" s="41"/>
      <c r="AH105" s="41"/>
      <c r="AI105" s="41"/>
    </row>
    <row r="106" spans="1:35" ht="15.75" customHeight="1" x14ac:dyDescent="0.2">
      <c r="A106" s="166"/>
      <c r="B106" s="218"/>
      <c r="C106" s="218"/>
      <c r="D106" s="41"/>
      <c r="E106" s="41"/>
      <c r="F106" s="41"/>
      <c r="G106" s="41"/>
      <c r="H106" s="41"/>
      <c r="I106" s="41"/>
      <c r="J106" s="166"/>
      <c r="K106" s="41"/>
      <c r="L106" s="41"/>
      <c r="M106" s="41"/>
      <c r="N106" s="166"/>
      <c r="O106" s="166"/>
      <c r="P106" s="41"/>
      <c r="Q106" s="41"/>
      <c r="R106" s="41"/>
      <c r="S106" s="41"/>
      <c r="T106" s="41"/>
      <c r="U106" s="41"/>
      <c r="V106" s="41"/>
      <c r="W106" s="41"/>
      <c r="X106" s="41"/>
      <c r="Y106" s="166"/>
      <c r="Z106" s="166"/>
      <c r="AA106" s="41"/>
      <c r="AB106" s="41"/>
      <c r="AC106" s="41"/>
      <c r="AD106" s="41"/>
      <c r="AE106" s="41"/>
      <c r="AF106" s="41"/>
      <c r="AG106" s="41"/>
      <c r="AH106" s="41"/>
      <c r="AI106" s="41"/>
    </row>
    <row r="107" spans="1:35" ht="15.75" customHeight="1" x14ac:dyDescent="0.2">
      <c r="A107" s="166"/>
      <c r="B107" s="218"/>
      <c r="C107" s="218"/>
      <c r="D107" s="41"/>
      <c r="E107" s="41"/>
      <c r="F107" s="41"/>
      <c r="G107" s="41"/>
      <c r="H107" s="41"/>
      <c r="I107" s="41"/>
      <c r="J107" s="166"/>
      <c r="K107" s="41"/>
      <c r="L107" s="41"/>
      <c r="M107" s="41"/>
      <c r="N107" s="166"/>
      <c r="O107" s="166"/>
      <c r="P107" s="41"/>
      <c r="Q107" s="41"/>
      <c r="R107" s="41"/>
      <c r="S107" s="41"/>
      <c r="T107" s="41"/>
      <c r="U107" s="41"/>
      <c r="V107" s="41"/>
      <c r="W107" s="41"/>
      <c r="X107" s="41"/>
      <c r="Y107" s="166"/>
      <c r="Z107" s="166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5.75" customHeight="1" x14ac:dyDescent="0.2">
      <c r="A108" s="166"/>
      <c r="B108" s="218"/>
      <c r="C108" s="218"/>
      <c r="D108" s="41"/>
      <c r="E108" s="41"/>
      <c r="F108" s="41"/>
      <c r="G108" s="41"/>
      <c r="H108" s="41"/>
      <c r="I108" s="41"/>
      <c r="J108" s="166"/>
      <c r="K108" s="41"/>
      <c r="L108" s="41"/>
      <c r="M108" s="41"/>
      <c r="N108" s="166"/>
      <c r="O108" s="166"/>
      <c r="P108" s="41"/>
      <c r="Q108" s="41"/>
      <c r="R108" s="41"/>
      <c r="S108" s="41"/>
      <c r="T108" s="41"/>
      <c r="U108" s="41"/>
      <c r="V108" s="41"/>
      <c r="W108" s="41"/>
      <c r="X108" s="41"/>
      <c r="Y108" s="166"/>
      <c r="Z108" s="166"/>
      <c r="AA108" s="41"/>
      <c r="AB108" s="41"/>
      <c r="AC108" s="41"/>
      <c r="AD108" s="41"/>
      <c r="AE108" s="41"/>
      <c r="AF108" s="41"/>
      <c r="AG108" s="41"/>
      <c r="AH108" s="41"/>
      <c r="AI108" s="41"/>
    </row>
    <row r="109" spans="1:35" ht="15.75" customHeight="1" x14ac:dyDescent="0.2">
      <c r="A109" s="166"/>
      <c r="B109" s="218"/>
      <c r="C109" s="218"/>
      <c r="D109" s="41"/>
      <c r="E109" s="41"/>
      <c r="F109" s="41"/>
      <c r="G109" s="41"/>
      <c r="H109" s="41"/>
      <c r="I109" s="41"/>
      <c r="J109" s="166"/>
      <c r="K109" s="41"/>
      <c r="L109" s="41"/>
      <c r="M109" s="41"/>
      <c r="N109" s="166"/>
      <c r="O109" s="166"/>
      <c r="P109" s="41"/>
      <c r="Q109" s="41"/>
      <c r="R109" s="41"/>
      <c r="S109" s="41"/>
      <c r="T109" s="41"/>
      <c r="U109" s="41"/>
      <c r="V109" s="41"/>
      <c r="W109" s="41"/>
      <c r="X109" s="41"/>
      <c r="Y109" s="166"/>
      <c r="Z109" s="166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5.75" customHeight="1" x14ac:dyDescent="0.2">
      <c r="A110" s="166"/>
      <c r="B110" s="218"/>
      <c r="C110" s="218"/>
      <c r="D110" s="41"/>
      <c r="E110" s="41"/>
      <c r="F110" s="41"/>
      <c r="G110" s="41"/>
      <c r="H110" s="41"/>
      <c r="I110" s="41"/>
      <c r="J110" s="166"/>
      <c r="K110" s="41"/>
      <c r="L110" s="41"/>
      <c r="M110" s="41"/>
      <c r="N110" s="166"/>
      <c r="O110" s="166"/>
      <c r="P110" s="41"/>
      <c r="Q110" s="41"/>
      <c r="R110" s="41"/>
      <c r="S110" s="41"/>
      <c r="T110" s="41"/>
      <c r="U110" s="41"/>
      <c r="V110" s="41"/>
      <c r="W110" s="41"/>
      <c r="X110" s="41"/>
      <c r="Y110" s="166"/>
      <c r="Z110" s="166"/>
      <c r="AA110" s="41"/>
      <c r="AB110" s="41"/>
      <c r="AC110" s="41"/>
      <c r="AD110" s="41"/>
      <c r="AE110" s="41"/>
      <c r="AF110" s="41"/>
      <c r="AG110" s="41"/>
      <c r="AH110" s="41"/>
      <c r="AI110" s="41"/>
    </row>
    <row r="111" spans="1:35" ht="15.75" customHeight="1" x14ac:dyDescent="0.2">
      <c r="A111" s="166"/>
      <c r="B111" s="218"/>
      <c r="C111" s="218"/>
      <c r="D111" s="41"/>
      <c r="E111" s="41"/>
      <c r="F111" s="41"/>
      <c r="G111" s="41"/>
      <c r="H111" s="41"/>
      <c r="I111" s="41"/>
      <c r="J111" s="166"/>
      <c r="K111" s="41"/>
      <c r="L111" s="41"/>
      <c r="M111" s="41"/>
      <c r="N111" s="166"/>
      <c r="O111" s="166"/>
      <c r="P111" s="41"/>
      <c r="Q111" s="41"/>
      <c r="R111" s="41"/>
      <c r="S111" s="41"/>
      <c r="T111" s="41"/>
      <c r="U111" s="41"/>
      <c r="V111" s="41"/>
      <c r="W111" s="41"/>
      <c r="X111" s="41"/>
      <c r="Y111" s="166"/>
      <c r="Z111" s="166"/>
      <c r="AA111" s="41"/>
      <c r="AB111" s="41"/>
      <c r="AC111" s="41"/>
      <c r="AD111" s="41"/>
      <c r="AE111" s="41"/>
      <c r="AF111" s="41"/>
      <c r="AG111" s="41"/>
      <c r="AH111" s="41"/>
      <c r="AI111" s="41"/>
    </row>
    <row r="112" spans="1:35" ht="15.75" customHeight="1" x14ac:dyDescent="0.2">
      <c r="A112" s="166"/>
      <c r="B112" s="218"/>
      <c r="C112" s="218"/>
      <c r="D112" s="41"/>
      <c r="E112" s="41"/>
      <c r="F112" s="41"/>
      <c r="G112" s="41"/>
      <c r="H112" s="41"/>
      <c r="I112" s="41"/>
      <c r="J112" s="166"/>
      <c r="K112" s="41"/>
      <c r="L112" s="41"/>
      <c r="M112" s="41"/>
      <c r="N112" s="166"/>
      <c r="O112" s="166"/>
      <c r="P112" s="41"/>
      <c r="Q112" s="41"/>
      <c r="R112" s="41"/>
      <c r="S112" s="41"/>
      <c r="T112" s="41"/>
      <c r="U112" s="41"/>
      <c r="V112" s="41"/>
      <c r="W112" s="41"/>
      <c r="X112" s="41"/>
      <c r="Y112" s="166"/>
      <c r="Z112" s="166"/>
      <c r="AA112" s="41"/>
      <c r="AB112" s="41"/>
      <c r="AC112" s="41"/>
      <c r="AD112" s="41"/>
      <c r="AE112" s="41"/>
      <c r="AF112" s="41"/>
      <c r="AG112" s="41"/>
      <c r="AH112" s="41"/>
      <c r="AI112" s="41"/>
    </row>
    <row r="113" spans="1:35" ht="15.75" customHeight="1" x14ac:dyDescent="0.2">
      <c r="A113" s="166"/>
      <c r="B113" s="218"/>
      <c r="C113" s="218"/>
      <c r="D113" s="41"/>
      <c r="E113" s="41"/>
      <c r="F113" s="41"/>
      <c r="G113" s="41"/>
      <c r="H113" s="41"/>
      <c r="I113" s="41"/>
      <c r="J113" s="166"/>
      <c r="K113" s="41"/>
      <c r="L113" s="41"/>
      <c r="M113" s="41"/>
      <c r="N113" s="166"/>
      <c r="O113" s="166"/>
      <c r="P113" s="41"/>
      <c r="Q113" s="41"/>
      <c r="R113" s="41"/>
      <c r="S113" s="41"/>
      <c r="T113" s="41"/>
      <c r="U113" s="41"/>
      <c r="V113" s="41"/>
      <c r="W113" s="41"/>
      <c r="X113" s="41"/>
      <c r="Y113" s="166"/>
      <c r="Z113" s="166"/>
      <c r="AA113" s="41"/>
      <c r="AB113" s="41"/>
      <c r="AC113" s="41"/>
      <c r="AD113" s="41"/>
      <c r="AE113" s="41"/>
      <c r="AF113" s="41"/>
      <c r="AG113" s="41"/>
      <c r="AH113" s="41"/>
      <c r="AI113" s="41"/>
    </row>
    <row r="114" spans="1:35" ht="15.75" customHeight="1" x14ac:dyDescent="0.2">
      <c r="A114" s="166"/>
      <c r="B114" s="218"/>
      <c r="C114" s="218"/>
      <c r="D114" s="41"/>
      <c r="E114" s="41"/>
      <c r="F114" s="41"/>
      <c r="G114" s="41"/>
      <c r="H114" s="41"/>
      <c r="I114" s="41"/>
      <c r="J114" s="166"/>
      <c r="K114" s="41"/>
      <c r="L114" s="41"/>
      <c r="M114" s="41"/>
      <c r="N114" s="166"/>
      <c r="O114" s="166"/>
      <c r="P114" s="41"/>
      <c r="Q114" s="41"/>
      <c r="R114" s="41"/>
      <c r="S114" s="41"/>
      <c r="T114" s="41"/>
      <c r="U114" s="41"/>
      <c r="V114" s="41"/>
      <c r="W114" s="41"/>
      <c r="X114" s="41"/>
      <c r="Y114" s="166"/>
      <c r="Z114" s="166"/>
      <c r="AA114" s="41"/>
      <c r="AB114" s="41"/>
      <c r="AC114" s="41"/>
      <c r="AD114" s="41"/>
      <c r="AE114" s="41"/>
      <c r="AF114" s="41"/>
      <c r="AG114" s="41"/>
      <c r="AH114" s="41"/>
      <c r="AI114" s="41"/>
    </row>
    <row r="115" spans="1:35" ht="15.75" customHeight="1" x14ac:dyDescent="0.2">
      <c r="A115" s="166"/>
      <c r="B115" s="218"/>
      <c r="C115" s="218"/>
      <c r="D115" s="41"/>
      <c r="E115" s="41"/>
      <c r="F115" s="41"/>
      <c r="G115" s="41"/>
      <c r="H115" s="41"/>
      <c r="I115" s="41"/>
      <c r="J115" s="166"/>
      <c r="K115" s="41"/>
      <c r="L115" s="41"/>
      <c r="M115" s="41"/>
      <c r="N115" s="166"/>
      <c r="O115" s="166"/>
      <c r="P115" s="41"/>
      <c r="Q115" s="41"/>
      <c r="R115" s="41"/>
      <c r="S115" s="41"/>
      <c r="T115" s="41"/>
      <c r="U115" s="41"/>
      <c r="V115" s="41"/>
      <c r="W115" s="41"/>
      <c r="X115" s="41"/>
      <c r="Y115" s="166"/>
      <c r="Z115" s="166"/>
      <c r="AA115" s="41"/>
      <c r="AB115" s="41"/>
      <c r="AC115" s="41"/>
      <c r="AD115" s="41"/>
      <c r="AE115" s="41"/>
      <c r="AF115" s="41"/>
      <c r="AG115" s="41"/>
      <c r="AH115" s="41"/>
      <c r="AI115" s="41"/>
    </row>
    <row r="116" spans="1:35" ht="15.75" customHeight="1" x14ac:dyDescent="0.2">
      <c r="A116" s="166"/>
      <c r="B116" s="218"/>
      <c r="C116" s="218"/>
      <c r="D116" s="41"/>
      <c r="E116" s="41"/>
      <c r="F116" s="41"/>
      <c r="G116" s="41"/>
      <c r="H116" s="41"/>
      <c r="I116" s="41"/>
      <c r="J116" s="166"/>
      <c r="K116" s="41"/>
      <c r="L116" s="41"/>
      <c r="M116" s="41"/>
      <c r="N116" s="166"/>
      <c r="O116" s="166"/>
      <c r="P116" s="41"/>
      <c r="Q116" s="41"/>
      <c r="R116" s="41"/>
      <c r="S116" s="41"/>
      <c r="T116" s="41"/>
      <c r="U116" s="41"/>
      <c r="V116" s="41"/>
      <c r="W116" s="41"/>
      <c r="X116" s="41"/>
      <c r="Y116" s="166"/>
      <c r="Z116" s="166"/>
      <c r="AA116" s="41"/>
      <c r="AB116" s="41"/>
      <c r="AC116" s="41"/>
      <c r="AD116" s="41"/>
      <c r="AE116" s="41"/>
      <c r="AF116" s="41"/>
      <c r="AG116" s="41"/>
      <c r="AH116" s="41"/>
      <c r="AI116" s="41"/>
    </row>
    <row r="117" spans="1:35" ht="15.75" customHeight="1" x14ac:dyDescent="0.2">
      <c r="A117" s="166"/>
      <c r="B117" s="218"/>
      <c r="C117" s="218"/>
      <c r="D117" s="41"/>
      <c r="E117" s="41"/>
      <c r="F117" s="41"/>
      <c r="G117" s="41"/>
      <c r="H117" s="41"/>
      <c r="I117" s="41"/>
      <c r="J117" s="166"/>
      <c r="K117" s="41"/>
      <c r="L117" s="41"/>
      <c r="M117" s="41"/>
      <c r="N117" s="166"/>
      <c r="O117" s="166"/>
      <c r="P117" s="41"/>
      <c r="Q117" s="41"/>
      <c r="R117" s="41"/>
      <c r="S117" s="41"/>
      <c r="T117" s="41"/>
      <c r="U117" s="41"/>
      <c r="V117" s="41"/>
      <c r="W117" s="41"/>
      <c r="X117" s="41"/>
      <c r="Y117" s="166"/>
      <c r="Z117" s="166"/>
      <c r="AA117" s="41"/>
      <c r="AB117" s="41"/>
      <c r="AC117" s="41"/>
      <c r="AD117" s="41"/>
      <c r="AE117" s="41"/>
      <c r="AF117" s="41"/>
      <c r="AG117" s="41"/>
      <c r="AH117" s="41"/>
      <c r="AI117" s="41"/>
    </row>
    <row r="118" spans="1:35" ht="15.75" customHeight="1" x14ac:dyDescent="0.2">
      <c r="A118" s="166"/>
      <c r="B118" s="218"/>
      <c r="C118" s="218"/>
      <c r="D118" s="41"/>
      <c r="E118" s="41"/>
      <c r="F118" s="41"/>
      <c r="G118" s="41"/>
      <c r="H118" s="41"/>
      <c r="I118" s="41"/>
      <c r="J118" s="166"/>
      <c r="K118" s="41"/>
      <c r="L118" s="41"/>
      <c r="M118" s="41"/>
      <c r="N118" s="166"/>
      <c r="O118" s="166"/>
      <c r="P118" s="41"/>
      <c r="Q118" s="41"/>
      <c r="R118" s="41"/>
      <c r="S118" s="41"/>
      <c r="T118" s="41"/>
      <c r="U118" s="41"/>
      <c r="V118" s="41"/>
      <c r="W118" s="41"/>
      <c r="X118" s="41"/>
      <c r="Y118" s="166"/>
      <c r="Z118" s="166"/>
      <c r="AA118" s="41"/>
      <c r="AB118" s="41"/>
      <c r="AC118" s="41"/>
      <c r="AD118" s="41"/>
      <c r="AE118" s="41"/>
      <c r="AF118" s="41"/>
      <c r="AG118" s="41"/>
      <c r="AH118" s="41"/>
      <c r="AI118" s="41"/>
    </row>
    <row r="119" spans="1:35" ht="15.75" customHeight="1" x14ac:dyDescent="0.2">
      <c r="A119" s="166"/>
      <c r="B119" s="218"/>
      <c r="C119" s="218"/>
      <c r="D119" s="41"/>
      <c r="E119" s="41"/>
      <c r="F119" s="41"/>
      <c r="G119" s="41"/>
      <c r="H119" s="41"/>
      <c r="I119" s="41"/>
      <c r="J119" s="166"/>
      <c r="K119" s="41"/>
      <c r="L119" s="41"/>
      <c r="M119" s="41"/>
      <c r="N119" s="166"/>
      <c r="O119" s="166"/>
      <c r="P119" s="41"/>
      <c r="Q119" s="41"/>
      <c r="R119" s="41"/>
      <c r="S119" s="41"/>
      <c r="T119" s="41"/>
      <c r="U119" s="41"/>
      <c r="V119" s="41"/>
      <c r="W119" s="41"/>
      <c r="X119" s="41"/>
      <c r="Y119" s="166"/>
      <c r="Z119" s="166"/>
      <c r="AA119" s="41"/>
      <c r="AB119" s="41"/>
      <c r="AC119" s="41"/>
      <c r="AD119" s="41"/>
      <c r="AE119" s="41"/>
      <c r="AF119" s="41"/>
      <c r="AG119" s="41"/>
      <c r="AH119" s="41"/>
      <c r="AI119" s="41"/>
    </row>
    <row r="120" spans="1:35" ht="15.75" customHeight="1" x14ac:dyDescent="0.2">
      <c r="A120" s="166"/>
      <c r="B120" s="218"/>
      <c r="C120" s="218"/>
      <c r="D120" s="41"/>
      <c r="E120" s="41"/>
      <c r="F120" s="41"/>
      <c r="G120" s="41"/>
      <c r="H120" s="41"/>
      <c r="I120" s="41"/>
      <c r="J120" s="166"/>
      <c r="K120" s="41"/>
      <c r="L120" s="41"/>
      <c r="M120" s="41"/>
      <c r="N120" s="166"/>
      <c r="O120" s="166"/>
      <c r="P120" s="41"/>
      <c r="Q120" s="41"/>
      <c r="R120" s="41"/>
      <c r="S120" s="41"/>
      <c r="T120" s="41"/>
      <c r="U120" s="41"/>
      <c r="V120" s="41"/>
      <c r="W120" s="41"/>
      <c r="X120" s="41"/>
      <c r="Y120" s="166"/>
      <c r="Z120" s="166"/>
      <c r="AA120" s="41"/>
      <c r="AB120" s="41"/>
      <c r="AC120" s="41"/>
      <c r="AD120" s="41"/>
      <c r="AE120" s="41"/>
      <c r="AF120" s="41"/>
      <c r="AG120" s="41"/>
      <c r="AH120" s="41"/>
      <c r="AI120" s="41"/>
    </row>
    <row r="121" spans="1:35" ht="15.75" customHeight="1" x14ac:dyDescent="0.2">
      <c r="A121" s="166"/>
      <c r="B121" s="218"/>
      <c r="C121" s="218"/>
      <c r="D121" s="41"/>
      <c r="E121" s="41"/>
      <c r="F121" s="41"/>
      <c r="G121" s="41"/>
      <c r="H121" s="41"/>
      <c r="I121" s="41"/>
      <c r="J121" s="166"/>
      <c r="K121" s="41"/>
      <c r="L121" s="41"/>
      <c r="M121" s="41"/>
      <c r="N121" s="166"/>
      <c r="O121" s="166"/>
      <c r="P121" s="41"/>
      <c r="Q121" s="41"/>
      <c r="R121" s="41"/>
      <c r="S121" s="41"/>
      <c r="T121" s="41"/>
      <c r="U121" s="41"/>
      <c r="V121" s="41"/>
      <c r="W121" s="41"/>
      <c r="X121" s="41"/>
      <c r="Y121" s="166"/>
      <c r="Z121" s="166"/>
      <c r="AA121" s="41"/>
      <c r="AB121" s="41"/>
      <c r="AC121" s="41"/>
      <c r="AD121" s="41"/>
      <c r="AE121" s="41"/>
      <c r="AF121" s="41"/>
      <c r="AG121" s="41"/>
      <c r="AH121" s="41"/>
      <c r="AI121" s="41"/>
    </row>
    <row r="122" spans="1:35" ht="15.75" customHeight="1" x14ac:dyDescent="0.2">
      <c r="A122" s="166"/>
      <c r="B122" s="218"/>
      <c r="C122" s="218"/>
      <c r="D122" s="41"/>
      <c r="E122" s="41"/>
      <c r="F122" s="41"/>
      <c r="G122" s="41"/>
      <c r="H122" s="41"/>
      <c r="I122" s="41"/>
      <c r="J122" s="166"/>
      <c r="K122" s="41"/>
      <c r="L122" s="41"/>
      <c r="M122" s="41"/>
      <c r="N122" s="166"/>
      <c r="O122" s="166"/>
      <c r="P122" s="41"/>
      <c r="Q122" s="41"/>
      <c r="R122" s="41"/>
      <c r="S122" s="41"/>
      <c r="T122" s="41"/>
      <c r="U122" s="41"/>
      <c r="V122" s="41"/>
      <c r="W122" s="41"/>
      <c r="X122" s="41"/>
      <c r="Y122" s="166"/>
      <c r="Z122" s="166"/>
      <c r="AA122" s="41"/>
      <c r="AB122" s="41"/>
      <c r="AC122" s="41"/>
      <c r="AD122" s="41"/>
      <c r="AE122" s="41"/>
      <c r="AF122" s="41"/>
      <c r="AG122" s="41"/>
      <c r="AH122" s="41"/>
      <c r="AI122" s="41"/>
    </row>
    <row r="123" spans="1:35" ht="15.75" customHeight="1" x14ac:dyDescent="0.2">
      <c r="A123" s="166"/>
      <c r="B123" s="218"/>
      <c r="C123" s="218"/>
      <c r="D123" s="41"/>
      <c r="E123" s="41"/>
      <c r="F123" s="41"/>
      <c r="G123" s="41"/>
      <c r="H123" s="41"/>
      <c r="I123" s="41"/>
      <c r="J123" s="166"/>
      <c r="K123" s="41"/>
      <c r="L123" s="41"/>
      <c r="M123" s="41"/>
      <c r="N123" s="166"/>
      <c r="O123" s="166"/>
      <c r="P123" s="41"/>
      <c r="Q123" s="41"/>
      <c r="R123" s="41"/>
      <c r="S123" s="41"/>
      <c r="T123" s="41"/>
      <c r="U123" s="41"/>
      <c r="V123" s="41"/>
      <c r="W123" s="41"/>
      <c r="X123" s="41"/>
      <c r="Y123" s="166"/>
      <c r="Z123" s="166"/>
      <c r="AA123" s="41"/>
      <c r="AB123" s="41"/>
      <c r="AC123" s="41"/>
      <c r="AD123" s="41"/>
      <c r="AE123" s="41"/>
      <c r="AF123" s="41"/>
      <c r="AG123" s="41"/>
      <c r="AH123" s="41"/>
      <c r="AI123" s="41"/>
    </row>
    <row r="124" spans="1:35" ht="15.75" customHeight="1" x14ac:dyDescent="0.2">
      <c r="A124" s="166"/>
      <c r="B124" s="218"/>
      <c r="C124" s="218"/>
      <c r="D124" s="41"/>
      <c r="E124" s="41"/>
      <c r="F124" s="41"/>
      <c r="G124" s="41"/>
      <c r="H124" s="41"/>
      <c r="I124" s="41"/>
      <c r="J124" s="166"/>
      <c r="K124" s="41"/>
      <c r="L124" s="41"/>
      <c r="M124" s="41"/>
      <c r="N124" s="166"/>
      <c r="O124" s="166"/>
      <c r="P124" s="41"/>
      <c r="Q124" s="41"/>
      <c r="R124" s="41"/>
      <c r="S124" s="41"/>
      <c r="T124" s="41"/>
      <c r="U124" s="41"/>
      <c r="V124" s="41"/>
      <c r="W124" s="41"/>
      <c r="X124" s="41"/>
      <c r="Y124" s="166"/>
      <c r="Z124" s="166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5.75" customHeight="1" x14ac:dyDescent="0.2">
      <c r="A125" s="166"/>
      <c r="B125" s="218"/>
      <c r="C125" s="218"/>
      <c r="D125" s="41"/>
      <c r="E125" s="41"/>
      <c r="F125" s="41"/>
      <c r="G125" s="41"/>
      <c r="H125" s="41"/>
      <c r="I125" s="41"/>
      <c r="J125" s="166"/>
      <c r="K125" s="41"/>
      <c r="L125" s="41"/>
      <c r="M125" s="41"/>
      <c r="N125" s="166"/>
      <c r="O125" s="166"/>
      <c r="P125" s="41"/>
      <c r="Q125" s="41"/>
      <c r="R125" s="41"/>
      <c r="S125" s="41"/>
      <c r="T125" s="41"/>
      <c r="U125" s="41"/>
      <c r="V125" s="41"/>
      <c r="W125" s="41"/>
      <c r="X125" s="41"/>
      <c r="Y125" s="166"/>
      <c r="Z125" s="166"/>
      <c r="AA125" s="41"/>
      <c r="AB125" s="41"/>
      <c r="AC125" s="41"/>
      <c r="AD125" s="41"/>
      <c r="AE125" s="41"/>
      <c r="AF125" s="41"/>
      <c r="AG125" s="41"/>
      <c r="AH125" s="41"/>
      <c r="AI125" s="41"/>
    </row>
    <row r="126" spans="1:35" ht="15.75" customHeight="1" x14ac:dyDescent="0.2">
      <c r="A126" s="166"/>
      <c r="B126" s="218"/>
      <c r="C126" s="218"/>
      <c r="D126" s="41"/>
      <c r="E126" s="41"/>
      <c r="F126" s="41"/>
      <c r="G126" s="41"/>
      <c r="H126" s="41"/>
      <c r="I126" s="41"/>
      <c r="J126" s="166"/>
      <c r="K126" s="41"/>
      <c r="L126" s="41"/>
      <c r="M126" s="41"/>
      <c r="N126" s="166"/>
      <c r="O126" s="166"/>
      <c r="P126" s="41"/>
      <c r="Q126" s="41"/>
      <c r="R126" s="41"/>
      <c r="S126" s="41"/>
      <c r="T126" s="41"/>
      <c r="U126" s="41"/>
      <c r="V126" s="41"/>
      <c r="W126" s="41"/>
      <c r="X126" s="41"/>
      <c r="Y126" s="166"/>
      <c r="Z126" s="166"/>
      <c r="AA126" s="41"/>
      <c r="AB126" s="41"/>
      <c r="AC126" s="41"/>
      <c r="AD126" s="41"/>
      <c r="AE126" s="41"/>
      <c r="AF126" s="41"/>
      <c r="AG126" s="41"/>
      <c r="AH126" s="41"/>
      <c r="AI126" s="41"/>
    </row>
    <row r="127" spans="1:35" ht="15.75" customHeight="1" x14ac:dyDescent="0.2">
      <c r="A127" s="166"/>
      <c r="B127" s="218"/>
      <c r="C127" s="218"/>
      <c r="D127" s="41"/>
      <c r="E127" s="41"/>
      <c r="F127" s="41"/>
      <c r="G127" s="41"/>
      <c r="H127" s="41"/>
      <c r="I127" s="41"/>
      <c r="J127" s="166"/>
      <c r="K127" s="41"/>
      <c r="L127" s="41"/>
      <c r="M127" s="41"/>
      <c r="N127" s="166"/>
      <c r="O127" s="166"/>
      <c r="P127" s="41"/>
      <c r="Q127" s="41"/>
      <c r="R127" s="41"/>
      <c r="S127" s="41"/>
      <c r="T127" s="41"/>
      <c r="U127" s="41"/>
      <c r="V127" s="41"/>
      <c r="W127" s="41"/>
      <c r="X127" s="41"/>
      <c r="Y127" s="166"/>
      <c r="Z127" s="166"/>
      <c r="AA127" s="41"/>
      <c r="AB127" s="41"/>
      <c r="AC127" s="41"/>
      <c r="AD127" s="41"/>
      <c r="AE127" s="41"/>
      <c r="AF127" s="41"/>
      <c r="AG127" s="41"/>
      <c r="AH127" s="41"/>
      <c r="AI127" s="41"/>
    </row>
    <row r="128" spans="1:35" ht="15.75" customHeight="1" x14ac:dyDescent="0.2">
      <c r="A128" s="166"/>
      <c r="B128" s="218"/>
      <c r="C128" s="218"/>
      <c r="D128" s="41"/>
      <c r="E128" s="41"/>
      <c r="F128" s="41"/>
      <c r="G128" s="41"/>
      <c r="H128" s="41"/>
      <c r="I128" s="41"/>
      <c r="J128" s="166"/>
      <c r="K128" s="41"/>
      <c r="L128" s="41"/>
      <c r="M128" s="41"/>
      <c r="N128" s="166"/>
      <c r="O128" s="166"/>
      <c r="P128" s="41"/>
      <c r="Q128" s="41"/>
      <c r="R128" s="41"/>
      <c r="S128" s="41"/>
      <c r="T128" s="41"/>
      <c r="U128" s="41"/>
      <c r="V128" s="41"/>
      <c r="W128" s="41"/>
      <c r="X128" s="41"/>
      <c r="Y128" s="166"/>
      <c r="Z128" s="166"/>
      <c r="AA128" s="41"/>
      <c r="AB128" s="41"/>
      <c r="AC128" s="41"/>
      <c r="AD128" s="41"/>
      <c r="AE128" s="41"/>
      <c r="AF128" s="41"/>
      <c r="AG128" s="41"/>
      <c r="AH128" s="41"/>
      <c r="AI128" s="41"/>
    </row>
    <row r="129" spans="1:35" ht="15.75" customHeight="1" x14ac:dyDescent="0.2">
      <c r="A129" s="166"/>
      <c r="B129" s="218"/>
      <c r="C129" s="218"/>
      <c r="D129" s="41"/>
      <c r="E129" s="41"/>
      <c r="F129" s="41"/>
      <c r="G129" s="41"/>
      <c r="H129" s="41"/>
      <c r="I129" s="41"/>
      <c r="J129" s="166"/>
      <c r="K129" s="41"/>
      <c r="L129" s="41"/>
      <c r="M129" s="41"/>
      <c r="N129" s="166"/>
      <c r="O129" s="166"/>
      <c r="P129" s="41"/>
      <c r="Q129" s="41"/>
      <c r="R129" s="41"/>
      <c r="S129" s="41"/>
      <c r="T129" s="41"/>
      <c r="U129" s="41"/>
      <c r="V129" s="41"/>
      <c r="W129" s="41"/>
      <c r="X129" s="41"/>
      <c r="Y129" s="166"/>
      <c r="Z129" s="166"/>
      <c r="AA129" s="41"/>
      <c r="AB129" s="41"/>
      <c r="AC129" s="41"/>
      <c r="AD129" s="41"/>
      <c r="AE129" s="41"/>
      <c r="AF129" s="41"/>
      <c r="AG129" s="41"/>
      <c r="AH129" s="41"/>
      <c r="AI129" s="41"/>
    </row>
    <row r="130" spans="1:35" ht="15.75" customHeight="1" x14ac:dyDescent="0.2">
      <c r="A130" s="166"/>
      <c r="B130" s="218"/>
      <c r="C130" s="218"/>
      <c r="D130" s="41"/>
      <c r="E130" s="41"/>
      <c r="F130" s="41"/>
      <c r="G130" s="41"/>
      <c r="H130" s="41"/>
      <c r="I130" s="41"/>
      <c r="J130" s="166"/>
      <c r="K130" s="41"/>
      <c r="L130" s="41"/>
      <c r="M130" s="41"/>
      <c r="N130" s="166"/>
      <c r="O130" s="166"/>
      <c r="P130" s="41"/>
      <c r="Q130" s="41"/>
      <c r="R130" s="41"/>
      <c r="S130" s="41"/>
      <c r="T130" s="41"/>
      <c r="U130" s="41"/>
      <c r="V130" s="41"/>
      <c r="W130" s="41"/>
      <c r="X130" s="41"/>
      <c r="Y130" s="166"/>
      <c r="Z130" s="166"/>
      <c r="AA130" s="41"/>
      <c r="AB130" s="41"/>
      <c r="AC130" s="41"/>
      <c r="AD130" s="41"/>
      <c r="AE130" s="41"/>
      <c r="AF130" s="41"/>
      <c r="AG130" s="41"/>
      <c r="AH130" s="41"/>
      <c r="AI130" s="41"/>
    </row>
    <row r="131" spans="1:35" ht="15.75" customHeight="1" x14ac:dyDescent="0.2">
      <c r="A131" s="166"/>
      <c r="B131" s="218"/>
      <c r="C131" s="218"/>
      <c r="D131" s="41"/>
      <c r="E131" s="41"/>
      <c r="F131" s="41"/>
      <c r="G131" s="41"/>
      <c r="H131" s="41"/>
      <c r="I131" s="41"/>
      <c r="J131" s="166"/>
      <c r="K131" s="41"/>
      <c r="L131" s="41"/>
      <c r="M131" s="41"/>
      <c r="N131" s="166"/>
      <c r="O131" s="166"/>
      <c r="P131" s="41"/>
      <c r="Q131" s="41"/>
      <c r="R131" s="41"/>
      <c r="S131" s="41"/>
      <c r="T131" s="41"/>
      <c r="U131" s="41"/>
      <c r="V131" s="41"/>
      <c r="W131" s="41"/>
      <c r="X131" s="41"/>
      <c r="Y131" s="166"/>
      <c r="Z131" s="166"/>
      <c r="AA131" s="41"/>
      <c r="AB131" s="41"/>
      <c r="AC131" s="41"/>
      <c r="AD131" s="41"/>
      <c r="AE131" s="41"/>
      <c r="AF131" s="41"/>
      <c r="AG131" s="41"/>
      <c r="AH131" s="41"/>
      <c r="AI131" s="41"/>
    </row>
    <row r="132" spans="1:35" ht="15.75" customHeight="1" x14ac:dyDescent="0.2">
      <c r="A132" s="166"/>
      <c r="B132" s="218"/>
      <c r="C132" s="218"/>
      <c r="D132" s="41"/>
      <c r="E132" s="41"/>
      <c r="F132" s="41"/>
      <c r="G132" s="41"/>
      <c r="H132" s="41"/>
      <c r="I132" s="41"/>
      <c r="J132" s="166"/>
      <c r="K132" s="41"/>
      <c r="L132" s="41"/>
      <c r="M132" s="41"/>
      <c r="N132" s="166"/>
      <c r="O132" s="166"/>
      <c r="P132" s="41"/>
      <c r="Q132" s="41"/>
      <c r="R132" s="41"/>
      <c r="S132" s="41"/>
      <c r="T132" s="41"/>
      <c r="U132" s="41"/>
      <c r="V132" s="41"/>
      <c r="W132" s="41"/>
      <c r="X132" s="41"/>
      <c r="Y132" s="166"/>
      <c r="Z132" s="166"/>
      <c r="AA132" s="41"/>
      <c r="AB132" s="41"/>
      <c r="AC132" s="41"/>
      <c r="AD132" s="41"/>
      <c r="AE132" s="41"/>
      <c r="AF132" s="41"/>
      <c r="AG132" s="41"/>
      <c r="AH132" s="41"/>
      <c r="AI132" s="41"/>
    </row>
    <row r="133" spans="1:35" ht="15.75" customHeight="1" x14ac:dyDescent="0.2">
      <c r="A133" s="166"/>
      <c r="B133" s="218"/>
      <c r="C133" s="218"/>
      <c r="D133" s="41"/>
      <c r="E133" s="41"/>
      <c r="F133" s="41"/>
      <c r="G133" s="41"/>
      <c r="H133" s="41"/>
      <c r="I133" s="41"/>
      <c r="J133" s="166"/>
      <c r="K133" s="41"/>
      <c r="L133" s="41"/>
      <c r="M133" s="41"/>
      <c r="N133" s="166"/>
      <c r="O133" s="166"/>
      <c r="P133" s="41"/>
      <c r="Q133" s="41"/>
      <c r="R133" s="41"/>
      <c r="S133" s="41"/>
      <c r="T133" s="41"/>
      <c r="U133" s="41"/>
      <c r="V133" s="41"/>
      <c r="W133" s="41"/>
      <c r="X133" s="41"/>
      <c r="Y133" s="166"/>
      <c r="Z133" s="166"/>
      <c r="AA133" s="41"/>
      <c r="AB133" s="41"/>
      <c r="AC133" s="41"/>
      <c r="AD133" s="41"/>
      <c r="AE133" s="41"/>
      <c r="AF133" s="41"/>
      <c r="AG133" s="41"/>
      <c r="AH133" s="41"/>
      <c r="AI133" s="41"/>
    </row>
    <row r="134" spans="1:35" ht="15.75" customHeight="1" x14ac:dyDescent="0.2">
      <c r="A134" s="166"/>
      <c r="B134" s="218"/>
      <c r="C134" s="218"/>
      <c r="D134" s="41"/>
      <c r="E134" s="41"/>
      <c r="F134" s="41"/>
      <c r="G134" s="41"/>
      <c r="H134" s="41"/>
      <c r="I134" s="41"/>
      <c r="J134" s="166"/>
      <c r="K134" s="41"/>
      <c r="L134" s="41"/>
      <c r="M134" s="41"/>
      <c r="N134" s="166"/>
      <c r="O134" s="166"/>
      <c r="P134" s="41"/>
      <c r="Q134" s="41"/>
      <c r="R134" s="41"/>
      <c r="S134" s="41"/>
      <c r="T134" s="41"/>
      <c r="U134" s="41"/>
      <c r="V134" s="41"/>
      <c r="W134" s="41"/>
      <c r="X134" s="41"/>
      <c r="Y134" s="166"/>
      <c r="Z134" s="166"/>
      <c r="AA134" s="41"/>
      <c r="AB134" s="41"/>
      <c r="AC134" s="41"/>
      <c r="AD134" s="41"/>
      <c r="AE134" s="41"/>
      <c r="AF134" s="41"/>
      <c r="AG134" s="41"/>
      <c r="AH134" s="41"/>
      <c r="AI134" s="41"/>
    </row>
    <row r="135" spans="1:35" ht="15.75" customHeight="1" x14ac:dyDescent="0.2">
      <c r="A135" s="166"/>
      <c r="B135" s="218"/>
      <c r="C135" s="218"/>
      <c r="D135" s="41"/>
      <c r="E135" s="41"/>
      <c r="F135" s="41"/>
      <c r="G135" s="41"/>
      <c r="H135" s="41"/>
      <c r="I135" s="41"/>
      <c r="J135" s="166"/>
      <c r="K135" s="41"/>
      <c r="L135" s="41"/>
      <c r="M135" s="41"/>
      <c r="N135" s="166"/>
      <c r="O135" s="166"/>
      <c r="P135" s="41"/>
      <c r="Q135" s="41"/>
      <c r="R135" s="41"/>
      <c r="S135" s="41"/>
      <c r="T135" s="41"/>
      <c r="U135" s="41"/>
      <c r="V135" s="41"/>
      <c r="W135" s="41"/>
      <c r="X135" s="41"/>
      <c r="Y135" s="166"/>
      <c r="Z135" s="166"/>
      <c r="AA135" s="41"/>
      <c r="AB135" s="41"/>
      <c r="AC135" s="41"/>
      <c r="AD135" s="41"/>
      <c r="AE135" s="41"/>
      <c r="AF135" s="41"/>
      <c r="AG135" s="41"/>
      <c r="AH135" s="41"/>
      <c r="AI135" s="41"/>
    </row>
    <row r="136" spans="1:35" ht="15.75" customHeight="1" x14ac:dyDescent="0.2">
      <c r="A136" s="166"/>
      <c r="B136" s="218"/>
      <c r="C136" s="218"/>
      <c r="D136" s="41"/>
      <c r="E136" s="41"/>
      <c r="F136" s="41"/>
      <c r="G136" s="41"/>
      <c r="H136" s="41"/>
      <c r="I136" s="41"/>
      <c r="J136" s="166"/>
      <c r="K136" s="41"/>
      <c r="L136" s="41"/>
      <c r="M136" s="41"/>
      <c r="N136" s="166"/>
      <c r="O136" s="166"/>
      <c r="P136" s="41"/>
      <c r="Q136" s="41"/>
      <c r="R136" s="41"/>
      <c r="S136" s="41"/>
      <c r="T136" s="41"/>
      <c r="U136" s="41"/>
      <c r="V136" s="41"/>
      <c r="W136" s="41"/>
      <c r="X136" s="41"/>
      <c r="Y136" s="166"/>
      <c r="Z136" s="166"/>
      <c r="AA136" s="41"/>
      <c r="AB136" s="41"/>
      <c r="AC136" s="41"/>
      <c r="AD136" s="41"/>
      <c r="AE136" s="41"/>
      <c r="AF136" s="41"/>
      <c r="AG136" s="41"/>
      <c r="AH136" s="41"/>
      <c r="AI136" s="41"/>
    </row>
    <row r="137" spans="1:35" ht="15.75" customHeight="1" x14ac:dyDescent="0.2">
      <c r="A137" s="166"/>
      <c r="B137" s="218"/>
      <c r="C137" s="218"/>
      <c r="D137" s="41"/>
      <c r="E137" s="41"/>
      <c r="F137" s="41"/>
      <c r="G137" s="41"/>
      <c r="H137" s="41"/>
      <c r="I137" s="41"/>
      <c r="J137" s="166"/>
      <c r="K137" s="41"/>
      <c r="L137" s="41"/>
      <c r="M137" s="41"/>
      <c r="N137" s="166"/>
      <c r="O137" s="166"/>
      <c r="P137" s="41"/>
      <c r="Q137" s="41"/>
      <c r="R137" s="41"/>
      <c r="S137" s="41"/>
      <c r="T137" s="41"/>
      <c r="U137" s="41"/>
      <c r="V137" s="41"/>
      <c r="W137" s="41"/>
      <c r="X137" s="41"/>
      <c r="Y137" s="166"/>
      <c r="Z137" s="166"/>
      <c r="AA137" s="41"/>
      <c r="AB137" s="41"/>
      <c r="AC137" s="41"/>
      <c r="AD137" s="41"/>
      <c r="AE137" s="41"/>
      <c r="AF137" s="41"/>
      <c r="AG137" s="41"/>
      <c r="AH137" s="41"/>
      <c r="AI137" s="41"/>
    </row>
    <row r="138" spans="1:35" ht="15.75" customHeight="1" x14ac:dyDescent="0.2">
      <c r="A138" s="166"/>
      <c r="B138" s="218"/>
      <c r="C138" s="218"/>
      <c r="D138" s="41"/>
      <c r="E138" s="41"/>
      <c r="F138" s="41"/>
      <c r="G138" s="41"/>
      <c r="H138" s="41"/>
      <c r="I138" s="41"/>
      <c r="J138" s="166"/>
      <c r="K138" s="41"/>
      <c r="L138" s="41"/>
      <c r="M138" s="41"/>
      <c r="N138" s="166"/>
      <c r="O138" s="166"/>
      <c r="P138" s="41"/>
      <c r="Q138" s="41"/>
      <c r="R138" s="41"/>
      <c r="S138" s="41"/>
      <c r="T138" s="41"/>
      <c r="U138" s="41"/>
      <c r="V138" s="41"/>
      <c r="W138" s="41"/>
      <c r="X138" s="41"/>
      <c r="Y138" s="166"/>
      <c r="Z138" s="166"/>
      <c r="AA138" s="41"/>
      <c r="AB138" s="41"/>
      <c r="AC138" s="41"/>
      <c r="AD138" s="41"/>
      <c r="AE138" s="41"/>
      <c r="AF138" s="41"/>
      <c r="AG138" s="41"/>
      <c r="AH138" s="41"/>
      <c r="AI138" s="41"/>
    </row>
    <row r="139" spans="1:35" ht="15.75" customHeight="1" x14ac:dyDescent="0.2">
      <c r="A139" s="166"/>
      <c r="B139" s="218"/>
      <c r="C139" s="218"/>
      <c r="D139" s="41"/>
      <c r="E139" s="41"/>
      <c r="F139" s="41"/>
      <c r="G139" s="41"/>
      <c r="H139" s="41"/>
      <c r="I139" s="41"/>
      <c r="J139" s="166"/>
      <c r="K139" s="41"/>
      <c r="L139" s="41"/>
      <c r="M139" s="41"/>
      <c r="N139" s="166"/>
      <c r="O139" s="166"/>
      <c r="P139" s="41"/>
      <c r="Q139" s="41"/>
      <c r="R139" s="41"/>
      <c r="S139" s="41"/>
      <c r="T139" s="41"/>
      <c r="U139" s="41"/>
      <c r="V139" s="41"/>
      <c r="W139" s="41"/>
      <c r="X139" s="41"/>
      <c r="Y139" s="166"/>
      <c r="Z139" s="166"/>
      <c r="AA139" s="41"/>
      <c r="AB139" s="41"/>
      <c r="AC139" s="41"/>
      <c r="AD139" s="41"/>
      <c r="AE139" s="41"/>
      <c r="AF139" s="41"/>
      <c r="AG139" s="41"/>
      <c r="AH139" s="41"/>
      <c r="AI139" s="41"/>
    </row>
    <row r="140" spans="1:35" ht="15.75" customHeight="1" x14ac:dyDescent="0.2">
      <c r="A140" s="166"/>
      <c r="B140" s="218"/>
      <c r="C140" s="218"/>
      <c r="D140" s="41"/>
      <c r="E140" s="41"/>
      <c r="F140" s="41"/>
      <c r="G140" s="41"/>
      <c r="H140" s="41"/>
      <c r="I140" s="41"/>
      <c r="J140" s="166"/>
      <c r="K140" s="41"/>
      <c r="L140" s="41"/>
      <c r="M140" s="41"/>
      <c r="N140" s="166"/>
      <c r="O140" s="166"/>
      <c r="P140" s="41"/>
      <c r="Q140" s="41"/>
      <c r="R140" s="41"/>
      <c r="S140" s="41"/>
      <c r="T140" s="41"/>
      <c r="U140" s="41"/>
      <c r="V140" s="41"/>
      <c r="W140" s="41"/>
      <c r="X140" s="41"/>
      <c r="Y140" s="166"/>
      <c r="Z140" s="166"/>
      <c r="AA140" s="41"/>
      <c r="AB140" s="41"/>
      <c r="AC140" s="41"/>
      <c r="AD140" s="41"/>
      <c r="AE140" s="41"/>
      <c r="AF140" s="41"/>
      <c r="AG140" s="41"/>
      <c r="AH140" s="41"/>
      <c r="AI140" s="41"/>
    </row>
    <row r="141" spans="1:35" ht="15.75" customHeight="1" x14ac:dyDescent="0.2">
      <c r="A141" s="166"/>
      <c r="B141" s="218"/>
      <c r="C141" s="218"/>
      <c r="D141" s="41"/>
      <c r="E141" s="41"/>
      <c r="F141" s="41"/>
      <c r="G141" s="41"/>
      <c r="H141" s="41"/>
      <c r="I141" s="41"/>
      <c r="J141" s="166"/>
      <c r="K141" s="41"/>
      <c r="L141" s="41"/>
      <c r="M141" s="41"/>
      <c r="N141" s="166"/>
      <c r="O141" s="166"/>
      <c r="P141" s="41"/>
      <c r="Q141" s="41"/>
      <c r="R141" s="41"/>
      <c r="S141" s="41"/>
      <c r="T141" s="41"/>
      <c r="U141" s="41"/>
      <c r="V141" s="41"/>
      <c r="W141" s="41"/>
      <c r="X141" s="41"/>
      <c r="Y141" s="166"/>
      <c r="Z141" s="166"/>
      <c r="AA141" s="41"/>
      <c r="AB141" s="41"/>
      <c r="AC141" s="41"/>
      <c r="AD141" s="41"/>
      <c r="AE141" s="41"/>
      <c r="AF141" s="41"/>
      <c r="AG141" s="41"/>
      <c r="AH141" s="41"/>
      <c r="AI141" s="41"/>
    </row>
    <row r="142" spans="1:35" ht="15.75" customHeight="1" x14ac:dyDescent="0.2">
      <c r="A142" s="166"/>
      <c r="B142" s="218"/>
      <c r="C142" s="218"/>
      <c r="D142" s="41"/>
      <c r="E142" s="41"/>
      <c r="F142" s="41"/>
      <c r="G142" s="41"/>
      <c r="H142" s="41"/>
      <c r="I142" s="41"/>
      <c r="J142" s="166"/>
      <c r="K142" s="41"/>
      <c r="L142" s="41"/>
      <c r="M142" s="41"/>
      <c r="N142" s="166"/>
      <c r="O142" s="166"/>
      <c r="P142" s="41"/>
      <c r="Q142" s="41"/>
      <c r="R142" s="41"/>
      <c r="S142" s="41"/>
      <c r="T142" s="41"/>
      <c r="U142" s="41"/>
      <c r="V142" s="41"/>
      <c r="W142" s="41"/>
      <c r="X142" s="41"/>
      <c r="Y142" s="166"/>
      <c r="Z142" s="166"/>
      <c r="AA142" s="41"/>
      <c r="AB142" s="41"/>
      <c r="AC142" s="41"/>
      <c r="AD142" s="41"/>
      <c r="AE142" s="41"/>
      <c r="AF142" s="41"/>
      <c r="AG142" s="41"/>
      <c r="AH142" s="41"/>
      <c r="AI142" s="41"/>
    </row>
    <row r="143" spans="1:35" ht="15.75" customHeight="1" x14ac:dyDescent="0.2">
      <c r="A143" s="166"/>
      <c r="B143" s="218"/>
      <c r="C143" s="218"/>
      <c r="D143" s="41"/>
      <c r="E143" s="41"/>
      <c r="F143" s="41"/>
      <c r="G143" s="41"/>
      <c r="H143" s="41"/>
      <c r="I143" s="41"/>
      <c r="J143" s="166"/>
      <c r="K143" s="41"/>
      <c r="L143" s="41"/>
      <c r="M143" s="41"/>
      <c r="N143" s="166"/>
      <c r="O143" s="166"/>
      <c r="P143" s="41"/>
      <c r="Q143" s="41"/>
      <c r="R143" s="41"/>
      <c r="S143" s="41"/>
      <c r="T143" s="41"/>
      <c r="U143" s="41"/>
      <c r="V143" s="41"/>
      <c r="W143" s="41"/>
      <c r="X143" s="41"/>
      <c r="Y143" s="166"/>
      <c r="Z143" s="166"/>
      <c r="AA143" s="41"/>
      <c r="AB143" s="41"/>
      <c r="AC143" s="41"/>
      <c r="AD143" s="41"/>
      <c r="AE143" s="41"/>
      <c r="AF143" s="41"/>
      <c r="AG143" s="41"/>
      <c r="AH143" s="41"/>
      <c r="AI143" s="41"/>
    </row>
    <row r="144" spans="1:35" ht="15.75" customHeight="1" x14ac:dyDescent="0.2">
      <c r="A144" s="166"/>
      <c r="B144" s="218"/>
      <c r="C144" s="218"/>
      <c r="D144" s="41"/>
      <c r="E144" s="41"/>
      <c r="F144" s="41"/>
      <c r="G144" s="41"/>
      <c r="H144" s="41"/>
      <c r="I144" s="41"/>
      <c r="J144" s="166"/>
      <c r="K144" s="41"/>
      <c r="L144" s="41"/>
      <c r="M144" s="41"/>
      <c r="N144" s="166"/>
      <c r="O144" s="166"/>
      <c r="P144" s="41"/>
      <c r="Q144" s="41"/>
      <c r="R144" s="41"/>
      <c r="S144" s="41"/>
      <c r="T144" s="41"/>
      <c r="U144" s="41"/>
      <c r="V144" s="41"/>
      <c r="W144" s="41"/>
      <c r="X144" s="41"/>
      <c r="Y144" s="166"/>
      <c r="Z144" s="166"/>
      <c r="AA144" s="41"/>
      <c r="AB144" s="41"/>
      <c r="AC144" s="41"/>
      <c r="AD144" s="41"/>
      <c r="AE144" s="41"/>
      <c r="AF144" s="41"/>
      <c r="AG144" s="41"/>
      <c r="AH144" s="41"/>
      <c r="AI144" s="41"/>
    </row>
    <row r="145" spans="1:35" ht="15.75" customHeight="1" x14ac:dyDescent="0.2">
      <c r="A145" s="166"/>
      <c r="B145" s="218"/>
      <c r="C145" s="218"/>
      <c r="D145" s="41"/>
      <c r="E145" s="41"/>
      <c r="F145" s="41"/>
      <c r="G145" s="41"/>
      <c r="H145" s="41"/>
      <c r="I145" s="41"/>
      <c r="J145" s="166"/>
      <c r="K145" s="41"/>
      <c r="L145" s="41"/>
      <c r="M145" s="41"/>
      <c r="N145" s="166"/>
      <c r="O145" s="166"/>
      <c r="P145" s="41"/>
      <c r="Q145" s="41"/>
      <c r="R145" s="41"/>
      <c r="S145" s="41"/>
      <c r="T145" s="41"/>
      <c r="U145" s="41"/>
      <c r="V145" s="41"/>
      <c r="W145" s="41"/>
      <c r="X145" s="41"/>
      <c r="Y145" s="166"/>
      <c r="Z145" s="166"/>
      <c r="AA145" s="41"/>
      <c r="AB145" s="41"/>
      <c r="AC145" s="41"/>
      <c r="AD145" s="41"/>
      <c r="AE145" s="41"/>
      <c r="AF145" s="41"/>
      <c r="AG145" s="41"/>
      <c r="AH145" s="41"/>
      <c r="AI145" s="41"/>
    </row>
    <row r="146" spans="1:35" ht="15.75" customHeight="1" x14ac:dyDescent="0.2">
      <c r="A146" s="166"/>
      <c r="B146" s="218"/>
      <c r="C146" s="218"/>
      <c r="D146" s="41"/>
      <c r="E146" s="41"/>
      <c r="F146" s="41"/>
      <c r="G146" s="41"/>
      <c r="H146" s="41"/>
      <c r="I146" s="41"/>
      <c r="J146" s="166"/>
      <c r="K146" s="41"/>
      <c r="L146" s="41"/>
      <c r="M146" s="41"/>
      <c r="N146" s="166"/>
      <c r="O146" s="166"/>
      <c r="P146" s="41"/>
      <c r="Q146" s="41"/>
      <c r="R146" s="41"/>
      <c r="S146" s="41"/>
      <c r="T146" s="41"/>
      <c r="U146" s="41"/>
      <c r="V146" s="41"/>
      <c r="W146" s="41"/>
      <c r="X146" s="41"/>
      <c r="Y146" s="166"/>
      <c r="Z146" s="166"/>
      <c r="AA146" s="41"/>
      <c r="AB146" s="41"/>
      <c r="AC146" s="41"/>
      <c r="AD146" s="41"/>
      <c r="AE146" s="41"/>
      <c r="AF146" s="41"/>
      <c r="AG146" s="41"/>
      <c r="AH146" s="41"/>
      <c r="AI146" s="41"/>
    </row>
    <row r="147" spans="1:35" ht="15.75" customHeight="1" x14ac:dyDescent="0.2">
      <c r="A147" s="166"/>
      <c r="B147" s="218"/>
      <c r="C147" s="218"/>
      <c r="D147" s="41"/>
      <c r="E147" s="41"/>
      <c r="F147" s="41"/>
      <c r="G147" s="41"/>
      <c r="H147" s="41"/>
      <c r="I147" s="41"/>
      <c r="J147" s="166"/>
      <c r="K147" s="41"/>
      <c r="L147" s="41"/>
      <c r="M147" s="41"/>
      <c r="N147" s="166"/>
      <c r="O147" s="166"/>
      <c r="P147" s="41"/>
      <c r="Q147" s="41"/>
      <c r="R147" s="41"/>
      <c r="S147" s="41"/>
      <c r="T147" s="41"/>
      <c r="U147" s="41"/>
      <c r="V147" s="41"/>
      <c r="W147" s="41"/>
      <c r="X147" s="41"/>
      <c r="Y147" s="166"/>
      <c r="Z147" s="166"/>
      <c r="AA147" s="41"/>
      <c r="AB147" s="41"/>
      <c r="AC147" s="41"/>
      <c r="AD147" s="41"/>
      <c r="AE147" s="41"/>
      <c r="AF147" s="41"/>
      <c r="AG147" s="41"/>
      <c r="AH147" s="41"/>
      <c r="AI147" s="41"/>
    </row>
    <row r="148" spans="1:35" ht="15.75" customHeight="1" x14ac:dyDescent="0.2">
      <c r="A148" s="166"/>
      <c r="B148" s="218"/>
      <c r="C148" s="218"/>
      <c r="D148" s="41"/>
      <c r="E148" s="41"/>
      <c r="F148" s="41"/>
      <c r="G148" s="41"/>
      <c r="H148" s="41"/>
      <c r="I148" s="41"/>
      <c r="J148" s="166"/>
      <c r="K148" s="41"/>
      <c r="L148" s="41"/>
      <c r="M148" s="41"/>
      <c r="N148" s="166"/>
      <c r="O148" s="166"/>
      <c r="P148" s="41"/>
      <c r="Q148" s="41"/>
      <c r="R148" s="41"/>
      <c r="S148" s="41"/>
      <c r="T148" s="41"/>
      <c r="U148" s="41"/>
      <c r="V148" s="41"/>
      <c r="W148" s="41"/>
      <c r="X148" s="41"/>
      <c r="Y148" s="166"/>
      <c r="Z148" s="166"/>
      <c r="AA148" s="41"/>
      <c r="AB148" s="41"/>
      <c r="AC148" s="41"/>
      <c r="AD148" s="41"/>
      <c r="AE148" s="41"/>
      <c r="AF148" s="41"/>
      <c r="AG148" s="41"/>
      <c r="AH148" s="41"/>
      <c r="AI148" s="41"/>
    </row>
    <row r="149" spans="1:35" ht="15.75" customHeight="1" x14ac:dyDescent="0.2">
      <c r="A149" s="166"/>
      <c r="B149" s="218"/>
      <c r="C149" s="218"/>
      <c r="D149" s="41"/>
      <c r="E149" s="41"/>
      <c r="F149" s="41"/>
      <c r="G149" s="41"/>
      <c r="H149" s="41"/>
      <c r="I149" s="41"/>
      <c r="J149" s="166"/>
      <c r="K149" s="41"/>
      <c r="L149" s="41"/>
      <c r="M149" s="41"/>
      <c r="N149" s="166"/>
      <c r="O149" s="166"/>
      <c r="P149" s="41"/>
      <c r="Q149" s="41"/>
      <c r="R149" s="41"/>
      <c r="S149" s="41"/>
      <c r="T149" s="41"/>
      <c r="U149" s="41"/>
      <c r="V149" s="41"/>
      <c r="W149" s="41"/>
      <c r="X149" s="41"/>
      <c r="Y149" s="166"/>
      <c r="Z149" s="166"/>
      <c r="AA149" s="41"/>
      <c r="AB149" s="41"/>
      <c r="AC149" s="41"/>
      <c r="AD149" s="41"/>
      <c r="AE149" s="41"/>
      <c r="AF149" s="41"/>
      <c r="AG149" s="41"/>
      <c r="AH149" s="41"/>
      <c r="AI149" s="41"/>
    </row>
    <row r="150" spans="1:35" ht="15.75" customHeight="1" x14ac:dyDescent="0.2">
      <c r="A150" s="166"/>
      <c r="B150" s="218"/>
      <c r="C150" s="218"/>
      <c r="D150" s="41"/>
      <c r="E150" s="41"/>
      <c r="F150" s="41"/>
      <c r="G150" s="41"/>
      <c r="H150" s="41"/>
      <c r="I150" s="41"/>
      <c r="J150" s="166"/>
      <c r="K150" s="41"/>
      <c r="L150" s="41"/>
      <c r="M150" s="41"/>
      <c r="N150" s="166"/>
      <c r="O150" s="166"/>
      <c r="P150" s="41"/>
      <c r="Q150" s="41"/>
      <c r="R150" s="41"/>
      <c r="S150" s="41"/>
      <c r="T150" s="41"/>
      <c r="U150" s="41"/>
      <c r="V150" s="41"/>
      <c r="W150" s="41"/>
      <c r="X150" s="41"/>
      <c r="Y150" s="166"/>
      <c r="Z150" s="166"/>
      <c r="AA150" s="41"/>
      <c r="AB150" s="41"/>
      <c r="AC150" s="41"/>
      <c r="AD150" s="41"/>
      <c r="AE150" s="41"/>
      <c r="AF150" s="41"/>
      <c r="AG150" s="41"/>
      <c r="AH150" s="41"/>
      <c r="AI150" s="41"/>
    </row>
    <row r="151" spans="1:35" ht="15.75" customHeight="1" x14ac:dyDescent="0.2">
      <c r="A151" s="166"/>
      <c r="B151" s="218"/>
      <c r="C151" s="218"/>
      <c r="D151" s="41"/>
      <c r="E151" s="41"/>
      <c r="F151" s="41"/>
      <c r="G151" s="41"/>
      <c r="H151" s="41"/>
      <c r="I151" s="41"/>
      <c r="J151" s="166"/>
      <c r="K151" s="41"/>
      <c r="L151" s="41"/>
      <c r="M151" s="41"/>
      <c r="N151" s="166"/>
      <c r="O151" s="166"/>
      <c r="P151" s="41"/>
      <c r="Q151" s="41"/>
      <c r="R151" s="41"/>
      <c r="S151" s="41"/>
      <c r="T151" s="41"/>
      <c r="U151" s="41"/>
      <c r="V151" s="41"/>
      <c r="W151" s="41"/>
      <c r="X151" s="41"/>
      <c r="Y151" s="166"/>
      <c r="Z151" s="166"/>
      <c r="AA151" s="41"/>
      <c r="AB151" s="41"/>
      <c r="AC151" s="41"/>
      <c r="AD151" s="41"/>
      <c r="AE151" s="41"/>
      <c r="AF151" s="41"/>
      <c r="AG151" s="41"/>
      <c r="AH151" s="41"/>
      <c r="AI151" s="41"/>
    </row>
    <row r="152" spans="1:35" ht="15.75" customHeight="1" x14ac:dyDescent="0.2">
      <c r="A152" s="166"/>
      <c r="B152" s="218"/>
      <c r="C152" s="218"/>
      <c r="D152" s="41"/>
      <c r="E152" s="41"/>
      <c r="F152" s="41"/>
      <c r="G152" s="41"/>
      <c r="H152" s="41"/>
      <c r="I152" s="41"/>
      <c r="J152" s="166"/>
      <c r="K152" s="41"/>
      <c r="L152" s="41"/>
      <c r="M152" s="41"/>
      <c r="N152" s="166"/>
      <c r="O152" s="166"/>
      <c r="P152" s="41"/>
      <c r="Q152" s="41"/>
      <c r="R152" s="41"/>
      <c r="S152" s="41"/>
      <c r="T152" s="41"/>
      <c r="U152" s="41"/>
      <c r="V152" s="41"/>
      <c r="W152" s="41"/>
      <c r="X152" s="41"/>
      <c r="Y152" s="166"/>
      <c r="Z152" s="166"/>
      <c r="AA152" s="41"/>
      <c r="AB152" s="41"/>
      <c r="AC152" s="41"/>
      <c r="AD152" s="41"/>
      <c r="AE152" s="41"/>
      <c r="AF152" s="41"/>
      <c r="AG152" s="41"/>
      <c r="AH152" s="41"/>
      <c r="AI152" s="41"/>
    </row>
    <row r="153" spans="1:35" ht="15.75" customHeight="1" x14ac:dyDescent="0.2">
      <c r="A153" s="166"/>
      <c r="B153" s="218"/>
      <c r="C153" s="218"/>
      <c r="D153" s="41"/>
      <c r="E153" s="41"/>
      <c r="F153" s="41"/>
      <c r="G153" s="41"/>
      <c r="H153" s="41"/>
      <c r="I153" s="41"/>
      <c r="J153" s="166"/>
      <c r="K153" s="41"/>
      <c r="L153" s="41"/>
      <c r="M153" s="41"/>
      <c r="N153" s="166"/>
      <c r="O153" s="166"/>
      <c r="P153" s="41"/>
      <c r="Q153" s="41"/>
      <c r="R153" s="41"/>
      <c r="S153" s="41"/>
      <c r="T153" s="41"/>
      <c r="U153" s="41"/>
      <c r="V153" s="41"/>
      <c r="W153" s="41"/>
      <c r="X153" s="41"/>
      <c r="Y153" s="166"/>
      <c r="Z153" s="166"/>
      <c r="AA153" s="41"/>
      <c r="AB153" s="41"/>
      <c r="AC153" s="41"/>
      <c r="AD153" s="41"/>
      <c r="AE153" s="41"/>
      <c r="AF153" s="41"/>
      <c r="AG153" s="41"/>
      <c r="AH153" s="41"/>
      <c r="AI153" s="41"/>
    </row>
    <row r="154" spans="1:35" ht="15.75" customHeight="1" x14ac:dyDescent="0.2">
      <c r="A154" s="166"/>
      <c r="B154" s="218"/>
      <c r="C154" s="218"/>
      <c r="D154" s="41"/>
      <c r="E154" s="41"/>
      <c r="F154" s="41"/>
      <c r="G154" s="41"/>
      <c r="H154" s="41"/>
      <c r="I154" s="41"/>
      <c r="J154" s="166"/>
      <c r="K154" s="41"/>
      <c r="L154" s="41"/>
      <c r="M154" s="41"/>
      <c r="N154" s="166"/>
      <c r="O154" s="166"/>
      <c r="P154" s="41"/>
      <c r="Q154" s="41"/>
      <c r="R154" s="41"/>
      <c r="S154" s="41"/>
      <c r="T154" s="41"/>
      <c r="U154" s="41"/>
      <c r="V154" s="41"/>
      <c r="W154" s="41"/>
      <c r="X154" s="41"/>
      <c r="Y154" s="166"/>
      <c r="Z154" s="166"/>
      <c r="AA154" s="41"/>
      <c r="AB154" s="41"/>
      <c r="AC154" s="41"/>
      <c r="AD154" s="41"/>
      <c r="AE154" s="41"/>
      <c r="AF154" s="41"/>
      <c r="AG154" s="41"/>
      <c r="AH154" s="41"/>
      <c r="AI154" s="41"/>
    </row>
    <row r="155" spans="1:35" ht="15.75" customHeight="1" x14ac:dyDescent="0.2">
      <c r="A155" s="166"/>
      <c r="B155" s="218"/>
      <c r="C155" s="218"/>
      <c r="D155" s="41"/>
      <c r="E155" s="41"/>
      <c r="F155" s="41"/>
      <c r="G155" s="41"/>
      <c r="H155" s="41"/>
      <c r="I155" s="41"/>
      <c r="J155" s="166"/>
      <c r="K155" s="41"/>
      <c r="L155" s="41"/>
      <c r="M155" s="41"/>
      <c r="N155" s="166"/>
      <c r="O155" s="166"/>
      <c r="P155" s="41"/>
      <c r="Q155" s="41"/>
      <c r="R155" s="41"/>
      <c r="S155" s="41"/>
      <c r="T155" s="41"/>
      <c r="U155" s="41"/>
      <c r="V155" s="41"/>
      <c r="W155" s="41"/>
      <c r="X155" s="41"/>
      <c r="Y155" s="166"/>
      <c r="Z155" s="166"/>
      <c r="AA155" s="41"/>
      <c r="AB155" s="41"/>
      <c r="AC155" s="41"/>
      <c r="AD155" s="41"/>
      <c r="AE155" s="41"/>
      <c r="AF155" s="41"/>
      <c r="AG155" s="41"/>
      <c r="AH155" s="41"/>
      <c r="AI155" s="41"/>
    </row>
    <row r="156" spans="1:35" ht="15.75" customHeight="1" x14ac:dyDescent="0.2">
      <c r="A156" s="166"/>
      <c r="B156" s="218"/>
      <c r="C156" s="218"/>
      <c r="D156" s="41"/>
      <c r="E156" s="41"/>
      <c r="F156" s="41"/>
      <c r="G156" s="41"/>
      <c r="H156" s="41"/>
      <c r="I156" s="41"/>
      <c r="J156" s="166"/>
      <c r="K156" s="41"/>
      <c r="L156" s="41"/>
      <c r="M156" s="41"/>
      <c r="N156" s="166"/>
      <c r="O156" s="166"/>
      <c r="P156" s="41"/>
      <c r="Q156" s="41"/>
      <c r="R156" s="41"/>
      <c r="S156" s="41"/>
      <c r="T156" s="41"/>
      <c r="U156" s="41"/>
      <c r="V156" s="41"/>
      <c r="W156" s="41"/>
      <c r="X156" s="41"/>
      <c r="Y156" s="166"/>
      <c r="Z156" s="166"/>
      <c r="AA156" s="41"/>
      <c r="AB156" s="41"/>
      <c r="AC156" s="41"/>
      <c r="AD156" s="41"/>
      <c r="AE156" s="41"/>
      <c r="AF156" s="41"/>
      <c r="AG156" s="41"/>
      <c r="AH156" s="41"/>
      <c r="AI156" s="41"/>
    </row>
    <row r="157" spans="1:35" ht="15.75" customHeight="1" x14ac:dyDescent="0.2">
      <c r="A157" s="166"/>
      <c r="B157" s="218"/>
      <c r="C157" s="218"/>
      <c r="D157" s="41"/>
      <c r="E157" s="41"/>
      <c r="F157" s="41"/>
      <c r="G157" s="41"/>
      <c r="H157" s="41"/>
      <c r="I157" s="41"/>
      <c r="J157" s="166"/>
      <c r="K157" s="41"/>
      <c r="L157" s="41"/>
      <c r="M157" s="41"/>
      <c r="N157" s="166"/>
      <c r="O157" s="166"/>
      <c r="P157" s="41"/>
      <c r="Q157" s="41"/>
      <c r="R157" s="41"/>
      <c r="S157" s="41"/>
      <c r="T157" s="41"/>
      <c r="U157" s="41"/>
      <c r="V157" s="41"/>
      <c r="W157" s="41"/>
      <c r="X157" s="41"/>
      <c r="Y157" s="166"/>
      <c r="Z157" s="166"/>
      <c r="AA157" s="41"/>
      <c r="AB157" s="41"/>
      <c r="AC157" s="41"/>
      <c r="AD157" s="41"/>
      <c r="AE157" s="41"/>
      <c r="AF157" s="41"/>
      <c r="AG157" s="41"/>
      <c r="AH157" s="41"/>
      <c r="AI157" s="41"/>
    </row>
    <row r="158" spans="1:35" ht="15.75" customHeight="1" x14ac:dyDescent="0.2">
      <c r="A158" s="166"/>
      <c r="B158" s="218"/>
      <c r="C158" s="218"/>
      <c r="D158" s="41"/>
      <c r="E158" s="41"/>
      <c r="F158" s="41"/>
      <c r="G158" s="41"/>
      <c r="H158" s="41"/>
      <c r="I158" s="41"/>
      <c r="J158" s="166"/>
      <c r="K158" s="41"/>
      <c r="L158" s="41"/>
      <c r="M158" s="41"/>
      <c r="N158" s="166"/>
      <c r="O158" s="166"/>
      <c r="P158" s="41"/>
      <c r="Q158" s="41"/>
      <c r="R158" s="41"/>
      <c r="S158" s="41"/>
      <c r="T158" s="41"/>
      <c r="U158" s="41"/>
      <c r="V158" s="41"/>
      <c r="W158" s="41"/>
      <c r="X158" s="41"/>
      <c r="Y158" s="166"/>
      <c r="Z158" s="166"/>
      <c r="AA158" s="41"/>
      <c r="AB158" s="41"/>
      <c r="AC158" s="41"/>
      <c r="AD158" s="41"/>
      <c r="AE158" s="41"/>
      <c r="AF158" s="41"/>
      <c r="AG158" s="41"/>
      <c r="AH158" s="41"/>
      <c r="AI158" s="41"/>
    </row>
    <row r="159" spans="1:35" ht="15.75" customHeight="1" x14ac:dyDescent="0.2">
      <c r="A159" s="166"/>
      <c r="B159" s="218"/>
      <c r="C159" s="218"/>
      <c r="D159" s="41"/>
      <c r="E159" s="41"/>
      <c r="F159" s="41"/>
      <c r="G159" s="41"/>
      <c r="H159" s="41"/>
      <c r="I159" s="41"/>
      <c r="J159" s="166"/>
      <c r="K159" s="41"/>
      <c r="L159" s="41"/>
      <c r="M159" s="41"/>
      <c r="N159" s="166"/>
      <c r="O159" s="166"/>
      <c r="P159" s="41"/>
      <c r="Q159" s="41"/>
      <c r="R159" s="41"/>
      <c r="S159" s="41"/>
      <c r="T159" s="41"/>
      <c r="U159" s="41"/>
      <c r="V159" s="41"/>
      <c r="W159" s="41"/>
      <c r="X159" s="41"/>
      <c r="Y159" s="166"/>
      <c r="Z159" s="166"/>
      <c r="AA159" s="41"/>
      <c r="AB159" s="41"/>
      <c r="AC159" s="41"/>
      <c r="AD159" s="41"/>
      <c r="AE159" s="41"/>
      <c r="AF159" s="41"/>
      <c r="AG159" s="41"/>
      <c r="AH159" s="41"/>
      <c r="AI159" s="41"/>
    </row>
    <row r="160" spans="1:35" ht="15.75" customHeight="1" x14ac:dyDescent="0.2">
      <c r="A160" s="166"/>
      <c r="B160" s="218"/>
      <c r="C160" s="218"/>
      <c r="D160" s="41"/>
      <c r="E160" s="41"/>
      <c r="F160" s="41"/>
      <c r="G160" s="41"/>
      <c r="H160" s="41"/>
      <c r="I160" s="41"/>
      <c r="J160" s="166"/>
      <c r="K160" s="41"/>
      <c r="L160" s="41"/>
      <c r="M160" s="41"/>
      <c r="N160" s="166"/>
      <c r="O160" s="166"/>
      <c r="P160" s="41"/>
      <c r="Q160" s="41"/>
      <c r="R160" s="41"/>
      <c r="S160" s="41"/>
      <c r="T160" s="41"/>
      <c r="U160" s="41"/>
      <c r="V160" s="41"/>
      <c r="W160" s="41"/>
      <c r="X160" s="41"/>
      <c r="Y160" s="166"/>
      <c r="Z160" s="166"/>
      <c r="AA160" s="41"/>
      <c r="AB160" s="41"/>
      <c r="AC160" s="41"/>
      <c r="AD160" s="41"/>
      <c r="AE160" s="41"/>
      <c r="AF160" s="41"/>
      <c r="AG160" s="41"/>
      <c r="AH160" s="41"/>
      <c r="AI160" s="41"/>
    </row>
    <row r="161" spans="1:35" ht="15.75" customHeight="1" x14ac:dyDescent="0.2">
      <c r="A161" s="166"/>
      <c r="B161" s="218"/>
      <c r="C161" s="218"/>
      <c r="D161" s="41"/>
      <c r="E161" s="41"/>
      <c r="F161" s="41"/>
      <c r="G161" s="41"/>
      <c r="H161" s="41"/>
      <c r="I161" s="41"/>
      <c r="J161" s="166"/>
      <c r="K161" s="41"/>
      <c r="L161" s="41"/>
      <c r="M161" s="41"/>
      <c r="N161" s="166"/>
      <c r="O161" s="166"/>
      <c r="P161" s="41"/>
      <c r="Q161" s="41"/>
      <c r="R161" s="41"/>
      <c r="S161" s="41"/>
      <c r="T161" s="41"/>
      <c r="U161" s="41"/>
      <c r="V161" s="41"/>
      <c r="W161" s="41"/>
      <c r="X161" s="41"/>
      <c r="Y161" s="166"/>
      <c r="Z161" s="166"/>
      <c r="AA161" s="41"/>
      <c r="AB161" s="41"/>
      <c r="AC161" s="41"/>
      <c r="AD161" s="41"/>
      <c r="AE161" s="41"/>
      <c r="AF161" s="41"/>
      <c r="AG161" s="41"/>
      <c r="AH161" s="41"/>
      <c r="AI161" s="41"/>
    </row>
    <row r="162" spans="1:35" ht="15.75" customHeight="1" x14ac:dyDescent="0.2">
      <c r="A162" s="166"/>
      <c r="B162" s="218"/>
      <c r="C162" s="218"/>
      <c r="D162" s="41"/>
      <c r="E162" s="41"/>
      <c r="F162" s="41"/>
      <c r="G162" s="41"/>
      <c r="H162" s="41"/>
      <c r="I162" s="41"/>
      <c r="J162" s="166"/>
      <c r="K162" s="41"/>
      <c r="L162" s="41"/>
      <c r="M162" s="41"/>
      <c r="N162" s="166"/>
      <c r="O162" s="166"/>
      <c r="P162" s="41"/>
      <c r="Q162" s="41"/>
      <c r="R162" s="41"/>
      <c r="S162" s="41"/>
      <c r="T162" s="41"/>
      <c r="U162" s="41"/>
      <c r="V162" s="41"/>
      <c r="W162" s="41"/>
      <c r="X162" s="41"/>
      <c r="Y162" s="166"/>
      <c r="Z162" s="166"/>
      <c r="AA162" s="41"/>
      <c r="AB162" s="41"/>
      <c r="AC162" s="41"/>
      <c r="AD162" s="41"/>
      <c r="AE162" s="41"/>
      <c r="AF162" s="41"/>
      <c r="AG162" s="41"/>
      <c r="AH162" s="41"/>
      <c r="AI162" s="41"/>
    </row>
    <row r="163" spans="1:35" ht="15.75" customHeight="1" x14ac:dyDescent="0.2">
      <c r="A163" s="166"/>
      <c r="B163" s="218"/>
      <c r="C163" s="218"/>
      <c r="D163" s="41"/>
      <c r="E163" s="41"/>
      <c r="F163" s="41"/>
      <c r="G163" s="41"/>
      <c r="H163" s="41"/>
      <c r="I163" s="41"/>
      <c r="J163" s="166"/>
      <c r="K163" s="41"/>
      <c r="L163" s="41"/>
      <c r="M163" s="41"/>
      <c r="N163" s="166"/>
      <c r="O163" s="166"/>
      <c r="P163" s="41"/>
      <c r="Q163" s="41"/>
      <c r="R163" s="41"/>
      <c r="S163" s="41"/>
      <c r="T163" s="41"/>
      <c r="U163" s="41"/>
      <c r="V163" s="41"/>
      <c r="W163" s="41"/>
      <c r="X163" s="41"/>
      <c r="Y163" s="166"/>
      <c r="Z163" s="166"/>
      <c r="AA163" s="41"/>
      <c r="AB163" s="41"/>
      <c r="AC163" s="41"/>
      <c r="AD163" s="41"/>
      <c r="AE163" s="41"/>
      <c r="AF163" s="41"/>
      <c r="AG163" s="41"/>
      <c r="AH163" s="41"/>
      <c r="AI163" s="41"/>
    </row>
    <row r="164" spans="1:35" ht="15.75" customHeight="1" x14ac:dyDescent="0.2">
      <c r="A164" s="166"/>
      <c r="B164" s="218"/>
      <c r="C164" s="218"/>
      <c r="D164" s="41"/>
      <c r="E164" s="41"/>
      <c r="F164" s="41"/>
      <c r="G164" s="41"/>
      <c r="H164" s="41"/>
      <c r="I164" s="41"/>
      <c r="J164" s="166"/>
      <c r="K164" s="41"/>
      <c r="L164" s="41"/>
      <c r="M164" s="41"/>
      <c r="N164" s="166"/>
      <c r="O164" s="166"/>
      <c r="P164" s="41"/>
      <c r="Q164" s="41"/>
      <c r="R164" s="41"/>
      <c r="S164" s="41"/>
      <c r="T164" s="41"/>
      <c r="U164" s="41"/>
      <c r="V164" s="41"/>
      <c r="W164" s="41"/>
      <c r="X164" s="41"/>
      <c r="Y164" s="166"/>
      <c r="Z164" s="166"/>
      <c r="AA164" s="41"/>
      <c r="AB164" s="41"/>
      <c r="AC164" s="41"/>
      <c r="AD164" s="41"/>
      <c r="AE164" s="41"/>
      <c r="AF164" s="41"/>
      <c r="AG164" s="41"/>
      <c r="AH164" s="41"/>
      <c r="AI164" s="41"/>
    </row>
    <row r="165" spans="1:35" ht="15.75" customHeight="1" x14ac:dyDescent="0.2">
      <c r="A165" s="166"/>
      <c r="B165" s="218"/>
      <c r="C165" s="218"/>
      <c r="D165" s="41"/>
      <c r="E165" s="41"/>
      <c r="F165" s="41"/>
      <c r="G165" s="41"/>
      <c r="H165" s="41"/>
      <c r="I165" s="41"/>
      <c r="J165" s="166"/>
      <c r="K165" s="41"/>
      <c r="L165" s="41"/>
      <c r="M165" s="41"/>
      <c r="N165" s="166"/>
      <c r="O165" s="166"/>
      <c r="P165" s="41"/>
      <c r="Q165" s="41"/>
      <c r="R165" s="41"/>
      <c r="S165" s="41"/>
      <c r="T165" s="41"/>
      <c r="U165" s="41"/>
      <c r="V165" s="41"/>
      <c r="W165" s="41"/>
      <c r="X165" s="41"/>
      <c r="Y165" s="166"/>
      <c r="Z165" s="166"/>
      <c r="AA165" s="41"/>
      <c r="AB165" s="41"/>
      <c r="AC165" s="41"/>
      <c r="AD165" s="41"/>
      <c r="AE165" s="41"/>
      <c r="AF165" s="41"/>
      <c r="AG165" s="41"/>
      <c r="AH165" s="41"/>
      <c r="AI165" s="41"/>
    </row>
    <row r="166" spans="1:35" ht="15.75" customHeight="1" x14ac:dyDescent="0.2">
      <c r="A166" s="166"/>
      <c r="B166" s="218"/>
      <c r="C166" s="218"/>
      <c r="D166" s="41"/>
      <c r="E166" s="41"/>
      <c r="F166" s="41"/>
      <c r="G166" s="41"/>
      <c r="H166" s="41"/>
      <c r="I166" s="41"/>
      <c r="J166" s="166"/>
      <c r="K166" s="41"/>
      <c r="L166" s="41"/>
      <c r="M166" s="41"/>
      <c r="N166" s="166"/>
      <c r="O166" s="166"/>
      <c r="P166" s="41"/>
      <c r="Q166" s="41"/>
      <c r="R166" s="41"/>
      <c r="S166" s="41"/>
      <c r="T166" s="41"/>
      <c r="U166" s="41"/>
      <c r="V166" s="41"/>
      <c r="W166" s="41"/>
      <c r="X166" s="41"/>
      <c r="Y166" s="166"/>
      <c r="Z166" s="166"/>
      <c r="AA166" s="41"/>
      <c r="AB166" s="41"/>
      <c r="AC166" s="41"/>
      <c r="AD166" s="41"/>
      <c r="AE166" s="41"/>
      <c r="AF166" s="41"/>
      <c r="AG166" s="41"/>
      <c r="AH166" s="41"/>
      <c r="AI166" s="41"/>
    </row>
    <row r="167" spans="1:35" ht="15.75" customHeight="1" x14ac:dyDescent="0.2">
      <c r="A167" s="166"/>
      <c r="B167" s="218"/>
      <c r="C167" s="218"/>
      <c r="D167" s="41"/>
      <c r="E167" s="41"/>
      <c r="F167" s="41"/>
      <c r="G167" s="41"/>
      <c r="H167" s="41"/>
      <c r="I167" s="41"/>
      <c r="J167" s="166"/>
      <c r="K167" s="41"/>
      <c r="L167" s="41"/>
      <c r="M167" s="41"/>
      <c r="N167" s="166"/>
      <c r="O167" s="166"/>
      <c r="P167" s="41"/>
      <c r="Q167" s="41"/>
      <c r="R167" s="41"/>
      <c r="S167" s="41"/>
      <c r="T167" s="41"/>
      <c r="U167" s="41"/>
      <c r="V167" s="41"/>
      <c r="W167" s="41"/>
      <c r="X167" s="41"/>
      <c r="Y167" s="166"/>
      <c r="Z167" s="166"/>
      <c r="AA167" s="41"/>
      <c r="AB167" s="41"/>
      <c r="AC167" s="41"/>
      <c r="AD167" s="41"/>
      <c r="AE167" s="41"/>
      <c r="AF167" s="41"/>
      <c r="AG167" s="41"/>
      <c r="AH167" s="41"/>
      <c r="AI167" s="41"/>
    </row>
    <row r="168" spans="1:35" ht="15.75" customHeight="1" x14ac:dyDescent="0.2">
      <c r="A168" s="166"/>
      <c r="B168" s="218"/>
      <c r="C168" s="218"/>
      <c r="D168" s="41"/>
      <c r="E168" s="41"/>
      <c r="F168" s="41"/>
      <c r="G168" s="41"/>
      <c r="H168" s="41"/>
      <c r="I168" s="41"/>
      <c r="J168" s="166"/>
      <c r="K168" s="41"/>
      <c r="L168" s="41"/>
      <c r="M168" s="41"/>
      <c r="N168" s="166"/>
      <c r="O168" s="166"/>
      <c r="P168" s="41"/>
      <c r="Q168" s="41"/>
      <c r="R168" s="41"/>
      <c r="S168" s="41"/>
      <c r="T168" s="41"/>
      <c r="U168" s="41"/>
      <c r="V168" s="41"/>
      <c r="W168" s="41"/>
      <c r="X168" s="41"/>
      <c r="Y168" s="166"/>
      <c r="Z168" s="166"/>
      <c r="AA168" s="41"/>
      <c r="AB168" s="41"/>
      <c r="AC168" s="41"/>
      <c r="AD168" s="41"/>
      <c r="AE168" s="41"/>
      <c r="AF168" s="41"/>
      <c r="AG168" s="41"/>
      <c r="AH168" s="41"/>
      <c r="AI168" s="41"/>
    </row>
    <row r="169" spans="1:35" ht="15.75" customHeight="1" x14ac:dyDescent="0.2">
      <c r="A169" s="166"/>
      <c r="B169" s="218"/>
      <c r="C169" s="218"/>
      <c r="D169" s="41"/>
      <c r="E169" s="41"/>
      <c r="F169" s="41"/>
      <c r="G169" s="41"/>
      <c r="H169" s="41"/>
      <c r="I169" s="41"/>
      <c r="J169" s="166"/>
      <c r="K169" s="41"/>
      <c r="L169" s="41"/>
      <c r="M169" s="41"/>
      <c r="N169" s="166"/>
      <c r="O169" s="166"/>
      <c r="P169" s="41"/>
      <c r="Q169" s="41"/>
      <c r="R169" s="41"/>
      <c r="S169" s="41"/>
      <c r="T169" s="41"/>
      <c r="U169" s="41"/>
      <c r="V169" s="41"/>
      <c r="W169" s="41"/>
      <c r="X169" s="41"/>
      <c r="Y169" s="166"/>
      <c r="Z169" s="166"/>
      <c r="AA169" s="41"/>
      <c r="AB169" s="41"/>
      <c r="AC169" s="41"/>
      <c r="AD169" s="41"/>
      <c r="AE169" s="41"/>
      <c r="AF169" s="41"/>
      <c r="AG169" s="41"/>
      <c r="AH169" s="41"/>
      <c r="AI169" s="41"/>
    </row>
    <row r="170" spans="1:35" ht="15.75" customHeight="1" x14ac:dyDescent="0.2">
      <c r="A170" s="166"/>
      <c r="B170" s="218"/>
      <c r="C170" s="218"/>
      <c r="D170" s="41"/>
      <c r="E170" s="41"/>
      <c r="F170" s="41"/>
      <c r="G170" s="41"/>
      <c r="H170" s="41"/>
      <c r="I170" s="41"/>
      <c r="J170" s="166"/>
      <c r="K170" s="41"/>
      <c r="L170" s="41"/>
      <c r="M170" s="41"/>
      <c r="N170" s="166"/>
      <c r="O170" s="166"/>
      <c r="P170" s="41"/>
      <c r="Q170" s="41"/>
      <c r="R170" s="41"/>
      <c r="S170" s="41"/>
      <c r="T170" s="41"/>
      <c r="U170" s="41"/>
      <c r="V170" s="41"/>
      <c r="W170" s="41"/>
      <c r="X170" s="41"/>
      <c r="Y170" s="166"/>
      <c r="Z170" s="166"/>
      <c r="AA170" s="41"/>
      <c r="AB170" s="41"/>
      <c r="AC170" s="41"/>
      <c r="AD170" s="41"/>
      <c r="AE170" s="41"/>
      <c r="AF170" s="41"/>
      <c r="AG170" s="41"/>
      <c r="AH170" s="41"/>
      <c r="AI170" s="41"/>
    </row>
    <row r="171" spans="1:35" ht="15.75" customHeight="1" x14ac:dyDescent="0.2">
      <c r="A171" s="166"/>
      <c r="B171" s="218"/>
      <c r="C171" s="218"/>
      <c r="D171" s="41"/>
      <c r="E171" s="41"/>
      <c r="F171" s="41"/>
      <c r="G171" s="41"/>
      <c r="H171" s="41"/>
      <c r="I171" s="41"/>
      <c r="J171" s="166"/>
      <c r="K171" s="41"/>
      <c r="L171" s="41"/>
      <c r="M171" s="41"/>
      <c r="N171" s="166"/>
      <c r="O171" s="166"/>
      <c r="P171" s="41"/>
      <c r="Q171" s="41"/>
      <c r="R171" s="41"/>
      <c r="S171" s="41"/>
      <c r="T171" s="41"/>
      <c r="U171" s="41"/>
      <c r="V171" s="41"/>
      <c r="W171" s="41"/>
      <c r="X171" s="41"/>
      <c r="Y171" s="166"/>
      <c r="Z171" s="166"/>
      <c r="AA171" s="41"/>
      <c r="AB171" s="41"/>
      <c r="AC171" s="41"/>
      <c r="AD171" s="41"/>
      <c r="AE171" s="41"/>
      <c r="AF171" s="41"/>
      <c r="AG171" s="41"/>
      <c r="AH171" s="41"/>
      <c r="AI171" s="41"/>
    </row>
    <row r="172" spans="1:35" ht="15.75" customHeight="1" x14ac:dyDescent="0.2">
      <c r="A172" s="166"/>
      <c r="B172" s="218"/>
      <c r="C172" s="218"/>
      <c r="D172" s="41"/>
      <c r="E172" s="41"/>
      <c r="F172" s="41"/>
      <c r="G172" s="41"/>
      <c r="H172" s="41"/>
      <c r="I172" s="41"/>
      <c r="J172" s="166"/>
      <c r="K172" s="41"/>
      <c r="L172" s="41"/>
      <c r="M172" s="41"/>
      <c r="N172" s="166"/>
      <c r="O172" s="166"/>
      <c r="P172" s="41"/>
      <c r="Q172" s="41"/>
      <c r="R172" s="41"/>
      <c r="S172" s="41"/>
      <c r="T172" s="41"/>
      <c r="U172" s="41"/>
      <c r="V172" s="41"/>
      <c r="W172" s="41"/>
      <c r="X172" s="41"/>
      <c r="Y172" s="166"/>
      <c r="Z172" s="166"/>
      <c r="AA172" s="41"/>
      <c r="AB172" s="41"/>
      <c r="AC172" s="41"/>
      <c r="AD172" s="41"/>
      <c r="AE172" s="41"/>
      <c r="AF172" s="41"/>
      <c r="AG172" s="41"/>
      <c r="AH172" s="41"/>
      <c r="AI172" s="41"/>
    </row>
    <row r="173" spans="1:35" ht="15.75" customHeight="1" x14ac:dyDescent="0.2">
      <c r="A173" s="166"/>
      <c r="B173" s="218"/>
      <c r="C173" s="218"/>
      <c r="D173" s="41"/>
      <c r="E173" s="41"/>
      <c r="F173" s="41"/>
      <c r="G173" s="41"/>
      <c r="H173" s="41"/>
      <c r="I173" s="41"/>
      <c r="J173" s="166"/>
      <c r="K173" s="41"/>
      <c r="L173" s="41"/>
      <c r="M173" s="41"/>
      <c r="N173" s="166"/>
      <c r="O173" s="166"/>
      <c r="P173" s="41"/>
      <c r="Q173" s="41"/>
      <c r="R173" s="41"/>
      <c r="S173" s="41"/>
      <c r="T173" s="41"/>
      <c r="U173" s="41"/>
      <c r="V173" s="41"/>
      <c r="W173" s="41"/>
      <c r="X173" s="41"/>
      <c r="Y173" s="166"/>
      <c r="Z173" s="166"/>
      <c r="AA173" s="41"/>
      <c r="AB173" s="41"/>
      <c r="AC173" s="41"/>
      <c r="AD173" s="41"/>
      <c r="AE173" s="41"/>
      <c r="AF173" s="41"/>
      <c r="AG173" s="41"/>
      <c r="AH173" s="41"/>
      <c r="AI173" s="41"/>
    </row>
    <row r="174" spans="1:35" ht="15.75" customHeight="1" x14ac:dyDescent="0.2">
      <c r="A174" s="166"/>
      <c r="B174" s="218"/>
      <c r="C174" s="218"/>
      <c r="D174" s="41"/>
      <c r="E174" s="41"/>
      <c r="F174" s="41"/>
      <c r="G174" s="41"/>
      <c r="H174" s="41"/>
      <c r="I174" s="41"/>
      <c r="J174" s="166"/>
      <c r="K174" s="41"/>
      <c r="L174" s="41"/>
      <c r="M174" s="41"/>
      <c r="N174" s="166"/>
      <c r="O174" s="166"/>
      <c r="P174" s="41"/>
      <c r="Q174" s="41"/>
      <c r="R174" s="41"/>
      <c r="S174" s="41"/>
      <c r="T174" s="41"/>
      <c r="U174" s="41"/>
      <c r="V174" s="41"/>
      <c r="W174" s="41"/>
      <c r="X174" s="41"/>
      <c r="Y174" s="166"/>
      <c r="Z174" s="166"/>
      <c r="AA174" s="41"/>
      <c r="AB174" s="41"/>
      <c r="AC174" s="41"/>
      <c r="AD174" s="41"/>
      <c r="AE174" s="41"/>
      <c r="AF174" s="41"/>
      <c r="AG174" s="41"/>
      <c r="AH174" s="41"/>
      <c r="AI174" s="41"/>
    </row>
    <row r="175" spans="1:35" ht="15.75" customHeight="1" x14ac:dyDescent="0.2">
      <c r="A175" s="166"/>
      <c r="B175" s="218"/>
      <c r="C175" s="218"/>
      <c r="D175" s="41"/>
      <c r="E175" s="41"/>
      <c r="F175" s="41"/>
      <c r="G175" s="41"/>
      <c r="H175" s="41"/>
      <c r="I175" s="41"/>
      <c r="J175" s="166"/>
      <c r="K175" s="41"/>
      <c r="L175" s="41"/>
      <c r="M175" s="41"/>
      <c r="N175" s="166"/>
      <c r="O175" s="166"/>
      <c r="P175" s="41"/>
      <c r="Q175" s="41"/>
      <c r="R175" s="41"/>
      <c r="S175" s="41"/>
      <c r="T175" s="41"/>
      <c r="U175" s="41"/>
      <c r="V175" s="41"/>
      <c r="W175" s="41"/>
      <c r="X175" s="41"/>
      <c r="Y175" s="166"/>
      <c r="Z175" s="166"/>
      <c r="AA175" s="41"/>
      <c r="AB175" s="41"/>
      <c r="AC175" s="41"/>
      <c r="AD175" s="41"/>
      <c r="AE175" s="41"/>
      <c r="AF175" s="41"/>
      <c r="AG175" s="41"/>
      <c r="AH175" s="41"/>
      <c r="AI175" s="41"/>
    </row>
    <row r="176" spans="1:35" ht="15.75" customHeight="1" x14ac:dyDescent="0.2">
      <c r="A176" s="166"/>
      <c r="B176" s="218"/>
      <c r="C176" s="218"/>
      <c r="D176" s="41"/>
      <c r="E176" s="41"/>
      <c r="F176" s="41"/>
      <c r="G176" s="41"/>
      <c r="H176" s="41"/>
      <c r="I176" s="41"/>
      <c r="J176" s="166"/>
      <c r="K176" s="41"/>
      <c r="L176" s="41"/>
      <c r="M176" s="41"/>
      <c r="N176" s="166"/>
      <c r="O176" s="166"/>
      <c r="P176" s="41"/>
      <c r="Q176" s="41"/>
      <c r="R176" s="41"/>
      <c r="S176" s="41"/>
      <c r="T176" s="41"/>
      <c r="U176" s="41"/>
      <c r="V176" s="41"/>
      <c r="W176" s="41"/>
      <c r="X176" s="41"/>
      <c r="Y176" s="166"/>
      <c r="Z176" s="166"/>
      <c r="AA176" s="41"/>
      <c r="AB176" s="41"/>
      <c r="AC176" s="41"/>
      <c r="AD176" s="41"/>
      <c r="AE176" s="41"/>
      <c r="AF176" s="41"/>
      <c r="AG176" s="41"/>
      <c r="AH176" s="41"/>
      <c r="AI176" s="41"/>
    </row>
    <row r="177" spans="1:35" ht="15.75" customHeight="1" x14ac:dyDescent="0.2">
      <c r="A177" s="166"/>
      <c r="B177" s="218"/>
      <c r="C177" s="218"/>
      <c r="D177" s="41"/>
      <c r="E177" s="41"/>
      <c r="F177" s="41"/>
      <c r="G177" s="41"/>
      <c r="H177" s="41"/>
      <c r="I177" s="41"/>
      <c r="J177" s="166"/>
      <c r="K177" s="41"/>
      <c r="L177" s="41"/>
      <c r="M177" s="41"/>
      <c r="N177" s="166"/>
      <c r="O177" s="166"/>
      <c r="P177" s="41"/>
      <c r="Q177" s="41"/>
      <c r="R177" s="41"/>
      <c r="S177" s="41"/>
      <c r="T177" s="41"/>
      <c r="U177" s="41"/>
      <c r="V177" s="41"/>
      <c r="W177" s="41"/>
      <c r="X177" s="41"/>
      <c r="Y177" s="166"/>
      <c r="Z177" s="166"/>
      <c r="AA177" s="41"/>
      <c r="AB177" s="41"/>
      <c r="AC177" s="41"/>
      <c r="AD177" s="41"/>
      <c r="AE177" s="41"/>
      <c r="AF177" s="41"/>
      <c r="AG177" s="41"/>
      <c r="AH177" s="41"/>
      <c r="AI177" s="41"/>
    </row>
    <row r="178" spans="1:35" ht="15.75" customHeight="1" x14ac:dyDescent="0.2">
      <c r="A178" s="166"/>
      <c r="B178" s="218"/>
      <c r="C178" s="218"/>
      <c r="D178" s="41"/>
      <c r="E178" s="41"/>
      <c r="F178" s="41"/>
      <c r="G178" s="41"/>
      <c r="H178" s="41"/>
      <c r="I178" s="41"/>
      <c r="J178" s="166"/>
      <c r="K178" s="41"/>
      <c r="L178" s="41"/>
      <c r="M178" s="41"/>
      <c r="N178" s="166"/>
      <c r="O178" s="166"/>
      <c r="P178" s="41"/>
      <c r="Q178" s="41"/>
      <c r="R178" s="41"/>
      <c r="S178" s="41"/>
      <c r="T178" s="41"/>
      <c r="U178" s="41"/>
      <c r="V178" s="41"/>
      <c r="W178" s="41"/>
      <c r="X178" s="41"/>
      <c r="Y178" s="166"/>
      <c r="Z178" s="166"/>
      <c r="AA178" s="41"/>
      <c r="AB178" s="41"/>
      <c r="AC178" s="41"/>
      <c r="AD178" s="41"/>
      <c r="AE178" s="41"/>
      <c r="AF178" s="41"/>
      <c r="AG178" s="41"/>
      <c r="AH178" s="41"/>
      <c r="AI178" s="41"/>
    </row>
    <row r="179" spans="1:35" ht="15.75" customHeight="1" x14ac:dyDescent="0.2">
      <c r="A179" s="166"/>
      <c r="B179" s="218"/>
      <c r="C179" s="218"/>
      <c r="D179" s="41"/>
      <c r="E179" s="41"/>
      <c r="F179" s="41"/>
      <c r="G179" s="41"/>
      <c r="H179" s="41"/>
      <c r="I179" s="41"/>
      <c r="J179" s="166"/>
      <c r="K179" s="41"/>
      <c r="L179" s="41"/>
      <c r="M179" s="41"/>
      <c r="N179" s="166"/>
      <c r="O179" s="166"/>
      <c r="P179" s="41"/>
      <c r="Q179" s="41"/>
      <c r="R179" s="41"/>
      <c r="S179" s="41"/>
      <c r="T179" s="41"/>
      <c r="U179" s="41"/>
      <c r="V179" s="41"/>
      <c r="W179" s="41"/>
      <c r="X179" s="41"/>
      <c r="Y179" s="166"/>
      <c r="Z179" s="166"/>
      <c r="AA179" s="41"/>
      <c r="AB179" s="41"/>
      <c r="AC179" s="41"/>
      <c r="AD179" s="41"/>
      <c r="AE179" s="41"/>
      <c r="AF179" s="41"/>
      <c r="AG179" s="41"/>
      <c r="AH179" s="41"/>
      <c r="AI179" s="41"/>
    </row>
    <row r="180" spans="1:35" ht="15.75" customHeight="1" x14ac:dyDescent="0.2">
      <c r="A180" s="166"/>
      <c r="B180" s="218"/>
      <c r="C180" s="218"/>
      <c r="D180" s="41"/>
      <c r="E180" s="41"/>
      <c r="F180" s="41"/>
      <c r="G180" s="41"/>
      <c r="H180" s="41"/>
      <c r="I180" s="41"/>
      <c r="J180" s="166"/>
      <c r="K180" s="41"/>
      <c r="L180" s="41"/>
      <c r="M180" s="41"/>
      <c r="N180" s="166"/>
      <c r="O180" s="166"/>
      <c r="P180" s="41"/>
      <c r="Q180" s="41"/>
      <c r="R180" s="41"/>
      <c r="S180" s="41"/>
      <c r="T180" s="41"/>
      <c r="U180" s="41"/>
      <c r="V180" s="41"/>
      <c r="W180" s="41"/>
      <c r="X180" s="41"/>
      <c r="Y180" s="166"/>
      <c r="Z180" s="166"/>
      <c r="AA180" s="41"/>
      <c r="AB180" s="41"/>
      <c r="AC180" s="41"/>
      <c r="AD180" s="41"/>
      <c r="AE180" s="41"/>
      <c r="AF180" s="41"/>
      <c r="AG180" s="41"/>
      <c r="AH180" s="41"/>
      <c r="AI180" s="41"/>
    </row>
    <row r="181" spans="1:35" ht="15.75" customHeight="1" x14ac:dyDescent="0.2">
      <c r="A181" s="166"/>
      <c r="B181" s="218"/>
      <c r="C181" s="218"/>
      <c r="D181" s="41"/>
      <c r="E181" s="41"/>
      <c r="F181" s="41"/>
      <c r="G181" s="41"/>
      <c r="H181" s="41"/>
      <c r="I181" s="41"/>
      <c r="J181" s="166"/>
      <c r="K181" s="41"/>
      <c r="L181" s="41"/>
      <c r="M181" s="41"/>
      <c r="N181" s="166"/>
      <c r="O181" s="166"/>
      <c r="P181" s="41"/>
      <c r="Q181" s="41"/>
      <c r="R181" s="41"/>
      <c r="S181" s="41"/>
      <c r="T181" s="41"/>
      <c r="U181" s="41"/>
      <c r="V181" s="41"/>
      <c r="W181" s="41"/>
      <c r="X181" s="41"/>
      <c r="Y181" s="166"/>
      <c r="Z181" s="166"/>
      <c r="AA181" s="41"/>
      <c r="AB181" s="41"/>
      <c r="AC181" s="41"/>
      <c r="AD181" s="41"/>
      <c r="AE181" s="41"/>
      <c r="AF181" s="41"/>
      <c r="AG181" s="41"/>
      <c r="AH181" s="41"/>
      <c r="AI181" s="41"/>
    </row>
    <row r="182" spans="1:35" ht="15.75" customHeight="1" x14ac:dyDescent="0.2">
      <c r="A182" s="166"/>
      <c r="B182" s="218"/>
      <c r="C182" s="218"/>
      <c r="D182" s="41"/>
      <c r="E182" s="41"/>
      <c r="F182" s="41"/>
      <c r="G182" s="41"/>
      <c r="H182" s="41"/>
      <c r="I182" s="41"/>
      <c r="J182" s="166"/>
      <c r="K182" s="41"/>
      <c r="L182" s="41"/>
      <c r="M182" s="41"/>
      <c r="N182" s="166"/>
      <c r="O182" s="166"/>
      <c r="P182" s="41"/>
      <c r="Q182" s="41"/>
      <c r="R182" s="41"/>
      <c r="S182" s="41"/>
      <c r="T182" s="41"/>
      <c r="U182" s="41"/>
      <c r="V182" s="41"/>
      <c r="W182" s="41"/>
      <c r="X182" s="41"/>
      <c r="Y182" s="166"/>
      <c r="Z182" s="166"/>
      <c r="AA182" s="41"/>
      <c r="AB182" s="41"/>
      <c r="AC182" s="41"/>
      <c r="AD182" s="41"/>
      <c r="AE182" s="41"/>
      <c r="AF182" s="41"/>
      <c r="AG182" s="41"/>
      <c r="AH182" s="41"/>
      <c r="AI182" s="41"/>
    </row>
    <row r="183" spans="1:35" ht="15.75" customHeight="1" x14ac:dyDescent="0.2">
      <c r="A183" s="166"/>
      <c r="B183" s="218"/>
      <c r="C183" s="218"/>
      <c r="D183" s="41"/>
      <c r="E183" s="41"/>
      <c r="F183" s="41"/>
      <c r="G183" s="41"/>
      <c r="H183" s="41"/>
      <c r="I183" s="41"/>
      <c r="J183" s="166"/>
      <c r="K183" s="41"/>
      <c r="L183" s="41"/>
      <c r="M183" s="41"/>
      <c r="N183" s="166"/>
      <c r="O183" s="166"/>
      <c r="P183" s="41"/>
      <c r="Q183" s="41"/>
      <c r="R183" s="41"/>
      <c r="S183" s="41"/>
      <c r="T183" s="41"/>
      <c r="U183" s="41"/>
      <c r="V183" s="41"/>
      <c r="W183" s="41"/>
      <c r="X183" s="41"/>
      <c r="Y183" s="166"/>
      <c r="Z183" s="166"/>
      <c r="AA183" s="41"/>
      <c r="AB183" s="41"/>
      <c r="AC183" s="41"/>
      <c r="AD183" s="41"/>
      <c r="AE183" s="41"/>
      <c r="AF183" s="41"/>
      <c r="AG183" s="41"/>
      <c r="AH183" s="41"/>
      <c r="AI183" s="41"/>
    </row>
    <row r="184" spans="1:35" ht="15.75" customHeight="1" x14ac:dyDescent="0.2">
      <c r="A184" s="166"/>
      <c r="B184" s="218"/>
      <c r="C184" s="218"/>
      <c r="D184" s="41"/>
      <c r="E184" s="41"/>
      <c r="F184" s="41"/>
      <c r="G184" s="41"/>
      <c r="H184" s="41"/>
      <c r="I184" s="41"/>
      <c r="J184" s="166"/>
      <c r="K184" s="41"/>
      <c r="L184" s="41"/>
      <c r="M184" s="41"/>
      <c r="N184" s="166"/>
      <c r="O184" s="166"/>
      <c r="P184" s="41"/>
      <c r="Q184" s="41"/>
      <c r="R184" s="41"/>
      <c r="S184" s="41"/>
      <c r="T184" s="41"/>
      <c r="U184" s="41"/>
      <c r="V184" s="41"/>
      <c r="W184" s="41"/>
      <c r="X184" s="41"/>
      <c r="Y184" s="166"/>
      <c r="Z184" s="166"/>
      <c r="AA184" s="41"/>
      <c r="AB184" s="41"/>
      <c r="AC184" s="41"/>
      <c r="AD184" s="41"/>
      <c r="AE184" s="41"/>
      <c r="AF184" s="41"/>
      <c r="AG184" s="41"/>
      <c r="AH184" s="41"/>
      <c r="AI184" s="41"/>
    </row>
    <row r="185" spans="1:35" ht="15.75" customHeight="1" x14ac:dyDescent="0.2">
      <c r="A185" s="166"/>
      <c r="B185" s="218"/>
      <c r="C185" s="218"/>
      <c r="D185" s="41"/>
      <c r="E185" s="41"/>
      <c r="F185" s="41"/>
      <c r="G185" s="41"/>
      <c r="H185" s="41"/>
      <c r="I185" s="41"/>
      <c r="J185" s="166"/>
      <c r="K185" s="41"/>
      <c r="L185" s="41"/>
      <c r="M185" s="41"/>
      <c r="N185" s="166"/>
      <c r="O185" s="166"/>
      <c r="P185" s="41"/>
      <c r="Q185" s="41"/>
      <c r="R185" s="41"/>
      <c r="S185" s="41"/>
      <c r="T185" s="41"/>
      <c r="U185" s="41"/>
      <c r="V185" s="41"/>
      <c r="W185" s="41"/>
      <c r="X185" s="41"/>
      <c r="Y185" s="166"/>
      <c r="Z185" s="166"/>
      <c r="AA185" s="41"/>
      <c r="AB185" s="41"/>
      <c r="AC185" s="41"/>
      <c r="AD185" s="41"/>
      <c r="AE185" s="41"/>
      <c r="AF185" s="41"/>
      <c r="AG185" s="41"/>
      <c r="AH185" s="41"/>
      <c r="AI185" s="41"/>
    </row>
    <row r="186" spans="1:35" ht="15.75" customHeight="1" x14ac:dyDescent="0.2">
      <c r="A186" s="166"/>
      <c r="B186" s="218"/>
      <c r="C186" s="218"/>
      <c r="D186" s="41"/>
      <c r="E186" s="41"/>
      <c r="F186" s="41"/>
      <c r="G186" s="41"/>
      <c r="H186" s="41"/>
      <c r="I186" s="41"/>
      <c r="J186" s="166"/>
      <c r="K186" s="41"/>
      <c r="L186" s="41"/>
      <c r="M186" s="41"/>
      <c r="N186" s="166"/>
      <c r="O186" s="166"/>
      <c r="P186" s="41"/>
      <c r="Q186" s="41"/>
      <c r="R186" s="41"/>
      <c r="S186" s="41"/>
      <c r="T186" s="41"/>
      <c r="U186" s="41"/>
      <c r="V186" s="41"/>
      <c r="W186" s="41"/>
      <c r="X186" s="41"/>
      <c r="Y186" s="166"/>
      <c r="Z186" s="166"/>
      <c r="AA186" s="41"/>
      <c r="AB186" s="41"/>
      <c r="AC186" s="41"/>
      <c r="AD186" s="41"/>
      <c r="AE186" s="41"/>
      <c r="AF186" s="41"/>
      <c r="AG186" s="41"/>
      <c r="AH186" s="41"/>
      <c r="AI186" s="41"/>
    </row>
    <row r="187" spans="1:35" ht="15.75" customHeight="1" x14ac:dyDescent="0.2">
      <c r="A187" s="166"/>
      <c r="B187" s="218"/>
      <c r="C187" s="218"/>
      <c r="D187" s="41"/>
      <c r="E187" s="41"/>
      <c r="F187" s="41"/>
      <c r="G187" s="41"/>
      <c r="H187" s="41"/>
      <c r="I187" s="41"/>
      <c r="J187" s="166"/>
      <c r="K187" s="41"/>
      <c r="L187" s="41"/>
      <c r="M187" s="41"/>
      <c r="N187" s="166"/>
      <c r="O187" s="166"/>
      <c r="P187" s="41"/>
      <c r="Q187" s="41"/>
      <c r="R187" s="41"/>
      <c r="S187" s="41"/>
      <c r="T187" s="41"/>
      <c r="U187" s="41"/>
      <c r="V187" s="41"/>
      <c r="W187" s="41"/>
      <c r="X187" s="41"/>
      <c r="Y187" s="166"/>
      <c r="Z187" s="166"/>
      <c r="AA187" s="41"/>
      <c r="AB187" s="41"/>
      <c r="AC187" s="41"/>
      <c r="AD187" s="41"/>
      <c r="AE187" s="41"/>
      <c r="AF187" s="41"/>
      <c r="AG187" s="41"/>
      <c r="AH187" s="41"/>
      <c r="AI187" s="41"/>
    </row>
    <row r="188" spans="1:35" ht="15.75" customHeight="1" x14ac:dyDescent="0.2">
      <c r="A188" s="166"/>
      <c r="B188" s="218"/>
      <c r="C188" s="218"/>
      <c r="D188" s="41"/>
      <c r="E188" s="41"/>
      <c r="F188" s="41"/>
      <c r="G188" s="41"/>
      <c r="H188" s="41"/>
      <c r="I188" s="41"/>
      <c r="J188" s="166"/>
      <c r="K188" s="41"/>
      <c r="L188" s="41"/>
      <c r="M188" s="41"/>
      <c r="N188" s="166"/>
      <c r="O188" s="166"/>
      <c r="P188" s="41"/>
      <c r="Q188" s="41"/>
      <c r="R188" s="41"/>
      <c r="S188" s="41"/>
      <c r="T188" s="41"/>
      <c r="U188" s="41"/>
      <c r="V188" s="41"/>
      <c r="W188" s="41"/>
      <c r="X188" s="41"/>
      <c r="Y188" s="166"/>
      <c r="Z188" s="166"/>
      <c r="AA188" s="41"/>
      <c r="AB188" s="41"/>
      <c r="AC188" s="41"/>
      <c r="AD188" s="41"/>
      <c r="AE188" s="41"/>
      <c r="AF188" s="41"/>
      <c r="AG188" s="41"/>
      <c r="AH188" s="41"/>
      <c r="AI188" s="41"/>
    </row>
    <row r="189" spans="1:35" ht="15.75" customHeight="1" x14ac:dyDescent="0.2">
      <c r="A189" s="166"/>
      <c r="B189" s="218"/>
      <c r="C189" s="218"/>
      <c r="D189" s="41"/>
      <c r="E189" s="41"/>
      <c r="F189" s="41"/>
      <c r="G189" s="41"/>
      <c r="H189" s="41"/>
      <c r="I189" s="41"/>
      <c r="J189" s="166"/>
      <c r="K189" s="41"/>
      <c r="L189" s="41"/>
      <c r="M189" s="41"/>
      <c r="N189" s="166"/>
      <c r="O189" s="166"/>
      <c r="P189" s="41"/>
      <c r="Q189" s="41"/>
      <c r="R189" s="41"/>
      <c r="S189" s="41"/>
      <c r="T189" s="41"/>
      <c r="U189" s="41"/>
      <c r="V189" s="41"/>
      <c r="W189" s="41"/>
      <c r="X189" s="41"/>
      <c r="Y189" s="166"/>
      <c r="Z189" s="166"/>
      <c r="AA189" s="41"/>
      <c r="AB189" s="41"/>
      <c r="AC189" s="41"/>
      <c r="AD189" s="41"/>
      <c r="AE189" s="41"/>
      <c r="AF189" s="41"/>
      <c r="AG189" s="41"/>
      <c r="AH189" s="41"/>
      <c r="AI189" s="41"/>
    </row>
    <row r="190" spans="1:35" ht="15.75" customHeight="1" x14ac:dyDescent="0.2">
      <c r="A190" s="166"/>
      <c r="B190" s="218"/>
      <c r="C190" s="218"/>
      <c r="D190" s="41"/>
      <c r="E190" s="41"/>
      <c r="F190" s="41"/>
      <c r="G190" s="41"/>
      <c r="H190" s="41"/>
      <c r="I190" s="41"/>
      <c r="J190" s="166"/>
      <c r="K190" s="41"/>
      <c r="L190" s="41"/>
      <c r="M190" s="41"/>
      <c r="N190" s="166"/>
      <c r="O190" s="166"/>
      <c r="P190" s="41"/>
      <c r="Q190" s="41"/>
      <c r="R190" s="41"/>
      <c r="S190" s="41"/>
      <c r="T190" s="41"/>
      <c r="U190" s="41"/>
      <c r="V190" s="41"/>
      <c r="W190" s="41"/>
      <c r="X190" s="41"/>
      <c r="Y190" s="166"/>
      <c r="Z190" s="166"/>
      <c r="AA190" s="41"/>
      <c r="AB190" s="41"/>
      <c r="AC190" s="41"/>
      <c r="AD190" s="41"/>
      <c r="AE190" s="41"/>
      <c r="AF190" s="41"/>
      <c r="AG190" s="41"/>
      <c r="AH190" s="41"/>
      <c r="AI190" s="41"/>
    </row>
    <row r="191" spans="1:35" ht="15.75" customHeight="1" x14ac:dyDescent="0.2">
      <c r="A191" s="166"/>
      <c r="B191" s="218"/>
      <c r="C191" s="218"/>
      <c r="D191" s="41"/>
      <c r="E191" s="41"/>
      <c r="F191" s="41"/>
      <c r="G191" s="41"/>
      <c r="H191" s="41"/>
      <c r="I191" s="41"/>
      <c r="J191" s="166"/>
      <c r="K191" s="41"/>
      <c r="L191" s="41"/>
      <c r="M191" s="41"/>
      <c r="N191" s="166"/>
      <c r="O191" s="166"/>
      <c r="P191" s="41"/>
      <c r="Q191" s="41"/>
      <c r="R191" s="41"/>
      <c r="S191" s="41"/>
      <c r="T191" s="41"/>
      <c r="U191" s="41"/>
      <c r="V191" s="41"/>
      <c r="W191" s="41"/>
      <c r="X191" s="41"/>
      <c r="Y191" s="166"/>
      <c r="Z191" s="166"/>
      <c r="AA191" s="41"/>
      <c r="AB191" s="41"/>
      <c r="AC191" s="41"/>
      <c r="AD191" s="41"/>
      <c r="AE191" s="41"/>
      <c r="AF191" s="41"/>
      <c r="AG191" s="41"/>
      <c r="AH191" s="41"/>
      <c r="AI191" s="41"/>
    </row>
    <row r="192" spans="1:35" ht="15.75" customHeight="1" x14ac:dyDescent="0.2">
      <c r="A192" s="166"/>
      <c r="B192" s="218"/>
      <c r="C192" s="218"/>
      <c r="D192" s="41"/>
      <c r="E192" s="41"/>
      <c r="F192" s="41"/>
      <c r="G192" s="41"/>
      <c r="H192" s="41"/>
      <c r="I192" s="41"/>
      <c r="J192" s="166"/>
      <c r="K192" s="41"/>
      <c r="L192" s="41"/>
      <c r="M192" s="41"/>
      <c r="N192" s="166"/>
      <c r="O192" s="166"/>
      <c r="P192" s="41"/>
      <c r="Q192" s="41"/>
      <c r="R192" s="41"/>
      <c r="S192" s="41"/>
      <c r="T192" s="41"/>
      <c r="U192" s="41"/>
      <c r="V192" s="41"/>
      <c r="W192" s="41"/>
      <c r="X192" s="41"/>
      <c r="Y192" s="166"/>
      <c r="Z192" s="166"/>
      <c r="AA192" s="41"/>
      <c r="AB192" s="41"/>
      <c r="AC192" s="41"/>
      <c r="AD192" s="41"/>
      <c r="AE192" s="41"/>
      <c r="AF192" s="41"/>
      <c r="AG192" s="41"/>
      <c r="AH192" s="41"/>
      <c r="AI192" s="41"/>
    </row>
    <row r="193" spans="1:35" ht="15.75" customHeight="1" x14ac:dyDescent="0.2">
      <c r="A193" s="166"/>
      <c r="B193" s="218"/>
      <c r="C193" s="218"/>
      <c r="D193" s="41"/>
      <c r="E193" s="41"/>
      <c r="F193" s="41"/>
      <c r="G193" s="41"/>
      <c r="H193" s="41"/>
      <c r="I193" s="41"/>
      <c r="J193" s="166"/>
      <c r="K193" s="41"/>
      <c r="L193" s="41"/>
      <c r="M193" s="41"/>
      <c r="N193" s="166"/>
      <c r="O193" s="166"/>
      <c r="P193" s="41"/>
      <c r="Q193" s="41"/>
      <c r="R193" s="41"/>
      <c r="S193" s="41"/>
      <c r="T193" s="41"/>
      <c r="U193" s="41"/>
      <c r="V193" s="41"/>
      <c r="W193" s="41"/>
      <c r="X193" s="41"/>
      <c r="Y193" s="166"/>
      <c r="Z193" s="166"/>
      <c r="AA193" s="41"/>
      <c r="AB193" s="41"/>
      <c r="AC193" s="41"/>
      <c r="AD193" s="41"/>
      <c r="AE193" s="41"/>
      <c r="AF193" s="41"/>
      <c r="AG193" s="41"/>
      <c r="AH193" s="41"/>
      <c r="AI193" s="41"/>
    </row>
    <row r="194" spans="1:35" ht="15.75" customHeight="1" x14ac:dyDescent="0.2">
      <c r="A194" s="166"/>
      <c r="B194" s="218"/>
      <c r="C194" s="218"/>
      <c r="D194" s="41"/>
      <c r="E194" s="41"/>
      <c r="F194" s="41"/>
      <c r="G194" s="41"/>
      <c r="H194" s="41"/>
      <c r="I194" s="41"/>
      <c r="J194" s="166"/>
      <c r="K194" s="41"/>
      <c r="L194" s="41"/>
      <c r="M194" s="41"/>
      <c r="N194" s="166"/>
      <c r="O194" s="166"/>
      <c r="P194" s="41"/>
      <c r="Q194" s="41"/>
      <c r="R194" s="41"/>
      <c r="S194" s="41"/>
      <c r="T194" s="41"/>
      <c r="U194" s="41"/>
      <c r="V194" s="41"/>
      <c r="W194" s="41"/>
      <c r="X194" s="41"/>
      <c r="Y194" s="166"/>
      <c r="Z194" s="166"/>
      <c r="AA194" s="41"/>
      <c r="AB194" s="41"/>
      <c r="AC194" s="41"/>
      <c r="AD194" s="41"/>
      <c r="AE194" s="41"/>
      <c r="AF194" s="41"/>
      <c r="AG194" s="41"/>
      <c r="AH194" s="41"/>
      <c r="AI194" s="41"/>
    </row>
    <row r="195" spans="1:35" ht="15.75" customHeight="1" x14ac:dyDescent="0.2">
      <c r="A195" s="166"/>
      <c r="B195" s="218"/>
      <c r="C195" s="218"/>
      <c r="D195" s="41"/>
      <c r="E195" s="41"/>
      <c r="F195" s="41"/>
      <c r="G195" s="41"/>
      <c r="H195" s="41"/>
      <c r="I195" s="41"/>
      <c r="J195" s="166"/>
      <c r="K195" s="41"/>
      <c r="L195" s="41"/>
      <c r="M195" s="41"/>
      <c r="N195" s="166"/>
      <c r="O195" s="166"/>
      <c r="P195" s="41"/>
      <c r="Q195" s="41"/>
      <c r="R195" s="41"/>
      <c r="S195" s="41"/>
      <c r="T195" s="41"/>
      <c r="U195" s="41"/>
      <c r="V195" s="41"/>
      <c r="W195" s="41"/>
      <c r="X195" s="41"/>
      <c r="Y195" s="166"/>
      <c r="Z195" s="166"/>
      <c r="AA195" s="41"/>
      <c r="AB195" s="41"/>
      <c r="AC195" s="41"/>
      <c r="AD195" s="41"/>
      <c r="AE195" s="41"/>
      <c r="AF195" s="41"/>
      <c r="AG195" s="41"/>
      <c r="AH195" s="41"/>
      <c r="AI195" s="41"/>
    </row>
    <row r="196" spans="1:35" ht="15.75" customHeight="1" x14ac:dyDescent="0.2">
      <c r="A196" s="166"/>
      <c r="B196" s="218"/>
      <c r="C196" s="218"/>
      <c r="D196" s="41"/>
      <c r="E196" s="41"/>
      <c r="F196" s="41"/>
      <c r="G196" s="41"/>
      <c r="H196" s="41"/>
      <c r="I196" s="41"/>
      <c r="J196" s="166"/>
      <c r="K196" s="41"/>
      <c r="L196" s="41"/>
      <c r="M196" s="41"/>
      <c r="N196" s="166"/>
      <c r="O196" s="166"/>
      <c r="P196" s="41"/>
      <c r="Q196" s="41"/>
      <c r="R196" s="41"/>
      <c r="S196" s="41"/>
      <c r="T196" s="41"/>
      <c r="U196" s="41"/>
      <c r="V196" s="41"/>
      <c r="W196" s="41"/>
      <c r="X196" s="41"/>
      <c r="Y196" s="166"/>
      <c r="Z196" s="166"/>
      <c r="AA196" s="41"/>
      <c r="AB196" s="41"/>
      <c r="AC196" s="41"/>
      <c r="AD196" s="41"/>
      <c r="AE196" s="41"/>
      <c r="AF196" s="41"/>
      <c r="AG196" s="41"/>
      <c r="AH196" s="41"/>
      <c r="AI196" s="41"/>
    </row>
    <row r="197" spans="1:35" ht="15.75" customHeight="1" x14ac:dyDescent="0.2">
      <c r="A197" s="166"/>
      <c r="B197" s="218"/>
      <c r="C197" s="218"/>
      <c r="D197" s="41"/>
      <c r="E197" s="41"/>
      <c r="F197" s="41"/>
      <c r="G197" s="41"/>
      <c r="H197" s="41"/>
      <c r="I197" s="41"/>
      <c r="J197" s="166"/>
      <c r="K197" s="41"/>
      <c r="L197" s="41"/>
      <c r="M197" s="41"/>
      <c r="N197" s="166"/>
      <c r="O197" s="166"/>
      <c r="P197" s="41"/>
      <c r="Q197" s="41"/>
      <c r="R197" s="41"/>
      <c r="S197" s="41"/>
      <c r="T197" s="41"/>
      <c r="U197" s="41"/>
      <c r="V197" s="41"/>
      <c r="W197" s="41"/>
      <c r="X197" s="41"/>
      <c r="Y197" s="166"/>
      <c r="Z197" s="166"/>
      <c r="AA197" s="41"/>
      <c r="AB197" s="41"/>
      <c r="AC197" s="41"/>
      <c r="AD197" s="41"/>
      <c r="AE197" s="41"/>
      <c r="AF197" s="41"/>
      <c r="AG197" s="41"/>
      <c r="AH197" s="41"/>
      <c r="AI197" s="41"/>
    </row>
    <row r="198" spans="1:35" ht="15.75" customHeight="1" x14ac:dyDescent="0.2">
      <c r="A198" s="166"/>
      <c r="B198" s="218"/>
      <c r="C198" s="218"/>
      <c r="D198" s="41"/>
      <c r="E198" s="41"/>
      <c r="F198" s="41"/>
      <c r="G198" s="41"/>
      <c r="H198" s="41"/>
      <c r="I198" s="41"/>
      <c r="J198" s="166"/>
      <c r="K198" s="41"/>
      <c r="L198" s="41"/>
      <c r="M198" s="41"/>
      <c r="N198" s="166"/>
      <c r="O198" s="166"/>
      <c r="P198" s="41"/>
      <c r="Q198" s="41"/>
      <c r="R198" s="41"/>
      <c r="S198" s="41"/>
      <c r="T198" s="41"/>
      <c r="U198" s="41"/>
      <c r="V198" s="41"/>
      <c r="W198" s="41"/>
      <c r="X198" s="41"/>
      <c r="Y198" s="166"/>
      <c r="Z198" s="166"/>
      <c r="AA198" s="41"/>
      <c r="AB198" s="41"/>
      <c r="AC198" s="41"/>
      <c r="AD198" s="41"/>
      <c r="AE198" s="41"/>
      <c r="AF198" s="41"/>
      <c r="AG198" s="41"/>
      <c r="AH198" s="41"/>
      <c r="AI198" s="41"/>
    </row>
    <row r="199" spans="1:35" ht="15.75" customHeight="1" x14ac:dyDescent="0.2">
      <c r="A199" s="166"/>
      <c r="B199" s="218"/>
      <c r="C199" s="218"/>
      <c r="D199" s="41"/>
      <c r="E199" s="41"/>
      <c r="F199" s="41"/>
      <c r="G199" s="41"/>
      <c r="H199" s="41"/>
      <c r="I199" s="41"/>
      <c r="J199" s="166"/>
      <c r="K199" s="41"/>
      <c r="L199" s="41"/>
      <c r="M199" s="41"/>
      <c r="N199" s="166"/>
      <c r="O199" s="166"/>
      <c r="P199" s="41"/>
      <c r="Q199" s="41"/>
      <c r="R199" s="41"/>
      <c r="S199" s="41"/>
      <c r="T199" s="41"/>
      <c r="U199" s="41"/>
      <c r="V199" s="41"/>
      <c r="W199" s="41"/>
      <c r="X199" s="41"/>
      <c r="Y199" s="166"/>
      <c r="Z199" s="166"/>
      <c r="AA199" s="41"/>
      <c r="AB199" s="41"/>
      <c r="AC199" s="41"/>
      <c r="AD199" s="41"/>
      <c r="AE199" s="41"/>
      <c r="AF199" s="41"/>
      <c r="AG199" s="41"/>
      <c r="AH199" s="41"/>
      <c r="AI199" s="41"/>
    </row>
    <row r="200" spans="1:35" ht="15.75" customHeight="1" x14ac:dyDescent="0.2">
      <c r="A200" s="166"/>
      <c r="B200" s="218"/>
      <c r="C200" s="218"/>
      <c r="D200" s="41"/>
      <c r="E200" s="41"/>
      <c r="F200" s="41"/>
      <c r="G200" s="41"/>
      <c r="H200" s="41"/>
      <c r="I200" s="41"/>
      <c r="J200" s="166"/>
      <c r="K200" s="41"/>
      <c r="L200" s="41"/>
      <c r="M200" s="41"/>
      <c r="N200" s="166"/>
      <c r="O200" s="166"/>
      <c r="P200" s="41"/>
      <c r="Q200" s="41"/>
      <c r="R200" s="41"/>
      <c r="S200" s="41"/>
      <c r="T200" s="41"/>
      <c r="U200" s="41"/>
      <c r="V200" s="41"/>
      <c r="W200" s="41"/>
      <c r="X200" s="41"/>
      <c r="Y200" s="166"/>
      <c r="Z200" s="166"/>
      <c r="AA200" s="41"/>
      <c r="AB200" s="41"/>
      <c r="AC200" s="41"/>
      <c r="AD200" s="41"/>
      <c r="AE200" s="41"/>
      <c r="AF200" s="41"/>
      <c r="AG200" s="41"/>
      <c r="AH200" s="41"/>
      <c r="AI200" s="41"/>
    </row>
    <row r="201" spans="1:35" ht="15.75" customHeight="1" x14ac:dyDescent="0.2">
      <c r="A201" s="166"/>
      <c r="B201" s="218"/>
      <c r="C201" s="218"/>
      <c r="D201" s="41"/>
      <c r="E201" s="41"/>
      <c r="F201" s="41"/>
      <c r="G201" s="41"/>
      <c r="H201" s="41"/>
      <c r="I201" s="41"/>
      <c r="J201" s="166"/>
      <c r="K201" s="41"/>
      <c r="L201" s="41"/>
      <c r="M201" s="41"/>
      <c r="N201" s="166"/>
      <c r="O201" s="166"/>
      <c r="P201" s="41"/>
      <c r="Q201" s="41"/>
      <c r="R201" s="41"/>
      <c r="S201" s="41"/>
      <c r="T201" s="41"/>
      <c r="U201" s="41"/>
      <c r="V201" s="41"/>
      <c r="W201" s="41"/>
      <c r="X201" s="41"/>
      <c r="Y201" s="166"/>
      <c r="Z201" s="166"/>
      <c r="AA201" s="41"/>
      <c r="AB201" s="41"/>
      <c r="AC201" s="41"/>
      <c r="AD201" s="41"/>
      <c r="AE201" s="41"/>
      <c r="AF201" s="41"/>
      <c r="AG201" s="41"/>
      <c r="AH201" s="41"/>
      <c r="AI201" s="41"/>
    </row>
    <row r="202" spans="1:35" ht="15.75" customHeight="1" x14ac:dyDescent="0.2">
      <c r="A202" s="166"/>
      <c r="B202" s="218"/>
      <c r="C202" s="218"/>
      <c r="D202" s="41"/>
      <c r="E202" s="41"/>
      <c r="F202" s="41"/>
      <c r="G202" s="41"/>
      <c r="H202" s="41"/>
      <c r="I202" s="41"/>
      <c r="J202" s="166"/>
      <c r="K202" s="41"/>
      <c r="L202" s="41"/>
      <c r="M202" s="41"/>
      <c r="N202" s="166"/>
      <c r="O202" s="166"/>
      <c r="P202" s="41"/>
      <c r="Q202" s="41"/>
      <c r="R202" s="41"/>
      <c r="S202" s="41"/>
      <c r="T202" s="41"/>
      <c r="U202" s="41"/>
      <c r="V202" s="41"/>
      <c r="W202" s="41"/>
      <c r="X202" s="41"/>
      <c r="Y202" s="166"/>
      <c r="Z202" s="166"/>
      <c r="AA202" s="41"/>
      <c r="AB202" s="41"/>
      <c r="AC202" s="41"/>
      <c r="AD202" s="41"/>
      <c r="AE202" s="41"/>
      <c r="AF202" s="41"/>
      <c r="AG202" s="41"/>
      <c r="AH202" s="41"/>
      <c r="AI202" s="41"/>
    </row>
    <row r="203" spans="1:35" ht="15.75" customHeight="1" x14ac:dyDescent="0.2">
      <c r="A203" s="166"/>
      <c r="B203" s="218"/>
      <c r="C203" s="218"/>
      <c r="D203" s="41"/>
      <c r="E203" s="41"/>
      <c r="F203" s="41"/>
      <c r="G203" s="41"/>
      <c r="H203" s="41"/>
      <c r="I203" s="41"/>
      <c r="J203" s="166"/>
      <c r="K203" s="41"/>
      <c r="L203" s="41"/>
      <c r="M203" s="41"/>
      <c r="N203" s="166"/>
      <c r="O203" s="166"/>
      <c r="P203" s="41"/>
      <c r="Q203" s="41"/>
      <c r="R203" s="41"/>
      <c r="S203" s="41"/>
      <c r="T203" s="41"/>
      <c r="U203" s="41"/>
      <c r="V203" s="41"/>
      <c r="W203" s="41"/>
      <c r="X203" s="41"/>
      <c r="Y203" s="166"/>
      <c r="Z203" s="166"/>
      <c r="AA203" s="41"/>
      <c r="AB203" s="41"/>
      <c r="AC203" s="41"/>
      <c r="AD203" s="41"/>
      <c r="AE203" s="41"/>
      <c r="AF203" s="41"/>
      <c r="AG203" s="41"/>
      <c r="AH203" s="41"/>
      <c r="AI203" s="41"/>
    </row>
    <row r="204" spans="1:35" ht="15.75" customHeight="1" x14ac:dyDescent="0.2">
      <c r="A204" s="166"/>
      <c r="B204" s="218"/>
      <c r="C204" s="218"/>
      <c r="D204" s="41"/>
      <c r="E204" s="41"/>
      <c r="F204" s="41"/>
      <c r="G204" s="41"/>
      <c r="H204" s="41"/>
      <c r="I204" s="41"/>
      <c r="J204" s="166"/>
      <c r="K204" s="41"/>
      <c r="L204" s="41"/>
      <c r="M204" s="41"/>
      <c r="N204" s="166"/>
      <c r="O204" s="166"/>
      <c r="P204" s="41"/>
      <c r="Q204" s="41"/>
      <c r="R204" s="41"/>
      <c r="S204" s="41"/>
      <c r="T204" s="41"/>
      <c r="U204" s="41"/>
      <c r="V204" s="41"/>
      <c r="W204" s="41"/>
      <c r="X204" s="41"/>
      <c r="Y204" s="166"/>
      <c r="Z204" s="166"/>
      <c r="AA204" s="41"/>
      <c r="AB204" s="41"/>
      <c r="AC204" s="41"/>
      <c r="AD204" s="41"/>
      <c r="AE204" s="41"/>
      <c r="AF204" s="41"/>
      <c r="AG204" s="41"/>
      <c r="AH204" s="41"/>
      <c r="AI204" s="41"/>
    </row>
    <row r="205" spans="1:35" ht="15.75" customHeight="1" x14ac:dyDescent="0.2">
      <c r="A205" s="166"/>
      <c r="B205" s="218"/>
      <c r="C205" s="218"/>
      <c r="D205" s="41"/>
      <c r="E205" s="41"/>
      <c r="F205" s="41"/>
      <c r="G205" s="41"/>
      <c r="H205" s="41"/>
      <c r="I205" s="41"/>
      <c r="J205" s="166"/>
      <c r="K205" s="41"/>
      <c r="L205" s="41"/>
      <c r="M205" s="41"/>
      <c r="N205" s="166"/>
      <c r="O205" s="166"/>
      <c r="P205" s="41"/>
      <c r="Q205" s="41"/>
      <c r="R205" s="41"/>
      <c r="S205" s="41"/>
      <c r="T205" s="41"/>
      <c r="U205" s="41"/>
      <c r="V205" s="41"/>
      <c r="W205" s="41"/>
      <c r="X205" s="41"/>
      <c r="Y205" s="166"/>
      <c r="Z205" s="166"/>
      <c r="AA205" s="41"/>
      <c r="AB205" s="41"/>
      <c r="AC205" s="41"/>
      <c r="AD205" s="41"/>
      <c r="AE205" s="41"/>
      <c r="AF205" s="41"/>
      <c r="AG205" s="41"/>
      <c r="AH205" s="41"/>
      <c r="AI205" s="41"/>
    </row>
    <row r="206" spans="1:35" ht="15.75" customHeight="1" x14ac:dyDescent="0.2">
      <c r="A206" s="166"/>
      <c r="B206" s="218"/>
      <c r="C206" s="218"/>
      <c r="D206" s="41"/>
      <c r="E206" s="41"/>
      <c r="F206" s="41"/>
      <c r="G206" s="41"/>
      <c r="H206" s="41"/>
      <c r="I206" s="41"/>
      <c r="J206" s="166"/>
      <c r="K206" s="41"/>
      <c r="L206" s="41"/>
      <c r="M206" s="41"/>
      <c r="N206" s="166"/>
      <c r="O206" s="166"/>
      <c r="P206" s="41"/>
      <c r="Q206" s="41"/>
      <c r="R206" s="41"/>
      <c r="S206" s="41"/>
      <c r="T206" s="41"/>
      <c r="U206" s="41"/>
      <c r="V206" s="41"/>
      <c r="W206" s="41"/>
      <c r="X206" s="41"/>
      <c r="Y206" s="166"/>
      <c r="Z206" s="166"/>
      <c r="AA206" s="41"/>
      <c r="AB206" s="41"/>
      <c r="AC206" s="41"/>
      <c r="AD206" s="41"/>
      <c r="AE206" s="41"/>
      <c r="AF206" s="41"/>
      <c r="AG206" s="41"/>
      <c r="AH206" s="41"/>
      <c r="AI206" s="41"/>
    </row>
    <row r="207" spans="1:35" ht="15.75" customHeight="1" x14ac:dyDescent="0.2">
      <c r="A207" s="166"/>
      <c r="B207" s="218"/>
      <c r="C207" s="218"/>
      <c r="D207" s="41"/>
      <c r="E207" s="41"/>
      <c r="F207" s="41"/>
      <c r="G207" s="41"/>
      <c r="H207" s="41"/>
      <c r="I207" s="41"/>
      <c r="J207" s="166"/>
      <c r="K207" s="41"/>
      <c r="L207" s="41"/>
      <c r="M207" s="41"/>
      <c r="N207" s="166"/>
      <c r="O207" s="166"/>
      <c r="P207" s="41"/>
      <c r="Q207" s="41"/>
      <c r="R207" s="41"/>
      <c r="S207" s="41"/>
      <c r="T207" s="41"/>
      <c r="U207" s="41"/>
      <c r="V207" s="41"/>
      <c r="W207" s="41"/>
      <c r="X207" s="41"/>
      <c r="Y207" s="166"/>
      <c r="Z207" s="166"/>
      <c r="AA207" s="41"/>
      <c r="AB207" s="41"/>
      <c r="AC207" s="41"/>
      <c r="AD207" s="41"/>
      <c r="AE207" s="41"/>
      <c r="AF207" s="41"/>
      <c r="AG207" s="41"/>
      <c r="AH207" s="41"/>
      <c r="AI207" s="41"/>
    </row>
    <row r="208" spans="1:35" ht="15.75" customHeight="1" x14ac:dyDescent="0.2">
      <c r="A208" s="166"/>
      <c r="B208" s="218"/>
      <c r="C208" s="218"/>
      <c r="D208" s="41"/>
      <c r="E208" s="41"/>
      <c r="F208" s="41"/>
      <c r="G208" s="41"/>
      <c r="H208" s="41"/>
      <c r="I208" s="41"/>
      <c r="J208" s="166"/>
      <c r="K208" s="41"/>
      <c r="L208" s="41"/>
      <c r="M208" s="41"/>
      <c r="N208" s="166"/>
      <c r="O208" s="166"/>
      <c r="P208" s="41"/>
      <c r="Q208" s="41"/>
      <c r="R208" s="41"/>
      <c r="S208" s="41"/>
      <c r="T208" s="41"/>
      <c r="U208" s="41"/>
      <c r="V208" s="41"/>
      <c r="W208" s="41"/>
      <c r="X208" s="41"/>
      <c r="Y208" s="166"/>
      <c r="Z208" s="166"/>
      <c r="AA208" s="41"/>
      <c r="AB208" s="41"/>
      <c r="AC208" s="41"/>
      <c r="AD208" s="41"/>
      <c r="AE208" s="41"/>
      <c r="AF208" s="41"/>
      <c r="AG208" s="41"/>
      <c r="AH208" s="41"/>
      <c r="AI208" s="41"/>
    </row>
    <row r="209" spans="1:35" ht="15.75" customHeight="1" x14ac:dyDescent="0.2">
      <c r="A209" s="166"/>
      <c r="B209" s="218"/>
      <c r="C209" s="218"/>
      <c r="D209" s="41"/>
      <c r="E209" s="41"/>
      <c r="F209" s="41"/>
      <c r="G209" s="41"/>
      <c r="H209" s="41"/>
      <c r="I209" s="41"/>
      <c r="J209" s="166"/>
      <c r="K209" s="41"/>
      <c r="L209" s="41"/>
      <c r="M209" s="41"/>
      <c r="N209" s="166"/>
      <c r="O209" s="166"/>
      <c r="P209" s="41"/>
      <c r="Q209" s="41"/>
      <c r="R209" s="41"/>
      <c r="S209" s="41"/>
      <c r="T209" s="41"/>
      <c r="U209" s="41"/>
      <c r="V209" s="41"/>
      <c r="W209" s="41"/>
      <c r="X209" s="41"/>
      <c r="Y209" s="166"/>
      <c r="Z209" s="166"/>
      <c r="AA209" s="41"/>
      <c r="AB209" s="41"/>
      <c r="AC209" s="41"/>
      <c r="AD209" s="41"/>
      <c r="AE209" s="41"/>
      <c r="AF209" s="41"/>
      <c r="AG209" s="41"/>
      <c r="AH209" s="41"/>
      <c r="AI209" s="41"/>
    </row>
    <row r="210" spans="1:35" ht="15.75" customHeight="1" x14ac:dyDescent="0.2">
      <c r="A210" s="166"/>
      <c r="B210" s="218"/>
      <c r="C210" s="218"/>
      <c r="D210" s="41"/>
      <c r="E210" s="41"/>
      <c r="F210" s="41"/>
      <c r="G210" s="41"/>
      <c r="H210" s="41"/>
      <c r="I210" s="41"/>
      <c r="J210" s="166"/>
      <c r="K210" s="41"/>
      <c r="L210" s="41"/>
      <c r="M210" s="41"/>
      <c r="N210" s="166"/>
      <c r="O210" s="166"/>
      <c r="P210" s="41"/>
      <c r="Q210" s="41"/>
      <c r="R210" s="41"/>
      <c r="S210" s="41"/>
      <c r="T210" s="41"/>
      <c r="U210" s="41"/>
      <c r="V210" s="41"/>
      <c r="W210" s="41"/>
      <c r="X210" s="41"/>
      <c r="Y210" s="166"/>
      <c r="Z210" s="166"/>
      <c r="AA210" s="41"/>
      <c r="AB210" s="41"/>
      <c r="AC210" s="41"/>
      <c r="AD210" s="41"/>
      <c r="AE210" s="41"/>
      <c r="AF210" s="41"/>
      <c r="AG210" s="41"/>
      <c r="AH210" s="41"/>
      <c r="AI210" s="41"/>
    </row>
    <row r="211" spans="1:35" ht="15.75" customHeight="1" x14ac:dyDescent="0.2">
      <c r="A211" s="166"/>
      <c r="B211" s="218"/>
      <c r="C211" s="218"/>
      <c r="D211" s="41"/>
      <c r="E211" s="41"/>
      <c r="F211" s="41"/>
      <c r="G211" s="41"/>
      <c r="H211" s="41"/>
      <c r="I211" s="41"/>
      <c r="J211" s="166"/>
      <c r="K211" s="41"/>
      <c r="L211" s="41"/>
      <c r="M211" s="41"/>
      <c r="N211" s="166"/>
      <c r="O211" s="166"/>
      <c r="P211" s="41"/>
      <c r="Q211" s="41"/>
      <c r="R211" s="41"/>
      <c r="S211" s="41"/>
      <c r="T211" s="41"/>
      <c r="U211" s="41"/>
      <c r="V211" s="41"/>
      <c r="W211" s="41"/>
      <c r="X211" s="41"/>
      <c r="Y211" s="166"/>
      <c r="Z211" s="166"/>
      <c r="AA211" s="41"/>
      <c r="AB211" s="41"/>
      <c r="AC211" s="41"/>
      <c r="AD211" s="41"/>
      <c r="AE211" s="41"/>
      <c r="AF211" s="41"/>
      <c r="AG211" s="41"/>
      <c r="AH211" s="41"/>
      <c r="AI211" s="41"/>
    </row>
    <row r="212" spans="1:35" ht="15.75" customHeight="1" x14ac:dyDescent="0.2">
      <c r="A212" s="166"/>
      <c r="B212" s="218"/>
      <c r="C212" s="218"/>
      <c r="D212" s="41"/>
      <c r="E212" s="41"/>
      <c r="F212" s="41"/>
      <c r="G212" s="41"/>
      <c r="H212" s="41"/>
      <c r="I212" s="41"/>
      <c r="J212" s="166"/>
      <c r="K212" s="41"/>
      <c r="L212" s="41"/>
      <c r="M212" s="41"/>
      <c r="N212" s="166"/>
      <c r="O212" s="166"/>
      <c r="P212" s="41"/>
      <c r="Q212" s="41"/>
      <c r="R212" s="41"/>
      <c r="S212" s="41"/>
      <c r="T212" s="41"/>
      <c r="U212" s="41"/>
      <c r="V212" s="41"/>
      <c r="W212" s="41"/>
      <c r="X212" s="41"/>
      <c r="Y212" s="166"/>
      <c r="Z212" s="166"/>
      <c r="AA212" s="41"/>
      <c r="AB212" s="41"/>
      <c r="AC212" s="41"/>
      <c r="AD212" s="41"/>
      <c r="AE212" s="41"/>
      <c r="AF212" s="41"/>
      <c r="AG212" s="41"/>
      <c r="AH212" s="41"/>
      <c r="AI212" s="41"/>
    </row>
    <row r="213" spans="1:35" ht="15.75" customHeight="1" x14ac:dyDescent="0.2">
      <c r="A213" s="166"/>
      <c r="B213" s="218"/>
      <c r="C213" s="218"/>
      <c r="D213" s="41"/>
      <c r="E213" s="41"/>
      <c r="F213" s="41"/>
      <c r="G213" s="41"/>
      <c r="H213" s="41"/>
      <c r="I213" s="41"/>
      <c r="J213" s="166"/>
      <c r="K213" s="41"/>
      <c r="L213" s="41"/>
      <c r="M213" s="41"/>
      <c r="N213" s="166"/>
      <c r="O213" s="166"/>
      <c r="P213" s="41"/>
      <c r="Q213" s="41"/>
      <c r="R213" s="41"/>
      <c r="S213" s="41"/>
      <c r="T213" s="41"/>
      <c r="U213" s="41"/>
      <c r="V213" s="41"/>
      <c r="W213" s="41"/>
      <c r="X213" s="41"/>
      <c r="Y213" s="166"/>
      <c r="Z213" s="166"/>
      <c r="AA213" s="41"/>
      <c r="AB213" s="41"/>
      <c r="AC213" s="41"/>
      <c r="AD213" s="41"/>
      <c r="AE213" s="41"/>
      <c r="AF213" s="41"/>
      <c r="AG213" s="41"/>
      <c r="AH213" s="41"/>
      <c r="AI213" s="41"/>
    </row>
    <row r="214" spans="1:35" ht="15.75" customHeight="1" x14ac:dyDescent="0.2">
      <c r="A214" s="166"/>
      <c r="B214" s="218"/>
      <c r="C214" s="218"/>
      <c r="D214" s="41"/>
      <c r="E214" s="41"/>
      <c r="F214" s="41"/>
      <c r="G214" s="41"/>
      <c r="H214" s="41"/>
      <c r="I214" s="41"/>
      <c r="J214" s="166"/>
      <c r="K214" s="41"/>
      <c r="L214" s="41"/>
      <c r="M214" s="41"/>
      <c r="N214" s="166"/>
      <c r="O214" s="166"/>
      <c r="P214" s="41"/>
      <c r="Q214" s="41"/>
      <c r="R214" s="41"/>
      <c r="S214" s="41"/>
      <c r="T214" s="41"/>
      <c r="U214" s="41"/>
      <c r="V214" s="41"/>
      <c r="W214" s="41"/>
      <c r="X214" s="41"/>
      <c r="Y214" s="166"/>
      <c r="Z214" s="166"/>
      <c r="AA214" s="41"/>
      <c r="AB214" s="41"/>
      <c r="AC214" s="41"/>
      <c r="AD214" s="41"/>
      <c r="AE214" s="41"/>
      <c r="AF214" s="41"/>
      <c r="AG214" s="41"/>
      <c r="AH214" s="41"/>
      <c r="AI214" s="41"/>
    </row>
    <row r="215" spans="1:35" ht="15.75" customHeight="1" x14ac:dyDescent="0.2">
      <c r="A215" s="166"/>
      <c r="B215" s="218"/>
      <c r="C215" s="218"/>
      <c r="D215" s="41"/>
      <c r="E215" s="41"/>
      <c r="F215" s="41"/>
      <c r="G215" s="41"/>
      <c r="H215" s="41"/>
      <c r="I215" s="41"/>
      <c r="J215" s="166"/>
      <c r="K215" s="41"/>
      <c r="L215" s="41"/>
      <c r="M215" s="41"/>
      <c r="N215" s="166"/>
      <c r="O215" s="166"/>
      <c r="P215" s="41"/>
      <c r="Q215" s="41"/>
      <c r="R215" s="41"/>
      <c r="S215" s="41"/>
      <c r="T215" s="41"/>
      <c r="U215" s="41"/>
      <c r="V215" s="41"/>
      <c r="W215" s="41"/>
      <c r="X215" s="41"/>
      <c r="Y215" s="166"/>
      <c r="Z215" s="166"/>
      <c r="AA215" s="41"/>
      <c r="AB215" s="41"/>
      <c r="AC215" s="41"/>
      <c r="AD215" s="41"/>
      <c r="AE215" s="41"/>
      <c r="AF215" s="41"/>
      <c r="AG215" s="41"/>
      <c r="AH215" s="41"/>
      <c r="AI215" s="41"/>
    </row>
    <row r="216" spans="1:35" ht="15.75" customHeight="1" x14ac:dyDescent="0.2">
      <c r="A216" s="166"/>
      <c r="B216" s="218"/>
      <c r="C216" s="218"/>
      <c r="D216" s="41"/>
      <c r="E216" s="41"/>
      <c r="F216" s="41"/>
      <c r="G216" s="41"/>
      <c r="H216" s="41"/>
      <c r="I216" s="41"/>
      <c r="J216" s="166"/>
      <c r="K216" s="41"/>
      <c r="L216" s="41"/>
      <c r="M216" s="41"/>
      <c r="N216" s="166"/>
      <c r="O216" s="166"/>
      <c r="P216" s="41"/>
      <c r="Q216" s="41"/>
      <c r="R216" s="41"/>
      <c r="S216" s="41"/>
      <c r="T216" s="41"/>
      <c r="U216" s="41"/>
      <c r="V216" s="41"/>
      <c r="W216" s="41"/>
      <c r="X216" s="41"/>
      <c r="Y216" s="166"/>
      <c r="Z216" s="166"/>
      <c r="AA216" s="41"/>
      <c r="AB216" s="41"/>
      <c r="AC216" s="41"/>
      <c r="AD216" s="41"/>
      <c r="AE216" s="41"/>
      <c r="AF216" s="41"/>
      <c r="AG216" s="41"/>
      <c r="AH216" s="41"/>
      <c r="AI216" s="41"/>
    </row>
    <row r="217" spans="1:35" ht="15.75" customHeight="1" x14ac:dyDescent="0.2">
      <c r="A217" s="166"/>
      <c r="B217" s="218"/>
      <c r="C217" s="218"/>
      <c r="D217" s="41"/>
      <c r="E217" s="41"/>
      <c r="F217" s="41"/>
      <c r="G217" s="41"/>
      <c r="H217" s="41"/>
      <c r="I217" s="41"/>
      <c r="J217" s="166"/>
      <c r="K217" s="41"/>
      <c r="L217" s="41"/>
      <c r="M217" s="41"/>
      <c r="N217" s="166"/>
      <c r="O217" s="166"/>
      <c r="P217" s="41"/>
      <c r="Q217" s="41"/>
      <c r="R217" s="41"/>
      <c r="S217" s="41"/>
      <c r="T217" s="41"/>
      <c r="U217" s="41"/>
      <c r="V217" s="41"/>
      <c r="W217" s="41"/>
      <c r="X217" s="41"/>
      <c r="Y217" s="166"/>
      <c r="Z217" s="166"/>
      <c r="AA217" s="41"/>
      <c r="AB217" s="41"/>
      <c r="AC217" s="41"/>
      <c r="AD217" s="41"/>
      <c r="AE217" s="41"/>
      <c r="AF217" s="41"/>
      <c r="AG217" s="41"/>
      <c r="AH217" s="41"/>
      <c r="AI217" s="41"/>
    </row>
    <row r="218" spans="1:35" ht="15.75" customHeight="1" x14ac:dyDescent="0.2">
      <c r="A218" s="166"/>
      <c r="B218" s="218"/>
      <c r="C218" s="218"/>
      <c r="D218" s="41"/>
      <c r="E218" s="41"/>
      <c r="F218" s="41"/>
      <c r="G218" s="41"/>
      <c r="H218" s="41"/>
      <c r="I218" s="41"/>
      <c r="J218" s="166"/>
      <c r="K218" s="41"/>
      <c r="L218" s="41"/>
      <c r="M218" s="41"/>
      <c r="N218" s="166"/>
      <c r="O218" s="166"/>
      <c r="P218" s="41"/>
      <c r="Q218" s="41"/>
      <c r="R218" s="41"/>
      <c r="S218" s="41"/>
      <c r="T218" s="41"/>
      <c r="U218" s="41"/>
      <c r="V218" s="41"/>
      <c r="W218" s="41"/>
      <c r="X218" s="41"/>
      <c r="Y218" s="166"/>
      <c r="Z218" s="166"/>
      <c r="AA218" s="41"/>
      <c r="AB218" s="41"/>
      <c r="AC218" s="41"/>
      <c r="AD218" s="41"/>
      <c r="AE218" s="41"/>
      <c r="AF218" s="41"/>
      <c r="AG218" s="41"/>
      <c r="AH218" s="41"/>
      <c r="AI218" s="41"/>
    </row>
    <row r="219" spans="1:35" ht="15.75" customHeight="1" x14ac:dyDescent="0.2">
      <c r="A219" s="166"/>
      <c r="B219" s="218"/>
      <c r="C219" s="218"/>
      <c r="D219" s="41"/>
      <c r="E219" s="41"/>
      <c r="F219" s="41"/>
      <c r="G219" s="41"/>
      <c r="H219" s="41"/>
      <c r="I219" s="41"/>
      <c r="J219" s="166"/>
      <c r="K219" s="41"/>
      <c r="L219" s="41"/>
      <c r="M219" s="41"/>
      <c r="N219" s="166"/>
      <c r="O219" s="166"/>
      <c r="P219" s="41"/>
      <c r="Q219" s="41"/>
      <c r="R219" s="41"/>
      <c r="S219" s="41"/>
      <c r="T219" s="41"/>
      <c r="U219" s="41"/>
      <c r="V219" s="41"/>
      <c r="W219" s="41"/>
      <c r="X219" s="41"/>
      <c r="Y219" s="166"/>
      <c r="Z219" s="166"/>
      <c r="AA219" s="41"/>
      <c r="AB219" s="41"/>
      <c r="AC219" s="41"/>
      <c r="AD219" s="41"/>
      <c r="AE219" s="41"/>
      <c r="AF219" s="41"/>
      <c r="AG219" s="41"/>
      <c r="AH219" s="41"/>
      <c r="AI219" s="41"/>
    </row>
    <row r="220" spans="1:35" ht="15.75" customHeight="1" x14ac:dyDescent="0.2">
      <c r="A220" s="166"/>
      <c r="B220" s="218"/>
      <c r="C220" s="218"/>
      <c r="D220" s="41"/>
      <c r="E220" s="41"/>
      <c r="F220" s="41"/>
      <c r="G220" s="41"/>
      <c r="H220" s="41"/>
      <c r="I220" s="41"/>
      <c r="J220" s="166"/>
      <c r="K220" s="41"/>
      <c r="L220" s="41"/>
      <c r="M220" s="41"/>
      <c r="N220" s="166"/>
      <c r="O220" s="166"/>
      <c r="P220" s="41"/>
      <c r="Q220" s="41"/>
      <c r="R220" s="41"/>
      <c r="S220" s="41"/>
      <c r="T220" s="41"/>
      <c r="U220" s="41"/>
      <c r="V220" s="41"/>
      <c r="W220" s="41"/>
      <c r="X220" s="41"/>
      <c r="Y220" s="166"/>
      <c r="Z220" s="166"/>
      <c r="AA220" s="41"/>
      <c r="AB220" s="41"/>
      <c r="AC220" s="41"/>
      <c r="AD220" s="41"/>
      <c r="AE220" s="41"/>
      <c r="AF220" s="41"/>
      <c r="AG220" s="41"/>
      <c r="AH220" s="41"/>
      <c r="AI220" s="41"/>
    </row>
    <row r="221" spans="1:35" ht="15.75" customHeight="1" x14ac:dyDescent="0.2">
      <c r="A221" s="166"/>
      <c r="B221" s="218"/>
      <c r="C221" s="218"/>
      <c r="D221" s="41"/>
      <c r="E221" s="41"/>
      <c r="F221" s="41"/>
      <c r="G221" s="41"/>
      <c r="H221" s="41"/>
      <c r="I221" s="41"/>
      <c r="J221" s="166"/>
      <c r="K221" s="41"/>
      <c r="L221" s="41"/>
      <c r="M221" s="41"/>
      <c r="N221" s="166"/>
      <c r="O221" s="166"/>
      <c r="P221" s="41"/>
      <c r="Q221" s="41"/>
      <c r="R221" s="41"/>
      <c r="S221" s="41"/>
      <c r="T221" s="41"/>
      <c r="U221" s="41"/>
      <c r="V221" s="41"/>
      <c r="W221" s="41"/>
      <c r="X221" s="41"/>
      <c r="Y221" s="166"/>
      <c r="Z221" s="166"/>
      <c r="AA221" s="41"/>
      <c r="AB221" s="41"/>
      <c r="AC221" s="41"/>
      <c r="AD221" s="41"/>
      <c r="AE221" s="41"/>
      <c r="AF221" s="41"/>
      <c r="AG221" s="41"/>
      <c r="AH221" s="41"/>
      <c r="AI221" s="41"/>
    </row>
    <row r="222" spans="1:35" ht="15.75" customHeight="1" x14ac:dyDescent="0.2">
      <c r="A222" s="166"/>
      <c r="B222" s="218"/>
      <c r="C222" s="218"/>
      <c r="D222" s="41"/>
      <c r="E222" s="41"/>
      <c r="F222" s="41"/>
      <c r="G222" s="41"/>
      <c r="H222" s="41"/>
      <c r="I222" s="41"/>
      <c r="J222" s="166"/>
      <c r="K222" s="41"/>
      <c r="L222" s="41"/>
      <c r="M222" s="41"/>
      <c r="N222" s="166"/>
      <c r="O222" s="166"/>
      <c r="P222" s="41"/>
      <c r="Q222" s="41"/>
      <c r="R222" s="41"/>
      <c r="S222" s="41"/>
      <c r="T222" s="41"/>
      <c r="U222" s="41"/>
      <c r="V222" s="41"/>
      <c r="W222" s="41"/>
      <c r="X222" s="41"/>
      <c r="Y222" s="166"/>
      <c r="Z222" s="166"/>
      <c r="AA222" s="41"/>
      <c r="AB222" s="41"/>
      <c r="AC222" s="41"/>
      <c r="AD222" s="41"/>
      <c r="AE222" s="41"/>
      <c r="AF222" s="41"/>
      <c r="AG222" s="41"/>
      <c r="AH222" s="41"/>
      <c r="AI222" s="41"/>
    </row>
    <row r="223" spans="1:35" ht="15.75" customHeight="1" x14ac:dyDescent="0.2">
      <c r="A223" s="166"/>
      <c r="B223" s="218"/>
      <c r="C223" s="218"/>
      <c r="D223" s="41"/>
      <c r="E223" s="41"/>
      <c r="F223" s="41"/>
      <c r="G223" s="41"/>
      <c r="H223" s="41"/>
      <c r="I223" s="41"/>
      <c r="J223" s="166"/>
      <c r="K223" s="41"/>
      <c r="L223" s="41"/>
      <c r="M223" s="41"/>
      <c r="N223" s="166"/>
      <c r="O223" s="166"/>
      <c r="P223" s="41"/>
      <c r="Q223" s="41"/>
      <c r="R223" s="41"/>
      <c r="S223" s="41"/>
      <c r="T223" s="41"/>
      <c r="U223" s="41"/>
      <c r="V223" s="41"/>
      <c r="W223" s="41"/>
      <c r="X223" s="41"/>
      <c r="Y223" s="166"/>
      <c r="Z223" s="166"/>
      <c r="AA223" s="41"/>
      <c r="AB223" s="41"/>
      <c r="AC223" s="41"/>
      <c r="AD223" s="41"/>
      <c r="AE223" s="41"/>
      <c r="AF223" s="41"/>
      <c r="AG223" s="41"/>
      <c r="AH223" s="41"/>
      <c r="AI223" s="41"/>
    </row>
    <row r="224" spans="1:35" ht="15.75" customHeight="1" x14ac:dyDescent="0.2">
      <c r="A224" s="166"/>
      <c r="B224" s="218"/>
      <c r="C224" s="218"/>
      <c r="D224" s="41"/>
      <c r="E224" s="41"/>
      <c r="F224" s="41"/>
      <c r="G224" s="41"/>
      <c r="H224" s="41"/>
      <c r="I224" s="41"/>
      <c r="J224" s="166"/>
      <c r="K224" s="41"/>
      <c r="L224" s="41"/>
      <c r="M224" s="41"/>
      <c r="N224" s="166"/>
      <c r="O224" s="166"/>
      <c r="P224" s="41"/>
      <c r="Q224" s="41"/>
      <c r="R224" s="41"/>
      <c r="S224" s="41"/>
      <c r="T224" s="41"/>
      <c r="U224" s="41"/>
      <c r="V224" s="41"/>
      <c r="W224" s="41"/>
      <c r="X224" s="41"/>
      <c r="Y224" s="166"/>
      <c r="Z224" s="166"/>
      <c r="AA224" s="41"/>
      <c r="AB224" s="41"/>
      <c r="AC224" s="41"/>
      <c r="AD224" s="41"/>
      <c r="AE224" s="41"/>
      <c r="AF224" s="41"/>
      <c r="AG224" s="41"/>
      <c r="AH224" s="41"/>
      <c r="AI224" s="41"/>
    </row>
    <row r="225" spans="1:35" ht="15.75" customHeight="1" x14ac:dyDescent="0.2">
      <c r="A225" s="166"/>
      <c r="B225" s="218"/>
      <c r="C225" s="218"/>
      <c r="D225" s="41"/>
      <c r="E225" s="41"/>
      <c r="F225" s="41"/>
      <c r="G225" s="41"/>
      <c r="H225" s="41"/>
      <c r="I225" s="41"/>
      <c r="J225" s="166"/>
      <c r="K225" s="41"/>
      <c r="L225" s="41"/>
      <c r="M225" s="41"/>
      <c r="N225" s="166"/>
      <c r="O225" s="166"/>
      <c r="P225" s="41"/>
      <c r="Q225" s="41"/>
      <c r="R225" s="41"/>
      <c r="S225" s="41"/>
      <c r="T225" s="41"/>
      <c r="U225" s="41"/>
      <c r="V225" s="41"/>
      <c r="W225" s="41"/>
      <c r="X225" s="41"/>
      <c r="Y225" s="166"/>
      <c r="Z225" s="166"/>
      <c r="AA225" s="41"/>
      <c r="AB225" s="41"/>
      <c r="AC225" s="41"/>
      <c r="AD225" s="41"/>
      <c r="AE225" s="41"/>
      <c r="AF225" s="41"/>
      <c r="AG225" s="41"/>
      <c r="AH225" s="41"/>
      <c r="AI225" s="41"/>
    </row>
    <row r="226" spans="1:35" ht="15.75" customHeight="1" x14ac:dyDescent="0.2">
      <c r="A226" s="166"/>
      <c r="B226" s="218"/>
      <c r="C226" s="218"/>
      <c r="D226" s="41"/>
      <c r="E226" s="41"/>
      <c r="F226" s="41"/>
      <c r="G226" s="41"/>
      <c r="H226" s="41"/>
      <c r="I226" s="41"/>
      <c r="J226" s="166"/>
      <c r="K226" s="41"/>
      <c r="L226" s="41"/>
      <c r="M226" s="41"/>
      <c r="N226" s="166"/>
      <c r="O226" s="166"/>
      <c r="P226" s="41"/>
      <c r="Q226" s="41"/>
      <c r="R226" s="41"/>
      <c r="S226" s="41"/>
      <c r="T226" s="41"/>
      <c r="U226" s="41"/>
      <c r="V226" s="41"/>
      <c r="W226" s="41"/>
      <c r="X226" s="41"/>
      <c r="Y226" s="166"/>
      <c r="Z226" s="166"/>
      <c r="AA226" s="41"/>
      <c r="AB226" s="41"/>
      <c r="AC226" s="41"/>
      <c r="AD226" s="41"/>
      <c r="AE226" s="41"/>
      <c r="AF226" s="41"/>
      <c r="AG226" s="41"/>
      <c r="AH226" s="41"/>
      <c r="AI226" s="41"/>
    </row>
    <row r="227" spans="1:35" ht="15.75" customHeight="1" x14ac:dyDescent="0.2">
      <c r="A227" s="166"/>
      <c r="B227" s="218"/>
      <c r="C227" s="218"/>
      <c r="D227" s="41"/>
      <c r="E227" s="41"/>
      <c r="F227" s="41"/>
      <c r="G227" s="41"/>
      <c r="H227" s="41"/>
      <c r="I227" s="41"/>
      <c r="J227" s="166"/>
      <c r="K227" s="41"/>
      <c r="L227" s="41"/>
      <c r="M227" s="41"/>
      <c r="N227" s="166"/>
      <c r="O227" s="166"/>
      <c r="P227" s="41"/>
      <c r="Q227" s="41"/>
      <c r="R227" s="41"/>
      <c r="S227" s="41"/>
      <c r="T227" s="41"/>
      <c r="U227" s="41"/>
      <c r="V227" s="41"/>
      <c r="W227" s="41"/>
      <c r="X227" s="41"/>
      <c r="Y227" s="166"/>
      <c r="Z227" s="166"/>
      <c r="AA227" s="41"/>
      <c r="AB227" s="41"/>
      <c r="AC227" s="41"/>
      <c r="AD227" s="41"/>
      <c r="AE227" s="41"/>
      <c r="AF227" s="41"/>
      <c r="AG227" s="41"/>
      <c r="AH227" s="41"/>
      <c r="AI227" s="41"/>
    </row>
    <row r="228" spans="1:35" ht="15.75" customHeight="1" x14ac:dyDescent="0.2">
      <c r="A228" s="166"/>
      <c r="B228" s="218"/>
      <c r="C228" s="218"/>
      <c r="D228" s="41"/>
      <c r="E228" s="41"/>
      <c r="F228" s="41"/>
      <c r="G228" s="41"/>
      <c r="H228" s="41"/>
      <c r="I228" s="41"/>
      <c r="J228" s="166"/>
      <c r="K228" s="41"/>
      <c r="L228" s="41"/>
      <c r="M228" s="41"/>
      <c r="N228" s="166"/>
      <c r="O228" s="166"/>
      <c r="P228" s="41"/>
      <c r="Q228" s="41"/>
      <c r="R228" s="41"/>
      <c r="S228" s="41"/>
      <c r="T228" s="41"/>
      <c r="U228" s="41"/>
      <c r="V228" s="41"/>
      <c r="W228" s="41"/>
      <c r="X228" s="41"/>
      <c r="Y228" s="166"/>
      <c r="Z228" s="166"/>
      <c r="AA228" s="41"/>
      <c r="AB228" s="41"/>
      <c r="AC228" s="41"/>
      <c r="AD228" s="41"/>
      <c r="AE228" s="41"/>
      <c r="AF228" s="41"/>
      <c r="AG228" s="41"/>
      <c r="AH228" s="41"/>
      <c r="AI228" s="41"/>
    </row>
    <row r="229" spans="1:35" ht="15.75" customHeight="1" x14ac:dyDescent="0.2">
      <c r="A229" s="166"/>
      <c r="B229" s="218"/>
      <c r="C229" s="218"/>
      <c r="D229" s="41"/>
      <c r="E229" s="41"/>
      <c r="F229" s="41"/>
      <c r="G229" s="41"/>
      <c r="H229" s="41"/>
      <c r="I229" s="41"/>
      <c r="J229" s="166"/>
      <c r="K229" s="41"/>
      <c r="L229" s="41"/>
      <c r="M229" s="41"/>
      <c r="N229" s="166"/>
      <c r="O229" s="166"/>
      <c r="P229" s="41"/>
      <c r="Q229" s="41"/>
      <c r="R229" s="41"/>
      <c r="S229" s="41"/>
      <c r="T229" s="41"/>
      <c r="U229" s="41"/>
      <c r="V229" s="41"/>
      <c r="W229" s="41"/>
      <c r="X229" s="41"/>
      <c r="Y229" s="166"/>
      <c r="Z229" s="166"/>
      <c r="AA229" s="41"/>
      <c r="AB229" s="41"/>
      <c r="AC229" s="41"/>
      <c r="AD229" s="41"/>
      <c r="AE229" s="41"/>
      <c r="AF229" s="41"/>
      <c r="AG229" s="41"/>
      <c r="AH229" s="41"/>
      <c r="AI229" s="41"/>
    </row>
    <row r="230" spans="1:35" ht="15.75" customHeight="1" x14ac:dyDescent="0.2">
      <c r="A230" s="166"/>
      <c r="B230" s="218"/>
      <c r="C230" s="218"/>
      <c r="D230" s="41"/>
      <c r="E230" s="41"/>
      <c r="F230" s="41"/>
      <c r="G230" s="41"/>
      <c r="H230" s="41"/>
      <c r="I230" s="41"/>
      <c r="J230" s="166"/>
      <c r="K230" s="41"/>
      <c r="L230" s="41"/>
      <c r="M230" s="41"/>
      <c r="N230" s="166"/>
      <c r="O230" s="166"/>
      <c r="P230" s="41"/>
      <c r="Q230" s="41"/>
      <c r="R230" s="41"/>
      <c r="S230" s="41"/>
      <c r="T230" s="41"/>
      <c r="U230" s="41"/>
      <c r="V230" s="41"/>
      <c r="W230" s="41"/>
      <c r="X230" s="41"/>
      <c r="Y230" s="166"/>
      <c r="Z230" s="166"/>
      <c r="AA230" s="41"/>
      <c r="AB230" s="41"/>
      <c r="AC230" s="41"/>
      <c r="AD230" s="41"/>
      <c r="AE230" s="41"/>
      <c r="AF230" s="41"/>
      <c r="AG230" s="41"/>
      <c r="AH230" s="41"/>
      <c r="AI230" s="41"/>
    </row>
    <row r="231" spans="1:35" ht="15.75" customHeight="1" x14ac:dyDescent="0.2">
      <c r="A231" s="166"/>
      <c r="B231" s="218"/>
      <c r="C231" s="218"/>
      <c r="D231" s="41"/>
      <c r="E231" s="41"/>
      <c r="F231" s="41"/>
      <c r="G231" s="41"/>
      <c r="H231" s="41"/>
      <c r="I231" s="41"/>
      <c r="J231" s="166"/>
      <c r="K231" s="41"/>
      <c r="L231" s="41"/>
      <c r="M231" s="41"/>
      <c r="N231" s="166"/>
      <c r="O231" s="166"/>
      <c r="P231" s="41"/>
      <c r="Q231" s="41"/>
      <c r="R231" s="41"/>
      <c r="S231" s="41"/>
      <c r="T231" s="41"/>
      <c r="U231" s="41"/>
      <c r="V231" s="41"/>
      <c r="W231" s="41"/>
      <c r="X231" s="41"/>
      <c r="Y231" s="166"/>
      <c r="Z231" s="166"/>
      <c r="AA231" s="41"/>
      <c r="AB231" s="41"/>
      <c r="AC231" s="41"/>
      <c r="AD231" s="41"/>
      <c r="AE231" s="41"/>
      <c r="AF231" s="41"/>
      <c r="AG231" s="41"/>
      <c r="AH231" s="41"/>
      <c r="AI231" s="41"/>
    </row>
    <row r="232" spans="1:35" ht="15.75" customHeight="1" x14ac:dyDescent="0.2">
      <c r="A232" s="166"/>
      <c r="B232" s="218"/>
      <c r="C232" s="218"/>
      <c r="D232" s="41"/>
      <c r="E232" s="41"/>
      <c r="F232" s="41"/>
      <c r="G232" s="41"/>
      <c r="H232" s="41"/>
      <c r="I232" s="41"/>
      <c r="J232" s="166"/>
      <c r="K232" s="41"/>
      <c r="L232" s="41"/>
      <c r="M232" s="41"/>
      <c r="N232" s="166"/>
      <c r="O232" s="166"/>
      <c r="P232" s="41"/>
      <c r="Q232" s="41"/>
      <c r="R232" s="41"/>
      <c r="S232" s="41"/>
      <c r="T232" s="41"/>
      <c r="U232" s="41"/>
      <c r="V232" s="41"/>
      <c r="W232" s="41"/>
      <c r="X232" s="41"/>
      <c r="Y232" s="166"/>
      <c r="Z232" s="166"/>
      <c r="AA232" s="41"/>
      <c r="AB232" s="41"/>
      <c r="AC232" s="41"/>
      <c r="AD232" s="41"/>
      <c r="AE232" s="41"/>
      <c r="AF232" s="41"/>
      <c r="AG232" s="41"/>
      <c r="AH232" s="41"/>
      <c r="AI232" s="41"/>
    </row>
    <row r="233" spans="1:35" ht="15.75" customHeight="1" x14ac:dyDescent="0.2"/>
    <row r="234" spans="1:35" ht="15.75" customHeight="1" x14ac:dyDescent="0.2"/>
    <row r="235" spans="1:35" ht="15.75" customHeight="1" x14ac:dyDescent="0.2"/>
    <row r="236" spans="1:35" ht="15.75" customHeight="1" x14ac:dyDescent="0.2"/>
    <row r="237" spans="1:35" ht="15.75" customHeight="1" x14ac:dyDescent="0.2"/>
    <row r="238" spans="1:35" ht="15.75" customHeight="1" x14ac:dyDescent="0.2"/>
    <row r="239" spans="1:35" ht="15.75" customHeight="1" x14ac:dyDescent="0.2"/>
    <row r="240" spans="1:35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AK7:AK12"/>
    <mergeCell ref="AF13:AF14"/>
    <mergeCell ref="AG13:AG14"/>
    <mergeCell ref="AH13:AH14"/>
    <mergeCell ref="AI13:AI14"/>
    <mergeCell ref="AJ13:AJ14"/>
    <mergeCell ref="AF7:AF12"/>
    <mergeCell ref="AG7:AG12"/>
    <mergeCell ref="AH7:AH12"/>
    <mergeCell ref="AI7:AI12"/>
    <mergeCell ref="AJ7:AJ12"/>
  </mergeCells>
  <printOptions horizontalCentered="1" gridLines="1"/>
  <pageMargins left="1" right="1" top="1" bottom="1" header="0" footer="0"/>
  <pageSetup paperSize="9" scale="75" pageOrder="overThenDown" orientation="portrait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J1000"/>
  <sheetViews>
    <sheetView workbookViewId="0">
      <pane xSplit="1" topLeftCell="F1" activePane="topRight" state="frozen"/>
      <selection pane="topRight" activeCell="X3" sqref="X3"/>
    </sheetView>
  </sheetViews>
  <sheetFormatPr defaultColWidth="12.5703125" defaultRowHeight="15" customHeight="1" x14ac:dyDescent="0.2"/>
  <cols>
    <col min="1" max="1" width="18.42578125" customWidth="1"/>
    <col min="2" max="2" width="10.42578125" customWidth="1"/>
    <col min="3" max="3" width="8.28515625" customWidth="1"/>
    <col min="4" max="4" width="10" customWidth="1"/>
    <col min="5" max="5" width="10.28515625" customWidth="1"/>
    <col min="6" max="6" width="7.5703125" customWidth="1"/>
    <col min="7" max="8" width="9.7109375" customWidth="1"/>
    <col min="9" max="9" width="7.7109375" customWidth="1"/>
    <col min="10" max="10" width="9.140625" customWidth="1"/>
    <col min="11" max="11" width="8.42578125" customWidth="1"/>
    <col min="12" max="12" width="9.42578125" customWidth="1"/>
    <col min="13" max="13" width="9" customWidth="1"/>
    <col min="14" max="14" width="8.42578125" customWidth="1"/>
    <col min="15" max="15" width="10.7109375" hidden="1" customWidth="1"/>
    <col min="16" max="16" width="11.42578125" customWidth="1"/>
    <col min="17" max="19" width="6.42578125" customWidth="1"/>
    <col min="20" max="20" width="9.42578125" customWidth="1"/>
    <col min="21" max="21" width="8.28515625" customWidth="1"/>
    <col min="22" max="22" width="7.7109375" customWidth="1"/>
    <col min="23" max="23" width="8.85546875" customWidth="1"/>
    <col min="24" max="24" width="8.140625" customWidth="1"/>
    <col min="25" max="26" width="12.28515625" customWidth="1"/>
    <col min="27" max="27" width="14" customWidth="1"/>
    <col min="28" max="28" width="12.7109375" customWidth="1"/>
    <col min="29" max="29" width="10" customWidth="1"/>
    <col min="30" max="30" width="12.42578125" customWidth="1"/>
    <col min="31" max="31" width="7" customWidth="1"/>
  </cols>
  <sheetData>
    <row r="1" spans="1:36" ht="27" customHeight="1" x14ac:dyDescent="0.2">
      <c r="A1" s="129"/>
      <c r="B1" s="168"/>
      <c r="C1" s="168"/>
      <c r="D1" s="130"/>
      <c r="E1" s="130"/>
      <c r="F1" s="130"/>
      <c r="G1" s="130"/>
      <c r="H1" s="130"/>
      <c r="I1" s="130"/>
      <c r="J1" s="129"/>
      <c r="K1" s="129"/>
      <c r="L1" s="129"/>
      <c r="M1" s="88" t="s">
        <v>1</v>
      </c>
      <c r="N1" s="129"/>
      <c r="O1" s="129"/>
      <c r="P1" s="130"/>
      <c r="Q1" s="130"/>
      <c r="R1" s="130"/>
      <c r="S1" s="130"/>
      <c r="T1" s="130"/>
      <c r="U1" s="130"/>
      <c r="V1" s="130"/>
      <c r="W1" s="130"/>
      <c r="X1" s="130"/>
      <c r="Y1" s="129"/>
      <c r="Z1" s="129"/>
      <c r="AA1" s="130"/>
      <c r="AB1" s="130"/>
      <c r="AC1" s="130"/>
      <c r="AD1" s="130"/>
      <c r="AE1" s="130"/>
      <c r="AF1" s="130"/>
      <c r="AG1" s="130"/>
      <c r="AH1" s="130"/>
      <c r="AI1" s="130"/>
    </row>
    <row r="2" spans="1:36" ht="15.75" customHeight="1" x14ac:dyDescent="0.2">
      <c r="A2" s="129"/>
      <c r="B2" s="168"/>
      <c r="C2" s="168"/>
      <c r="D2" s="130"/>
      <c r="E2" s="130"/>
      <c r="F2" s="130"/>
      <c r="G2" s="130"/>
      <c r="H2" s="130"/>
      <c r="I2" s="130"/>
      <c r="J2" s="133" t="s">
        <v>2</v>
      </c>
      <c r="K2" s="133">
        <v>8000</v>
      </c>
      <c r="L2" s="41"/>
      <c r="M2" s="135">
        <v>200000</v>
      </c>
      <c r="N2" s="129"/>
      <c r="O2" s="8">
        <v>0</v>
      </c>
      <c r="P2" s="130"/>
      <c r="Q2" s="130">
        <v>250</v>
      </c>
      <c r="R2" s="130">
        <v>200</v>
      </c>
      <c r="S2" s="130">
        <v>150</v>
      </c>
      <c r="T2" s="130"/>
      <c r="U2" s="130"/>
      <c r="V2" s="9">
        <v>0.12</v>
      </c>
      <c r="W2" s="130"/>
      <c r="X2" s="9">
        <v>7.0000000000000007E-2</v>
      </c>
      <c r="Y2" s="129"/>
      <c r="Z2" s="129"/>
      <c r="AA2" s="130"/>
      <c r="AB2" s="130"/>
      <c r="AC2" s="130"/>
      <c r="AD2" s="130"/>
      <c r="AE2" s="130"/>
      <c r="AF2" s="130"/>
      <c r="AG2" s="130"/>
      <c r="AH2" s="130"/>
      <c r="AI2" s="130"/>
    </row>
    <row r="3" spans="1:36" ht="21.75" customHeight="1" x14ac:dyDescent="0.2">
      <c r="A3" s="136" t="s">
        <v>336</v>
      </c>
      <c r="B3" s="171" t="s">
        <v>4</v>
      </c>
      <c r="C3" s="171" t="s">
        <v>337</v>
      </c>
      <c r="D3" s="136" t="s">
        <v>338</v>
      </c>
      <c r="E3" s="221" t="s">
        <v>481</v>
      </c>
      <c r="F3" s="136" t="s">
        <v>340</v>
      </c>
      <c r="G3" s="136" t="s">
        <v>341</v>
      </c>
      <c r="H3" s="136" t="s">
        <v>342</v>
      </c>
      <c r="I3" s="136" t="s">
        <v>9</v>
      </c>
      <c r="J3" s="136" t="s">
        <v>10</v>
      </c>
      <c r="K3" s="136" t="s">
        <v>11</v>
      </c>
      <c r="L3" s="10" t="s">
        <v>12</v>
      </c>
      <c r="M3" s="136" t="s">
        <v>13</v>
      </c>
      <c r="N3" s="136" t="s">
        <v>14</v>
      </c>
      <c r="O3" s="136"/>
      <c r="P3" s="136" t="s">
        <v>15</v>
      </c>
      <c r="Q3" s="136" t="s">
        <v>16</v>
      </c>
      <c r="R3" s="136" t="s">
        <v>17</v>
      </c>
      <c r="S3" s="10" t="s">
        <v>18</v>
      </c>
      <c r="T3" s="136" t="s">
        <v>19</v>
      </c>
      <c r="U3" s="136" t="s">
        <v>20</v>
      </c>
      <c r="V3" s="136" t="s">
        <v>21</v>
      </c>
      <c r="W3" s="136" t="s">
        <v>22</v>
      </c>
      <c r="X3" s="136" t="s">
        <v>23</v>
      </c>
      <c r="Y3" s="136" t="s">
        <v>24</v>
      </c>
      <c r="Z3" s="136" t="s">
        <v>25</v>
      </c>
      <c r="AA3" s="136"/>
      <c r="AB3" s="136" t="s">
        <v>26</v>
      </c>
      <c r="AC3" s="136" t="s">
        <v>27</v>
      </c>
      <c r="AD3" s="136" t="s">
        <v>28</v>
      </c>
      <c r="AE3" s="136" t="s">
        <v>29</v>
      </c>
      <c r="AF3" s="10" t="s">
        <v>30</v>
      </c>
      <c r="AG3" s="45" t="s">
        <v>31</v>
      </c>
      <c r="AH3" s="45" t="s">
        <v>32</v>
      </c>
      <c r="AI3" s="45" t="s">
        <v>33</v>
      </c>
      <c r="AJ3" s="45" t="s">
        <v>34</v>
      </c>
    </row>
    <row r="4" spans="1:36" ht="15.75" customHeight="1" x14ac:dyDescent="0.2">
      <c r="A4" s="239" t="s">
        <v>343</v>
      </c>
      <c r="B4" s="180">
        <f t="shared" ref="B4:B13" si="0">C4+E4+G4</f>
        <v>175.33</v>
      </c>
      <c r="C4" s="180">
        <v>157.49</v>
      </c>
      <c r="D4" s="180">
        <f t="shared" ref="D4:D28" si="1">C4*10.764</f>
        <v>1695.22236</v>
      </c>
      <c r="E4" s="180">
        <v>17.84</v>
      </c>
      <c r="F4" s="180">
        <f t="shared" ref="F4:F29" si="2">E4*10.764</f>
        <v>192.02975999999998</v>
      </c>
      <c r="G4" s="180">
        <v>0</v>
      </c>
      <c r="H4" s="223">
        <f t="shared" ref="H4:H28" si="3">G4*10.764</f>
        <v>0</v>
      </c>
      <c r="I4" s="180">
        <f t="shared" ref="I4:I28" si="4">D4+F4+H4</f>
        <v>1887.2521199999999</v>
      </c>
      <c r="J4" s="181">
        <f t="shared" ref="J4:J28" si="5">(D4+F4+(H4/2))*1.45</f>
        <v>2736.5155739999996</v>
      </c>
      <c r="K4" s="182">
        <f t="shared" ref="K4:K28" si="6">J4*$K$2</f>
        <v>21892124.591999996</v>
      </c>
      <c r="L4" s="182">
        <v>500000</v>
      </c>
      <c r="M4" s="183">
        <v>400000</v>
      </c>
      <c r="N4" s="184">
        <f t="shared" ref="N4:N28" si="7">SUM(K4:M4)</f>
        <v>22792124.591999996</v>
      </c>
      <c r="O4" s="184">
        <f t="shared" ref="O4:O28" si="8">($O$2*N4)</f>
        <v>0</v>
      </c>
      <c r="P4" s="182">
        <f t="shared" ref="P4:P28" si="9">N4-O4</f>
        <v>22792124.591999996</v>
      </c>
      <c r="Q4" s="182">
        <f t="shared" ref="Q4:Q28" si="10">J4*$Q$2</f>
        <v>684128.89349999989</v>
      </c>
      <c r="R4" s="182">
        <f t="shared" ref="R4:R28" si="11">J4*$R$2</f>
        <v>547303.11479999986</v>
      </c>
      <c r="S4" s="182">
        <f t="shared" ref="S4:S28" si="12">J4*$S$2</f>
        <v>410477.33609999996</v>
      </c>
      <c r="T4" s="182">
        <f t="shared" ref="T4:T28" si="13">SUM(P4:S4)</f>
        <v>24434033.936399996</v>
      </c>
      <c r="U4" s="182">
        <v>30000</v>
      </c>
      <c r="V4" s="182">
        <f t="shared" ref="V4:V28" si="14">$V$2*P4</f>
        <v>2735054.9510399993</v>
      </c>
      <c r="W4" s="182">
        <f t="shared" ref="W4:W28" si="15">(12%*Q4)+(12%*R4)</f>
        <v>147771.84099599996</v>
      </c>
      <c r="X4" s="182">
        <f t="shared" ref="X4:X28" si="16">CEILING(($X$2*P4),100)</f>
        <v>1595500</v>
      </c>
      <c r="Y4" s="184">
        <v>6000</v>
      </c>
      <c r="Z4" s="184">
        <f t="shared" ref="Z4:Z28" si="17">SUM(T4:Y4)</f>
        <v>28948360.728435997</v>
      </c>
      <c r="AA4" s="185"/>
      <c r="AB4" s="185"/>
      <c r="AC4" s="185"/>
      <c r="AD4" s="185"/>
      <c r="AE4" s="185"/>
      <c r="AF4" s="240" t="s">
        <v>482</v>
      </c>
      <c r="AG4" s="241" t="s">
        <v>483</v>
      </c>
      <c r="AH4" s="240" t="s">
        <v>45</v>
      </c>
      <c r="AI4" s="188" t="s">
        <v>45</v>
      </c>
      <c r="AJ4" s="188" t="s">
        <v>484</v>
      </c>
    </row>
    <row r="5" spans="1:36" ht="15.75" customHeight="1" x14ac:dyDescent="0.2">
      <c r="A5" s="239" t="s">
        <v>350</v>
      </c>
      <c r="B5" s="180">
        <f t="shared" si="0"/>
        <v>162.51</v>
      </c>
      <c r="C5" s="180">
        <v>141.72</v>
      </c>
      <c r="D5" s="180">
        <f t="shared" si="1"/>
        <v>1525.47408</v>
      </c>
      <c r="E5" s="180">
        <v>20.79</v>
      </c>
      <c r="F5" s="180">
        <f t="shared" si="2"/>
        <v>223.78355999999997</v>
      </c>
      <c r="G5" s="180">
        <v>0</v>
      </c>
      <c r="H5" s="223">
        <f t="shared" si="3"/>
        <v>0</v>
      </c>
      <c r="I5" s="180">
        <f t="shared" si="4"/>
        <v>1749.2576399999998</v>
      </c>
      <c r="J5" s="181">
        <f t="shared" si="5"/>
        <v>2536.4235779999995</v>
      </c>
      <c r="K5" s="182">
        <f t="shared" si="6"/>
        <v>20291388.623999994</v>
      </c>
      <c r="L5" s="182">
        <v>500000</v>
      </c>
      <c r="M5" s="183">
        <v>400000</v>
      </c>
      <c r="N5" s="184">
        <f t="shared" si="7"/>
        <v>21191388.623999994</v>
      </c>
      <c r="O5" s="184">
        <f t="shared" si="8"/>
        <v>0</v>
      </c>
      <c r="P5" s="182">
        <f t="shared" si="9"/>
        <v>21191388.623999994</v>
      </c>
      <c r="Q5" s="182">
        <f t="shared" si="10"/>
        <v>634105.89449999982</v>
      </c>
      <c r="R5" s="182">
        <f t="shared" si="11"/>
        <v>507284.71559999988</v>
      </c>
      <c r="S5" s="182">
        <f t="shared" si="12"/>
        <v>380463.53669999994</v>
      </c>
      <c r="T5" s="182">
        <f t="shared" si="13"/>
        <v>22713242.770799991</v>
      </c>
      <c r="U5" s="182">
        <v>30000</v>
      </c>
      <c r="V5" s="182">
        <f t="shared" si="14"/>
        <v>2542966.6348799993</v>
      </c>
      <c r="W5" s="182">
        <f t="shared" si="15"/>
        <v>136966.87321199995</v>
      </c>
      <c r="X5" s="182">
        <f t="shared" si="16"/>
        <v>1483400</v>
      </c>
      <c r="Y5" s="184">
        <v>6000</v>
      </c>
      <c r="Z5" s="184">
        <f t="shared" si="17"/>
        <v>26912576.278891988</v>
      </c>
      <c r="AA5" s="185"/>
      <c r="AB5" s="185"/>
      <c r="AC5" s="185"/>
      <c r="AD5" s="185"/>
      <c r="AE5" s="185"/>
      <c r="AF5" s="242" t="s">
        <v>485</v>
      </c>
      <c r="AG5" s="243" t="s">
        <v>486</v>
      </c>
      <c r="AH5" s="242" t="s">
        <v>45</v>
      </c>
      <c r="AI5" s="188" t="s">
        <v>45</v>
      </c>
      <c r="AJ5" s="188" t="s">
        <v>484</v>
      </c>
    </row>
    <row r="6" spans="1:36" ht="15.75" customHeight="1" x14ac:dyDescent="0.2">
      <c r="A6" s="244" t="s">
        <v>355</v>
      </c>
      <c r="B6" s="245">
        <f t="shared" si="0"/>
        <v>102.72</v>
      </c>
      <c r="C6" s="245">
        <v>86.13</v>
      </c>
      <c r="D6" s="245">
        <f t="shared" si="1"/>
        <v>927.10331999999994</v>
      </c>
      <c r="E6" s="245">
        <v>16.59</v>
      </c>
      <c r="F6" s="245">
        <f t="shared" si="2"/>
        <v>178.57476</v>
      </c>
      <c r="G6" s="245">
        <v>0</v>
      </c>
      <c r="H6" s="245">
        <f t="shared" si="3"/>
        <v>0</v>
      </c>
      <c r="I6" s="245">
        <f t="shared" si="4"/>
        <v>1105.6780799999999</v>
      </c>
      <c r="J6" s="245">
        <f t="shared" si="5"/>
        <v>1603.2332159999999</v>
      </c>
      <c r="K6" s="246">
        <f t="shared" si="6"/>
        <v>12825865.727999998</v>
      </c>
      <c r="L6" s="246">
        <v>500000</v>
      </c>
      <c r="M6" s="247">
        <v>400000</v>
      </c>
      <c r="N6" s="248">
        <f t="shared" si="7"/>
        <v>13725865.727999998</v>
      </c>
      <c r="O6" s="248">
        <f t="shared" si="8"/>
        <v>0</v>
      </c>
      <c r="P6" s="246">
        <f t="shared" si="9"/>
        <v>13725865.727999998</v>
      </c>
      <c r="Q6" s="246">
        <f t="shared" si="10"/>
        <v>400808.30399999995</v>
      </c>
      <c r="R6" s="246">
        <f t="shared" si="11"/>
        <v>320646.64319999999</v>
      </c>
      <c r="S6" s="246">
        <f t="shared" si="12"/>
        <v>240484.98239999998</v>
      </c>
      <c r="T6" s="246">
        <f t="shared" si="13"/>
        <v>14687805.657599999</v>
      </c>
      <c r="U6" s="246">
        <v>30000</v>
      </c>
      <c r="V6" s="246">
        <f t="shared" si="14"/>
        <v>1647103.8873599998</v>
      </c>
      <c r="W6" s="246">
        <f t="shared" si="15"/>
        <v>86574.593663999985</v>
      </c>
      <c r="X6" s="246">
        <f t="shared" si="16"/>
        <v>960900</v>
      </c>
      <c r="Y6" s="248">
        <v>6000</v>
      </c>
      <c r="Z6" s="248">
        <f t="shared" si="17"/>
        <v>17418384.138623998</v>
      </c>
      <c r="AA6" s="249" t="s">
        <v>487</v>
      </c>
      <c r="AB6" s="250"/>
      <c r="AC6" s="250"/>
      <c r="AD6" s="250"/>
      <c r="AE6" s="250"/>
      <c r="AF6" s="251" t="s">
        <v>488</v>
      </c>
      <c r="AG6" s="252" t="s">
        <v>489</v>
      </c>
      <c r="AH6" s="251" t="s">
        <v>45</v>
      </c>
      <c r="AI6" s="253" t="s">
        <v>45</v>
      </c>
      <c r="AJ6" s="253" t="s">
        <v>484</v>
      </c>
    </row>
    <row r="7" spans="1:36" ht="15.75" customHeight="1" x14ac:dyDescent="0.2">
      <c r="A7" s="244" t="s">
        <v>359</v>
      </c>
      <c r="B7" s="245">
        <f t="shared" si="0"/>
        <v>117.42999999999999</v>
      </c>
      <c r="C7" s="245">
        <v>100.69</v>
      </c>
      <c r="D7" s="245">
        <f t="shared" si="1"/>
        <v>1083.8271599999998</v>
      </c>
      <c r="E7" s="245">
        <v>16.739999999999998</v>
      </c>
      <c r="F7" s="245">
        <f t="shared" si="2"/>
        <v>180.18935999999997</v>
      </c>
      <c r="G7" s="245">
        <v>0</v>
      </c>
      <c r="H7" s="245">
        <f t="shared" si="3"/>
        <v>0</v>
      </c>
      <c r="I7" s="245">
        <f t="shared" si="4"/>
        <v>1264.0165199999997</v>
      </c>
      <c r="J7" s="245">
        <f t="shared" si="5"/>
        <v>1832.8239539999995</v>
      </c>
      <c r="K7" s="246">
        <f t="shared" si="6"/>
        <v>14662591.631999996</v>
      </c>
      <c r="L7" s="246">
        <v>500000</v>
      </c>
      <c r="M7" s="247">
        <v>400000</v>
      </c>
      <c r="N7" s="248">
        <f t="shared" si="7"/>
        <v>15562591.631999996</v>
      </c>
      <c r="O7" s="248">
        <f t="shared" si="8"/>
        <v>0</v>
      </c>
      <c r="P7" s="246">
        <f t="shared" si="9"/>
        <v>15562591.631999996</v>
      </c>
      <c r="Q7" s="246">
        <f t="shared" si="10"/>
        <v>458205.98849999986</v>
      </c>
      <c r="R7" s="246">
        <f t="shared" si="11"/>
        <v>366564.7907999999</v>
      </c>
      <c r="S7" s="246">
        <f t="shared" si="12"/>
        <v>274923.59309999994</v>
      </c>
      <c r="T7" s="246">
        <f t="shared" si="13"/>
        <v>16662286.004399994</v>
      </c>
      <c r="U7" s="246">
        <v>30000</v>
      </c>
      <c r="V7" s="246">
        <f t="shared" si="14"/>
        <v>1867510.9958399993</v>
      </c>
      <c r="W7" s="246">
        <f t="shared" si="15"/>
        <v>98972.493515999959</v>
      </c>
      <c r="X7" s="246">
        <f t="shared" si="16"/>
        <v>1089400</v>
      </c>
      <c r="Y7" s="248">
        <v>6000</v>
      </c>
      <c r="Z7" s="248">
        <f t="shared" si="17"/>
        <v>19754169.493755993</v>
      </c>
      <c r="AA7" s="249" t="s">
        <v>487</v>
      </c>
      <c r="AB7" s="250"/>
      <c r="AC7" s="250"/>
      <c r="AD7" s="250"/>
      <c r="AE7" s="250"/>
      <c r="AF7" s="251" t="s">
        <v>490</v>
      </c>
      <c r="AG7" s="252" t="s">
        <v>491</v>
      </c>
      <c r="AH7" s="251" t="s">
        <v>45</v>
      </c>
      <c r="AI7" s="253" t="s">
        <v>45</v>
      </c>
      <c r="AJ7" s="253" t="s">
        <v>484</v>
      </c>
    </row>
    <row r="8" spans="1:36" ht="15.75" customHeight="1" x14ac:dyDescent="0.2">
      <c r="A8" s="244" t="s">
        <v>363</v>
      </c>
      <c r="B8" s="245">
        <f t="shared" si="0"/>
        <v>51.209999999999994</v>
      </c>
      <c r="C8" s="245">
        <v>44.12</v>
      </c>
      <c r="D8" s="245">
        <f t="shared" si="1"/>
        <v>474.90767999999997</v>
      </c>
      <c r="E8" s="245">
        <v>7.09</v>
      </c>
      <c r="F8" s="245">
        <f t="shared" si="2"/>
        <v>76.316759999999988</v>
      </c>
      <c r="G8" s="245">
        <v>0</v>
      </c>
      <c r="H8" s="245">
        <f t="shared" si="3"/>
        <v>0</v>
      </c>
      <c r="I8" s="245">
        <f t="shared" si="4"/>
        <v>551.22443999999996</v>
      </c>
      <c r="J8" s="245">
        <f t="shared" si="5"/>
        <v>799.27543799999989</v>
      </c>
      <c r="K8" s="246">
        <f t="shared" si="6"/>
        <v>6394203.5039999988</v>
      </c>
      <c r="L8" s="246">
        <v>300000</v>
      </c>
      <c r="M8" s="247">
        <v>200000</v>
      </c>
      <c r="N8" s="248">
        <f t="shared" si="7"/>
        <v>6894203.5039999988</v>
      </c>
      <c r="O8" s="248">
        <f t="shared" si="8"/>
        <v>0</v>
      </c>
      <c r="P8" s="246">
        <f t="shared" si="9"/>
        <v>6894203.5039999988</v>
      </c>
      <c r="Q8" s="246">
        <f t="shared" si="10"/>
        <v>199818.85949999996</v>
      </c>
      <c r="R8" s="246">
        <f t="shared" si="11"/>
        <v>159855.08759999997</v>
      </c>
      <c r="S8" s="246">
        <f t="shared" si="12"/>
        <v>119891.31569999998</v>
      </c>
      <c r="T8" s="246">
        <f t="shared" si="13"/>
        <v>7373768.7667999994</v>
      </c>
      <c r="U8" s="246">
        <v>30000</v>
      </c>
      <c r="V8" s="246">
        <f t="shared" si="14"/>
        <v>827304.42047999986</v>
      </c>
      <c r="W8" s="246">
        <f t="shared" si="15"/>
        <v>43160.873651999995</v>
      </c>
      <c r="X8" s="246">
        <f t="shared" si="16"/>
        <v>482600</v>
      </c>
      <c r="Y8" s="248">
        <v>6000</v>
      </c>
      <c r="Z8" s="248">
        <f t="shared" si="17"/>
        <v>8762834.0609319992</v>
      </c>
      <c r="AA8" s="249" t="s">
        <v>487</v>
      </c>
      <c r="AB8" s="250"/>
      <c r="AC8" s="250"/>
      <c r="AD8" s="250"/>
      <c r="AE8" s="250"/>
      <c r="AF8" s="251">
        <v>201</v>
      </c>
      <c r="AG8" s="252" t="s">
        <v>492</v>
      </c>
      <c r="AH8" s="251" t="s">
        <v>65</v>
      </c>
      <c r="AI8" s="253" t="s">
        <v>45</v>
      </c>
      <c r="AJ8" s="253" t="s">
        <v>462</v>
      </c>
    </row>
    <row r="9" spans="1:36" ht="15.75" customHeight="1" x14ac:dyDescent="0.2">
      <c r="A9" s="244" t="s">
        <v>367</v>
      </c>
      <c r="B9" s="245">
        <f t="shared" si="0"/>
        <v>51.209999999999994</v>
      </c>
      <c r="C9" s="245">
        <v>44.12</v>
      </c>
      <c r="D9" s="245">
        <f t="shared" si="1"/>
        <v>474.90767999999997</v>
      </c>
      <c r="E9" s="245">
        <v>7.09</v>
      </c>
      <c r="F9" s="245">
        <f t="shared" si="2"/>
        <v>76.316759999999988</v>
      </c>
      <c r="G9" s="245">
        <v>0</v>
      </c>
      <c r="H9" s="245">
        <f t="shared" si="3"/>
        <v>0</v>
      </c>
      <c r="I9" s="245">
        <f t="shared" si="4"/>
        <v>551.22443999999996</v>
      </c>
      <c r="J9" s="245">
        <f t="shared" si="5"/>
        <v>799.27543799999989</v>
      </c>
      <c r="K9" s="246">
        <f t="shared" si="6"/>
        <v>6394203.5039999988</v>
      </c>
      <c r="L9" s="246">
        <v>300000</v>
      </c>
      <c r="M9" s="247">
        <v>200000</v>
      </c>
      <c r="N9" s="248">
        <f t="shared" si="7"/>
        <v>6894203.5039999988</v>
      </c>
      <c r="O9" s="248">
        <f t="shared" si="8"/>
        <v>0</v>
      </c>
      <c r="P9" s="246">
        <f t="shared" si="9"/>
        <v>6894203.5039999988</v>
      </c>
      <c r="Q9" s="246">
        <f t="shared" si="10"/>
        <v>199818.85949999996</v>
      </c>
      <c r="R9" s="246">
        <f t="shared" si="11"/>
        <v>159855.08759999997</v>
      </c>
      <c r="S9" s="246">
        <f t="shared" si="12"/>
        <v>119891.31569999998</v>
      </c>
      <c r="T9" s="246">
        <f t="shared" si="13"/>
        <v>7373768.7667999994</v>
      </c>
      <c r="U9" s="246">
        <v>30000</v>
      </c>
      <c r="V9" s="246">
        <f t="shared" si="14"/>
        <v>827304.42047999986</v>
      </c>
      <c r="W9" s="246">
        <f t="shared" si="15"/>
        <v>43160.873651999995</v>
      </c>
      <c r="X9" s="246">
        <f t="shared" si="16"/>
        <v>482600</v>
      </c>
      <c r="Y9" s="248">
        <v>6000</v>
      </c>
      <c r="Z9" s="248">
        <f t="shared" si="17"/>
        <v>8762834.0609319992</v>
      </c>
      <c r="AA9" s="249" t="s">
        <v>487</v>
      </c>
      <c r="AB9" s="250"/>
      <c r="AC9" s="250"/>
      <c r="AD9" s="250"/>
      <c r="AE9" s="250"/>
      <c r="AF9" s="251">
        <v>202</v>
      </c>
      <c r="AG9" s="252" t="s">
        <v>493</v>
      </c>
      <c r="AH9" s="251" t="s">
        <v>65</v>
      </c>
      <c r="AI9" s="253" t="s">
        <v>45</v>
      </c>
      <c r="AJ9" s="253" t="s">
        <v>462</v>
      </c>
    </row>
    <row r="10" spans="1:36" ht="15.75" customHeight="1" x14ac:dyDescent="0.2">
      <c r="A10" s="244" t="s">
        <v>370</v>
      </c>
      <c r="B10" s="245">
        <f t="shared" si="0"/>
        <v>51.209999999999994</v>
      </c>
      <c r="C10" s="245">
        <v>44.12</v>
      </c>
      <c r="D10" s="245">
        <f t="shared" si="1"/>
        <v>474.90767999999997</v>
      </c>
      <c r="E10" s="245">
        <v>7.09</v>
      </c>
      <c r="F10" s="245">
        <f t="shared" si="2"/>
        <v>76.316759999999988</v>
      </c>
      <c r="G10" s="245">
        <v>0</v>
      </c>
      <c r="H10" s="245">
        <f t="shared" si="3"/>
        <v>0</v>
      </c>
      <c r="I10" s="245">
        <f t="shared" si="4"/>
        <v>551.22443999999996</v>
      </c>
      <c r="J10" s="245">
        <f t="shared" si="5"/>
        <v>799.27543799999989</v>
      </c>
      <c r="K10" s="246">
        <f t="shared" si="6"/>
        <v>6394203.5039999988</v>
      </c>
      <c r="L10" s="246">
        <v>300000</v>
      </c>
      <c r="M10" s="247">
        <v>200000</v>
      </c>
      <c r="N10" s="248">
        <f t="shared" si="7"/>
        <v>6894203.5039999988</v>
      </c>
      <c r="O10" s="248">
        <f t="shared" si="8"/>
        <v>0</v>
      </c>
      <c r="P10" s="246">
        <f t="shared" si="9"/>
        <v>6894203.5039999988</v>
      </c>
      <c r="Q10" s="246">
        <f t="shared" si="10"/>
        <v>199818.85949999996</v>
      </c>
      <c r="R10" s="246">
        <f t="shared" si="11"/>
        <v>159855.08759999997</v>
      </c>
      <c r="S10" s="246">
        <f t="shared" si="12"/>
        <v>119891.31569999998</v>
      </c>
      <c r="T10" s="246">
        <f t="shared" si="13"/>
        <v>7373768.7667999994</v>
      </c>
      <c r="U10" s="246">
        <v>30000</v>
      </c>
      <c r="V10" s="246">
        <f t="shared" si="14"/>
        <v>827304.42047999986</v>
      </c>
      <c r="W10" s="246">
        <f t="shared" si="15"/>
        <v>43160.873651999995</v>
      </c>
      <c r="X10" s="246">
        <f t="shared" si="16"/>
        <v>482600</v>
      </c>
      <c r="Y10" s="248">
        <v>6000</v>
      </c>
      <c r="Z10" s="248">
        <f t="shared" si="17"/>
        <v>8762834.0609319992</v>
      </c>
      <c r="AA10" s="249" t="s">
        <v>487</v>
      </c>
      <c r="AB10" s="250"/>
      <c r="AC10" s="250"/>
      <c r="AD10" s="250"/>
      <c r="AE10" s="250"/>
      <c r="AF10" s="251">
        <v>203</v>
      </c>
      <c r="AG10" s="252" t="s">
        <v>494</v>
      </c>
      <c r="AH10" s="251" t="s">
        <v>65</v>
      </c>
      <c r="AI10" s="253" t="s">
        <v>45</v>
      </c>
      <c r="AJ10" s="253" t="s">
        <v>462</v>
      </c>
    </row>
    <row r="11" spans="1:36" ht="15.75" customHeight="1" x14ac:dyDescent="0.2">
      <c r="A11" s="244" t="s">
        <v>372</v>
      </c>
      <c r="B11" s="245">
        <f t="shared" si="0"/>
        <v>62.88</v>
      </c>
      <c r="C11" s="245">
        <v>54.09</v>
      </c>
      <c r="D11" s="245">
        <f t="shared" si="1"/>
        <v>582.22475999999995</v>
      </c>
      <c r="E11" s="245">
        <v>8.7899999999999991</v>
      </c>
      <c r="F11" s="245">
        <f t="shared" si="2"/>
        <v>94.615559999999988</v>
      </c>
      <c r="G11" s="245">
        <v>0</v>
      </c>
      <c r="H11" s="245">
        <f t="shared" si="3"/>
        <v>0</v>
      </c>
      <c r="I11" s="245">
        <f t="shared" si="4"/>
        <v>676.84031999999991</v>
      </c>
      <c r="J11" s="245">
        <f t="shared" si="5"/>
        <v>981.41846399999986</v>
      </c>
      <c r="K11" s="246">
        <f t="shared" si="6"/>
        <v>7851347.7119999984</v>
      </c>
      <c r="L11" s="246">
        <v>400000</v>
      </c>
      <c r="M11" s="247">
        <v>200000</v>
      </c>
      <c r="N11" s="248">
        <f t="shared" si="7"/>
        <v>8451347.7119999975</v>
      </c>
      <c r="O11" s="248">
        <f t="shared" si="8"/>
        <v>0</v>
      </c>
      <c r="P11" s="246">
        <f t="shared" si="9"/>
        <v>8451347.7119999975</v>
      </c>
      <c r="Q11" s="246">
        <f t="shared" si="10"/>
        <v>245354.61599999995</v>
      </c>
      <c r="R11" s="246">
        <f t="shared" si="11"/>
        <v>196283.69279999996</v>
      </c>
      <c r="S11" s="246">
        <f t="shared" si="12"/>
        <v>147212.76959999997</v>
      </c>
      <c r="T11" s="246">
        <f t="shared" si="13"/>
        <v>9040198.7903999984</v>
      </c>
      <c r="U11" s="246">
        <v>30000</v>
      </c>
      <c r="V11" s="246">
        <f t="shared" si="14"/>
        <v>1014161.7254399997</v>
      </c>
      <c r="W11" s="246">
        <f t="shared" si="15"/>
        <v>52996.597055999984</v>
      </c>
      <c r="X11" s="246">
        <f t="shared" si="16"/>
        <v>591600</v>
      </c>
      <c r="Y11" s="248">
        <v>6000</v>
      </c>
      <c r="Z11" s="248">
        <f t="shared" si="17"/>
        <v>10734957.112895997</v>
      </c>
      <c r="AA11" s="249" t="s">
        <v>487</v>
      </c>
      <c r="AB11" s="250"/>
      <c r="AC11" s="250"/>
      <c r="AD11" s="250"/>
      <c r="AE11" s="250"/>
      <c r="AF11" s="251">
        <v>162</v>
      </c>
      <c r="AG11" s="252" t="s">
        <v>495</v>
      </c>
      <c r="AH11" s="251" t="s">
        <v>40</v>
      </c>
      <c r="AI11" s="253" t="s">
        <v>45</v>
      </c>
      <c r="AJ11" s="253" t="s">
        <v>453</v>
      </c>
    </row>
    <row r="12" spans="1:36" ht="15.75" customHeight="1" x14ac:dyDescent="0.2">
      <c r="A12" s="244" t="s">
        <v>374</v>
      </c>
      <c r="B12" s="245">
        <f t="shared" si="0"/>
        <v>62.88</v>
      </c>
      <c r="C12" s="245">
        <v>54.09</v>
      </c>
      <c r="D12" s="245">
        <f t="shared" si="1"/>
        <v>582.22475999999995</v>
      </c>
      <c r="E12" s="245">
        <v>8.7899999999999991</v>
      </c>
      <c r="F12" s="245">
        <f t="shared" si="2"/>
        <v>94.615559999999988</v>
      </c>
      <c r="G12" s="245">
        <v>0</v>
      </c>
      <c r="H12" s="245">
        <f t="shared" si="3"/>
        <v>0</v>
      </c>
      <c r="I12" s="245">
        <f t="shared" si="4"/>
        <v>676.84031999999991</v>
      </c>
      <c r="J12" s="245">
        <f t="shared" si="5"/>
        <v>981.41846399999986</v>
      </c>
      <c r="K12" s="246">
        <f t="shared" si="6"/>
        <v>7851347.7119999984</v>
      </c>
      <c r="L12" s="246">
        <v>400000</v>
      </c>
      <c r="M12" s="247">
        <v>200000</v>
      </c>
      <c r="N12" s="248">
        <f t="shared" si="7"/>
        <v>8451347.7119999975</v>
      </c>
      <c r="O12" s="248">
        <f t="shared" si="8"/>
        <v>0</v>
      </c>
      <c r="P12" s="246">
        <f t="shared" si="9"/>
        <v>8451347.7119999975</v>
      </c>
      <c r="Q12" s="246">
        <f t="shared" si="10"/>
        <v>245354.61599999995</v>
      </c>
      <c r="R12" s="246">
        <f t="shared" si="11"/>
        <v>196283.69279999996</v>
      </c>
      <c r="S12" s="246">
        <f t="shared" si="12"/>
        <v>147212.76959999997</v>
      </c>
      <c r="T12" s="246">
        <f t="shared" si="13"/>
        <v>9040198.7903999984</v>
      </c>
      <c r="U12" s="246">
        <v>30000</v>
      </c>
      <c r="V12" s="246">
        <f t="shared" si="14"/>
        <v>1014161.7254399997</v>
      </c>
      <c r="W12" s="246">
        <f t="shared" si="15"/>
        <v>52996.597055999984</v>
      </c>
      <c r="X12" s="246">
        <f t="shared" si="16"/>
        <v>591600</v>
      </c>
      <c r="Y12" s="248">
        <v>6000</v>
      </c>
      <c r="Z12" s="248">
        <f t="shared" si="17"/>
        <v>10734957.112895997</v>
      </c>
      <c r="AA12" s="249" t="s">
        <v>487</v>
      </c>
      <c r="AB12" s="250"/>
      <c r="AC12" s="250"/>
      <c r="AD12" s="250"/>
      <c r="AE12" s="250"/>
      <c r="AF12" s="251">
        <v>163</v>
      </c>
      <c r="AG12" s="252" t="s">
        <v>496</v>
      </c>
      <c r="AH12" s="251" t="s">
        <v>40</v>
      </c>
      <c r="AI12" s="253" t="s">
        <v>45</v>
      </c>
      <c r="AJ12" s="253" t="s">
        <v>453</v>
      </c>
    </row>
    <row r="13" spans="1:36" ht="15.75" customHeight="1" x14ac:dyDescent="0.2">
      <c r="A13" s="244" t="s">
        <v>377</v>
      </c>
      <c r="B13" s="245">
        <f t="shared" si="0"/>
        <v>64.25</v>
      </c>
      <c r="C13" s="245">
        <v>55.26</v>
      </c>
      <c r="D13" s="245">
        <f t="shared" si="1"/>
        <v>594.81863999999996</v>
      </c>
      <c r="E13" s="245">
        <v>8.99</v>
      </c>
      <c r="F13" s="245">
        <f t="shared" si="2"/>
        <v>96.768360000000001</v>
      </c>
      <c r="G13" s="245">
        <v>0</v>
      </c>
      <c r="H13" s="245">
        <f t="shared" si="3"/>
        <v>0</v>
      </c>
      <c r="I13" s="245">
        <f t="shared" si="4"/>
        <v>691.58699999999999</v>
      </c>
      <c r="J13" s="245">
        <f t="shared" si="5"/>
        <v>1002.80115</v>
      </c>
      <c r="K13" s="246">
        <f t="shared" si="6"/>
        <v>8022409.2000000002</v>
      </c>
      <c r="L13" s="246">
        <v>400000</v>
      </c>
      <c r="M13" s="247">
        <v>200000</v>
      </c>
      <c r="N13" s="248">
        <f t="shared" si="7"/>
        <v>8622409.1999999993</v>
      </c>
      <c r="O13" s="248">
        <f t="shared" si="8"/>
        <v>0</v>
      </c>
      <c r="P13" s="246">
        <f t="shared" si="9"/>
        <v>8622409.1999999993</v>
      </c>
      <c r="Q13" s="246">
        <f t="shared" si="10"/>
        <v>250700.28750000001</v>
      </c>
      <c r="R13" s="246">
        <f t="shared" si="11"/>
        <v>200560.23</v>
      </c>
      <c r="S13" s="246">
        <f t="shared" si="12"/>
        <v>150420.17250000002</v>
      </c>
      <c r="T13" s="246">
        <f t="shared" si="13"/>
        <v>9224089.8899999987</v>
      </c>
      <c r="U13" s="246">
        <v>30000</v>
      </c>
      <c r="V13" s="246">
        <f t="shared" si="14"/>
        <v>1034689.1039999998</v>
      </c>
      <c r="W13" s="246">
        <f t="shared" si="15"/>
        <v>54151.2621</v>
      </c>
      <c r="X13" s="246">
        <f t="shared" si="16"/>
        <v>603600</v>
      </c>
      <c r="Y13" s="248">
        <v>6000</v>
      </c>
      <c r="Z13" s="248">
        <f t="shared" si="17"/>
        <v>10952530.256099999</v>
      </c>
      <c r="AA13" s="249" t="s">
        <v>487</v>
      </c>
      <c r="AB13" s="250"/>
      <c r="AC13" s="250"/>
      <c r="AD13" s="250"/>
      <c r="AE13" s="250"/>
      <c r="AF13" s="251">
        <v>164</v>
      </c>
      <c r="AG13" s="252" t="s">
        <v>497</v>
      </c>
      <c r="AH13" s="251" t="s">
        <v>40</v>
      </c>
      <c r="AI13" s="253" t="s">
        <v>45</v>
      </c>
      <c r="AJ13" s="253" t="s">
        <v>453</v>
      </c>
    </row>
    <row r="14" spans="1:36" ht="15.75" customHeight="1" x14ac:dyDescent="0.2">
      <c r="A14" s="254" t="s">
        <v>498</v>
      </c>
      <c r="B14" s="155">
        <v>79.180000000000007</v>
      </c>
      <c r="C14" s="155">
        <v>53.16</v>
      </c>
      <c r="D14" s="156">
        <f t="shared" si="1"/>
        <v>572.2142399999999</v>
      </c>
      <c r="E14" s="155">
        <v>26.02</v>
      </c>
      <c r="F14" s="156">
        <f t="shared" si="2"/>
        <v>280.07927999999998</v>
      </c>
      <c r="G14" s="156">
        <v>0</v>
      </c>
      <c r="H14" s="156">
        <f t="shared" si="3"/>
        <v>0</v>
      </c>
      <c r="I14" s="156">
        <f t="shared" si="4"/>
        <v>852.29351999999994</v>
      </c>
      <c r="J14" s="156">
        <f t="shared" si="5"/>
        <v>1235.8256039999999</v>
      </c>
      <c r="K14" s="158">
        <f t="shared" si="6"/>
        <v>9886604.8319999985</v>
      </c>
      <c r="L14" s="158">
        <v>400000</v>
      </c>
      <c r="M14" s="159">
        <v>400000</v>
      </c>
      <c r="N14" s="160">
        <f t="shared" si="7"/>
        <v>10686604.831999999</v>
      </c>
      <c r="O14" s="160">
        <f t="shared" si="8"/>
        <v>0</v>
      </c>
      <c r="P14" s="158">
        <f t="shared" si="9"/>
        <v>10686604.831999999</v>
      </c>
      <c r="Q14" s="158">
        <f t="shared" si="10"/>
        <v>308956.40099999995</v>
      </c>
      <c r="R14" s="158">
        <f t="shared" si="11"/>
        <v>247165.12079999998</v>
      </c>
      <c r="S14" s="158">
        <f t="shared" si="12"/>
        <v>185373.8406</v>
      </c>
      <c r="T14" s="158">
        <f t="shared" si="13"/>
        <v>11428100.194399999</v>
      </c>
      <c r="U14" s="158">
        <v>30000</v>
      </c>
      <c r="V14" s="158">
        <f t="shared" si="14"/>
        <v>1282392.5798399998</v>
      </c>
      <c r="W14" s="158">
        <f t="shared" si="15"/>
        <v>66734.582615999985</v>
      </c>
      <c r="X14" s="158">
        <f t="shared" si="16"/>
        <v>748100</v>
      </c>
      <c r="Y14" s="160">
        <v>6000</v>
      </c>
      <c r="Z14" s="160">
        <f t="shared" si="17"/>
        <v>13561327.356855998</v>
      </c>
      <c r="AA14" s="154" t="s">
        <v>487</v>
      </c>
      <c r="AB14" s="161"/>
      <c r="AC14" s="161"/>
      <c r="AD14" s="161"/>
      <c r="AE14" s="161"/>
      <c r="AF14" s="255">
        <v>165</v>
      </c>
      <c r="AG14" s="256" t="s">
        <v>499</v>
      </c>
      <c r="AH14" s="255" t="s">
        <v>40</v>
      </c>
      <c r="AI14" s="162" t="s">
        <v>45</v>
      </c>
      <c r="AJ14" s="162" t="s">
        <v>453</v>
      </c>
    </row>
    <row r="15" spans="1:36" ht="15.75" customHeight="1" x14ac:dyDescent="0.2">
      <c r="A15" s="254" t="s">
        <v>500</v>
      </c>
      <c r="B15" s="155">
        <v>87.91</v>
      </c>
      <c r="C15" s="156">
        <v>74.92</v>
      </c>
      <c r="D15" s="156">
        <f t="shared" si="1"/>
        <v>806.43887999999993</v>
      </c>
      <c r="E15" s="155">
        <v>12.99</v>
      </c>
      <c r="F15" s="156">
        <f t="shared" si="2"/>
        <v>139.82435999999998</v>
      </c>
      <c r="G15" s="156">
        <v>0</v>
      </c>
      <c r="H15" s="156">
        <f t="shared" si="3"/>
        <v>0</v>
      </c>
      <c r="I15" s="156">
        <f t="shared" si="4"/>
        <v>946.26323999999988</v>
      </c>
      <c r="J15" s="156">
        <f t="shared" si="5"/>
        <v>1372.0816979999997</v>
      </c>
      <c r="K15" s="158">
        <f t="shared" si="6"/>
        <v>10976653.583999997</v>
      </c>
      <c r="L15" s="158">
        <v>400000</v>
      </c>
      <c r="M15" s="159">
        <v>400000</v>
      </c>
      <c r="N15" s="160">
        <f t="shared" si="7"/>
        <v>11776653.583999997</v>
      </c>
      <c r="O15" s="160">
        <f t="shared" si="8"/>
        <v>0</v>
      </c>
      <c r="P15" s="158">
        <f t="shared" si="9"/>
        <v>11776653.583999997</v>
      </c>
      <c r="Q15" s="158">
        <f t="shared" si="10"/>
        <v>343020.42449999991</v>
      </c>
      <c r="R15" s="158">
        <f t="shared" si="11"/>
        <v>274416.33959999995</v>
      </c>
      <c r="S15" s="158">
        <f t="shared" si="12"/>
        <v>205812.25469999996</v>
      </c>
      <c r="T15" s="158">
        <f t="shared" si="13"/>
        <v>12599902.602799997</v>
      </c>
      <c r="U15" s="158">
        <v>30000</v>
      </c>
      <c r="V15" s="158">
        <f t="shared" si="14"/>
        <v>1413198.4300799996</v>
      </c>
      <c r="W15" s="158">
        <f t="shared" si="15"/>
        <v>74092.41169199998</v>
      </c>
      <c r="X15" s="158">
        <f t="shared" si="16"/>
        <v>824400</v>
      </c>
      <c r="Y15" s="160">
        <v>6000</v>
      </c>
      <c r="Z15" s="160">
        <f t="shared" si="17"/>
        <v>14947593.444571996</v>
      </c>
      <c r="AA15" s="154" t="s">
        <v>487</v>
      </c>
      <c r="AB15" s="161"/>
      <c r="AC15" s="161"/>
      <c r="AD15" s="161"/>
      <c r="AE15" s="161"/>
      <c r="AF15" s="255" t="s">
        <v>501</v>
      </c>
      <c r="AG15" s="256" t="s">
        <v>502</v>
      </c>
      <c r="AH15" s="255" t="s">
        <v>45</v>
      </c>
      <c r="AI15" s="162" t="s">
        <v>45</v>
      </c>
      <c r="AJ15" s="162" t="s">
        <v>453</v>
      </c>
    </row>
    <row r="16" spans="1:36" ht="15.75" customHeight="1" x14ac:dyDescent="0.2">
      <c r="A16" s="244" t="s">
        <v>387</v>
      </c>
      <c r="B16" s="245">
        <f t="shared" ref="B16:B28" si="18">C16+E16+G16</f>
        <v>65.930000000000007</v>
      </c>
      <c r="C16" s="245">
        <v>56.78</v>
      </c>
      <c r="D16" s="245">
        <f t="shared" si="1"/>
        <v>611.17991999999992</v>
      </c>
      <c r="E16" s="245">
        <v>9.15</v>
      </c>
      <c r="F16" s="245">
        <f t="shared" si="2"/>
        <v>98.490600000000001</v>
      </c>
      <c r="G16" s="245">
        <v>0</v>
      </c>
      <c r="H16" s="245">
        <f t="shared" si="3"/>
        <v>0</v>
      </c>
      <c r="I16" s="245">
        <f t="shared" si="4"/>
        <v>709.6705199999999</v>
      </c>
      <c r="J16" s="245">
        <f t="shared" si="5"/>
        <v>1029.0222539999997</v>
      </c>
      <c r="K16" s="246">
        <f t="shared" si="6"/>
        <v>8232178.0319999978</v>
      </c>
      <c r="L16" s="246">
        <v>400000</v>
      </c>
      <c r="M16" s="247">
        <v>200000</v>
      </c>
      <c r="N16" s="248">
        <f t="shared" si="7"/>
        <v>8832178.0319999978</v>
      </c>
      <c r="O16" s="248">
        <f t="shared" si="8"/>
        <v>0</v>
      </c>
      <c r="P16" s="246">
        <f t="shared" si="9"/>
        <v>8832178.0319999978</v>
      </c>
      <c r="Q16" s="246">
        <f t="shared" si="10"/>
        <v>257255.56349999993</v>
      </c>
      <c r="R16" s="246">
        <f t="shared" si="11"/>
        <v>205804.45079999996</v>
      </c>
      <c r="S16" s="246">
        <f t="shared" si="12"/>
        <v>154353.33809999996</v>
      </c>
      <c r="T16" s="246">
        <f t="shared" si="13"/>
        <v>9449591.3843999971</v>
      </c>
      <c r="U16" s="246">
        <v>30000</v>
      </c>
      <c r="V16" s="246">
        <f t="shared" si="14"/>
        <v>1059861.3638399998</v>
      </c>
      <c r="W16" s="246">
        <f t="shared" si="15"/>
        <v>55567.201715999981</v>
      </c>
      <c r="X16" s="246">
        <f t="shared" si="16"/>
        <v>618300</v>
      </c>
      <c r="Y16" s="248">
        <v>6000</v>
      </c>
      <c r="Z16" s="248">
        <f t="shared" si="17"/>
        <v>11219319.949955998</v>
      </c>
      <c r="AA16" s="249" t="s">
        <v>487</v>
      </c>
      <c r="AB16" s="250"/>
      <c r="AC16" s="250"/>
      <c r="AD16" s="250"/>
      <c r="AE16" s="250"/>
      <c r="AF16" s="251">
        <v>166</v>
      </c>
      <c r="AG16" s="252" t="s">
        <v>503</v>
      </c>
      <c r="AH16" s="251" t="s">
        <v>40</v>
      </c>
      <c r="AI16" s="253" t="s">
        <v>45</v>
      </c>
      <c r="AJ16" s="253" t="s">
        <v>453</v>
      </c>
    </row>
    <row r="17" spans="1:36" ht="15.75" customHeight="1" x14ac:dyDescent="0.2">
      <c r="A17" s="244" t="s">
        <v>389</v>
      </c>
      <c r="B17" s="245">
        <f t="shared" si="18"/>
        <v>51.07</v>
      </c>
      <c r="C17" s="245">
        <v>44.52</v>
      </c>
      <c r="D17" s="245">
        <f t="shared" si="1"/>
        <v>479.21328</v>
      </c>
      <c r="E17" s="245">
        <v>6.55</v>
      </c>
      <c r="F17" s="245">
        <f t="shared" si="2"/>
        <v>70.504199999999997</v>
      </c>
      <c r="G17" s="245">
        <v>0</v>
      </c>
      <c r="H17" s="245">
        <f t="shared" si="3"/>
        <v>0</v>
      </c>
      <c r="I17" s="245">
        <f t="shared" si="4"/>
        <v>549.71748000000002</v>
      </c>
      <c r="J17" s="245">
        <f t="shared" si="5"/>
        <v>797.09034599999995</v>
      </c>
      <c r="K17" s="246">
        <f t="shared" si="6"/>
        <v>6376722.7679999992</v>
      </c>
      <c r="L17" s="246">
        <v>300000</v>
      </c>
      <c r="M17" s="247">
        <v>200000</v>
      </c>
      <c r="N17" s="248">
        <f t="shared" si="7"/>
        <v>6876722.7679999992</v>
      </c>
      <c r="O17" s="248">
        <f t="shared" si="8"/>
        <v>0</v>
      </c>
      <c r="P17" s="246">
        <f t="shared" si="9"/>
        <v>6876722.7679999992</v>
      </c>
      <c r="Q17" s="246">
        <f t="shared" si="10"/>
        <v>199272.58649999998</v>
      </c>
      <c r="R17" s="246">
        <f t="shared" si="11"/>
        <v>159418.0692</v>
      </c>
      <c r="S17" s="246">
        <f t="shared" si="12"/>
        <v>119563.55189999999</v>
      </c>
      <c r="T17" s="246">
        <f t="shared" si="13"/>
        <v>7354976.9755999995</v>
      </c>
      <c r="U17" s="246">
        <v>30000</v>
      </c>
      <c r="V17" s="246">
        <f t="shared" si="14"/>
        <v>825206.7321599999</v>
      </c>
      <c r="W17" s="246">
        <f t="shared" si="15"/>
        <v>43042.878683999996</v>
      </c>
      <c r="X17" s="246">
        <f t="shared" si="16"/>
        <v>481400</v>
      </c>
      <c r="Y17" s="248">
        <v>6000</v>
      </c>
      <c r="Z17" s="248">
        <f t="shared" si="17"/>
        <v>8740626.5864439998</v>
      </c>
      <c r="AA17" s="249" t="s">
        <v>487</v>
      </c>
      <c r="AB17" s="250"/>
      <c r="AC17" s="250"/>
      <c r="AD17" s="250"/>
      <c r="AE17" s="250"/>
      <c r="AF17" s="251">
        <v>204</v>
      </c>
      <c r="AG17" s="252" t="s">
        <v>504</v>
      </c>
      <c r="AH17" s="251" t="s">
        <v>65</v>
      </c>
      <c r="AI17" s="253" t="s">
        <v>45</v>
      </c>
      <c r="AJ17" s="253" t="s">
        <v>462</v>
      </c>
    </row>
    <row r="18" spans="1:36" ht="15.75" customHeight="1" x14ac:dyDescent="0.2">
      <c r="A18" s="244" t="s">
        <v>394</v>
      </c>
      <c r="B18" s="245">
        <f t="shared" si="18"/>
        <v>51.07</v>
      </c>
      <c r="C18" s="245">
        <v>44.52</v>
      </c>
      <c r="D18" s="245">
        <f t="shared" si="1"/>
        <v>479.21328</v>
      </c>
      <c r="E18" s="245">
        <v>6.55</v>
      </c>
      <c r="F18" s="245">
        <f t="shared" si="2"/>
        <v>70.504199999999997</v>
      </c>
      <c r="G18" s="245">
        <v>0</v>
      </c>
      <c r="H18" s="245">
        <f t="shared" si="3"/>
        <v>0</v>
      </c>
      <c r="I18" s="245">
        <f t="shared" si="4"/>
        <v>549.71748000000002</v>
      </c>
      <c r="J18" s="245">
        <f t="shared" si="5"/>
        <v>797.09034599999995</v>
      </c>
      <c r="K18" s="246">
        <f t="shared" si="6"/>
        <v>6376722.7679999992</v>
      </c>
      <c r="L18" s="246">
        <v>300000</v>
      </c>
      <c r="M18" s="247">
        <v>200000</v>
      </c>
      <c r="N18" s="248">
        <f t="shared" si="7"/>
        <v>6876722.7679999992</v>
      </c>
      <c r="O18" s="248">
        <f t="shared" si="8"/>
        <v>0</v>
      </c>
      <c r="P18" s="246">
        <f t="shared" si="9"/>
        <v>6876722.7679999992</v>
      </c>
      <c r="Q18" s="246">
        <f t="shared" si="10"/>
        <v>199272.58649999998</v>
      </c>
      <c r="R18" s="246">
        <f t="shared" si="11"/>
        <v>159418.0692</v>
      </c>
      <c r="S18" s="246">
        <f t="shared" si="12"/>
        <v>119563.55189999999</v>
      </c>
      <c r="T18" s="246">
        <f t="shared" si="13"/>
        <v>7354976.9755999995</v>
      </c>
      <c r="U18" s="246">
        <v>30000</v>
      </c>
      <c r="V18" s="246">
        <f t="shared" si="14"/>
        <v>825206.7321599999</v>
      </c>
      <c r="W18" s="246">
        <f t="shared" si="15"/>
        <v>43042.878683999996</v>
      </c>
      <c r="X18" s="246">
        <f t="shared" si="16"/>
        <v>481400</v>
      </c>
      <c r="Y18" s="248">
        <v>6000</v>
      </c>
      <c r="Z18" s="248">
        <f t="shared" si="17"/>
        <v>8740626.5864439998</v>
      </c>
      <c r="AA18" s="249" t="s">
        <v>487</v>
      </c>
      <c r="AB18" s="250"/>
      <c r="AC18" s="250"/>
      <c r="AD18" s="250"/>
      <c r="AE18" s="250"/>
      <c r="AF18" s="251">
        <v>205</v>
      </c>
      <c r="AG18" s="252" t="s">
        <v>505</v>
      </c>
      <c r="AH18" s="251" t="s">
        <v>65</v>
      </c>
      <c r="AI18" s="253" t="s">
        <v>45</v>
      </c>
      <c r="AJ18" s="253" t="s">
        <v>462</v>
      </c>
    </row>
    <row r="19" spans="1:36" ht="15.75" customHeight="1" x14ac:dyDescent="0.2">
      <c r="A19" s="244" t="s">
        <v>395</v>
      </c>
      <c r="B19" s="245">
        <f t="shared" si="18"/>
        <v>40.78</v>
      </c>
      <c r="C19" s="245">
        <v>36.04</v>
      </c>
      <c r="D19" s="245">
        <f t="shared" si="1"/>
        <v>387.93455999999998</v>
      </c>
      <c r="E19" s="245">
        <v>4.74</v>
      </c>
      <c r="F19" s="245">
        <f t="shared" si="2"/>
        <v>51.021360000000001</v>
      </c>
      <c r="G19" s="245">
        <v>0</v>
      </c>
      <c r="H19" s="245">
        <f t="shared" si="3"/>
        <v>0</v>
      </c>
      <c r="I19" s="245">
        <f t="shared" si="4"/>
        <v>438.95591999999999</v>
      </c>
      <c r="J19" s="245">
        <f t="shared" si="5"/>
        <v>636.48608400000001</v>
      </c>
      <c r="K19" s="246">
        <f t="shared" si="6"/>
        <v>5091888.6720000003</v>
      </c>
      <c r="L19" s="246">
        <v>300000</v>
      </c>
      <c r="M19" s="247">
        <v>200000</v>
      </c>
      <c r="N19" s="248">
        <f t="shared" si="7"/>
        <v>5591888.6720000003</v>
      </c>
      <c r="O19" s="248">
        <f t="shared" si="8"/>
        <v>0</v>
      </c>
      <c r="P19" s="246">
        <f t="shared" si="9"/>
        <v>5591888.6720000003</v>
      </c>
      <c r="Q19" s="246">
        <f t="shared" si="10"/>
        <v>159121.52100000001</v>
      </c>
      <c r="R19" s="246">
        <f t="shared" si="11"/>
        <v>127297.21679999999</v>
      </c>
      <c r="S19" s="246">
        <f t="shared" si="12"/>
        <v>95472.912599999996</v>
      </c>
      <c r="T19" s="246">
        <f t="shared" si="13"/>
        <v>5973780.3223999999</v>
      </c>
      <c r="U19" s="246">
        <v>30000</v>
      </c>
      <c r="V19" s="246">
        <f t="shared" si="14"/>
        <v>671026.64064</v>
      </c>
      <c r="W19" s="246">
        <f t="shared" si="15"/>
        <v>34370.248535999999</v>
      </c>
      <c r="X19" s="246">
        <f t="shared" si="16"/>
        <v>391500</v>
      </c>
      <c r="Y19" s="248">
        <v>6000</v>
      </c>
      <c r="Z19" s="248">
        <f t="shared" si="17"/>
        <v>7106677.2115759999</v>
      </c>
      <c r="AA19" s="249" t="s">
        <v>487</v>
      </c>
      <c r="AB19" s="250"/>
      <c r="AC19" s="250"/>
      <c r="AD19" s="250"/>
      <c r="AE19" s="250"/>
      <c r="AF19" s="251">
        <v>206</v>
      </c>
      <c r="AG19" s="252" t="s">
        <v>506</v>
      </c>
      <c r="AH19" s="251" t="s">
        <v>65</v>
      </c>
      <c r="AI19" s="253" t="s">
        <v>45</v>
      </c>
      <c r="AJ19" s="253" t="s">
        <v>462</v>
      </c>
    </row>
    <row r="20" spans="1:36" ht="15.75" customHeight="1" x14ac:dyDescent="0.2">
      <c r="A20" s="244" t="s">
        <v>401</v>
      </c>
      <c r="B20" s="245">
        <f t="shared" si="18"/>
        <v>71.070000000000007</v>
      </c>
      <c r="C20" s="245">
        <v>61.02</v>
      </c>
      <c r="D20" s="245">
        <f t="shared" si="1"/>
        <v>656.81928000000005</v>
      </c>
      <c r="E20" s="245">
        <v>10.050000000000001</v>
      </c>
      <c r="F20" s="245">
        <f t="shared" si="2"/>
        <v>108.1782</v>
      </c>
      <c r="G20" s="245">
        <v>0</v>
      </c>
      <c r="H20" s="245">
        <f t="shared" si="3"/>
        <v>0</v>
      </c>
      <c r="I20" s="245">
        <f t="shared" si="4"/>
        <v>764.99748</v>
      </c>
      <c r="J20" s="245">
        <f t="shared" si="5"/>
        <v>1109.2463459999999</v>
      </c>
      <c r="K20" s="246">
        <f t="shared" si="6"/>
        <v>8873970.7679999992</v>
      </c>
      <c r="L20" s="246">
        <v>400000</v>
      </c>
      <c r="M20" s="247">
        <v>200000</v>
      </c>
      <c r="N20" s="248">
        <f t="shared" si="7"/>
        <v>9473970.7679999992</v>
      </c>
      <c r="O20" s="248">
        <f t="shared" si="8"/>
        <v>0</v>
      </c>
      <c r="P20" s="246">
        <f t="shared" si="9"/>
        <v>9473970.7679999992</v>
      </c>
      <c r="Q20" s="246">
        <f t="shared" si="10"/>
        <v>277311.58649999998</v>
      </c>
      <c r="R20" s="246">
        <f t="shared" si="11"/>
        <v>221849.26919999998</v>
      </c>
      <c r="S20" s="246">
        <f t="shared" si="12"/>
        <v>166386.95189999999</v>
      </c>
      <c r="T20" s="246">
        <f t="shared" si="13"/>
        <v>10139518.5756</v>
      </c>
      <c r="U20" s="246">
        <v>30000</v>
      </c>
      <c r="V20" s="246">
        <f t="shared" si="14"/>
        <v>1136876.4921599999</v>
      </c>
      <c r="W20" s="246">
        <f t="shared" si="15"/>
        <v>59899.302683999995</v>
      </c>
      <c r="X20" s="246">
        <f t="shared" si="16"/>
        <v>663200</v>
      </c>
      <c r="Y20" s="248">
        <v>6000</v>
      </c>
      <c r="Z20" s="248">
        <f t="shared" si="17"/>
        <v>12035494.370444</v>
      </c>
      <c r="AA20" s="249" t="s">
        <v>487</v>
      </c>
      <c r="AB20" s="250"/>
      <c r="AC20" s="250"/>
      <c r="AD20" s="250"/>
      <c r="AE20" s="250"/>
      <c r="AF20" s="251">
        <v>167</v>
      </c>
      <c r="AG20" s="252" t="s">
        <v>507</v>
      </c>
      <c r="AH20" s="251" t="s">
        <v>40</v>
      </c>
      <c r="AI20" s="253" t="s">
        <v>45</v>
      </c>
      <c r="AJ20" s="253" t="s">
        <v>453</v>
      </c>
    </row>
    <row r="21" spans="1:36" ht="15.75" customHeight="1" x14ac:dyDescent="0.2">
      <c r="A21" s="244" t="s">
        <v>402</v>
      </c>
      <c r="B21" s="245">
        <f t="shared" si="18"/>
        <v>109.32000000000001</v>
      </c>
      <c r="C21" s="245">
        <v>70</v>
      </c>
      <c r="D21" s="245">
        <f t="shared" si="1"/>
        <v>753.4799999999999</v>
      </c>
      <c r="E21" s="245">
        <v>11.9</v>
      </c>
      <c r="F21" s="245">
        <f t="shared" si="2"/>
        <v>128.0916</v>
      </c>
      <c r="G21" s="245">
        <v>27.42</v>
      </c>
      <c r="H21" s="245">
        <f t="shared" si="3"/>
        <v>295.14888000000002</v>
      </c>
      <c r="I21" s="245">
        <f t="shared" si="4"/>
        <v>1176.72048</v>
      </c>
      <c r="J21" s="245">
        <f t="shared" si="5"/>
        <v>1492.2617579999996</v>
      </c>
      <c r="K21" s="246">
        <f t="shared" si="6"/>
        <v>11938094.063999997</v>
      </c>
      <c r="L21" s="246">
        <v>400000</v>
      </c>
      <c r="M21" s="247">
        <v>400000</v>
      </c>
      <c r="N21" s="248">
        <f t="shared" si="7"/>
        <v>12738094.063999997</v>
      </c>
      <c r="O21" s="248">
        <f t="shared" si="8"/>
        <v>0</v>
      </c>
      <c r="P21" s="246">
        <f t="shared" si="9"/>
        <v>12738094.063999997</v>
      </c>
      <c r="Q21" s="246">
        <f t="shared" si="10"/>
        <v>373065.43949999992</v>
      </c>
      <c r="R21" s="246">
        <f t="shared" si="11"/>
        <v>298452.35159999994</v>
      </c>
      <c r="S21" s="246">
        <f t="shared" si="12"/>
        <v>223839.26369999995</v>
      </c>
      <c r="T21" s="246">
        <f t="shared" si="13"/>
        <v>13633451.118799997</v>
      </c>
      <c r="U21" s="246">
        <v>30000</v>
      </c>
      <c r="V21" s="246">
        <f t="shared" si="14"/>
        <v>1528571.2876799996</v>
      </c>
      <c r="W21" s="246">
        <f t="shared" si="15"/>
        <v>80582.134931999986</v>
      </c>
      <c r="X21" s="246">
        <f t="shared" si="16"/>
        <v>891700</v>
      </c>
      <c r="Y21" s="248">
        <v>6000</v>
      </c>
      <c r="Z21" s="248">
        <f t="shared" si="17"/>
        <v>16170304.541411998</v>
      </c>
      <c r="AA21" s="249" t="s">
        <v>487</v>
      </c>
      <c r="AB21" s="250"/>
      <c r="AC21" s="250"/>
      <c r="AD21" s="250"/>
      <c r="AE21" s="250"/>
      <c r="AF21" s="251">
        <v>168</v>
      </c>
      <c r="AG21" s="252" t="s">
        <v>508</v>
      </c>
      <c r="AH21" s="251" t="s">
        <v>40</v>
      </c>
      <c r="AI21" s="253" t="s">
        <v>45</v>
      </c>
      <c r="AJ21" s="253" t="s">
        <v>453</v>
      </c>
    </row>
    <row r="22" spans="1:36" ht="15.75" customHeight="1" x14ac:dyDescent="0.2">
      <c r="A22" s="244" t="s">
        <v>408</v>
      </c>
      <c r="B22" s="245">
        <f t="shared" si="18"/>
        <v>50.22</v>
      </c>
      <c r="C22" s="245">
        <v>43.82</v>
      </c>
      <c r="D22" s="245">
        <f t="shared" si="1"/>
        <v>471.67847999999998</v>
      </c>
      <c r="E22" s="245">
        <v>6.4</v>
      </c>
      <c r="F22" s="245">
        <f t="shared" si="2"/>
        <v>68.889600000000002</v>
      </c>
      <c r="G22" s="245">
        <v>0</v>
      </c>
      <c r="H22" s="245">
        <f t="shared" si="3"/>
        <v>0</v>
      </c>
      <c r="I22" s="245">
        <f t="shared" si="4"/>
        <v>540.56808000000001</v>
      </c>
      <c r="J22" s="245">
        <f t="shared" si="5"/>
        <v>783.82371599999999</v>
      </c>
      <c r="K22" s="246">
        <f t="shared" si="6"/>
        <v>6270589.7280000001</v>
      </c>
      <c r="L22" s="246">
        <v>300000</v>
      </c>
      <c r="M22" s="247">
        <v>200000</v>
      </c>
      <c r="N22" s="248">
        <f t="shared" si="7"/>
        <v>6770589.7280000001</v>
      </c>
      <c r="O22" s="248">
        <f t="shared" si="8"/>
        <v>0</v>
      </c>
      <c r="P22" s="246">
        <f t="shared" si="9"/>
        <v>6770589.7280000001</v>
      </c>
      <c r="Q22" s="246">
        <f t="shared" si="10"/>
        <v>195955.929</v>
      </c>
      <c r="R22" s="246">
        <f t="shared" si="11"/>
        <v>156764.7432</v>
      </c>
      <c r="S22" s="246">
        <f t="shared" si="12"/>
        <v>117573.55740000001</v>
      </c>
      <c r="T22" s="246">
        <f t="shared" si="13"/>
        <v>7240883.9576000003</v>
      </c>
      <c r="U22" s="246">
        <v>30000</v>
      </c>
      <c r="V22" s="246">
        <f t="shared" si="14"/>
        <v>812470.76735999994</v>
      </c>
      <c r="W22" s="246">
        <f t="shared" si="15"/>
        <v>42326.480664000002</v>
      </c>
      <c r="X22" s="246">
        <f t="shared" si="16"/>
        <v>474000</v>
      </c>
      <c r="Y22" s="248">
        <v>6000</v>
      </c>
      <c r="Z22" s="248">
        <f t="shared" si="17"/>
        <v>8605681.2056239992</v>
      </c>
      <c r="AA22" s="249" t="s">
        <v>487</v>
      </c>
      <c r="AB22" s="250"/>
      <c r="AC22" s="250"/>
      <c r="AD22" s="250"/>
      <c r="AE22" s="250"/>
      <c r="AF22" s="251">
        <v>207</v>
      </c>
      <c r="AG22" s="252" t="s">
        <v>509</v>
      </c>
      <c r="AH22" s="251" t="s">
        <v>65</v>
      </c>
      <c r="AI22" s="253" t="s">
        <v>45</v>
      </c>
      <c r="AJ22" s="253" t="s">
        <v>462</v>
      </c>
    </row>
    <row r="23" spans="1:36" ht="15.75" customHeight="1" x14ac:dyDescent="0.2">
      <c r="A23" s="244" t="s">
        <v>411</v>
      </c>
      <c r="B23" s="245">
        <f t="shared" si="18"/>
        <v>41.21</v>
      </c>
      <c r="C23" s="245">
        <v>36.39</v>
      </c>
      <c r="D23" s="245">
        <f t="shared" si="1"/>
        <v>391.70195999999999</v>
      </c>
      <c r="E23" s="245">
        <v>4.82</v>
      </c>
      <c r="F23" s="245">
        <f t="shared" si="2"/>
        <v>51.882480000000001</v>
      </c>
      <c r="G23" s="245">
        <v>0</v>
      </c>
      <c r="H23" s="245">
        <f t="shared" si="3"/>
        <v>0</v>
      </c>
      <c r="I23" s="245">
        <f t="shared" si="4"/>
        <v>443.58443999999997</v>
      </c>
      <c r="J23" s="245">
        <f t="shared" si="5"/>
        <v>643.19743799999992</v>
      </c>
      <c r="K23" s="246">
        <f t="shared" si="6"/>
        <v>5145579.5039999997</v>
      </c>
      <c r="L23" s="246">
        <v>300000</v>
      </c>
      <c r="M23" s="247">
        <v>200000</v>
      </c>
      <c r="N23" s="248">
        <f t="shared" si="7"/>
        <v>5645579.5039999997</v>
      </c>
      <c r="O23" s="248">
        <f t="shared" si="8"/>
        <v>0</v>
      </c>
      <c r="P23" s="246">
        <f t="shared" si="9"/>
        <v>5645579.5039999997</v>
      </c>
      <c r="Q23" s="246">
        <f t="shared" si="10"/>
        <v>160799.35949999999</v>
      </c>
      <c r="R23" s="246">
        <f t="shared" si="11"/>
        <v>128639.48759999998</v>
      </c>
      <c r="S23" s="246">
        <f t="shared" si="12"/>
        <v>96479.615699999995</v>
      </c>
      <c r="T23" s="246">
        <f t="shared" si="13"/>
        <v>6031497.9667999996</v>
      </c>
      <c r="U23" s="246">
        <v>30000</v>
      </c>
      <c r="V23" s="246">
        <f t="shared" si="14"/>
        <v>677469.54047999997</v>
      </c>
      <c r="W23" s="246">
        <f t="shared" si="15"/>
        <v>34732.661651999995</v>
      </c>
      <c r="X23" s="246">
        <f t="shared" si="16"/>
        <v>395200</v>
      </c>
      <c r="Y23" s="248">
        <v>6000</v>
      </c>
      <c r="Z23" s="248">
        <f t="shared" si="17"/>
        <v>7174900.1689319992</v>
      </c>
      <c r="AA23" s="249" t="s">
        <v>487</v>
      </c>
      <c r="AB23" s="250"/>
      <c r="AC23" s="250"/>
      <c r="AD23" s="250"/>
      <c r="AE23" s="250"/>
      <c r="AF23" s="251">
        <v>208</v>
      </c>
      <c r="AG23" s="252" t="s">
        <v>510</v>
      </c>
      <c r="AH23" s="251" t="s">
        <v>65</v>
      </c>
      <c r="AI23" s="253" t="s">
        <v>45</v>
      </c>
      <c r="AJ23" s="253" t="s">
        <v>462</v>
      </c>
    </row>
    <row r="24" spans="1:36" ht="15.75" customHeight="1" x14ac:dyDescent="0.2">
      <c r="A24" s="244" t="s">
        <v>413</v>
      </c>
      <c r="B24" s="245">
        <f t="shared" si="18"/>
        <v>41.21</v>
      </c>
      <c r="C24" s="245">
        <v>36.39</v>
      </c>
      <c r="D24" s="245">
        <f t="shared" si="1"/>
        <v>391.70195999999999</v>
      </c>
      <c r="E24" s="245">
        <v>4.82</v>
      </c>
      <c r="F24" s="245">
        <f t="shared" si="2"/>
        <v>51.882480000000001</v>
      </c>
      <c r="G24" s="245">
        <v>0</v>
      </c>
      <c r="H24" s="245">
        <f t="shared" si="3"/>
        <v>0</v>
      </c>
      <c r="I24" s="245">
        <f t="shared" si="4"/>
        <v>443.58443999999997</v>
      </c>
      <c r="J24" s="245">
        <f t="shared" si="5"/>
        <v>643.19743799999992</v>
      </c>
      <c r="K24" s="246">
        <f t="shared" si="6"/>
        <v>5145579.5039999997</v>
      </c>
      <c r="L24" s="246">
        <v>300000</v>
      </c>
      <c r="M24" s="247">
        <v>200000</v>
      </c>
      <c r="N24" s="248">
        <f t="shared" si="7"/>
        <v>5645579.5039999997</v>
      </c>
      <c r="O24" s="248">
        <f t="shared" si="8"/>
        <v>0</v>
      </c>
      <c r="P24" s="246">
        <f t="shared" si="9"/>
        <v>5645579.5039999997</v>
      </c>
      <c r="Q24" s="246">
        <f t="shared" si="10"/>
        <v>160799.35949999999</v>
      </c>
      <c r="R24" s="246">
        <f t="shared" si="11"/>
        <v>128639.48759999998</v>
      </c>
      <c r="S24" s="246">
        <f t="shared" si="12"/>
        <v>96479.615699999995</v>
      </c>
      <c r="T24" s="246">
        <f t="shared" si="13"/>
        <v>6031497.9667999996</v>
      </c>
      <c r="U24" s="246">
        <v>30000</v>
      </c>
      <c r="V24" s="246">
        <f t="shared" si="14"/>
        <v>677469.54047999997</v>
      </c>
      <c r="W24" s="246">
        <f t="shared" si="15"/>
        <v>34732.661651999995</v>
      </c>
      <c r="X24" s="246">
        <f t="shared" si="16"/>
        <v>395200</v>
      </c>
      <c r="Y24" s="248">
        <v>6000</v>
      </c>
      <c r="Z24" s="248">
        <f t="shared" si="17"/>
        <v>7174900.1689319992</v>
      </c>
      <c r="AA24" s="249" t="s">
        <v>487</v>
      </c>
      <c r="AB24" s="250"/>
      <c r="AC24" s="250"/>
      <c r="AD24" s="250"/>
      <c r="AE24" s="250"/>
      <c r="AF24" s="251">
        <v>209</v>
      </c>
      <c r="AG24" s="252" t="s">
        <v>511</v>
      </c>
      <c r="AH24" s="251" t="s">
        <v>65</v>
      </c>
      <c r="AI24" s="253" t="s">
        <v>45</v>
      </c>
      <c r="AJ24" s="253" t="s">
        <v>462</v>
      </c>
    </row>
    <row r="25" spans="1:36" ht="15.75" customHeight="1" x14ac:dyDescent="0.2">
      <c r="A25" s="257" t="s">
        <v>415</v>
      </c>
      <c r="B25" s="258">
        <f t="shared" si="18"/>
        <v>42.36</v>
      </c>
      <c r="C25" s="258">
        <v>37.340000000000003</v>
      </c>
      <c r="D25" s="259">
        <f t="shared" si="1"/>
        <v>401.92776000000003</v>
      </c>
      <c r="E25" s="258">
        <v>5.0199999999999996</v>
      </c>
      <c r="F25" s="259">
        <f t="shared" si="2"/>
        <v>54.035279999999993</v>
      </c>
      <c r="G25" s="258">
        <v>0</v>
      </c>
      <c r="H25" s="258">
        <f t="shared" si="3"/>
        <v>0</v>
      </c>
      <c r="I25" s="259">
        <f t="shared" si="4"/>
        <v>455.96304000000003</v>
      </c>
      <c r="J25" s="259">
        <f t="shared" si="5"/>
        <v>661.14640800000006</v>
      </c>
      <c r="K25" s="258">
        <f t="shared" si="6"/>
        <v>5289171.2640000004</v>
      </c>
      <c r="L25" s="258">
        <v>300000</v>
      </c>
      <c r="M25" s="260">
        <v>200000</v>
      </c>
      <c r="N25" s="258">
        <f t="shared" si="7"/>
        <v>5789171.2640000004</v>
      </c>
      <c r="O25" s="258">
        <f t="shared" si="8"/>
        <v>0</v>
      </c>
      <c r="P25" s="258">
        <f t="shared" si="9"/>
        <v>5789171.2640000004</v>
      </c>
      <c r="Q25" s="258">
        <f t="shared" si="10"/>
        <v>165286.60200000001</v>
      </c>
      <c r="R25" s="258">
        <f t="shared" si="11"/>
        <v>132229.28160000002</v>
      </c>
      <c r="S25" s="258">
        <f t="shared" si="12"/>
        <v>99171.961200000005</v>
      </c>
      <c r="T25" s="258">
        <f t="shared" si="13"/>
        <v>6185859.1088000005</v>
      </c>
      <c r="U25" s="258">
        <v>30000</v>
      </c>
      <c r="V25" s="258">
        <f t="shared" si="14"/>
        <v>694700.55168000003</v>
      </c>
      <c r="W25" s="258">
        <f t="shared" si="15"/>
        <v>35701.906031999999</v>
      </c>
      <c r="X25" s="258">
        <f t="shared" si="16"/>
        <v>405300</v>
      </c>
      <c r="Y25" s="258">
        <v>6000</v>
      </c>
      <c r="Z25" s="258">
        <f t="shared" si="17"/>
        <v>7357561.5665119998</v>
      </c>
      <c r="AA25" s="258"/>
      <c r="AB25" s="258"/>
      <c r="AC25" s="258"/>
      <c r="AD25" s="258"/>
      <c r="AE25" s="258"/>
      <c r="AF25" s="242">
        <v>210</v>
      </c>
      <c r="AG25" s="243" t="s">
        <v>512</v>
      </c>
      <c r="AH25" s="242" t="s">
        <v>65</v>
      </c>
      <c r="AI25" s="188" t="s">
        <v>45</v>
      </c>
      <c r="AJ25" s="188" t="s">
        <v>462</v>
      </c>
    </row>
    <row r="26" spans="1:36" ht="15.75" customHeight="1" x14ac:dyDescent="0.2">
      <c r="A26" s="257" t="s">
        <v>417</v>
      </c>
      <c r="B26" s="259">
        <f t="shared" si="18"/>
        <v>42.36</v>
      </c>
      <c r="C26" s="258">
        <v>37.340000000000003</v>
      </c>
      <c r="D26" s="259">
        <f t="shared" si="1"/>
        <v>401.92776000000003</v>
      </c>
      <c r="E26" s="258">
        <v>5.0199999999999996</v>
      </c>
      <c r="F26" s="259">
        <f t="shared" si="2"/>
        <v>54.035279999999993</v>
      </c>
      <c r="G26" s="258">
        <v>0</v>
      </c>
      <c r="H26" s="258">
        <f t="shared" si="3"/>
        <v>0</v>
      </c>
      <c r="I26" s="259">
        <f t="shared" si="4"/>
        <v>455.96304000000003</v>
      </c>
      <c r="J26" s="259">
        <f t="shared" si="5"/>
        <v>661.14640800000006</v>
      </c>
      <c r="K26" s="258">
        <f t="shared" si="6"/>
        <v>5289171.2640000004</v>
      </c>
      <c r="L26" s="258">
        <v>300000</v>
      </c>
      <c r="M26" s="260">
        <v>200000</v>
      </c>
      <c r="N26" s="258">
        <f t="shared" si="7"/>
        <v>5789171.2640000004</v>
      </c>
      <c r="O26" s="258">
        <f t="shared" si="8"/>
        <v>0</v>
      </c>
      <c r="P26" s="258">
        <f t="shared" si="9"/>
        <v>5789171.2640000004</v>
      </c>
      <c r="Q26" s="258">
        <f t="shared" si="10"/>
        <v>165286.60200000001</v>
      </c>
      <c r="R26" s="258">
        <f t="shared" si="11"/>
        <v>132229.28160000002</v>
      </c>
      <c r="S26" s="258">
        <f t="shared" si="12"/>
        <v>99171.961200000005</v>
      </c>
      <c r="T26" s="258">
        <f t="shared" si="13"/>
        <v>6185859.1088000005</v>
      </c>
      <c r="U26" s="258">
        <v>30000</v>
      </c>
      <c r="V26" s="258">
        <f t="shared" si="14"/>
        <v>694700.55168000003</v>
      </c>
      <c r="W26" s="258">
        <f t="shared" si="15"/>
        <v>35701.906031999999</v>
      </c>
      <c r="X26" s="258">
        <f t="shared" si="16"/>
        <v>405300</v>
      </c>
      <c r="Y26" s="258">
        <v>6000</v>
      </c>
      <c r="Z26" s="258">
        <f t="shared" si="17"/>
        <v>7357561.5665119998</v>
      </c>
      <c r="AA26" s="258"/>
      <c r="AB26" s="258"/>
      <c r="AC26" s="258"/>
      <c r="AD26" s="258"/>
      <c r="AE26" s="258"/>
      <c r="AF26" s="242">
        <v>211</v>
      </c>
      <c r="AG26" s="243" t="s">
        <v>513</v>
      </c>
      <c r="AH26" s="242" t="s">
        <v>65</v>
      </c>
      <c r="AI26" s="188" t="s">
        <v>45</v>
      </c>
      <c r="AJ26" s="188" t="s">
        <v>462</v>
      </c>
    </row>
    <row r="27" spans="1:36" ht="15.75" customHeight="1" x14ac:dyDescent="0.2">
      <c r="A27" s="257" t="s">
        <v>419</v>
      </c>
      <c r="B27" s="259">
        <f t="shared" si="18"/>
        <v>43.93</v>
      </c>
      <c r="C27" s="258">
        <v>38.630000000000003</v>
      </c>
      <c r="D27" s="259">
        <f t="shared" si="1"/>
        <v>415.81331999999998</v>
      </c>
      <c r="E27" s="258">
        <v>5.3</v>
      </c>
      <c r="F27" s="259">
        <f t="shared" si="2"/>
        <v>57.049199999999992</v>
      </c>
      <c r="G27" s="258">
        <v>0</v>
      </c>
      <c r="H27" s="258">
        <f t="shared" si="3"/>
        <v>0</v>
      </c>
      <c r="I27" s="259">
        <f t="shared" si="4"/>
        <v>472.86251999999996</v>
      </c>
      <c r="J27" s="259">
        <f t="shared" si="5"/>
        <v>685.65065399999992</v>
      </c>
      <c r="K27" s="258">
        <f t="shared" si="6"/>
        <v>5485205.2319999989</v>
      </c>
      <c r="L27" s="258">
        <v>300000</v>
      </c>
      <c r="M27" s="260">
        <v>200000</v>
      </c>
      <c r="N27" s="258">
        <f t="shared" si="7"/>
        <v>5985205.2319999989</v>
      </c>
      <c r="O27" s="258">
        <f t="shared" si="8"/>
        <v>0</v>
      </c>
      <c r="P27" s="258">
        <f t="shared" si="9"/>
        <v>5985205.2319999989</v>
      </c>
      <c r="Q27" s="258">
        <f t="shared" si="10"/>
        <v>171412.66349999997</v>
      </c>
      <c r="R27" s="258">
        <f t="shared" si="11"/>
        <v>137130.13079999998</v>
      </c>
      <c r="S27" s="258">
        <f t="shared" si="12"/>
        <v>102847.59809999999</v>
      </c>
      <c r="T27" s="258">
        <f t="shared" si="13"/>
        <v>6396595.6243999992</v>
      </c>
      <c r="U27" s="258">
        <v>30000</v>
      </c>
      <c r="V27" s="258">
        <f t="shared" si="14"/>
        <v>718224.62783999986</v>
      </c>
      <c r="W27" s="258">
        <f t="shared" si="15"/>
        <v>37025.135315999993</v>
      </c>
      <c r="X27" s="258">
        <f t="shared" si="16"/>
        <v>419000</v>
      </c>
      <c r="Y27" s="258">
        <v>6000</v>
      </c>
      <c r="Z27" s="258">
        <f t="shared" si="17"/>
        <v>7606845.3875559997</v>
      </c>
      <c r="AA27" s="258"/>
      <c r="AB27" s="258"/>
      <c r="AC27" s="258"/>
      <c r="AD27" s="258"/>
      <c r="AE27" s="258"/>
      <c r="AF27" s="242">
        <v>212</v>
      </c>
      <c r="AG27" s="243" t="s">
        <v>514</v>
      </c>
      <c r="AH27" s="242" t="s">
        <v>65</v>
      </c>
      <c r="AI27" s="188" t="s">
        <v>45</v>
      </c>
      <c r="AJ27" s="188" t="s">
        <v>462</v>
      </c>
    </row>
    <row r="28" spans="1:36" ht="15.75" customHeight="1" x14ac:dyDescent="0.2">
      <c r="A28" s="257" t="s">
        <v>421</v>
      </c>
      <c r="B28" s="259">
        <f t="shared" si="18"/>
        <v>68.28</v>
      </c>
      <c r="C28" s="258">
        <v>60.88</v>
      </c>
      <c r="D28" s="259">
        <f t="shared" si="1"/>
        <v>655.31232</v>
      </c>
      <c r="E28" s="258">
        <v>7.4</v>
      </c>
      <c r="F28" s="259">
        <f t="shared" si="2"/>
        <v>79.653599999999997</v>
      </c>
      <c r="G28" s="258">
        <v>0</v>
      </c>
      <c r="H28" s="258">
        <f t="shared" si="3"/>
        <v>0</v>
      </c>
      <c r="I28" s="259">
        <f t="shared" si="4"/>
        <v>734.96591999999998</v>
      </c>
      <c r="J28" s="259">
        <f t="shared" si="5"/>
        <v>1065.7005839999999</v>
      </c>
      <c r="K28" s="258">
        <f t="shared" si="6"/>
        <v>8525604.6720000003</v>
      </c>
      <c r="L28" s="258">
        <v>400000</v>
      </c>
      <c r="M28" s="260">
        <v>200000</v>
      </c>
      <c r="N28" s="258">
        <f t="shared" si="7"/>
        <v>9125604.6720000003</v>
      </c>
      <c r="O28" s="258">
        <f t="shared" si="8"/>
        <v>0</v>
      </c>
      <c r="P28" s="258">
        <f t="shared" si="9"/>
        <v>9125604.6720000003</v>
      </c>
      <c r="Q28" s="258">
        <f t="shared" si="10"/>
        <v>266425.14600000001</v>
      </c>
      <c r="R28" s="258">
        <f t="shared" si="11"/>
        <v>213140.11679999999</v>
      </c>
      <c r="S28" s="258">
        <f t="shared" si="12"/>
        <v>159855.0876</v>
      </c>
      <c r="T28" s="258">
        <f t="shared" si="13"/>
        <v>9765025.0224000011</v>
      </c>
      <c r="U28" s="258">
        <v>30000</v>
      </c>
      <c r="V28" s="258">
        <f t="shared" si="14"/>
        <v>1095072.56064</v>
      </c>
      <c r="W28" s="258">
        <f t="shared" si="15"/>
        <v>57547.831535999998</v>
      </c>
      <c r="X28" s="258">
        <f t="shared" si="16"/>
        <v>638800</v>
      </c>
      <c r="Y28" s="258">
        <v>6000</v>
      </c>
      <c r="Z28" s="258">
        <f t="shared" si="17"/>
        <v>11592445.414576001</v>
      </c>
      <c r="AA28" s="258"/>
      <c r="AB28" s="258"/>
      <c r="AC28" s="258"/>
      <c r="AD28" s="258"/>
      <c r="AE28" s="258"/>
      <c r="AF28" s="242">
        <v>169</v>
      </c>
      <c r="AG28" s="243" t="s">
        <v>515</v>
      </c>
      <c r="AH28" s="242" t="s">
        <v>40</v>
      </c>
      <c r="AI28" s="188" t="s">
        <v>45</v>
      </c>
      <c r="AJ28" s="188" t="s">
        <v>453</v>
      </c>
    </row>
    <row r="29" spans="1:36" ht="15.75" customHeight="1" x14ac:dyDescent="0.2">
      <c r="A29" s="261"/>
      <c r="B29" s="261">
        <f t="shared" ref="B29:E29" si="19">SUM(B4:B28)</f>
        <v>1787.53</v>
      </c>
      <c r="C29" s="261">
        <f t="shared" si="19"/>
        <v>1513.5800000000002</v>
      </c>
      <c r="D29" s="261">
        <f t="shared" si="19"/>
        <v>16292.17512</v>
      </c>
      <c r="E29" s="261">
        <f t="shared" si="19"/>
        <v>246.53000000000009</v>
      </c>
      <c r="F29" s="262">
        <f t="shared" si="2"/>
        <v>2653.6489200000005</v>
      </c>
      <c r="G29" s="261">
        <f t="shared" ref="G29:J29" si="20">SUM(G4:G28)</f>
        <v>27.42</v>
      </c>
      <c r="H29" s="261">
        <f t="shared" si="20"/>
        <v>295.14888000000002</v>
      </c>
      <c r="I29" s="261">
        <f t="shared" si="20"/>
        <v>19240.972919999989</v>
      </c>
      <c r="J29" s="261">
        <f t="shared" si="20"/>
        <v>27685.427796</v>
      </c>
      <c r="K29" s="261"/>
      <c r="L29" s="261"/>
      <c r="M29" s="261"/>
      <c r="N29" s="261"/>
      <c r="O29" s="261"/>
      <c r="P29" s="261">
        <f>SUM(P4:P26)</f>
        <v>221972612.46399999</v>
      </c>
      <c r="Q29" s="261"/>
      <c r="R29" s="261"/>
      <c r="S29" s="261"/>
      <c r="T29" s="261"/>
      <c r="U29" s="261"/>
      <c r="V29" s="261"/>
      <c r="W29" s="261"/>
      <c r="X29" s="263"/>
      <c r="Y29" s="261"/>
      <c r="Z29" s="261">
        <f>SUM(Z4:Z26)</f>
        <v>281937012.0286119</v>
      </c>
      <c r="AA29" s="263"/>
      <c r="AB29" s="263"/>
      <c r="AC29" s="263"/>
      <c r="AD29" s="263"/>
      <c r="AE29" s="263"/>
      <c r="AF29" s="263"/>
      <c r="AG29" s="263"/>
      <c r="AH29" s="263"/>
      <c r="AI29" s="263"/>
    </row>
    <row r="30" spans="1:36" ht="15.75" customHeight="1" x14ac:dyDescent="0.2">
      <c r="A30" s="166"/>
      <c r="B30" s="218"/>
      <c r="C30" s="218"/>
      <c r="D30" s="41"/>
      <c r="E30" s="41"/>
      <c r="F30" s="41"/>
      <c r="G30" s="41"/>
      <c r="H30" s="41"/>
      <c r="I30" s="41"/>
      <c r="J30" s="166"/>
      <c r="K30" s="41"/>
      <c r="L30" s="41"/>
      <c r="M30" s="41"/>
      <c r="N30" s="166"/>
      <c r="O30" s="166"/>
      <c r="P30" s="41"/>
      <c r="Q30" s="41"/>
      <c r="R30" s="41"/>
      <c r="S30" s="41"/>
      <c r="T30" s="41"/>
      <c r="U30" s="41"/>
      <c r="V30" s="41"/>
      <c r="W30" s="41"/>
      <c r="X30" s="41"/>
      <c r="Y30" s="166"/>
      <c r="Z30" s="166"/>
      <c r="AA30" s="41"/>
      <c r="AB30" s="41"/>
      <c r="AC30" s="41"/>
      <c r="AD30" s="41"/>
      <c r="AE30" s="41"/>
      <c r="AF30" s="41"/>
      <c r="AG30" s="41"/>
      <c r="AH30" s="41"/>
      <c r="AI30" s="41"/>
    </row>
    <row r="31" spans="1:36" ht="15.75" customHeight="1" x14ac:dyDescent="0.2">
      <c r="A31" s="166"/>
      <c r="B31" s="218"/>
      <c r="C31" s="218"/>
      <c r="D31" s="41"/>
      <c r="E31" s="41"/>
      <c r="F31" s="41"/>
      <c r="G31" s="41"/>
      <c r="H31" s="41"/>
      <c r="I31" s="41" t="s">
        <v>516</v>
      </c>
      <c r="J31" s="166">
        <f>SUM(J25:J28)+SUM(J4:J5)</f>
        <v>8346.5832059999993</v>
      </c>
      <c r="K31" s="41"/>
      <c r="L31" s="41"/>
      <c r="M31" s="41" t="s">
        <v>0</v>
      </c>
      <c r="N31" s="166"/>
      <c r="O31" s="166"/>
      <c r="P31" s="41"/>
      <c r="Q31" s="41"/>
      <c r="R31" s="41"/>
      <c r="S31" s="41"/>
      <c r="T31" s="41"/>
      <c r="U31" s="41"/>
      <c r="V31" s="41"/>
      <c r="W31" s="41"/>
      <c r="X31" s="41"/>
      <c r="Y31" s="166"/>
      <c r="Z31" s="166"/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6" ht="15.75" customHeight="1" x14ac:dyDescent="0.2">
      <c r="A32" s="166"/>
      <c r="B32" s="218"/>
      <c r="C32" s="218"/>
      <c r="D32" s="41"/>
      <c r="E32" s="41"/>
      <c r="F32" s="41"/>
      <c r="G32" s="41"/>
      <c r="H32" s="41"/>
      <c r="I32" s="41"/>
      <c r="J32" s="166"/>
      <c r="K32" s="41"/>
      <c r="L32" s="41"/>
      <c r="M32" s="41"/>
      <c r="N32" s="166"/>
      <c r="O32" s="166"/>
      <c r="P32" s="41"/>
      <c r="Q32" s="41"/>
      <c r="R32" s="41"/>
      <c r="S32" s="41"/>
      <c r="T32" s="41"/>
      <c r="U32" s="41"/>
      <c r="V32" s="41"/>
      <c r="W32" s="41"/>
      <c r="X32" s="41"/>
      <c r="Y32" s="166"/>
      <c r="Z32" s="166"/>
      <c r="AA32" s="41"/>
      <c r="AB32" s="41"/>
      <c r="AC32" s="41"/>
      <c r="AD32" s="41"/>
      <c r="AE32" s="41"/>
      <c r="AF32" s="41"/>
      <c r="AG32" s="41"/>
      <c r="AH32" s="41"/>
      <c r="AI32" s="41"/>
    </row>
    <row r="33" spans="1:35" ht="15.75" customHeight="1" x14ac:dyDescent="0.2">
      <c r="A33" s="166"/>
      <c r="B33" s="218"/>
      <c r="C33" s="218"/>
      <c r="D33" s="41"/>
      <c r="E33" s="41"/>
      <c r="F33" s="41"/>
      <c r="G33" s="41"/>
      <c r="H33" s="41"/>
      <c r="I33" s="41" t="s">
        <v>517</v>
      </c>
      <c r="J33" s="166">
        <f>J29-J31</f>
        <v>19338.844590000001</v>
      </c>
      <c r="K33" s="41"/>
      <c r="L33" s="41"/>
      <c r="M33" s="41"/>
      <c r="N33" s="166"/>
      <c r="O33" s="166"/>
      <c r="P33" s="41"/>
      <c r="Q33" s="41"/>
      <c r="R33" s="41"/>
      <c r="S33" s="41"/>
      <c r="T33" s="41"/>
      <c r="U33" s="41"/>
      <c r="V33" s="41"/>
      <c r="W33" s="41"/>
      <c r="X33" s="41"/>
      <c r="Y33" s="166"/>
      <c r="Z33" s="166"/>
      <c r="AA33" s="41"/>
      <c r="AB33" s="41"/>
      <c r="AC33" s="41"/>
      <c r="AD33" s="41"/>
      <c r="AE33" s="41"/>
      <c r="AF33" s="41"/>
      <c r="AG33" s="41"/>
      <c r="AH33" s="41"/>
      <c r="AI33" s="41"/>
    </row>
    <row r="34" spans="1:35" ht="15.75" customHeight="1" x14ac:dyDescent="0.2">
      <c r="A34" s="166"/>
      <c r="B34" s="218"/>
      <c r="C34" s="218"/>
      <c r="D34" s="41"/>
      <c r="E34" s="41"/>
      <c r="F34" s="41"/>
      <c r="G34" s="41"/>
      <c r="H34" s="41"/>
      <c r="I34" s="41"/>
      <c r="J34" s="166"/>
      <c r="K34" s="41"/>
      <c r="L34" s="41"/>
      <c r="M34" s="41"/>
      <c r="N34" s="166"/>
      <c r="O34" s="166"/>
      <c r="P34" s="41"/>
      <c r="Q34" s="41"/>
      <c r="R34" s="41"/>
      <c r="S34" s="41"/>
      <c r="T34" s="41"/>
      <c r="U34" s="41"/>
      <c r="V34" s="41"/>
      <c r="W34" s="41"/>
      <c r="X34" s="41"/>
      <c r="Y34" s="166"/>
      <c r="Z34" s="166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ht="15.75" customHeight="1" x14ac:dyDescent="0.2">
      <c r="A35" s="166"/>
      <c r="B35" s="218"/>
      <c r="C35" s="218"/>
      <c r="D35" s="41"/>
      <c r="E35" s="41"/>
      <c r="F35" s="41"/>
      <c r="G35" s="41"/>
      <c r="H35" s="41"/>
      <c r="I35" s="41"/>
      <c r="J35" s="166"/>
      <c r="K35" s="41"/>
      <c r="L35" s="41"/>
      <c r="M35" s="41"/>
      <c r="N35" s="166"/>
      <c r="O35" s="166"/>
      <c r="P35" s="41"/>
      <c r="Q35" s="41"/>
      <c r="R35" s="41"/>
      <c r="S35" s="41"/>
      <c r="T35" s="41"/>
      <c r="U35" s="41"/>
      <c r="V35" s="41"/>
      <c r="W35" s="41"/>
      <c r="X35" s="41"/>
      <c r="Y35" s="166"/>
      <c r="Z35" s="166"/>
      <c r="AA35" s="41"/>
      <c r="AB35" s="41"/>
      <c r="AC35" s="41"/>
      <c r="AD35" s="41"/>
      <c r="AE35" s="41"/>
      <c r="AF35" s="41"/>
      <c r="AG35" s="41"/>
      <c r="AH35" s="41"/>
      <c r="AI35" s="41"/>
    </row>
    <row r="36" spans="1:35" ht="15.75" customHeight="1" x14ac:dyDescent="0.2">
      <c r="A36" s="166"/>
      <c r="B36" s="218"/>
      <c r="C36" s="218"/>
      <c r="D36" s="41"/>
      <c r="E36" s="41"/>
      <c r="F36" s="41"/>
      <c r="G36" s="41"/>
      <c r="H36" s="41"/>
      <c r="I36" s="41"/>
      <c r="J36" s="166"/>
      <c r="K36" s="41"/>
      <c r="L36" s="41"/>
      <c r="M36" s="41"/>
      <c r="N36" s="166"/>
      <c r="O36" s="166"/>
      <c r="P36" s="41"/>
      <c r="Q36" s="41"/>
      <c r="R36" s="41"/>
      <c r="S36" s="41"/>
      <c r="T36" s="41"/>
      <c r="U36" s="41"/>
      <c r="V36" s="41"/>
      <c r="W36" s="41"/>
      <c r="X36" s="41"/>
      <c r="Y36" s="166"/>
      <c r="Z36" s="166"/>
      <c r="AA36" s="41"/>
      <c r="AB36" s="41"/>
      <c r="AC36" s="41"/>
      <c r="AD36" s="41"/>
      <c r="AE36" s="41"/>
      <c r="AF36" s="41"/>
      <c r="AG36" s="41"/>
      <c r="AH36" s="41"/>
      <c r="AI36" s="41"/>
    </row>
    <row r="37" spans="1:35" ht="15.75" customHeight="1" x14ac:dyDescent="0.2">
      <c r="A37" s="166"/>
      <c r="B37" s="218"/>
      <c r="C37" s="218"/>
      <c r="D37" s="41"/>
      <c r="E37" s="41"/>
      <c r="F37" s="41"/>
      <c r="G37" s="41"/>
      <c r="H37" s="41"/>
      <c r="I37" s="41"/>
      <c r="J37" s="166"/>
      <c r="K37" s="41"/>
      <c r="L37" s="41"/>
      <c r="M37" s="41"/>
      <c r="N37" s="166"/>
      <c r="O37" s="166"/>
      <c r="P37" s="41"/>
      <c r="Q37" s="41"/>
      <c r="R37" s="41"/>
      <c r="S37" s="41"/>
      <c r="T37" s="41"/>
      <c r="U37" s="41"/>
      <c r="V37" s="41"/>
      <c r="W37" s="41"/>
      <c r="X37" s="41"/>
      <c r="Y37" s="166"/>
      <c r="Z37" s="166"/>
      <c r="AA37" s="41"/>
      <c r="AB37" s="41"/>
      <c r="AC37" s="41"/>
      <c r="AD37" s="41"/>
      <c r="AE37" s="41"/>
      <c r="AF37" s="41"/>
      <c r="AG37" s="41"/>
      <c r="AH37" s="41"/>
      <c r="AI37" s="41"/>
    </row>
    <row r="38" spans="1:35" ht="15.75" customHeight="1" x14ac:dyDescent="0.2">
      <c r="A38" s="166"/>
      <c r="B38" s="218"/>
      <c r="C38" s="218"/>
      <c r="D38" s="41"/>
      <c r="E38" s="41"/>
      <c r="F38" s="41"/>
      <c r="G38" s="41"/>
      <c r="H38" s="41"/>
      <c r="I38" s="41"/>
      <c r="J38" s="166"/>
      <c r="K38" s="41"/>
      <c r="L38" s="41"/>
      <c r="M38" s="41"/>
      <c r="N38" s="166"/>
      <c r="O38" s="166"/>
      <c r="P38" s="41"/>
      <c r="Q38" s="41"/>
      <c r="R38" s="41"/>
      <c r="S38" s="41"/>
      <c r="T38" s="41"/>
      <c r="U38" s="41"/>
      <c r="V38" s="41"/>
      <c r="W38" s="41"/>
      <c r="X38" s="41"/>
      <c r="Y38" s="166"/>
      <c r="Z38" s="166"/>
      <c r="AA38" s="41"/>
      <c r="AB38" s="41"/>
      <c r="AC38" s="41"/>
      <c r="AD38" s="41"/>
      <c r="AE38" s="41"/>
      <c r="AF38" s="41"/>
      <c r="AG38" s="41"/>
      <c r="AH38" s="41"/>
      <c r="AI38" s="41"/>
    </row>
    <row r="39" spans="1:35" ht="15.75" customHeight="1" x14ac:dyDescent="0.2">
      <c r="A39" s="166"/>
      <c r="B39" s="218"/>
      <c r="C39" s="218"/>
      <c r="D39" s="41"/>
      <c r="E39" s="41"/>
      <c r="F39" s="41"/>
      <c r="G39" s="41"/>
      <c r="H39" s="41"/>
      <c r="I39" s="41"/>
      <c r="J39" s="166"/>
      <c r="K39" s="41"/>
      <c r="L39" s="41"/>
      <c r="M39" s="41"/>
      <c r="N39" s="166"/>
      <c r="O39" s="166"/>
      <c r="P39" s="41"/>
      <c r="Q39" s="41"/>
      <c r="R39" s="41"/>
      <c r="S39" s="41"/>
      <c r="T39" s="41"/>
      <c r="U39" s="41"/>
      <c r="V39" s="41"/>
      <c r="W39" s="41"/>
      <c r="X39" s="41"/>
      <c r="Y39" s="166"/>
      <c r="Z39" s="166"/>
      <c r="AA39" s="41"/>
      <c r="AB39" s="41"/>
      <c r="AC39" s="41"/>
      <c r="AD39" s="41"/>
      <c r="AE39" s="41"/>
      <c r="AF39" s="41"/>
      <c r="AG39" s="41"/>
      <c r="AH39" s="41"/>
      <c r="AI39" s="41"/>
    </row>
    <row r="40" spans="1:35" ht="15.75" customHeight="1" x14ac:dyDescent="0.2">
      <c r="A40" s="166"/>
      <c r="B40" s="218"/>
      <c r="C40" s="218"/>
      <c r="D40" s="41"/>
      <c r="E40" s="41"/>
      <c r="F40" s="41"/>
      <c r="G40" s="41"/>
      <c r="H40" s="41"/>
      <c r="I40" s="41"/>
      <c r="J40" s="166"/>
      <c r="K40" s="41"/>
      <c r="L40" s="41"/>
      <c r="M40" s="41"/>
      <c r="N40" s="166"/>
      <c r="O40" s="166"/>
      <c r="P40" s="41"/>
      <c r="Q40" s="41"/>
      <c r="R40" s="41"/>
      <c r="S40" s="41"/>
      <c r="T40" s="41"/>
      <c r="U40" s="41"/>
      <c r="V40" s="41"/>
      <c r="W40" s="41"/>
      <c r="X40" s="41"/>
      <c r="Y40" s="166"/>
      <c r="Z40" s="166"/>
      <c r="AA40" s="41"/>
      <c r="AB40" s="41"/>
      <c r="AC40" s="41"/>
      <c r="AD40" s="41"/>
      <c r="AE40" s="41"/>
      <c r="AF40" s="41"/>
      <c r="AG40" s="41"/>
      <c r="AH40" s="41"/>
      <c r="AI40" s="41"/>
    </row>
    <row r="41" spans="1:35" ht="15.75" customHeight="1" x14ac:dyDescent="0.2">
      <c r="A41" s="166"/>
      <c r="B41" s="218"/>
      <c r="C41" s="218"/>
      <c r="D41" s="41"/>
      <c r="E41" s="41"/>
      <c r="F41" s="41"/>
      <c r="G41" s="41"/>
      <c r="H41" s="41"/>
      <c r="I41" s="41"/>
      <c r="J41" s="166"/>
      <c r="K41" s="41"/>
      <c r="L41" s="41"/>
      <c r="M41" s="41"/>
      <c r="N41" s="166"/>
      <c r="O41" s="166"/>
      <c r="P41" s="41"/>
      <c r="Q41" s="41"/>
      <c r="R41" s="41"/>
      <c r="S41" s="41"/>
      <c r="T41" s="41"/>
      <c r="U41" s="41"/>
      <c r="V41" s="41"/>
      <c r="W41" s="41"/>
      <c r="X41" s="41"/>
      <c r="Y41" s="166"/>
      <c r="Z41" s="166"/>
      <c r="AA41" s="41"/>
      <c r="AB41" s="41"/>
      <c r="AC41" s="41"/>
      <c r="AD41" s="41"/>
      <c r="AE41" s="41"/>
      <c r="AF41" s="41"/>
      <c r="AG41" s="41"/>
      <c r="AH41" s="41"/>
      <c r="AI41" s="41"/>
    </row>
    <row r="42" spans="1:35" ht="15.75" customHeight="1" x14ac:dyDescent="0.2">
      <c r="A42" s="166"/>
      <c r="B42" s="218"/>
      <c r="C42" s="218"/>
      <c r="D42" s="41"/>
      <c r="E42" s="41"/>
      <c r="F42" s="41"/>
      <c r="G42" s="41"/>
      <c r="H42" s="41"/>
      <c r="I42" s="41"/>
      <c r="J42" s="166"/>
      <c r="K42" s="41"/>
      <c r="L42" s="41"/>
      <c r="M42" s="41"/>
      <c r="N42" s="166"/>
      <c r="O42" s="166"/>
      <c r="P42" s="41"/>
      <c r="Q42" s="41"/>
      <c r="R42" s="41"/>
      <c r="S42" s="41"/>
      <c r="T42" s="41"/>
      <c r="U42" s="41"/>
      <c r="V42" s="41"/>
      <c r="W42" s="41"/>
      <c r="X42" s="41"/>
      <c r="Y42" s="166"/>
      <c r="Z42" s="166"/>
      <c r="AA42" s="41"/>
      <c r="AB42" s="41"/>
      <c r="AC42" s="41"/>
      <c r="AD42" s="41"/>
      <c r="AE42" s="41"/>
      <c r="AF42" s="41"/>
      <c r="AG42" s="41"/>
      <c r="AH42" s="41"/>
      <c r="AI42" s="41"/>
    </row>
    <row r="43" spans="1:35" ht="15.75" customHeight="1" x14ac:dyDescent="0.2">
      <c r="A43" s="166"/>
      <c r="B43" s="218"/>
      <c r="C43" s="218"/>
      <c r="D43" s="41"/>
      <c r="E43" s="41"/>
      <c r="F43" s="41"/>
      <c r="G43" s="41"/>
      <c r="H43" s="41"/>
      <c r="I43" s="41"/>
      <c r="J43" s="166"/>
      <c r="K43" s="41"/>
      <c r="L43" s="41"/>
      <c r="M43" s="41"/>
      <c r="N43" s="166"/>
      <c r="O43" s="166"/>
      <c r="P43" s="41"/>
      <c r="Q43" s="41"/>
      <c r="R43" s="41"/>
      <c r="S43" s="41"/>
      <c r="T43" s="41"/>
      <c r="U43" s="41"/>
      <c r="V43" s="41"/>
      <c r="W43" s="41"/>
      <c r="X43" s="41"/>
      <c r="Y43" s="166"/>
      <c r="Z43" s="166"/>
      <c r="AA43" s="41"/>
      <c r="AB43" s="41"/>
      <c r="AC43" s="41"/>
      <c r="AD43" s="41"/>
      <c r="AE43" s="41"/>
      <c r="AF43" s="41"/>
      <c r="AG43" s="41"/>
      <c r="AH43" s="41"/>
      <c r="AI43" s="41"/>
    </row>
    <row r="44" spans="1:35" ht="15.75" customHeight="1" x14ac:dyDescent="0.2">
      <c r="A44" s="166"/>
      <c r="B44" s="218"/>
      <c r="C44" s="218"/>
      <c r="D44" s="41"/>
      <c r="E44" s="41"/>
      <c r="F44" s="41"/>
      <c r="G44" s="41"/>
      <c r="H44" s="41"/>
      <c r="I44" s="41"/>
      <c r="J44" s="166"/>
      <c r="K44" s="41"/>
      <c r="L44" s="41"/>
      <c r="M44" s="41"/>
      <c r="N44" s="166"/>
      <c r="O44" s="166"/>
      <c r="P44" s="41"/>
      <c r="Q44" s="41"/>
      <c r="R44" s="41"/>
      <c r="S44" s="41"/>
      <c r="T44" s="41"/>
      <c r="U44" s="41"/>
      <c r="V44" s="41"/>
      <c r="W44" s="41"/>
      <c r="X44" s="41"/>
      <c r="Y44" s="166"/>
      <c r="Z44" s="166"/>
      <c r="AA44" s="41"/>
      <c r="AB44" s="41"/>
      <c r="AC44" s="41"/>
      <c r="AD44" s="41"/>
      <c r="AE44" s="41"/>
      <c r="AF44" s="41"/>
      <c r="AG44" s="41"/>
      <c r="AH44" s="41"/>
      <c r="AI44" s="41"/>
    </row>
    <row r="45" spans="1:35" ht="15.75" customHeight="1" x14ac:dyDescent="0.2">
      <c r="A45" s="166"/>
      <c r="B45" s="218"/>
      <c r="C45" s="218"/>
      <c r="D45" s="41"/>
      <c r="E45" s="41"/>
      <c r="F45" s="41"/>
      <c r="G45" s="41"/>
      <c r="H45" s="41"/>
      <c r="I45" s="41"/>
      <c r="J45" s="166"/>
      <c r="K45" s="41"/>
      <c r="L45" s="41"/>
      <c r="M45" s="41"/>
      <c r="N45" s="166"/>
      <c r="O45" s="166"/>
      <c r="P45" s="41"/>
      <c r="Q45" s="41"/>
      <c r="R45" s="41"/>
      <c r="S45" s="41"/>
      <c r="T45" s="41"/>
      <c r="U45" s="41"/>
      <c r="V45" s="41"/>
      <c r="W45" s="41"/>
      <c r="X45" s="41"/>
      <c r="Y45" s="166"/>
      <c r="Z45" s="166"/>
      <c r="AA45" s="41"/>
      <c r="AB45" s="41"/>
      <c r="AC45" s="41"/>
      <c r="AD45" s="41"/>
      <c r="AE45" s="41"/>
      <c r="AF45" s="41"/>
      <c r="AG45" s="41"/>
      <c r="AH45" s="41"/>
      <c r="AI45" s="41"/>
    </row>
    <row r="46" spans="1:35" ht="15.75" customHeight="1" x14ac:dyDescent="0.2">
      <c r="A46" s="166"/>
      <c r="B46" s="218"/>
      <c r="C46" s="218"/>
      <c r="D46" s="41"/>
      <c r="E46" s="41"/>
      <c r="F46" s="41"/>
      <c r="G46" s="41"/>
      <c r="H46" s="41"/>
      <c r="I46" s="41"/>
      <c r="J46" s="166"/>
      <c r="K46" s="41"/>
      <c r="L46" s="41"/>
      <c r="M46" s="41"/>
      <c r="N46" s="166"/>
      <c r="O46" s="166"/>
      <c r="P46" s="41"/>
      <c r="Q46" s="41"/>
      <c r="R46" s="41"/>
      <c r="S46" s="41"/>
      <c r="T46" s="41"/>
      <c r="U46" s="41"/>
      <c r="V46" s="41"/>
      <c r="W46" s="41"/>
      <c r="X46" s="41"/>
      <c r="Y46" s="166"/>
      <c r="Z46" s="166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5.75" customHeight="1" x14ac:dyDescent="0.2">
      <c r="A47" s="166"/>
      <c r="B47" s="218"/>
      <c r="C47" s="218"/>
      <c r="D47" s="41"/>
      <c r="E47" s="41"/>
      <c r="F47" s="41"/>
      <c r="G47" s="41"/>
      <c r="H47" s="41"/>
      <c r="I47" s="41"/>
      <c r="J47" s="166"/>
      <c r="K47" s="41"/>
      <c r="L47" s="41"/>
      <c r="M47" s="41"/>
      <c r="N47" s="166"/>
      <c r="O47" s="166"/>
      <c r="P47" s="41"/>
      <c r="Q47" s="41"/>
      <c r="R47" s="41"/>
      <c r="S47" s="41"/>
      <c r="T47" s="41"/>
      <c r="U47" s="41"/>
      <c r="V47" s="41"/>
      <c r="W47" s="41"/>
      <c r="X47" s="41"/>
      <c r="Y47" s="166"/>
      <c r="Z47" s="166"/>
      <c r="AA47" s="41"/>
      <c r="AB47" s="41"/>
      <c r="AC47" s="41"/>
      <c r="AD47" s="41"/>
      <c r="AE47" s="41"/>
      <c r="AF47" s="41"/>
      <c r="AG47" s="41"/>
      <c r="AH47" s="41"/>
      <c r="AI47" s="41"/>
    </row>
    <row r="48" spans="1:35" ht="15.75" customHeight="1" x14ac:dyDescent="0.2">
      <c r="A48" s="166"/>
      <c r="B48" s="218"/>
      <c r="C48" s="218"/>
      <c r="D48" s="41"/>
      <c r="E48" s="41"/>
      <c r="F48" s="41"/>
      <c r="G48" s="41"/>
      <c r="H48" s="41"/>
      <c r="I48" s="41"/>
      <c r="J48" s="166"/>
      <c r="K48" s="41"/>
      <c r="L48" s="41"/>
      <c r="M48" s="41"/>
      <c r="N48" s="166"/>
      <c r="O48" s="166"/>
      <c r="P48" s="41"/>
      <c r="Q48" s="41"/>
      <c r="R48" s="41"/>
      <c r="S48" s="41"/>
      <c r="T48" s="41"/>
      <c r="U48" s="41"/>
      <c r="V48" s="41"/>
      <c r="W48" s="41"/>
      <c r="X48" s="41"/>
      <c r="Y48" s="166"/>
      <c r="Z48" s="166"/>
      <c r="AA48" s="41"/>
      <c r="AB48" s="41"/>
      <c r="AC48" s="41"/>
      <c r="AD48" s="41"/>
      <c r="AE48" s="41"/>
      <c r="AF48" s="41"/>
      <c r="AG48" s="41"/>
      <c r="AH48" s="41"/>
      <c r="AI48" s="41"/>
    </row>
    <row r="49" spans="1:35" ht="15.75" customHeight="1" x14ac:dyDescent="0.2">
      <c r="A49" s="166"/>
      <c r="B49" s="218"/>
      <c r="C49" s="218"/>
      <c r="D49" s="41"/>
      <c r="E49" s="41"/>
      <c r="F49" s="41"/>
      <c r="G49" s="41"/>
      <c r="H49" s="41"/>
      <c r="I49" s="41"/>
      <c r="J49" s="166"/>
      <c r="K49" s="41"/>
      <c r="L49" s="41"/>
      <c r="M49" s="41"/>
      <c r="N49" s="166"/>
      <c r="O49" s="166"/>
      <c r="P49" s="41"/>
      <c r="Q49" s="41"/>
      <c r="R49" s="41"/>
      <c r="S49" s="41"/>
      <c r="T49" s="41"/>
      <c r="U49" s="41"/>
      <c r="V49" s="41"/>
      <c r="W49" s="41"/>
      <c r="X49" s="41"/>
      <c r="Y49" s="166"/>
      <c r="Z49" s="166"/>
      <c r="AA49" s="41"/>
      <c r="AB49" s="41"/>
      <c r="AC49" s="41"/>
      <c r="AD49" s="41"/>
      <c r="AE49" s="41"/>
      <c r="AF49" s="41"/>
      <c r="AG49" s="41"/>
      <c r="AH49" s="41"/>
      <c r="AI49" s="41"/>
    </row>
    <row r="50" spans="1:35" ht="15.75" customHeight="1" x14ac:dyDescent="0.2">
      <c r="A50" s="166"/>
      <c r="B50" s="218"/>
      <c r="C50" s="218"/>
      <c r="D50" s="41"/>
      <c r="E50" s="41"/>
      <c r="F50" s="41"/>
      <c r="G50" s="41"/>
      <c r="H50" s="41"/>
      <c r="I50" s="41"/>
      <c r="J50" s="166"/>
      <c r="K50" s="41"/>
      <c r="L50" s="41"/>
      <c r="M50" s="41"/>
      <c r="N50" s="166"/>
      <c r="O50" s="166"/>
      <c r="P50" s="41"/>
      <c r="Q50" s="41"/>
      <c r="R50" s="41"/>
      <c r="S50" s="41"/>
      <c r="T50" s="41"/>
      <c r="U50" s="41"/>
      <c r="V50" s="41"/>
      <c r="W50" s="41"/>
      <c r="X50" s="41"/>
      <c r="Y50" s="166"/>
      <c r="Z50" s="166"/>
      <c r="AA50" s="41"/>
      <c r="AB50" s="41"/>
      <c r="AC50" s="41"/>
      <c r="AD50" s="41"/>
      <c r="AE50" s="41"/>
      <c r="AF50" s="41"/>
      <c r="AG50" s="41"/>
      <c r="AH50" s="41"/>
      <c r="AI50" s="41"/>
    </row>
    <row r="51" spans="1:35" ht="15.75" customHeight="1" x14ac:dyDescent="0.2">
      <c r="A51" s="166"/>
      <c r="B51" s="218"/>
      <c r="C51" s="218"/>
      <c r="D51" s="41"/>
      <c r="E51" s="41"/>
      <c r="F51" s="41"/>
      <c r="G51" s="41"/>
      <c r="H51" s="41"/>
      <c r="I51" s="41"/>
      <c r="J51" s="166"/>
      <c r="K51" s="41"/>
      <c r="L51" s="41"/>
      <c r="M51" s="41"/>
      <c r="N51" s="166"/>
      <c r="O51" s="166"/>
      <c r="P51" s="41"/>
      <c r="Q51" s="41"/>
      <c r="R51" s="41"/>
      <c r="S51" s="41"/>
      <c r="T51" s="41"/>
      <c r="U51" s="41"/>
      <c r="V51" s="41"/>
      <c r="W51" s="41"/>
      <c r="X51" s="41"/>
      <c r="Y51" s="166"/>
      <c r="Z51" s="166"/>
      <c r="AA51" s="41"/>
      <c r="AB51" s="41"/>
      <c r="AC51" s="41"/>
      <c r="AD51" s="41"/>
      <c r="AE51" s="41"/>
      <c r="AF51" s="41"/>
      <c r="AG51" s="41"/>
      <c r="AH51" s="41"/>
      <c r="AI51" s="41"/>
    </row>
    <row r="52" spans="1:35" ht="15.75" customHeight="1" x14ac:dyDescent="0.2">
      <c r="A52" s="166"/>
      <c r="B52" s="218"/>
      <c r="C52" s="218"/>
      <c r="D52" s="41"/>
      <c r="E52" s="41"/>
      <c r="F52" s="41"/>
      <c r="G52" s="41"/>
      <c r="H52" s="41"/>
      <c r="I52" s="41"/>
      <c r="J52" s="166"/>
      <c r="K52" s="41"/>
      <c r="L52" s="41"/>
      <c r="M52" s="41"/>
      <c r="N52" s="166"/>
      <c r="O52" s="166"/>
      <c r="P52" s="41"/>
      <c r="Q52" s="41"/>
      <c r="R52" s="41"/>
      <c r="S52" s="41"/>
      <c r="T52" s="41"/>
      <c r="U52" s="41"/>
      <c r="V52" s="41"/>
      <c r="W52" s="41"/>
      <c r="X52" s="41"/>
      <c r="Y52" s="166"/>
      <c r="Z52" s="166"/>
      <c r="AA52" s="41"/>
      <c r="AB52" s="41"/>
      <c r="AC52" s="41"/>
      <c r="AD52" s="41"/>
      <c r="AE52" s="41"/>
      <c r="AF52" s="41"/>
      <c r="AG52" s="41"/>
      <c r="AH52" s="41"/>
      <c r="AI52" s="41"/>
    </row>
    <row r="53" spans="1:35" ht="15.75" customHeight="1" x14ac:dyDescent="0.2">
      <c r="A53" s="166"/>
      <c r="B53" s="218"/>
      <c r="C53" s="218"/>
      <c r="D53" s="41"/>
      <c r="E53" s="41"/>
      <c r="F53" s="41"/>
      <c r="G53" s="41"/>
      <c r="H53" s="41"/>
      <c r="I53" s="41"/>
      <c r="J53" s="166"/>
      <c r="K53" s="41"/>
      <c r="L53" s="41"/>
      <c r="M53" s="41"/>
      <c r="N53" s="166"/>
      <c r="O53" s="166"/>
      <c r="P53" s="41"/>
      <c r="Q53" s="41"/>
      <c r="R53" s="41"/>
      <c r="S53" s="41"/>
      <c r="T53" s="41"/>
      <c r="U53" s="41"/>
      <c r="V53" s="41"/>
      <c r="W53" s="41"/>
      <c r="X53" s="41"/>
      <c r="Y53" s="166"/>
      <c r="Z53" s="166"/>
      <c r="AA53" s="41"/>
      <c r="AB53" s="41"/>
      <c r="AC53" s="41"/>
      <c r="AD53" s="41"/>
      <c r="AE53" s="41"/>
      <c r="AF53" s="41"/>
      <c r="AG53" s="41"/>
      <c r="AH53" s="41"/>
      <c r="AI53" s="41"/>
    </row>
    <row r="54" spans="1:35" ht="15.75" customHeight="1" x14ac:dyDescent="0.2">
      <c r="A54" s="166"/>
      <c r="B54" s="218"/>
      <c r="C54" s="218"/>
      <c r="D54" s="41"/>
      <c r="E54" s="41"/>
      <c r="F54" s="41"/>
      <c r="G54" s="41"/>
      <c r="H54" s="41"/>
      <c r="I54" s="41"/>
      <c r="J54" s="166"/>
      <c r="K54" s="41"/>
      <c r="L54" s="41"/>
      <c r="M54" s="41"/>
      <c r="N54" s="166"/>
      <c r="O54" s="166"/>
      <c r="P54" s="41"/>
      <c r="Q54" s="41"/>
      <c r="R54" s="41"/>
      <c r="S54" s="41"/>
      <c r="T54" s="41"/>
      <c r="U54" s="41"/>
      <c r="V54" s="41"/>
      <c r="W54" s="41"/>
      <c r="X54" s="41"/>
      <c r="Y54" s="166"/>
      <c r="Z54" s="166"/>
      <c r="AA54" s="41"/>
      <c r="AB54" s="41"/>
      <c r="AC54" s="41"/>
      <c r="AD54" s="41"/>
      <c r="AE54" s="41"/>
      <c r="AF54" s="41"/>
      <c r="AG54" s="41"/>
      <c r="AH54" s="41"/>
      <c r="AI54" s="41"/>
    </row>
    <row r="55" spans="1:35" ht="15.75" customHeight="1" x14ac:dyDescent="0.2">
      <c r="A55" s="166"/>
      <c r="B55" s="218"/>
      <c r="C55" s="218"/>
      <c r="D55" s="41"/>
      <c r="E55" s="41"/>
      <c r="F55" s="41"/>
      <c r="G55" s="41"/>
      <c r="H55" s="41"/>
      <c r="I55" s="41"/>
      <c r="J55" s="166"/>
      <c r="K55" s="41"/>
      <c r="L55" s="41"/>
      <c r="M55" s="41"/>
      <c r="N55" s="166"/>
      <c r="O55" s="166"/>
      <c r="P55" s="41"/>
      <c r="Q55" s="41"/>
      <c r="R55" s="41"/>
      <c r="S55" s="41"/>
      <c r="T55" s="41"/>
      <c r="U55" s="41"/>
      <c r="V55" s="41"/>
      <c r="W55" s="41"/>
      <c r="X55" s="41"/>
      <c r="Y55" s="166"/>
      <c r="Z55" s="166"/>
      <c r="AA55" s="41"/>
      <c r="AB55" s="41"/>
      <c r="AC55" s="41"/>
      <c r="AD55" s="41"/>
      <c r="AE55" s="41"/>
      <c r="AF55" s="41"/>
      <c r="AG55" s="41"/>
      <c r="AH55" s="41"/>
      <c r="AI55" s="41"/>
    </row>
    <row r="56" spans="1:35" ht="15.75" customHeight="1" x14ac:dyDescent="0.2">
      <c r="A56" s="166"/>
      <c r="B56" s="218"/>
      <c r="C56" s="218"/>
      <c r="D56" s="41"/>
      <c r="E56" s="41"/>
      <c r="F56" s="41"/>
      <c r="G56" s="41"/>
      <c r="H56" s="41"/>
      <c r="I56" s="41"/>
      <c r="J56" s="166"/>
      <c r="K56" s="41"/>
      <c r="L56" s="41"/>
      <c r="M56" s="41"/>
      <c r="N56" s="166"/>
      <c r="O56" s="166"/>
      <c r="P56" s="41"/>
      <c r="Q56" s="41"/>
      <c r="R56" s="41"/>
      <c r="S56" s="41"/>
      <c r="T56" s="41"/>
      <c r="U56" s="41"/>
      <c r="V56" s="41"/>
      <c r="W56" s="41"/>
      <c r="X56" s="41"/>
      <c r="Y56" s="166"/>
      <c r="Z56" s="166"/>
      <c r="AA56" s="41"/>
      <c r="AB56" s="41"/>
      <c r="AC56" s="41"/>
      <c r="AD56" s="41"/>
      <c r="AE56" s="41"/>
      <c r="AF56" s="41"/>
      <c r="AG56" s="41"/>
      <c r="AH56" s="41"/>
      <c r="AI56" s="41"/>
    </row>
    <row r="57" spans="1:35" ht="15.75" customHeight="1" x14ac:dyDescent="0.2">
      <c r="A57" s="166"/>
      <c r="B57" s="218"/>
      <c r="C57" s="218"/>
      <c r="D57" s="41"/>
      <c r="E57" s="41"/>
      <c r="F57" s="41"/>
      <c r="G57" s="41"/>
      <c r="H57" s="41"/>
      <c r="I57" s="41"/>
      <c r="J57" s="166"/>
      <c r="K57" s="41"/>
      <c r="L57" s="41"/>
      <c r="M57" s="41"/>
      <c r="N57" s="166"/>
      <c r="O57" s="166"/>
      <c r="P57" s="41"/>
      <c r="Q57" s="41"/>
      <c r="R57" s="41"/>
      <c r="S57" s="41"/>
      <c r="T57" s="41"/>
      <c r="U57" s="41"/>
      <c r="V57" s="41"/>
      <c r="W57" s="41"/>
      <c r="X57" s="41"/>
      <c r="Y57" s="166"/>
      <c r="Z57" s="166"/>
      <c r="AA57" s="41"/>
      <c r="AB57" s="41"/>
      <c r="AC57" s="41"/>
      <c r="AD57" s="41"/>
      <c r="AE57" s="41"/>
      <c r="AF57" s="41"/>
      <c r="AG57" s="41"/>
      <c r="AH57" s="41"/>
      <c r="AI57" s="41"/>
    </row>
    <row r="58" spans="1:35" ht="15.75" customHeight="1" x14ac:dyDescent="0.2">
      <c r="A58" s="166"/>
      <c r="B58" s="218"/>
      <c r="C58" s="218"/>
      <c r="D58" s="41"/>
      <c r="E58" s="41"/>
      <c r="F58" s="41"/>
      <c r="G58" s="41"/>
      <c r="H58" s="41"/>
      <c r="I58" s="41"/>
      <c r="J58" s="166"/>
      <c r="K58" s="41"/>
      <c r="L58" s="41"/>
      <c r="M58" s="41"/>
      <c r="N58" s="166"/>
      <c r="O58" s="166"/>
      <c r="P58" s="41"/>
      <c r="Q58" s="41"/>
      <c r="R58" s="41"/>
      <c r="S58" s="41"/>
      <c r="T58" s="41"/>
      <c r="U58" s="41"/>
      <c r="V58" s="41"/>
      <c r="W58" s="41"/>
      <c r="X58" s="41"/>
      <c r="Y58" s="166"/>
      <c r="Z58" s="166"/>
      <c r="AA58" s="41"/>
      <c r="AB58" s="41"/>
      <c r="AC58" s="41"/>
      <c r="AD58" s="41"/>
      <c r="AE58" s="41"/>
      <c r="AF58" s="41"/>
      <c r="AG58" s="41"/>
      <c r="AH58" s="41"/>
      <c r="AI58" s="41"/>
    </row>
    <row r="59" spans="1:35" ht="15.75" customHeight="1" x14ac:dyDescent="0.2">
      <c r="A59" s="166"/>
      <c r="B59" s="218"/>
      <c r="C59" s="218"/>
      <c r="D59" s="41"/>
      <c r="E59" s="41"/>
      <c r="F59" s="41"/>
      <c r="G59" s="41"/>
      <c r="H59" s="41"/>
      <c r="I59" s="41"/>
      <c r="J59" s="166"/>
      <c r="K59" s="41"/>
      <c r="L59" s="41"/>
      <c r="M59" s="41"/>
      <c r="N59" s="166"/>
      <c r="O59" s="166"/>
      <c r="P59" s="41"/>
      <c r="Q59" s="41"/>
      <c r="R59" s="41"/>
      <c r="S59" s="41"/>
      <c r="T59" s="41"/>
      <c r="U59" s="41"/>
      <c r="V59" s="41"/>
      <c r="W59" s="41"/>
      <c r="X59" s="41"/>
      <c r="Y59" s="166"/>
      <c r="Z59" s="166"/>
      <c r="AA59" s="41"/>
      <c r="AB59" s="41"/>
      <c r="AC59" s="41"/>
      <c r="AD59" s="41"/>
      <c r="AE59" s="41"/>
      <c r="AF59" s="41"/>
      <c r="AG59" s="41"/>
      <c r="AH59" s="41"/>
      <c r="AI59" s="41"/>
    </row>
    <row r="60" spans="1:35" ht="15.75" customHeight="1" x14ac:dyDescent="0.2">
      <c r="A60" s="166"/>
      <c r="B60" s="218"/>
      <c r="C60" s="218"/>
      <c r="D60" s="41"/>
      <c r="E60" s="41"/>
      <c r="F60" s="41"/>
      <c r="G60" s="41"/>
      <c r="H60" s="41"/>
      <c r="I60" s="41"/>
      <c r="J60" s="166"/>
      <c r="K60" s="41"/>
      <c r="L60" s="41"/>
      <c r="M60" s="41"/>
      <c r="N60" s="166"/>
      <c r="O60" s="166"/>
      <c r="P60" s="41"/>
      <c r="Q60" s="41"/>
      <c r="R60" s="41"/>
      <c r="S60" s="41"/>
      <c r="T60" s="41"/>
      <c r="U60" s="41"/>
      <c r="V60" s="41"/>
      <c r="W60" s="41"/>
      <c r="X60" s="41"/>
      <c r="Y60" s="166"/>
      <c r="Z60" s="166"/>
      <c r="AA60" s="41"/>
      <c r="AB60" s="41"/>
      <c r="AC60" s="41"/>
      <c r="AD60" s="41"/>
      <c r="AE60" s="41"/>
      <c r="AF60" s="41"/>
      <c r="AG60" s="41"/>
      <c r="AH60" s="41"/>
      <c r="AI60" s="41"/>
    </row>
    <row r="61" spans="1:35" ht="15.75" customHeight="1" x14ac:dyDescent="0.2">
      <c r="A61" s="166"/>
      <c r="B61" s="218"/>
      <c r="C61" s="218"/>
      <c r="D61" s="41"/>
      <c r="E61" s="41"/>
      <c r="F61" s="41"/>
      <c r="G61" s="41"/>
      <c r="H61" s="41"/>
      <c r="I61" s="41"/>
      <c r="J61" s="166"/>
      <c r="K61" s="41"/>
      <c r="L61" s="41"/>
      <c r="M61" s="41"/>
      <c r="N61" s="166"/>
      <c r="O61" s="166"/>
      <c r="P61" s="41"/>
      <c r="Q61" s="41"/>
      <c r="R61" s="41"/>
      <c r="S61" s="41"/>
      <c r="T61" s="41"/>
      <c r="U61" s="41"/>
      <c r="V61" s="41"/>
      <c r="W61" s="41"/>
      <c r="X61" s="41"/>
      <c r="Y61" s="166"/>
      <c r="Z61" s="166"/>
      <c r="AA61" s="41"/>
      <c r="AB61" s="41"/>
      <c r="AC61" s="41"/>
      <c r="AD61" s="41"/>
      <c r="AE61" s="41"/>
      <c r="AF61" s="41"/>
      <c r="AG61" s="41"/>
      <c r="AH61" s="41"/>
      <c r="AI61" s="41"/>
    </row>
    <row r="62" spans="1:35" ht="15.75" customHeight="1" x14ac:dyDescent="0.2">
      <c r="A62" s="166"/>
      <c r="B62" s="218"/>
      <c r="C62" s="218"/>
      <c r="D62" s="41"/>
      <c r="E62" s="41"/>
      <c r="F62" s="41"/>
      <c r="G62" s="41"/>
      <c r="H62" s="41"/>
      <c r="I62" s="41"/>
      <c r="J62" s="166"/>
      <c r="K62" s="41"/>
      <c r="L62" s="41"/>
      <c r="M62" s="41"/>
      <c r="N62" s="166"/>
      <c r="O62" s="166"/>
      <c r="P62" s="41"/>
      <c r="Q62" s="41"/>
      <c r="R62" s="41"/>
      <c r="S62" s="41"/>
      <c r="T62" s="41"/>
      <c r="U62" s="41"/>
      <c r="V62" s="41"/>
      <c r="W62" s="41"/>
      <c r="X62" s="41"/>
      <c r="Y62" s="166"/>
      <c r="Z62" s="166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5.75" customHeight="1" x14ac:dyDescent="0.2">
      <c r="A63" s="166"/>
      <c r="B63" s="218"/>
      <c r="C63" s="218"/>
      <c r="D63" s="41"/>
      <c r="E63" s="41"/>
      <c r="F63" s="41"/>
      <c r="G63" s="41"/>
      <c r="H63" s="41"/>
      <c r="I63" s="41"/>
      <c r="J63" s="166"/>
      <c r="K63" s="41"/>
      <c r="L63" s="41"/>
      <c r="M63" s="41"/>
      <c r="N63" s="166"/>
      <c r="O63" s="166"/>
      <c r="P63" s="41"/>
      <c r="Q63" s="41"/>
      <c r="R63" s="41"/>
      <c r="S63" s="41"/>
      <c r="T63" s="41"/>
      <c r="U63" s="41"/>
      <c r="V63" s="41"/>
      <c r="W63" s="41"/>
      <c r="X63" s="41"/>
      <c r="Y63" s="166"/>
      <c r="Z63" s="166"/>
      <c r="AA63" s="41"/>
      <c r="AB63" s="41"/>
      <c r="AC63" s="41"/>
      <c r="AD63" s="41"/>
      <c r="AE63" s="41"/>
      <c r="AF63" s="41"/>
      <c r="AG63" s="41"/>
      <c r="AH63" s="41"/>
      <c r="AI63" s="41"/>
    </row>
    <row r="64" spans="1:35" ht="15.75" customHeight="1" x14ac:dyDescent="0.2">
      <c r="A64" s="166"/>
      <c r="B64" s="218"/>
      <c r="C64" s="218"/>
      <c r="D64" s="41"/>
      <c r="E64" s="41"/>
      <c r="F64" s="41"/>
      <c r="G64" s="41"/>
      <c r="H64" s="41"/>
      <c r="I64" s="41"/>
      <c r="J64" s="166"/>
      <c r="K64" s="41"/>
      <c r="L64" s="41"/>
      <c r="M64" s="41"/>
      <c r="N64" s="166"/>
      <c r="O64" s="166"/>
      <c r="P64" s="41"/>
      <c r="Q64" s="41"/>
      <c r="R64" s="41"/>
      <c r="S64" s="41"/>
      <c r="T64" s="41"/>
      <c r="U64" s="41"/>
      <c r="V64" s="41"/>
      <c r="W64" s="41"/>
      <c r="X64" s="41"/>
      <c r="Y64" s="166"/>
      <c r="Z64" s="166"/>
      <c r="AA64" s="41"/>
      <c r="AB64" s="41"/>
      <c r="AC64" s="41"/>
      <c r="AD64" s="41"/>
      <c r="AE64" s="41"/>
      <c r="AF64" s="41"/>
      <c r="AG64" s="41"/>
      <c r="AH64" s="41"/>
      <c r="AI64" s="41"/>
    </row>
    <row r="65" spans="1:35" ht="15.75" customHeight="1" x14ac:dyDescent="0.2">
      <c r="A65" s="166"/>
      <c r="B65" s="218"/>
      <c r="C65" s="218"/>
      <c r="D65" s="41"/>
      <c r="E65" s="41"/>
      <c r="F65" s="41"/>
      <c r="G65" s="41"/>
      <c r="H65" s="41"/>
      <c r="I65" s="41"/>
      <c r="J65" s="166"/>
      <c r="K65" s="41"/>
      <c r="L65" s="41"/>
      <c r="M65" s="41"/>
      <c r="N65" s="166"/>
      <c r="O65" s="166"/>
      <c r="P65" s="41"/>
      <c r="Q65" s="41"/>
      <c r="R65" s="41"/>
      <c r="S65" s="41"/>
      <c r="T65" s="41"/>
      <c r="U65" s="41"/>
      <c r="V65" s="41"/>
      <c r="W65" s="41"/>
      <c r="X65" s="41"/>
      <c r="Y65" s="166"/>
      <c r="Z65" s="166"/>
      <c r="AA65" s="41"/>
      <c r="AB65" s="41"/>
      <c r="AC65" s="41"/>
      <c r="AD65" s="41"/>
      <c r="AE65" s="41"/>
      <c r="AF65" s="41"/>
      <c r="AG65" s="41"/>
      <c r="AH65" s="41"/>
      <c r="AI65" s="41"/>
    </row>
    <row r="66" spans="1:35" ht="15.75" customHeight="1" x14ac:dyDescent="0.2">
      <c r="A66" s="166"/>
      <c r="B66" s="218"/>
      <c r="C66" s="218"/>
      <c r="D66" s="41"/>
      <c r="E66" s="41"/>
      <c r="F66" s="41"/>
      <c r="G66" s="41"/>
      <c r="H66" s="41"/>
      <c r="I66" s="41"/>
      <c r="J66" s="166"/>
      <c r="K66" s="41"/>
      <c r="L66" s="41"/>
      <c r="M66" s="41"/>
      <c r="N66" s="166"/>
      <c r="O66" s="166"/>
      <c r="P66" s="41"/>
      <c r="Q66" s="41"/>
      <c r="R66" s="41"/>
      <c r="S66" s="41"/>
      <c r="T66" s="41"/>
      <c r="U66" s="41"/>
      <c r="V66" s="41"/>
      <c r="W66" s="41"/>
      <c r="X66" s="41"/>
      <c r="Y66" s="166"/>
      <c r="Z66" s="166"/>
      <c r="AA66" s="41"/>
      <c r="AB66" s="41"/>
      <c r="AC66" s="41"/>
      <c r="AD66" s="41"/>
      <c r="AE66" s="41"/>
      <c r="AF66" s="41"/>
      <c r="AG66" s="41"/>
      <c r="AH66" s="41"/>
      <c r="AI66" s="41"/>
    </row>
    <row r="67" spans="1:35" ht="15.75" customHeight="1" x14ac:dyDescent="0.2">
      <c r="A67" s="166"/>
      <c r="B67" s="218"/>
      <c r="C67" s="218"/>
      <c r="D67" s="41"/>
      <c r="E67" s="41"/>
      <c r="F67" s="41"/>
      <c r="G67" s="41"/>
      <c r="H67" s="41"/>
      <c r="I67" s="41"/>
      <c r="J67" s="166"/>
      <c r="K67" s="41"/>
      <c r="L67" s="41"/>
      <c r="M67" s="41"/>
      <c r="N67" s="166"/>
      <c r="O67" s="166"/>
      <c r="P67" s="41"/>
      <c r="Q67" s="41"/>
      <c r="R67" s="41"/>
      <c r="S67" s="41"/>
      <c r="T67" s="41"/>
      <c r="U67" s="41"/>
      <c r="V67" s="41"/>
      <c r="W67" s="41"/>
      <c r="X67" s="41"/>
      <c r="Y67" s="166"/>
      <c r="Z67" s="166"/>
      <c r="AA67" s="41"/>
      <c r="AB67" s="41"/>
      <c r="AC67" s="41"/>
      <c r="AD67" s="41"/>
      <c r="AE67" s="41"/>
      <c r="AF67" s="41"/>
      <c r="AG67" s="41"/>
      <c r="AH67" s="41"/>
      <c r="AI67" s="41"/>
    </row>
    <row r="68" spans="1:35" ht="15.75" customHeight="1" x14ac:dyDescent="0.2">
      <c r="A68" s="166"/>
      <c r="B68" s="218"/>
      <c r="C68" s="218"/>
      <c r="D68" s="41"/>
      <c r="E68" s="41"/>
      <c r="F68" s="41"/>
      <c r="G68" s="41"/>
      <c r="H68" s="41"/>
      <c r="I68" s="41"/>
      <c r="J68" s="166"/>
      <c r="K68" s="41"/>
      <c r="L68" s="41"/>
      <c r="M68" s="41"/>
      <c r="N68" s="166"/>
      <c r="O68" s="166"/>
      <c r="P68" s="41"/>
      <c r="Q68" s="41"/>
      <c r="R68" s="41"/>
      <c r="S68" s="41"/>
      <c r="T68" s="41"/>
      <c r="U68" s="41"/>
      <c r="V68" s="41"/>
      <c r="W68" s="41"/>
      <c r="X68" s="41"/>
      <c r="Y68" s="166"/>
      <c r="Z68" s="166"/>
      <c r="AA68" s="41"/>
      <c r="AB68" s="41"/>
      <c r="AC68" s="41"/>
      <c r="AD68" s="41"/>
      <c r="AE68" s="41"/>
      <c r="AF68" s="41"/>
      <c r="AG68" s="41"/>
      <c r="AH68" s="41"/>
      <c r="AI68" s="41"/>
    </row>
    <row r="69" spans="1:35" ht="15.75" customHeight="1" x14ac:dyDescent="0.2">
      <c r="A69" s="166"/>
      <c r="B69" s="218"/>
      <c r="C69" s="218"/>
      <c r="D69" s="41"/>
      <c r="E69" s="41"/>
      <c r="F69" s="41"/>
      <c r="G69" s="41"/>
      <c r="H69" s="41"/>
      <c r="I69" s="41"/>
      <c r="J69" s="166"/>
      <c r="K69" s="41"/>
      <c r="L69" s="41"/>
      <c r="M69" s="41"/>
      <c r="N69" s="166"/>
      <c r="O69" s="166"/>
      <c r="P69" s="41"/>
      <c r="Q69" s="41"/>
      <c r="R69" s="41"/>
      <c r="S69" s="41"/>
      <c r="T69" s="41"/>
      <c r="U69" s="41"/>
      <c r="V69" s="41"/>
      <c r="W69" s="41"/>
      <c r="X69" s="41"/>
      <c r="Y69" s="166"/>
      <c r="Z69" s="166"/>
      <c r="AA69" s="41"/>
      <c r="AB69" s="41"/>
      <c r="AC69" s="41"/>
      <c r="AD69" s="41"/>
      <c r="AE69" s="41"/>
      <c r="AF69" s="41"/>
      <c r="AG69" s="41"/>
      <c r="AH69" s="41"/>
      <c r="AI69" s="41"/>
    </row>
    <row r="70" spans="1:35" ht="15.75" customHeight="1" x14ac:dyDescent="0.2">
      <c r="A70" s="166"/>
      <c r="B70" s="218"/>
      <c r="C70" s="218"/>
      <c r="D70" s="41"/>
      <c r="E70" s="41"/>
      <c r="F70" s="41"/>
      <c r="G70" s="41"/>
      <c r="H70" s="41"/>
      <c r="I70" s="41"/>
      <c r="J70" s="166"/>
      <c r="K70" s="41"/>
      <c r="L70" s="41"/>
      <c r="M70" s="41"/>
      <c r="N70" s="166"/>
      <c r="O70" s="166"/>
      <c r="P70" s="41"/>
      <c r="Q70" s="41"/>
      <c r="R70" s="41"/>
      <c r="S70" s="41"/>
      <c r="T70" s="41"/>
      <c r="U70" s="41"/>
      <c r="V70" s="41"/>
      <c r="W70" s="41"/>
      <c r="X70" s="41"/>
      <c r="Y70" s="166"/>
      <c r="Z70" s="166"/>
      <c r="AA70" s="41"/>
      <c r="AB70" s="41"/>
      <c r="AC70" s="41"/>
      <c r="AD70" s="41"/>
      <c r="AE70" s="41"/>
      <c r="AF70" s="41"/>
      <c r="AG70" s="41"/>
      <c r="AH70" s="41"/>
      <c r="AI70" s="41"/>
    </row>
    <row r="71" spans="1:35" ht="15.75" customHeight="1" x14ac:dyDescent="0.2">
      <c r="A71" s="166"/>
      <c r="B71" s="218"/>
      <c r="C71" s="218"/>
      <c r="D71" s="41"/>
      <c r="E71" s="41"/>
      <c r="F71" s="41"/>
      <c r="G71" s="41"/>
      <c r="H71" s="41"/>
      <c r="I71" s="41"/>
      <c r="J71" s="166"/>
      <c r="K71" s="41"/>
      <c r="L71" s="41"/>
      <c r="M71" s="41"/>
      <c r="N71" s="166"/>
      <c r="O71" s="166"/>
      <c r="P71" s="41"/>
      <c r="Q71" s="41"/>
      <c r="R71" s="41"/>
      <c r="S71" s="41"/>
      <c r="T71" s="41"/>
      <c r="U71" s="41"/>
      <c r="V71" s="41"/>
      <c r="W71" s="41"/>
      <c r="X71" s="41"/>
      <c r="Y71" s="166"/>
      <c r="Z71" s="166"/>
      <c r="AA71" s="41"/>
      <c r="AB71" s="41"/>
      <c r="AC71" s="41"/>
      <c r="AD71" s="41"/>
      <c r="AE71" s="41"/>
      <c r="AF71" s="41"/>
      <c r="AG71" s="41"/>
      <c r="AH71" s="41"/>
      <c r="AI71" s="41"/>
    </row>
    <row r="72" spans="1:35" ht="15.75" customHeight="1" x14ac:dyDescent="0.2">
      <c r="A72" s="166"/>
      <c r="B72" s="218"/>
      <c r="C72" s="218"/>
      <c r="D72" s="41"/>
      <c r="E72" s="41"/>
      <c r="F72" s="41"/>
      <c r="G72" s="41"/>
      <c r="H72" s="41"/>
      <c r="I72" s="41"/>
      <c r="J72" s="166"/>
      <c r="K72" s="41"/>
      <c r="L72" s="41"/>
      <c r="M72" s="41"/>
      <c r="N72" s="166"/>
      <c r="O72" s="166"/>
      <c r="P72" s="41"/>
      <c r="Q72" s="41"/>
      <c r="R72" s="41"/>
      <c r="S72" s="41"/>
      <c r="T72" s="41"/>
      <c r="U72" s="41"/>
      <c r="V72" s="41"/>
      <c r="W72" s="41"/>
      <c r="X72" s="41"/>
      <c r="Y72" s="166"/>
      <c r="Z72" s="166"/>
      <c r="AA72" s="41"/>
      <c r="AB72" s="41"/>
      <c r="AC72" s="41"/>
      <c r="AD72" s="41"/>
      <c r="AE72" s="41"/>
      <c r="AF72" s="41"/>
      <c r="AG72" s="41"/>
      <c r="AH72" s="41"/>
      <c r="AI72" s="41"/>
    </row>
    <row r="73" spans="1:35" ht="15.75" customHeight="1" x14ac:dyDescent="0.2">
      <c r="A73" s="166"/>
      <c r="B73" s="218"/>
      <c r="C73" s="218"/>
      <c r="D73" s="41"/>
      <c r="E73" s="41"/>
      <c r="F73" s="41"/>
      <c r="G73" s="41"/>
      <c r="H73" s="41"/>
      <c r="I73" s="41"/>
      <c r="J73" s="166"/>
      <c r="K73" s="41"/>
      <c r="L73" s="41"/>
      <c r="M73" s="41"/>
      <c r="N73" s="166"/>
      <c r="O73" s="166"/>
      <c r="P73" s="41"/>
      <c r="Q73" s="41"/>
      <c r="R73" s="41"/>
      <c r="S73" s="41"/>
      <c r="T73" s="41"/>
      <c r="U73" s="41"/>
      <c r="V73" s="41"/>
      <c r="W73" s="41"/>
      <c r="X73" s="41"/>
      <c r="Y73" s="166"/>
      <c r="Z73" s="166"/>
      <c r="AA73" s="41"/>
      <c r="AB73" s="41"/>
      <c r="AC73" s="41"/>
      <c r="AD73" s="41"/>
      <c r="AE73" s="41"/>
      <c r="AF73" s="41"/>
      <c r="AG73" s="41"/>
      <c r="AH73" s="41"/>
      <c r="AI73" s="41"/>
    </row>
    <row r="74" spans="1:35" ht="15.75" customHeight="1" x14ac:dyDescent="0.2">
      <c r="A74" s="166"/>
      <c r="B74" s="218"/>
      <c r="C74" s="218"/>
      <c r="D74" s="41"/>
      <c r="E74" s="41"/>
      <c r="F74" s="41"/>
      <c r="G74" s="41"/>
      <c r="H74" s="41"/>
      <c r="I74" s="41"/>
      <c r="J74" s="166"/>
      <c r="K74" s="41"/>
      <c r="L74" s="41"/>
      <c r="M74" s="41"/>
      <c r="N74" s="166"/>
      <c r="O74" s="166"/>
      <c r="P74" s="41"/>
      <c r="Q74" s="41"/>
      <c r="R74" s="41"/>
      <c r="S74" s="41"/>
      <c r="T74" s="41"/>
      <c r="U74" s="41"/>
      <c r="V74" s="41"/>
      <c r="W74" s="41"/>
      <c r="X74" s="41"/>
      <c r="Y74" s="166"/>
      <c r="Z74" s="166"/>
      <c r="AA74" s="41"/>
      <c r="AB74" s="41"/>
      <c r="AC74" s="41"/>
      <c r="AD74" s="41"/>
      <c r="AE74" s="41"/>
      <c r="AF74" s="41"/>
      <c r="AG74" s="41"/>
      <c r="AH74" s="41"/>
      <c r="AI74" s="41"/>
    </row>
    <row r="75" spans="1:35" ht="15.75" customHeight="1" x14ac:dyDescent="0.2">
      <c r="A75" s="166"/>
      <c r="B75" s="218"/>
      <c r="C75" s="218"/>
      <c r="D75" s="41"/>
      <c r="E75" s="41"/>
      <c r="F75" s="41"/>
      <c r="G75" s="41"/>
      <c r="H75" s="41"/>
      <c r="I75" s="41"/>
      <c r="J75" s="166"/>
      <c r="K75" s="41"/>
      <c r="L75" s="41"/>
      <c r="M75" s="41"/>
      <c r="N75" s="166"/>
      <c r="O75" s="166"/>
      <c r="P75" s="41"/>
      <c r="Q75" s="41"/>
      <c r="R75" s="41"/>
      <c r="S75" s="41"/>
      <c r="T75" s="41"/>
      <c r="U75" s="41"/>
      <c r="V75" s="41"/>
      <c r="W75" s="41"/>
      <c r="X75" s="41"/>
      <c r="Y75" s="166"/>
      <c r="Z75" s="166"/>
      <c r="AA75" s="41"/>
      <c r="AB75" s="41"/>
      <c r="AC75" s="41"/>
      <c r="AD75" s="41"/>
      <c r="AE75" s="41"/>
      <c r="AF75" s="41"/>
      <c r="AG75" s="41"/>
      <c r="AH75" s="41"/>
      <c r="AI75" s="41"/>
    </row>
    <row r="76" spans="1:35" ht="15.75" customHeight="1" x14ac:dyDescent="0.2">
      <c r="A76" s="166"/>
      <c r="B76" s="218"/>
      <c r="C76" s="218"/>
      <c r="D76" s="41"/>
      <c r="E76" s="41"/>
      <c r="F76" s="41"/>
      <c r="G76" s="41"/>
      <c r="H76" s="41"/>
      <c r="I76" s="41"/>
      <c r="J76" s="166"/>
      <c r="K76" s="41"/>
      <c r="L76" s="41"/>
      <c r="M76" s="41"/>
      <c r="N76" s="166"/>
      <c r="O76" s="166"/>
      <c r="P76" s="41"/>
      <c r="Q76" s="41"/>
      <c r="R76" s="41"/>
      <c r="S76" s="41"/>
      <c r="T76" s="41"/>
      <c r="U76" s="41"/>
      <c r="V76" s="41"/>
      <c r="W76" s="41"/>
      <c r="X76" s="41"/>
      <c r="Y76" s="166"/>
      <c r="Z76" s="166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5.75" customHeight="1" x14ac:dyDescent="0.2">
      <c r="A77" s="166"/>
      <c r="B77" s="218"/>
      <c r="C77" s="218"/>
      <c r="D77" s="41"/>
      <c r="E77" s="41"/>
      <c r="F77" s="41"/>
      <c r="G77" s="41"/>
      <c r="H77" s="41"/>
      <c r="I77" s="41"/>
      <c r="J77" s="166"/>
      <c r="K77" s="41"/>
      <c r="L77" s="41"/>
      <c r="M77" s="41"/>
      <c r="N77" s="166"/>
      <c r="O77" s="166"/>
      <c r="P77" s="41"/>
      <c r="Q77" s="41"/>
      <c r="R77" s="41"/>
      <c r="S77" s="41"/>
      <c r="T77" s="41"/>
      <c r="U77" s="41"/>
      <c r="V77" s="41"/>
      <c r="W77" s="41"/>
      <c r="X77" s="41"/>
      <c r="Y77" s="166"/>
      <c r="Z77" s="166"/>
      <c r="AA77" s="41"/>
      <c r="AB77" s="41"/>
      <c r="AC77" s="41"/>
      <c r="AD77" s="41"/>
      <c r="AE77" s="41"/>
      <c r="AF77" s="41"/>
      <c r="AG77" s="41"/>
      <c r="AH77" s="41"/>
      <c r="AI77" s="41"/>
    </row>
    <row r="78" spans="1:35" ht="15.75" customHeight="1" x14ac:dyDescent="0.2">
      <c r="A78" s="166"/>
      <c r="B78" s="218"/>
      <c r="C78" s="218"/>
      <c r="D78" s="41"/>
      <c r="E78" s="41"/>
      <c r="F78" s="41"/>
      <c r="G78" s="41"/>
      <c r="H78" s="41"/>
      <c r="I78" s="41"/>
      <c r="J78" s="166"/>
      <c r="K78" s="41"/>
      <c r="L78" s="41"/>
      <c r="M78" s="41"/>
      <c r="N78" s="166"/>
      <c r="O78" s="166"/>
      <c r="P78" s="41"/>
      <c r="Q78" s="41"/>
      <c r="R78" s="41"/>
      <c r="S78" s="41"/>
      <c r="T78" s="41"/>
      <c r="U78" s="41"/>
      <c r="V78" s="41"/>
      <c r="W78" s="41"/>
      <c r="X78" s="41"/>
      <c r="Y78" s="166"/>
      <c r="Z78" s="166"/>
      <c r="AA78" s="41"/>
      <c r="AB78" s="41"/>
      <c r="AC78" s="41"/>
      <c r="AD78" s="41"/>
      <c r="AE78" s="41"/>
      <c r="AF78" s="41"/>
      <c r="AG78" s="41"/>
      <c r="AH78" s="41"/>
      <c r="AI78" s="41"/>
    </row>
    <row r="79" spans="1:35" ht="15.75" customHeight="1" x14ac:dyDescent="0.2">
      <c r="A79" s="166"/>
      <c r="B79" s="218"/>
      <c r="C79" s="218"/>
      <c r="D79" s="41"/>
      <c r="E79" s="41"/>
      <c r="F79" s="41"/>
      <c r="G79" s="41"/>
      <c r="H79" s="41"/>
      <c r="I79" s="41"/>
      <c r="J79" s="166"/>
      <c r="K79" s="41"/>
      <c r="L79" s="41"/>
      <c r="M79" s="41"/>
      <c r="N79" s="166"/>
      <c r="O79" s="166"/>
      <c r="P79" s="41"/>
      <c r="Q79" s="41"/>
      <c r="R79" s="41"/>
      <c r="S79" s="41"/>
      <c r="T79" s="41"/>
      <c r="U79" s="41"/>
      <c r="V79" s="41"/>
      <c r="W79" s="41"/>
      <c r="X79" s="41"/>
      <c r="Y79" s="166"/>
      <c r="Z79" s="166"/>
      <c r="AA79" s="41"/>
      <c r="AB79" s="41"/>
      <c r="AC79" s="41"/>
      <c r="AD79" s="41"/>
      <c r="AE79" s="41"/>
      <c r="AF79" s="41"/>
      <c r="AG79" s="41"/>
      <c r="AH79" s="41"/>
      <c r="AI79" s="41"/>
    </row>
    <row r="80" spans="1:35" ht="15.75" customHeight="1" x14ac:dyDescent="0.2">
      <c r="A80" s="166"/>
      <c r="B80" s="218"/>
      <c r="C80" s="218"/>
      <c r="D80" s="41"/>
      <c r="E80" s="41"/>
      <c r="F80" s="41"/>
      <c r="G80" s="41"/>
      <c r="H80" s="41"/>
      <c r="I80" s="41"/>
      <c r="J80" s="166"/>
      <c r="K80" s="41"/>
      <c r="L80" s="41"/>
      <c r="M80" s="41"/>
      <c r="N80" s="166"/>
      <c r="O80" s="166"/>
      <c r="P80" s="41"/>
      <c r="Q80" s="41"/>
      <c r="R80" s="41"/>
      <c r="S80" s="41"/>
      <c r="T80" s="41"/>
      <c r="U80" s="41"/>
      <c r="V80" s="41"/>
      <c r="W80" s="41"/>
      <c r="X80" s="41"/>
      <c r="Y80" s="166"/>
      <c r="Z80" s="166"/>
      <c r="AA80" s="41"/>
      <c r="AB80" s="41"/>
      <c r="AC80" s="41"/>
      <c r="AD80" s="41"/>
      <c r="AE80" s="41"/>
      <c r="AF80" s="41"/>
      <c r="AG80" s="41"/>
      <c r="AH80" s="41"/>
      <c r="AI80" s="41"/>
    </row>
    <row r="81" spans="1:35" ht="15.75" customHeight="1" x14ac:dyDescent="0.2">
      <c r="A81" s="166"/>
      <c r="B81" s="218"/>
      <c r="C81" s="218"/>
      <c r="D81" s="41"/>
      <c r="E81" s="41"/>
      <c r="F81" s="41"/>
      <c r="G81" s="41"/>
      <c r="H81" s="41"/>
      <c r="I81" s="41"/>
      <c r="J81" s="166"/>
      <c r="K81" s="41"/>
      <c r="L81" s="41"/>
      <c r="M81" s="41"/>
      <c r="N81" s="166"/>
      <c r="O81" s="166"/>
      <c r="P81" s="41"/>
      <c r="Q81" s="41"/>
      <c r="R81" s="41"/>
      <c r="S81" s="41"/>
      <c r="T81" s="41"/>
      <c r="U81" s="41"/>
      <c r="V81" s="41"/>
      <c r="W81" s="41"/>
      <c r="X81" s="41"/>
      <c r="Y81" s="166"/>
      <c r="Z81" s="166"/>
      <c r="AA81" s="41"/>
      <c r="AB81" s="41"/>
      <c r="AC81" s="41"/>
      <c r="AD81" s="41"/>
      <c r="AE81" s="41"/>
      <c r="AF81" s="41"/>
      <c r="AG81" s="41"/>
      <c r="AH81" s="41"/>
      <c r="AI81" s="41"/>
    </row>
    <row r="82" spans="1:35" ht="15.75" customHeight="1" x14ac:dyDescent="0.2">
      <c r="A82" s="166"/>
      <c r="B82" s="218"/>
      <c r="C82" s="218"/>
      <c r="D82" s="41"/>
      <c r="E82" s="41"/>
      <c r="F82" s="41"/>
      <c r="G82" s="41"/>
      <c r="H82" s="41"/>
      <c r="I82" s="41"/>
      <c r="J82" s="166"/>
      <c r="K82" s="41"/>
      <c r="L82" s="41"/>
      <c r="M82" s="41"/>
      <c r="N82" s="166"/>
      <c r="O82" s="166"/>
      <c r="P82" s="41"/>
      <c r="Q82" s="41"/>
      <c r="R82" s="41"/>
      <c r="S82" s="41"/>
      <c r="T82" s="41"/>
      <c r="U82" s="41"/>
      <c r="V82" s="41"/>
      <c r="W82" s="41"/>
      <c r="X82" s="41"/>
      <c r="Y82" s="166"/>
      <c r="Z82" s="166"/>
      <c r="AA82" s="41"/>
      <c r="AB82" s="41"/>
      <c r="AC82" s="41"/>
      <c r="AD82" s="41"/>
      <c r="AE82" s="41"/>
      <c r="AF82" s="41"/>
      <c r="AG82" s="41"/>
      <c r="AH82" s="41"/>
      <c r="AI82" s="41"/>
    </row>
    <row r="83" spans="1:35" ht="15.75" customHeight="1" x14ac:dyDescent="0.2">
      <c r="A83" s="166"/>
      <c r="B83" s="218"/>
      <c r="C83" s="218"/>
      <c r="D83" s="41"/>
      <c r="E83" s="41"/>
      <c r="F83" s="41"/>
      <c r="G83" s="41"/>
      <c r="H83" s="41"/>
      <c r="I83" s="41"/>
      <c r="J83" s="166"/>
      <c r="K83" s="41"/>
      <c r="L83" s="41"/>
      <c r="M83" s="41"/>
      <c r="N83" s="166"/>
      <c r="O83" s="166"/>
      <c r="P83" s="41"/>
      <c r="Q83" s="41"/>
      <c r="R83" s="41"/>
      <c r="S83" s="41"/>
      <c r="T83" s="41"/>
      <c r="U83" s="41"/>
      <c r="V83" s="41"/>
      <c r="W83" s="41"/>
      <c r="X83" s="41"/>
      <c r="Y83" s="166"/>
      <c r="Z83" s="166"/>
      <c r="AA83" s="41"/>
      <c r="AB83" s="41"/>
      <c r="AC83" s="41"/>
      <c r="AD83" s="41"/>
      <c r="AE83" s="41"/>
      <c r="AF83" s="41"/>
      <c r="AG83" s="41"/>
      <c r="AH83" s="41"/>
      <c r="AI83" s="41"/>
    </row>
    <row r="84" spans="1:35" ht="15.75" customHeight="1" x14ac:dyDescent="0.2">
      <c r="A84" s="166"/>
      <c r="B84" s="218"/>
      <c r="C84" s="218"/>
      <c r="D84" s="41"/>
      <c r="E84" s="41"/>
      <c r="F84" s="41"/>
      <c r="G84" s="41"/>
      <c r="H84" s="41"/>
      <c r="I84" s="41"/>
      <c r="J84" s="166"/>
      <c r="K84" s="41"/>
      <c r="L84" s="41"/>
      <c r="M84" s="41"/>
      <c r="N84" s="166"/>
      <c r="O84" s="166"/>
      <c r="P84" s="41"/>
      <c r="Q84" s="41"/>
      <c r="R84" s="41"/>
      <c r="S84" s="41"/>
      <c r="T84" s="41"/>
      <c r="U84" s="41"/>
      <c r="V84" s="41"/>
      <c r="W84" s="41"/>
      <c r="X84" s="41"/>
      <c r="Y84" s="166"/>
      <c r="Z84" s="166"/>
      <c r="AA84" s="41"/>
      <c r="AB84" s="41"/>
      <c r="AC84" s="41"/>
      <c r="AD84" s="41"/>
      <c r="AE84" s="41"/>
      <c r="AF84" s="41"/>
      <c r="AG84" s="41"/>
      <c r="AH84" s="41"/>
      <c r="AI84" s="41"/>
    </row>
    <row r="85" spans="1:35" ht="15.75" customHeight="1" x14ac:dyDescent="0.2">
      <c r="A85" s="166"/>
      <c r="B85" s="218"/>
      <c r="C85" s="218"/>
      <c r="D85" s="41"/>
      <c r="E85" s="41"/>
      <c r="F85" s="41"/>
      <c r="G85" s="41"/>
      <c r="H85" s="41"/>
      <c r="I85" s="41"/>
      <c r="J85" s="166"/>
      <c r="K85" s="41"/>
      <c r="L85" s="41"/>
      <c r="M85" s="41"/>
      <c r="N85" s="166"/>
      <c r="O85" s="166"/>
      <c r="P85" s="41"/>
      <c r="Q85" s="41"/>
      <c r="R85" s="41"/>
      <c r="S85" s="41"/>
      <c r="T85" s="41"/>
      <c r="U85" s="41"/>
      <c r="V85" s="41"/>
      <c r="W85" s="41"/>
      <c r="X85" s="41"/>
      <c r="Y85" s="166"/>
      <c r="Z85" s="166"/>
      <c r="AA85" s="41"/>
      <c r="AB85" s="41"/>
      <c r="AC85" s="41"/>
      <c r="AD85" s="41"/>
      <c r="AE85" s="41"/>
      <c r="AF85" s="41"/>
      <c r="AG85" s="41"/>
      <c r="AH85" s="41"/>
      <c r="AI85" s="41"/>
    </row>
    <row r="86" spans="1:35" ht="15.75" customHeight="1" x14ac:dyDescent="0.2">
      <c r="A86" s="166"/>
      <c r="B86" s="218"/>
      <c r="C86" s="218"/>
      <c r="D86" s="41"/>
      <c r="E86" s="41"/>
      <c r="F86" s="41"/>
      <c r="G86" s="41"/>
      <c r="H86" s="41"/>
      <c r="I86" s="41"/>
      <c r="J86" s="166"/>
      <c r="K86" s="41"/>
      <c r="L86" s="41"/>
      <c r="M86" s="41"/>
      <c r="N86" s="166"/>
      <c r="O86" s="166"/>
      <c r="P86" s="41"/>
      <c r="Q86" s="41"/>
      <c r="R86" s="41"/>
      <c r="S86" s="41"/>
      <c r="T86" s="41"/>
      <c r="U86" s="41"/>
      <c r="V86" s="41"/>
      <c r="W86" s="41"/>
      <c r="X86" s="41"/>
      <c r="Y86" s="166"/>
      <c r="Z86" s="166"/>
      <c r="AA86" s="41"/>
      <c r="AB86" s="41"/>
      <c r="AC86" s="41"/>
      <c r="AD86" s="41"/>
      <c r="AE86" s="41"/>
      <c r="AF86" s="41"/>
      <c r="AG86" s="41"/>
      <c r="AH86" s="41"/>
      <c r="AI86" s="41"/>
    </row>
    <row r="87" spans="1:35" ht="15.75" customHeight="1" x14ac:dyDescent="0.2">
      <c r="A87" s="166"/>
      <c r="B87" s="218"/>
      <c r="C87" s="218"/>
      <c r="D87" s="41"/>
      <c r="E87" s="41"/>
      <c r="F87" s="41"/>
      <c r="G87" s="41"/>
      <c r="H87" s="41"/>
      <c r="I87" s="41"/>
      <c r="J87" s="166"/>
      <c r="K87" s="41"/>
      <c r="L87" s="41"/>
      <c r="M87" s="41"/>
      <c r="N87" s="166"/>
      <c r="O87" s="166"/>
      <c r="P87" s="41"/>
      <c r="Q87" s="41"/>
      <c r="R87" s="41"/>
      <c r="S87" s="41"/>
      <c r="T87" s="41"/>
      <c r="U87" s="41"/>
      <c r="V87" s="41"/>
      <c r="W87" s="41"/>
      <c r="X87" s="41"/>
      <c r="Y87" s="166"/>
      <c r="Z87" s="166"/>
      <c r="AA87" s="41"/>
      <c r="AB87" s="41"/>
      <c r="AC87" s="41"/>
      <c r="AD87" s="41"/>
      <c r="AE87" s="41"/>
      <c r="AF87" s="41"/>
      <c r="AG87" s="41"/>
      <c r="AH87" s="41"/>
      <c r="AI87" s="41"/>
    </row>
    <row r="88" spans="1:35" ht="15.75" customHeight="1" x14ac:dyDescent="0.2">
      <c r="A88" s="166"/>
      <c r="B88" s="218"/>
      <c r="C88" s="218"/>
      <c r="D88" s="41"/>
      <c r="E88" s="41"/>
      <c r="F88" s="41"/>
      <c r="G88" s="41"/>
      <c r="H88" s="41"/>
      <c r="I88" s="41"/>
      <c r="J88" s="166"/>
      <c r="K88" s="41"/>
      <c r="L88" s="41"/>
      <c r="M88" s="41"/>
      <c r="N88" s="166"/>
      <c r="O88" s="166"/>
      <c r="P88" s="41"/>
      <c r="Q88" s="41"/>
      <c r="R88" s="41"/>
      <c r="S88" s="41"/>
      <c r="T88" s="41"/>
      <c r="U88" s="41"/>
      <c r="V88" s="41"/>
      <c r="W88" s="41"/>
      <c r="X88" s="41"/>
      <c r="Y88" s="166"/>
      <c r="Z88" s="166"/>
      <c r="AA88" s="41"/>
      <c r="AB88" s="41"/>
      <c r="AC88" s="41"/>
      <c r="AD88" s="41"/>
      <c r="AE88" s="41"/>
      <c r="AF88" s="41"/>
      <c r="AG88" s="41"/>
      <c r="AH88" s="41"/>
      <c r="AI88" s="41"/>
    </row>
    <row r="89" spans="1:35" ht="15.75" customHeight="1" x14ac:dyDescent="0.2">
      <c r="A89" s="166"/>
      <c r="B89" s="218"/>
      <c r="C89" s="218"/>
      <c r="D89" s="41"/>
      <c r="E89" s="41"/>
      <c r="F89" s="41"/>
      <c r="G89" s="41"/>
      <c r="H89" s="41"/>
      <c r="I89" s="41"/>
      <c r="J89" s="166"/>
      <c r="K89" s="41"/>
      <c r="L89" s="41"/>
      <c r="M89" s="41"/>
      <c r="N89" s="166"/>
      <c r="O89" s="166"/>
      <c r="P89" s="41"/>
      <c r="Q89" s="41"/>
      <c r="R89" s="41"/>
      <c r="S89" s="41"/>
      <c r="T89" s="41"/>
      <c r="U89" s="41"/>
      <c r="V89" s="41"/>
      <c r="W89" s="41"/>
      <c r="X89" s="41"/>
      <c r="Y89" s="166"/>
      <c r="Z89" s="166"/>
      <c r="AA89" s="41"/>
      <c r="AB89" s="41"/>
      <c r="AC89" s="41"/>
      <c r="AD89" s="41"/>
      <c r="AE89" s="41"/>
      <c r="AF89" s="41"/>
      <c r="AG89" s="41"/>
      <c r="AH89" s="41"/>
      <c r="AI89" s="41"/>
    </row>
    <row r="90" spans="1:35" ht="15.75" customHeight="1" x14ac:dyDescent="0.2">
      <c r="A90" s="166"/>
      <c r="B90" s="218"/>
      <c r="C90" s="218"/>
      <c r="D90" s="41"/>
      <c r="E90" s="41"/>
      <c r="F90" s="41"/>
      <c r="G90" s="41"/>
      <c r="H90" s="41"/>
      <c r="I90" s="41"/>
      <c r="J90" s="166"/>
      <c r="K90" s="41"/>
      <c r="L90" s="41"/>
      <c r="M90" s="41"/>
      <c r="N90" s="166"/>
      <c r="O90" s="166"/>
      <c r="P90" s="41"/>
      <c r="Q90" s="41"/>
      <c r="R90" s="41"/>
      <c r="S90" s="41"/>
      <c r="T90" s="41"/>
      <c r="U90" s="41"/>
      <c r="V90" s="41"/>
      <c r="W90" s="41"/>
      <c r="X90" s="41"/>
      <c r="Y90" s="166"/>
      <c r="Z90" s="166"/>
      <c r="AA90" s="41"/>
      <c r="AB90" s="41"/>
      <c r="AC90" s="41"/>
      <c r="AD90" s="41"/>
      <c r="AE90" s="41"/>
      <c r="AF90" s="41"/>
      <c r="AG90" s="41"/>
      <c r="AH90" s="41"/>
      <c r="AI90" s="41"/>
    </row>
    <row r="91" spans="1:35" ht="15.75" customHeight="1" x14ac:dyDescent="0.2">
      <c r="A91" s="166"/>
      <c r="B91" s="218"/>
      <c r="C91" s="218"/>
      <c r="D91" s="41"/>
      <c r="E91" s="41"/>
      <c r="F91" s="41"/>
      <c r="G91" s="41"/>
      <c r="H91" s="41"/>
      <c r="I91" s="41"/>
      <c r="J91" s="166"/>
      <c r="K91" s="41"/>
      <c r="L91" s="41"/>
      <c r="M91" s="41"/>
      <c r="N91" s="166"/>
      <c r="O91" s="166"/>
      <c r="P91" s="41"/>
      <c r="Q91" s="41"/>
      <c r="R91" s="41"/>
      <c r="S91" s="41"/>
      <c r="T91" s="41"/>
      <c r="U91" s="41"/>
      <c r="V91" s="41"/>
      <c r="W91" s="41"/>
      <c r="X91" s="41"/>
      <c r="Y91" s="166"/>
      <c r="Z91" s="166"/>
      <c r="AA91" s="41"/>
      <c r="AB91" s="41"/>
      <c r="AC91" s="41"/>
      <c r="AD91" s="41"/>
      <c r="AE91" s="41"/>
      <c r="AF91" s="41"/>
      <c r="AG91" s="41"/>
      <c r="AH91" s="41"/>
      <c r="AI91" s="41"/>
    </row>
    <row r="92" spans="1:35" ht="15.75" customHeight="1" x14ac:dyDescent="0.2">
      <c r="A92" s="166"/>
      <c r="B92" s="218"/>
      <c r="C92" s="218"/>
      <c r="D92" s="41"/>
      <c r="E92" s="41"/>
      <c r="F92" s="41"/>
      <c r="G92" s="41"/>
      <c r="H92" s="41"/>
      <c r="I92" s="41"/>
      <c r="J92" s="166"/>
      <c r="K92" s="41"/>
      <c r="L92" s="41"/>
      <c r="M92" s="41"/>
      <c r="N92" s="166"/>
      <c r="O92" s="166"/>
      <c r="P92" s="41"/>
      <c r="Q92" s="41"/>
      <c r="R92" s="41"/>
      <c r="S92" s="41"/>
      <c r="T92" s="41"/>
      <c r="U92" s="41"/>
      <c r="V92" s="41"/>
      <c r="W92" s="41"/>
      <c r="X92" s="41"/>
      <c r="Y92" s="166"/>
      <c r="Z92" s="166"/>
      <c r="AA92" s="41"/>
      <c r="AB92" s="41"/>
      <c r="AC92" s="41"/>
      <c r="AD92" s="41"/>
      <c r="AE92" s="41"/>
      <c r="AF92" s="41"/>
      <c r="AG92" s="41"/>
      <c r="AH92" s="41"/>
      <c r="AI92" s="41"/>
    </row>
    <row r="93" spans="1:35" ht="15.75" customHeight="1" x14ac:dyDescent="0.2">
      <c r="A93" s="166"/>
      <c r="B93" s="218"/>
      <c r="C93" s="218"/>
      <c r="D93" s="41"/>
      <c r="E93" s="41"/>
      <c r="F93" s="41"/>
      <c r="G93" s="41"/>
      <c r="H93" s="41"/>
      <c r="I93" s="41"/>
      <c r="J93" s="166"/>
      <c r="K93" s="41"/>
      <c r="L93" s="41"/>
      <c r="M93" s="41"/>
      <c r="N93" s="166"/>
      <c r="O93" s="166"/>
      <c r="P93" s="41"/>
      <c r="Q93" s="41"/>
      <c r="R93" s="41"/>
      <c r="S93" s="41"/>
      <c r="T93" s="41"/>
      <c r="U93" s="41"/>
      <c r="V93" s="41"/>
      <c r="W93" s="41"/>
      <c r="X93" s="41"/>
      <c r="Y93" s="166"/>
      <c r="Z93" s="166"/>
      <c r="AA93" s="41"/>
      <c r="AB93" s="41"/>
      <c r="AC93" s="41"/>
      <c r="AD93" s="41"/>
      <c r="AE93" s="41"/>
      <c r="AF93" s="41"/>
      <c r="AG93" s="41"/>
      <c r="AH93" s="41"/>
      <c r="AI93" s="41"/>
    </row>
    <row r="94" spans="1:35" ht="15.75" customHeight="1" x14ac:dyDescent="0.2">
      <c r="A94" s="166"/>
      <c r="B94" s="218"/>
      <c r="C94" s="218"/>
      <c r="D94" s="41"/>
      <c r="E94" s="41"/>
      <c r="F94" s="41"/>
      <c r="G94" s="41"/>
      <c r="H94" s="41"/>
      <c r="I94" s="41"/>
      <c r="J94" s="166"/>
      <c r="K94" s="41"/>
      <c r="L94" s="41"/>
      <c r="M94" s="41"/>
      <c r="N94" s="166"/>
      <c r="O94" s="166"/>
      <c r="P94" s="41"/>
      <c r="Q94" s="41"/>
      <c r="R94" s="41"/>
      <c r="S94" s="41"/>
      <c r="T94" s="41"/>
      <c r="U94" s="41"/>
      <c r="V94" s="41"/>
      <c r="W94" s="41"/>
      <c r="X94" s="41"/>
      <c r="Y94" s="166"/>
      <c r="Z94" s="166"/>
      <c r="AA94" s="41"/>
      <c r="AB94" s="41"/>
      <c r="AC94" s="41"/>
      <c r="AD94" s="41"/>
      <c r="AE94" s="41"/>
      <c r="AF94" s="41"/>
      <c r="AG94" s="41"/>
      <c r="AH94" s="41"/>
      <c r="AI94" s="41"/>
    </row>
    <row r="95" spans="1:35" ht="15.75" customHeight="1" x14ac:dyDescent="0.2">
      <c r="A95" s="166"/>
      <c r="B95" s="218"/>
      <c r="C95" s="218"/>
      <c r="D95" s="41"/>
      <c r="E95" s="41"/>
      <c r="F95" s="41"/>
      <c r="G95" s="41"/>
      <c r="H95" s="41"/>
      <c r="I95" s="41"/>
      <c r="J95" s="166"/>
      <c r="K95" s="41"/>
      <c r="L95" s="41"/>
      <c r="M95" s="41"/>
      <c r="N95" s="166"/>
      <c r="O95" s="166"/>
      <c r="P95" s="41"/>
      <c r="Q95" s="41"/>
      <c r="R95" s="41"/>
      <c r="S95" s="41"/>
      <c r="T95" s="41"/>
      <c r="U95" s="41"/>
      <c r="V95" s="41"/>
      <c r="W95" s="41"/>
      <c r="X95" s="41"/>
      <c r="Y95" s="166"/>
      <c r="Z95" s="166"/>
      <c r="AA95" s="41"/>
      <c r="AB95" s="41"/>
      <c r="AC95" s="41"/>
      <c r="AD95" s="41"/>
      <c r="AE95" s="41"/>
      <c r="AF95" s="41"/>
      <c r="AG95" s="41"/>
      <c r="AH95" s="41"/>
      <c r="AI95" s="41"/>
    </row>
    <row r="96" spans="1:35" ht="15.75" customHeight="1" x14ac:dyDescent="0.2">
      <c r="A96" s="166"/>
      <c r="B96" s="218"/>
      <c r="C96" s="218"/>
      <c r="D96" s="41"/>
      <c r="E96" s="41"/>
      <c r="F96" s="41"/>
      <c r="G96" s="41"/>
      <c r="H96" s="41"/>
      <c r="I96" s="41"/>
      <c r="J96" s="166"/>
      <c r="K96" s="41"/>
      <c r="L96" s="41"/>
      <c r="M96" s="41"/>
      <c r="N96" s="166"/>
      <c r="O96" s="166"/>
      <c r="P96" s="41"/>
      <c r="Q96" s="41"/>
      <c r="R96" s="41"/>
      <c r="S96" s="41"/>
      <c r="T96" s="41"/>
      <c r="U96" s="41"/>
      <c r="V96" s="41"/>
      <c r="W96" s="41"/>
      <c r="X96" s="41"/>
      <c r="Y96" s="166"/>
      <c r="Z96" s="166"/>
      <c r="AA96" s="41"/>
      <c r="AB96" s="41"/>
      <c r="AC96" s="41"/>
      <c r="AD96" s="41"/>
      <c r="AE96" s="41"/>
      <c r="AF96" s="41"/>
      <c r="AG96" s="41"/>
      <c r="AH96" s="41"/>
      <c r="AI96" s="41"/>
    </row>
    <row r="97" spans="1:35" ht="15.75" customHeight="1" x14ac:dyDescent="0.2">
      <c r="A97" s="166"/>
      <c r="B97" s="218"/>
      <c r="C97" s="218"/>
      <c r="D97" s="41"/>
      <c r="E97" s="41"/>
      <c r="F97" s="41"/>
      <c r="G97" s="41"/>
      <c r="H97" s="41"/>
      <c r="I97" s="41"/>
      <c r="J97" s="166"/>
      <c r="K97" s="41"/>
      <c r="L97" s="41"/>
      <c r="M97" s="41"/>
      <c r="N97" s="166"/>
      <c r="O97" s="166"/>
      <c r="P97" s="41"/>
      <c r="Q97" s="41"/>
      <c r="R97" s="41"/>
      <c r="S97" s="41"/>
      <c r="T97" s="41"/>
      <c r="U97" s="41"/>
      <c r="V97" s="41"/>
      <c r="W97" s="41"/>
      <c r="X97" s="41"/>
      <c r="Y97" s="166"/>
      <c r="Z97" s="166"/>
      <c r="AA97" s="41"/>
      <c r="AB97" s="41"/>
      <c r="AC97" s="41"/>
      <c r="AD97" s="41"/>
      <c r="AE97" s="41"/>
      <c r="AF97" s="41"/>
      <c r="AG97" s="41"/>
      <c r="AH97" s="41"/>
      <c r="AI97" s="41"/>
    </row>
    <row r="98" spans="1:35" ht="15.75" customHeight="1" x14ac:dyDescent="0.2">
      <c r="A98" s="166"/>
      <c r="B98" s="218"/>
      <c r="C98" s="218"/>
      <c r="D98" s="41"/>
      <c r="E98" s="41"/>
      <c r="F98" s="41"/>
      <c r="G98" s="41"/>
      <c r="H98" s="41"/>
      <c r="I98" s="41"/>
      <c r="J98" s="166"/>
      <c r="K98" s="41"/>
      <c r="L98" s="41"/>
      <c r="M98" s="41"/>
      <c r="N98" s="166"/>
      <c r="O98" s="166"/>
      <c r="P98" s="41"/>
      <c r="Q98" s="41"/>
      <c r="R98" s="41"/>
      <c r="S98" s="41"/>
      <c r="T98" s="41"/>
      <c r="U98" s="41"/>
      <c r="V98" s="41"/>
      <c r="W98" s="41"/>
      <c r="X98" s="41"/>
      <c r="Y98" s="166"/>
      <c r="Z98" s="166"/>
      <c r="AA98" s="41"/>
      <c r="AB98" s="41"/>
      <c r="AC98" s="41"/>
      <c r="AD98" s="41"/>
      <c r="AE98" s="41"/>
      <c r="AF98" s="41"/>
      <c r="AG98" s="41"/>
      <c r="AH98" s="41"/>
      <c r="AI98" s="41"/>
    </row>
    <row r="99" spans="1:35" ht="15.75" customHeight="1" x14ac:dyDescent="0.2">
      <c r="A99" s="166"/>
      <c r="B99" s="218"/>
      <c r="C99" s="218"/>
      <c r="D99" s="41"/>
      <c r="E99" s="41"/>
      <c r="F99" s="41"/>
      <c r="G99" s="41"/>
      <c r="H99" s="41"/>
      <c r="I99" s="41"/>
      <c r="J99" s="166"/>
      <c r="K99" s="41"/>
      <c r="L99" s="41"/>
      <c r="M99" s="41"/>
      <c r="N99" s="166"/>
      <c r="O99" s="166"/>
      <c r="P99" s="41"/>
      <c r="Q99" s="41"/>
      <c r="R99" s="41"/>
      <c r="S99" s="41"/>
      <c r="T99" s="41"/>
      <c r="U99" s="41"/>
      <c r="V99" s="41"/>
      <c r="W99" s="41"/>
      <c r="X99" s="41"/>
      <c r="Y99" s="166"/>
      <c r="Z99" s="166"/>
      <c r="AA99" s="41"/>
      <c r="AB99" s="41"/>
      <c r="AC99" s="41"/>
      <c r="AD99" s="41"/>
      <c r="AE99" s="41"/>
      <c r="AF99" s="41"/>
      <c r="AG99" s="41"/>
      <c r="AH99" s="41"/>
      <c r="AI99" s="41"/>
    </row>
    <row r="100" spans="1:35" ht="15.75" customHeight="1" x14ac:dyDescent="0.2">
      <c r="A100" s="166"/>
      <c r="B100" s="218"/>
      <c r="C100" s="218"/>
      <c r="D100" s="41"/>
      <c r="E100" s="41"/>
      <c r="F100" s="41"/>
      <c r="G100" s="41"/>
      <c r="H100" s="41"/>
      <c r="I100" s="41"/>
      <c r="J100" s="166"/>
      <c r="K100" s="41"/>
      <c r="L100" s="41"/>
      <c r="M100" s="41"/>
      <c r="N100" s="166"/>
      <c r="O100" s="166"/>
      <c r="P100" s="41"/>
      <c r="Q100" s="41"/>
      <c r="R100" s="41"/>
      <c r="S100" s="41"/>
      <c r="T100" s="41"/>
      <c r="U100" s="41"/>
      <c r="V100" s="41"/>
      <c r="W100" s="41"/>
      <c r="X100" s="41"/>
      <c r="Y100" s="166"/>
      <c r="Z100" s="166"/>
      <c r="AA100" s="41"/>
      <c r="AB100" s="41"/>
      <c r="AC100" s="41"/>
      <c r="AD100" s="41"/>
      <c r="AE100" s="41"/>
      <c r="AF100" s="41"/>
      <c r="AG100" s="41"/>
      <c r="AH100" s="41"/>
      <c r="AI100" s="41"/>
    </row>
    <row r="101" spans="1:35" ht="15.75" customHeight="1" x14ac:dyDescent="0.2">
      <c r="A101" s="166"/>
      <c r="B101" s="218"/>
      <c r="C101" s="218"/>
      <c r="D101" s="41"/>
      <c r="E101" s="41"/>
      <c r="F101" s="41"/>
      <c r="G101" s="41"/>
      <c r="H101" s="41"/>
      <c r="I101" s="41"/>
      <c r="J101" s="166"/>
      <c r="K101" s="41"/>
      <c r="L101" s="41"/>
      <c r="M101" s="41"/>
      <c r="N101" s="166"/>
      <c r="O101" s="166"/>
      <c r="P101" s="41"/>
      <c r="Q101" s="41"/>
      <c r="R101" s="41"/>
      <c r="S101" s="41"/>
      <c r="T101" s="41"/>
      <c r="U101" s="41"/>
      <c r="V101" s="41"/>
      <c r="W101" s="41"/>
      <c r="X101" s="41"/>
      <c r="Y101" s="166"/>
      <c r="Z101" s="166"/>
      <c r="AA101" s="41"/>
      <c r="AB101" s="41"/>
      <c r="AC101" s="41"/>
      <c r="AD101" s="41"/>
      <c r="AE101" s="41"/>
      <c r="AF101" s="41"/>
      <c r="AG101" s="41"/>
      <c r="AH101" s="41"/>
      <c r="AI101" s="41"/>
    </row>
    <row r="102" spans="1:35" ht="15.75" customHeight="1" x14ac:dyDescent="0.2">
      <c r="A102" s="166"/>
      <c r="B102" s="218"/>
      <c r="C102" s="218"/>
      <c r="D102" s="41"/>
      <c r="E102" s="41"/>
      <c r="F102" s="41"/>
      <c r="G102" s="41"/>
      <c r="H102" s="41"/>
      <c r="I102" s="41"/>
      <c r="J102" s="166"/>
      <c r="K102" s="41"/>
      <c r="L102" s="41"/>
      <c r="M102" s="41"/>
      <c r="N102" s="166"/>
      <c r="O102" s="166"/>
      <c r="P102" s="41"/>
      <c r="Q102" s="41"/>
      <c r="R102" s="41"/>
      <c r="S102" s="41"/>
      <c r="T102" s="41"/>
      <c r="U102" s="41"/>
      <c r="V102" s="41"/>
      <c r="W102" s="41"/>
      <c r="X102" s="41"/>
      <c r="Y102" s="166"/>
      <c r="Z102" s="166"/>
      <c r="AA102" s="41"/>
      <c r="AB102" s="41"/>
      <c r="AC102" s="41"/>
      <c r="AD102" s="41"/>
      <c r="AE102" s="41"/>
      <c r="AF102" s="41"/>
      <c r="AG102" s="41"/>
      <c r="AH102" s="41"/>
      <c r="AI102" s="41"/>
    </row>
    <row r="103" spans="1:35" ht="15.75" customHeight="1" x14ac:dyDescent="0.2">
      <c r="A103" s="166"/>
      <c r="B103" s="218"/>
      <c r="C103" s="218"/>
      <c r="D103" s="41"/>
      <c r="E103" s="41"/>
      <c r="F103" s="41"/>
      <c r="G103" s="41"/>
      <c r="H103" s="41"/>
      <c r="I103" s="41"/>
      <c r="J103" s="166"/>
      <c r="K103" s="41"/>
      <c r="L103" s="41"/>
      <c r="M103" s="41"/>
      <c r="N103" s="166"/>
      <c r="O103" s="166"/>
      <c r="P103" s="41"/>
      <c r="Q103" s="41"/>
      <c r="R103" s="41"/>
      <c r="S103" s="41"/>
      <c r="T103" s="41"/>
      <c r="U103" s="41"/>
      <c r="V103" s="41"/>
      <c r="W103" s="41"/>
      <c r="X103" s="41"/>
      <c r="Y103" s="166"/>
      <c r="Z103" s="166"/>
      <c r="AA103" s="41"/>
      <c r="AB103" s="41"/>
      <c r="AC103" s="41"/>
      <c r="AD103" s="41"/>
      <c r="AE103" s="41"/>
      <c r="AF103" s="41"/>
      <c r="AG103" s="41"/>
      <c r="AH103" s="41"/>
      <c r="AI103" s="41"/>
    </row>
    <row r="104" spans="1:35" ht="15.75" customHeight="1" x14ac:dyDescent="0.2">
      <c r="A104" s="166"/>
      <c r="B104" s="218"/>
      <c r="C104" s="218"/>
      <c r="D104" s="41"/>
      <c r="E104" s="41"/>
      <c r="F104" s="41"/>
      <c r="G104" s="41"/>
      <c r="H104" s="41"/>
      <c r="I104" s="41"/>
      <c r="J104" s="166"/>
      <c r="K104" s="41"/>
      <c r="L104" s="41"/>
      <c r="M104" s="41"/>
      <c r="N104" s="166"/>
      <c r="O104" s="166"/>
      <c r="P104" s="41"/>
      <c r="Q104" s="41"/>
      <c r="R104" s="41"/>
      <c r="S104" s="41"/>
      <c r="T104" s="41"/>
      <c r="U104" s="41"/>
      <c r="V104" s="41"/>
      <c r="W104" s="41"/>
      <c r="X104" s="41"/>
      <c r="Y104" s="166"/>
      <c r="Z104" s="166"/>
      <c r="AA104" s="41"/>
      <c r="AB104" s="41"/>
      <c r="AC104" s="41"/>
      <c r="AD104" s="41"/>
      <c r="AE104" s="41"/>
      <c r="AF104" s="41"/>
      <c r="AG104" s="41"/>
      <c r="AH104" s="41"/>
      <c r="AI104" s="41"/>
    </row>
    <row r="105" spans="1:35" ht="15.75" customHeight="1" x14ac:dyDescent="0.2">
      <c r="A105" s="166"/>
      <c r="B105" s="218"/>
      <c r="C105" s="218"/>
      <c r="D105" s="41"/>
      <c r="E105" s="41"/>
      <c r="F105" s="41"/>
      <c r="G105" s="41"/>
      <c r="H105" s="41"/>
      <c r="I105" s="41"/>
      <c r="J105" s="166"/>
      <c r="K105" s="41"/>
      <c r="L105" s="41"/>
      <c r="M105" s="41"/>
      <c r="N105" s="166"/>
      <c r="O105" s="166"/>
      <c r="P105" s="41"/>
      <c r="Q105" s="41"/>
      <c r="R105" s="41"/>
      <c r="S105" s="41"/>
      <c r="T105" s="41"/>
      <c r="U105" s="41"/>
      <c r="V105" s="41"/>
      <c r="W105" s="41"/>
      <c r="X105" s="41"/>
      <c r="Y105" s="166"/>
      <c r="Z105" s="166"/>
      <c r="AA105" s="41"/>
      <c r="AB105" s="41"/>
      <c r="AC105" s="41"/>
      <c r="AD105" s="41"/>
      <c r="AE105" s="41"/>
      <c r="AF105" s="41"/>
      <c r="AG105" s="41"/>
      <c r="AH105" s="41"/>
      <c r="AI105" s="41"/>
    </row>
    <row r="106" spans="1:35" ht="15.75" customHeight="1" x14ac:dyDescent="0.2">
      <c r="A106" s="166"/>
      <c r="B106" s="218"/>
      <c r="C106" s="218"/>
      <c r="D106" s="41"/>
      <c r="E106" s="41"/>
      <c r="F106" s="41"/>
      <c r="G106" s="41"/>
      <c r="H106" s="41"/>
      <c r="I106" s="41"/>
      <c r="J106" s="166"/>
      <c r="K106" s="41"/>
      <c r="L106" s="41"/>
      <c r="M106" s="41"/>
      <c r="N106" s="166"/>
      <c r="O106" s="166"/>
      <c r="P106" s="41"/>
      <c r="Q106" s="41"/>
      <c r="R106" s="41"/>
      <c r="S106" s="41"/>
      <c r="T106" s="41"/>
      <c r="U106" s="41"/>
      <c r="V106" s="41"/>
      <c r="W106" s="41"/>
      <c r="X106" s="41"/>
      <c r="Y106" s="166"/>
      <c r="Z106" s="166"/>
      <c r="AA106" s="41"/>
      <c r="AB106" s="41"/>
      <c r="AC106" s="41"/>
      <c r="AD106" s="41"/>
      <c r="AE106" s="41"/>
      <c r="AF106" s="41"/>
      <c r="AG106" s="41"/>
      <c r="AH106" s="41"/>
      <c r="AI106" s="41"/>
    </row>
    <row r="107" spans="1:35" ht="15.75" customHeight="1" x14ac:dyDescent="0.2">
      <c r="A107" s="166"/>
      <c r="B107" s="218"/>
      <c r="C107" s="218"/>
      <c r="D107" s="41"/>
      <c r="E107" s="41"/>
      <c r="F107" s="41"/>
      <c r="G107" s="41"/>
      <c r="H107" s="41"/>
      <c r="I107" s="41"/>
      <c r="J107" s="166"/>
      <c r="K107" s="41"/>
      <c r="L107" s="41"/>
      <c r="M107" s="41"/>
      <c r="N107" s="166"/>
      <c r="O107" s="166"/>
      <c r="P107" s="41"/>
      <c r="Q107" s="41"/>
      <c r="R107" s="41"/>
      <c r="S107" s="41"/>
      <c r="T107" s="41"/>
      <c r="U107" s="41"/>
      <c r="V107" s="41"/>
      <c r="W107" s="41"/>
      <c r="X107" s="41"/>
      <c r="Y107" s="166"/>
      <c r="Z107" s="166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5.75" customHeight="1" x14ac:dyDescent="0.2">
      <c r="A108" s="166"/>
      <c r="B108" s="218"/>
      <c r="C108" s="218"/>
      <c r="D108" s="41"/>
      <c r="E108" s="41"/>
      <c r="F108" s="41"/>
      <c r="G108" s="41"/>
      <c r="H108" s="41"/>
      <c r="I108" s="41"/>
      <c r="J108" s="166"/>
      <c r="K108" s="41"/>
      <c r="L108" s="41"/>
      <c r="M108" s="41"/>
      <c r="N108" s="166"/>
      <c r="O108" s="166"/>
      <c r="P108" s="41"/>
      <c r="Q108" s="41"/>
      <c r="R108" s="41"/>
      <c r="S108" s="41"/>
      <c r="T108" s="41"/>
      <c r="U108" s="41"/>
      <c r="V108" s="41"/>
      <c r="W108" s="41"/>
      <c r="X108" s="41"/>
      <c r="Y108" s="166"/>
      <c r="Z108" s="166"/>
      <c r="AA108" s="41"/>
      <c r="AB108" s="41"/>
      <c r="AC108" s="41"/>
      <c r="AD108" s="41"/>
      <c r="AE108" s="41"/>
      <c r="AF108" s="41"/>
      <c r="AG108" s="41"/>
      <c r="AH108" s="41"/>
      <c r="AI108" s="41"/>
    </row>
    <row r="109" spans="1:35" ht="15.75" customHeight="1" x14ac:dyDescent="0.2">
      <c r="A109" s="166"/>
      <c r="B109" s="218"/>
      <c r="C109" s="218"/>
      <c r="D109" s="41"/>
      <c r="E109" s="41"/>
      <c r="F109" s="41"/>
      <c r="G109" s="41"/>
      <c r="H109" s="41"/>
      <c r="I109" s="41"/>
      <c r="J109" s="166"/>
      <c r="K109" s="41"/>
      <c r="L109" s="41"/>
      <c r="M109" s="41"/>
      <c r="N109" s="166"/>
      <c r="O109" s="166"/>
      <c r="P109" s="41"/>
      <c r="Q109" s="41"/>
      <c r="R109" s="41"/>
      <c r="S109" s="41"/>
      <c r="T109" s="41"/>
      <c r="U109" s="41"/>
      <c r="V109" s="41"/>
      <c r="W109" s="41"/>
      <c r="X109" s="41"/>
      <c r="Y109" s="166"/>
      <c r="Z109" s="166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5.75" customHeight="1" x14ac:dyDescent="0.2">
      <c r="A110" s="166"/>
      <c r="B110" s="218"/>
      <c r="C110" s="218"/>
      <c r="D110" s="41"/>
      <c r="E110" s="41"/>
      <c r="F110" s="41"/>
      <c r="G110" s="41"/>
      <c r="H110" s="41"/>
      <c r="I110" s="41"/>
      <c r="J110" s="166"/>
      <c r="K110" s="41"/>
      <c r="L110" s="41"/>
      <c r="M110" s="41"/>
      <c r="N110" s="166"/>
      <c r="O110" s="166"/>
      <c r="P110" s="41"/>
      <c r="Q110" s="41"/>
      <c r="R110" s="41"/>
      <c r="S110" s="41"/>
      <c r="T110" s="41"/>
      <c r="U110" s="41"/>
      <c r="V110" s="41"/>
      <c r="W110" s="41"/>
      <c r="X110" s="41"/>
      <c r="Y110" s="166"/>
      <c r="Z110" s="166"/>
      <c r="AA110" s="41"/>
      <c r="AB110" s="41"/>
      <c r="AC110" s="41"/>
      <c r="AD110" s="41"/>
      <c r="AE110" s="41"/>
      <c r="AF110" s="41"/>
      <c r="AG110" s="41"/>
      <c r="AH110" s="41"/>
      <c r="AI110" s="41"/>
    </row>
    <row r="111" spans="1:35" ht="15.75" customHeight="1" x14ac:dyDescent="0.2">
      <c r="A111" s="166"/>
      <c r="B111" s="218"/>
      <c r="C111" s="218"/>
      <c r="D111" s="41"/>
      <c r="E111" s="41"/>
      <c r="F111" s="41"/>
      <c r="G111" s="41"/>
      <c r="H111" s="41"/>
      <c r="I111" s="41"/>
      <c r="J111" s="166"/>
      <c r="K111" s="41"/>
      <c r="L111" s="41"/>
      <c r="M111" s="41"/>
      <c r="N111" s="166"/>
      <c r="O111" s="166"/>
      <c r="P111" s="41"/>
      <c r="Q111" s="41"/>
      <c r="R111" s="41"/>
      <c r="S111" s="41"/>
      <c r="T111" s="41"/>
      <c r="U111" s="41"/>
      <c r="V111" s="41"/>
      <c r="W111" s="41"/>
      <c r="X111" s="41"/>
      <c r="Y111" s="166"/>
      <c r="Z111" s="166"/>
      <c r="AA111" s="41"/>
      <c r="AB111" s="41"/>
      <c r="AC111" s="41"/>
      <c r="AD111" s="41"/>
      <c r="AE111" s="41"/>
      <c r="AF111" s="41"/>
      <c r="AG111" s="41"/>
      <c r="AH111" s="41"/>
      <c r="AI111" s="41"/>
    </row>
    <row r="112" spans="1:35" ht="15.75" customHeight="1" x14ac:dyDescent="0.2">
      <c r="A112" s="166"/>
      <c r="B112" s="218"/>
      <c r="C112" s="218"/>
      <c r="D112" s="41"/>
      <c r="E112" s="41"/>
      <c r="F112" s="41"/>
      <c r="G112" s="41"/>
      <c r="H112" s="41"/>
      <c r="I112" s="41"/>
      <c r="J112" s="166"/>
      <c r="K112" s="41"/>
      <c r="L112" s="41"/>
      <c r="M112" s="41"/>
      <c r="N112" s="166"/>
      <c r="O112" s="166"/>
      <c r="P112" s="41"/>
      <c r="Q112" s="41"/>
      <c r="R112" s="41"/>
      <c r="S112" s="41"/>
      <c r="T112" s="41"/>
      <c r="U112" s="41"/>
      <c r="V112" s="41"/>
      <c r="W112" s="41"/>
      <c r="X112" s="41"/>
      <c r="Y112" s="166"/>
      <c r="Z112" s="166"/>
      <c r="AA112" s="41"/>
      <c r="AB112" s="41"/>
      <c r="AC112" s="41"/>
      <c r="AD112" s="41"/>
      <c r="AE112" s="41"/>
      <c r="AF112" s="41"/>
      <c r="AG112" s="41"/>
      <c r="AH112" s="41"/>
      <c r="AI112" s="41"/>
    </row>
    <row r="113" spans="1:35" ht="15.75" customHeight="1" x14ac:dyDescent="0.2">
      <c r="A113" s="166"/>
      <c r="B113" s="218"/>
      <c r="C113" s="218"/>
      <c r="D113" s="41"/>
      <c r="E113" s="41"/>
      <c r="F113" s="41"/>
      <c r="G113" s="41"/>
      <c r="H113" s="41"/>
      <c r="I113" s="41"/>
      <c r="J113" s="166"/>
      <c r="K113" s="41"/>
      <c r="L113" s="41"/>
      <c r="M113" s="41"/>
      <c r="N113" s="166"/>
      <c r="O113" s="166"/>
      <c r="P113" s="41"/>
      <c r="Q113" s="41"/>
      <c r="R113" s="41"/>
      <c r="S113" s="41"/>
      <c r="T113" s="41"/>
      <c r="U113" s="41"/>
      <c r="V113" s="41"/>
      <c r="W113" s="41"/>
      <c r="X113" s="41"/>
      <c r="Y113" s="166"/>
      <c r="Z113" s="166"/>
      <c r="AA113" s="41"/>
      <c r="AB113" s="41"/>
      <c r="AC113" s="41"/>
      <c r="AD113" s="41"/>
      <c r="AE113" s="41"/>
      <c r="AF113" s="41"/>
      <c r="AG113" s="41"/>
      <c r="AH113" s="41"/>
      <c r="AI113" s="41"/>
    </row>
    <row r="114" spans="1:35" ht="15.75" customHeight="1" x14ac:dyDescent="0.2">
      <c r="A114" s="166"/>
      <c r="B114" s="218"/>
      <c r="C114" s="218"/>
      <c r="D114" s="41"/>
      <c r="E114" s="41"/>
      <c r="F114" s="41"/>
      <c r="G114" s="41"/>
      <c r="H114" s="41"/>
      <c r="I114" s="41"/>
      <c r="J114" s="166"/>
      <c r="K114" s="41"/>
      <c r="L114" s="41"/>
      <c r="M114" s="41"/>
      <c r="N114" s="166"/>
      <c r="O114" s="166"/>
      <c r="P114" s="41"/>
      <c r="Q114" s="41"/>
      <c r="R114" s="41"/>
      <c r="S114" s="41"/>
      <c r="T114" s="41"/>
      <c r="U114" s="41"/>
      <c r="V114" s="41"/>
      <c r="W114" s="41"/>
      <c r="X114" s="41"/>
      <c r="Y114" s="166"/>
      <c r="Z114" s="166"/>
      <c r="AA114" s="41"/>
      <c r="AB114" s="41"/>
      <c r="AC114" s="41"/>
      <c r="AD114" s="41"/>
      <c r="AE114" s="41"/>
      <c r="AF114" s="41"/>
      <c r="AG114" s="41"/>
      <c r="AH114" s="41"/>
      <c r="AI114" s="41"/>
    </row>
    <row r="115" spans="1:35" ht="15.75" customHeight="1" x14ac:dyDescent="0.2">
      <c r="A115" s="166"/>
      <c r="B115" s="218"/>
      <c r="C115" s="218"/>
      <c r="D115" s="41"/>
      <c r="E115" s="41"/>
      <c r="F115" s="41"/>
      <c r="G115" s="41"/>
      <c r="H115" s="41"/>
      <c r="I115" s="41"/>
      <c r="J115" s="166"/>
      <c r="K115" s="41"/>
      <c r="L115" s="41"/>
      <c r="M115" s="41"/>
      <c r="N115" s="166"/>
      <c r="O115" s="166"/>
      <c r="P115" s="41"/>
      <c r="Q115" s="41"/>
      <c r="R115" s="41"/>
      <c r="S115" s="41"/>
      <c r="T115" s="41"/>
      <c r="U115" s="41"/>
      <c r="V115" s="41"/>
      <c r="W115" s="41"/>
      <c r="X115" s="41"/>
      <c r="Y115" s="166"/>
      <c r="Z115" s="166"/>
      <c r="AA115" s="41"/>
      <c r="AB115" s="41"/>
      <c r="AC115" s="41"/>
      <c r="AD115" s="41"/>
      <c r="AE115" s="41"/>
      <c r="AF115" s="41"/>
      <c r="AG115" s="41"/>
      <c r="AH115" s="41"/>
      <c r="AI115" s="41"/>
    </row>
    <row r="116" spans="1:35" ht="15.75" customHeight="1" x14ac:dyDescent="0.2">
      <c r="A116" s="166"/>
      <c r="B116" s="218"/>
      <c r="C116" s="218"/>
      <c r="D116" s="41"/>
      <c r="E116" s="41"/>
      <c r="F116" s="41"/>
      <c r="G116" s="41"/>
      <c r="H116" s="41"/>
      <c r="I116" s="41"/>
      <c r="J116" s="166"/>
      <c r="K116" s="41"/>
      <c r="L116" s="41"/>
      <c r="M116" s="41"/>
      <c r="N116" s="166"/>
      <c r="O116" s="166"/>
      <c r="P116" s="41"/>
      <c r="Q116" s="41"/>
      <c r="R116" s="41"/>
      <c r="S116" s="41"/>
      <c r="T116" s="41"/>
      <c r="U116" s="41"/>
      <c r="V116" s="41"/>
      <c r="W116" s="41"/>
      <c r="X116" s="41"/>
      <c r="Y116" s="166"/>
      <c r="Z116" s="166"/>
      <c r="AA116" s="41"/>
      <c r="AB116" s="41"/>
      <c r="AC116" s="41"/>
      <c r="AD116" s="41"/>
      <c r="AE116" s="41"/>
      <c r="AF116" s="41"/>
      <c r="AG116" s="41"/>
      <c r="AH116" s="41"/>
      <c r="AI116" s="41"/>
    </row>
    <row r="117" spans="1:35" ht="15.75" customHeight="1" x14ac:dyDescent="0.2">
      <c r="A117" s="166"/>
      <c r="B117" s="218"/>
      <c r="C117" s="218"/>
      <c r="D117" s="41"/>
      <c r="E117" s="41"/>
      <c r="F117" s="41"/>
      <c r="G117" s="41"/>
      <c r="H117" s="41"/>
      <c r="I117" s="41"/>
      <c r="J117" s="166"/>
      <c r="K117" s="41"/>
      <c r="L117" s="41"/>
      <c r="M117" s="41"/>
      <c r="N117" s="166"/>
      <c r="O117" s="166"/>
      <c r="P117" s="41"/>
      <c r="Q117" s="41"/>
      <c r="R117" s="41"/>
      <c r="S117" s="41"/>
      <c r="T117" s="41"/>
      <c r="U117" s="41"/>
      <c r="V117" s="41"/>
      <c r="W117" s="41"/>
      <c r="X117" s="41"/>
      <c r="Y117" s="166"/>
      <c r="Z117" s="166"/>
      <c r="AA117" s="41"/>
      <c r="AB117" s="41"/>
      <c r="AC117" s="41"/>
      <c r="AD117" s="41"/>
      <c r="AE117" s="41"/>
      <c r="AF117" s="41"/>
      <c r="AG117" s="41"/>
      <c r="AH117" s="41"/>
      <c r="AI117" s="41"/>
    </row>
    <row r="118" spans="1:35" ht="15.75" customHeight="1" x14ac:dyDescent="0.2">
      <c r="A118" s="166"/>
      <c r="B118" s="218"/>
      <c r="C118" s="218"/>
      <c r="D118" s="41"/>
      <c r="E118" s="41"/>
      <c r="F118" s="41"/>
      <c r="G118" s="41"/>
      <c r="H118" s="41"/>
      <c r="I118" s="41"/>
      <c r="J118" s="166"/>
      <c r="K118" s="41"/>
      <c r="L118" s="41"/>
      <c r="M118" s="41"/>
      <c r="N118" s="166"/>
      <c r="O118" s="166"/>
      <c r="P118" s="41"/>
      <c r="Q118" s="41"/>
      <c r="R118" s="41"/>
      <c r="S118" s="41"/>
      <c r="T118" s="41"/>
      <c r="U118" s="41"/>
      <c r="V118" s="41"/>
      <c r="W118" s="41"/>
      <c r="X118" s="41"/>
      <c r="Y118" s="166"/>
      <c r="Z118" s="166"/>
      <c r="AA118" s="41"/>
      <c r="AB118" s="41"/>
      <c r="AC118" s="41"/>
      <c r="AD118" s="41"/>
      <c r="AE118" s="41"/>
      <c r="AF118" s="41"/>
      <c r="AG118" s="41"/>
      <c r="AH118" s="41"/>
      <c r="AI118" s="41"/>
    </row>
    <row r="119" spans="1:35" ht="15.75" customHeight="1" x14ac:dyDescent="0.2">
      <c r="A119" s="166"/>
      <c r="B119" s="218"/>
      <c r="C119" s="218"/>
      <c r="D119" s="41"/>
      <c r="E119" s="41"/>
      <c r="F119" s="41"/>
      <c r="G119" s="41"/>
      <c r="H119" s="41"/>
      <c r="I119" s="41"/>
      <c r="J119" s="166"/>
      <c r="K119" s="41"/>
      <c r="L119" s="41"/>
      <c r="M119" s="41"/>
      <c r="N119" s="166"/>
      <c r="O119" s="166"/>
      <c r="P119" s="41"/>
      <c r="Q119" s="41"/>
      <c r="R119" s="41"/>
      <c r="S119" s="41"/>
      <c r="T119" s="41"/>
      <c r="U119" s="41"/>
      <c r="V119" s="41"/>
      <c r="W119" s="41"/>
      <c r="X119" s="41"/>
      <c r="Y119" s="166"/>
      <c r="Z119" s="166"/>
      <c r="AA119" s="41"/>
      <c r="AB119" s="41"/>
      <c r="AC119" s="41"/>
      <c r="AD119" s="41"/>
      <c r="AE119" s="41"/>
      <c r="AF119" s="41"/>
      <c r="AG119" s="41"/>
      <c r="AH119" s="41"/>
      <c r="AI119" s="41"/>
    </row>
    <row r="120" spans="1:35" ht="15.75" customHeight="1" x14ac:dyDescent="0.2">
      <c r="A120" s="166"/>
      <c r="B120" s="218"/>
      <c r="C120" s="218"/>
      <c r="D120" s="41"/>
      <c r="E120" s="41"/>
      <c r="F120" s="41"/>
      <c r="G120" s="41"/>
      <c r="H120" s="41"/>
      <c r="I120" s="41"/>
      <c r="J120" s="166"/>
      <c r="K120" s="41"/>
      <c r="L120" s="41"/>
      <c r="M120" s="41"/>
      <c r="N120" s="166"/>
      <c r="O120" s="166"/>
      <c r="P120" s="41"/>
      <c r="Q120" s="41"/>
      <c r="R120" s="41"/>
      <c r="S120" s="41"/>
      <c r="T120" s="41"/>
      <c r="U120" s="41"/>
      <c r="V120" s="41"/>
      <c r="W120" s="41"/>
      <c r="X120" s="41"/>
      <c r="Y120" s="166"/>
      <c r="Z120" s="166"/>
      <c r="AA120" s="41"/>
      <c r="AB120" s="41"/>
      <c r="AC120" s="41"/>
      <c r="AD120" s="41"/>
      <c r="AE120" s="41"/>
      <c r="AF120" s="41"/>
      <c r="AG120" s="41"/>
      <c r="AH120" s="41"/>
      <c r="AI120" s="41"/>
    </row>
    <row r="121" spans="1:35" ht="15.75" customHeight="1" x14ac:dyDescent="0.2">
      <c r="A121" s="166"/>
      <c r="B121" s="218"/>
      <c r="C121" s="218"/>
      <c r="D121" s="41"/>
      <c r="E121" s="41"/>
      <c r="F121" s="41"/>
      <c r="G121" s="41"/>
      <c r="H121" s="41"/>
      <c r="I121" s="41"/>
      <c r="J121" s="166"/>
      <c r="K121" s="41"/>
      <c r="L121" s="41"/>
      <c r="M121" s="41"/>
      <c r="N121" s="166"/>
      <c r="O121" s="166"/>
      <c r="P121" s="41"/>
      <c r="Q121" s="41"/>
      <c r="R121" s="41"/>
      <c r="S121" s="41"/>
      <c r="T121" s="41"/>
      <c r="U121" s="41"/>
      <c r="V121" s="41"/>
      <c r="W121" s="41"/>
      <c r="X121" s="41"/>
      <c r="Y121" s="166"/>
      <c r="Z121" s="166"/>
      <c r="AA121" s="41"/>
      <c r="AB121" s="41"/>
      <c r="AC121" s="41"/>
      <c r="AD121" s="41"/>
      <c r="AE121" s="41"/>
      <c r="AF121" s="41"/>
      <c r="AG121" s="41"/>
      <c r="AH121" s="41"/>
      <c r="AI121" s="41"/>
    </row>
    <row r="122" spans="1:35" ht="15.75" customHeight="1" x14ac:dyDescent="0.2">
      <c r="A122" s="166"/>
      <c r="B122" s="218"/>
      <c r="C122" s="218"/>
      <c r="D122" s="41"/>
      <c r="E122" s="41"/>
      <c r="F122" s="41"/>
      <c r="G122" s="41"/>
      <c r="H122" s="41"/>
      <c r="I122" s="41"/>
      <c r="J122" s="166"/>
      <c r="K122" s="41"/>
      <c r="L122" s="41"/>
      <c r="M122" s="41"/>
      <c r="N122" s="166"/>
      <c r="O122" s="166"/>
      <c r="P122" s="41"/>
      <c r="Q122" s="41"/>
      <c r="R122" s="41"/>
      <c r="S122" s="41"/>
      <c r="T122" s="41"/>
      <c r="U122" s="41"/>
      <c r="V122" s="41"/>
      <c r="W122" s="41"/>
      <c r="X122" s="41"/>
      <c r="Y122" s="166"/>
      <c r="Z122" s="166"/>
      <c r="AA122" s="41"/>
      <c r="AB122" s="41"/>
      <c r="AC122" s="41"/>
      <c r="AD122" s="41"/>
      <c r="AE122" s="41"/>
      <c r="AF122" s="41"/>
      <c r="AG122" s="41"/>
      <c r="AH122" s="41"/>
      <c r="AI122" s="41"/>
    </row>
    <row r="123" spans="1:35" ht="15.75" customHeight="1" x14ac:dyDescent="0.2">
      <c r="A123" s="166"/>
      <c r="B123" s="218"/>
      <c r="C123" s="218"/>
      <c r="D123" s="41"/>
      <c r="E123" s="41"/>
      <c r="F123" s="41"/>
      <c r="G123" s="41"/>
      <c r="H123" s="41"/>
      <c r="I123" s="41"/>
      <c r="J123" s="166"/>
      <c r="K123" s="41"/>
      <c r="L123" s="41"/>
      <c r="M123" s="41"/>
      <c r="N123" s="166"/>
      <c r="O123" s="166"/>
      <c r="P123" s="41"/>
      <c r="Q123" s="41"/>
      <c r="R123" s="41"/>
      <c r="S123" s="41"/>
      <c r="T123" s="41"/>
      <c r="U123" s="41"/>
      <c r="V123" s="41"/>
      <c r="W123" s="41"/>
      <c r="X123" s="41"/>
      <c r="Y123" s="166"/>
      <c r="Z123" s="166"/>
      <c r="AA123" s="41"/>
      <c r="AB123" s="41"/>
      <c r="AC123" s="41"/>
      <c r="AD123" s="41"/>
      <c r="AE123" s="41"/>
      <c r="AF123" s="41"/>
      <c r="AG123" s="41"/>
      <c r="AH123" s="41"/>
      <c r="AI123" s="41"/>
    </row>
    <row r="124" spans="1:35" ht="15.75" customHeight="1" x14ac:dyDescent="0.2">
      <c r="A124" s="166"/>
      <c r="B124" s="218"/>
      <c r="C124" s="218"/>
      <c r="D124" s="41"/>
      <c r="E124" s="41"/>
      <c r="F124" s="41"/>
      <c r="G124" s="41"/>
      <c r="H124" s="41"/>
      <c r="I124" s="41"/>
      <c r="J124" s="166"/>
      <c r="K124" s="41"/>
      <c r="L124" s="41"/>
      <c r="M124" s="41"/>
      <c r="N124" s="166"/>
      <c r="O124" s="166"/>
      <c r="P124" s="41"/>
      <c r="Q124" s="41"/>
      <c r="R124" s="41"/>
      <c r="S124" s="41"/>
      <c r="T124" s="41"/>
      <c r="U124" s="41"/>
      <c r="V124" s="41"/>
      <c r="W124" s="41"/>
      <c r="X124" s="41"/>
      <c r="Y124" s="166"/>
      <c r="Z124" s="166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5.75" customHeight="1" x14ac:dyDescent="0.2">
      <c r="A125" s="166"/>
      <c r="B125" s="218"/>
      <c r="C125" s="218"/>
      <c r="D125" s="41"/>
      <c r="E125" s="41"/>
      <c r="F125" s="41"/>
      <c r="G125" s="41"/>
      <c r="H125" s="41"/>
      <c r="I125" s="41"/>
      <c r="J125" s="166"/>
      <c r="K125" s="41"/>
      <c r="L125" s="41"/>
      <c r="M125" s="41"/>
      <c r="N125" s="166"/>
      <c r="O125" s="166"/>
      <c r="P125" s="41"/>
      <c r="Q125" s="41"/>
      <c r="R125" s="41"/>
      <c r="S125" s="41"/>
      <c r="T125" s="41"/>
      <c r="U125" s="41"/>
      <c r="V125" s="41"/>
      <c r="W125" s="41"/>
      <c r="X125" s="41"/>
      <c r="Y125" s="166"/>
      <c r="Z125" s="166"/>
      <c r="AA125" s="41"/>
      <c r="AB125" s="41"/>
      <c r="AC125" s="41"/>
      <c r="AD125" s="41"/>
      <c r="AE125" s="41"/>
      <c r="AF125" s="41"/>
      <c r="AG125" s="41"/>
      <c r="AH125" s="41"/>
      <c r="AI125" s="41"/>
    </row>
    <row r="126" spans="1:35" ht="15.75" customHeight="1" x14ac:dyDescent="0.2">
      <c r="A126" s="166"/>
      <c r="B126" s="218"/>
      <c r="C126" s="218"/>
      <c r="D126" s="41"/>
      <c r="E126" s="41"/>
      <c r="F126" s="41"/>
      <c r="G126" s="41"/>
      <c r="H126" s="41"/>
      <c r="I126" s="41"/>
      <c r="J126" s="166"/>
      <c r="K126" s="41"/>
      <c r="L126" s="41"/>
      <c r="M126" s="41"/>
      <c r="N126" s="166"/>
      <c r="O126" s="166"/>
      <c r="P126" s="41"/>
      <c r="Q126" s="41"/>
      <c r="R126" s="41"/>
      <c r="S126" s="41"/>
      <c r="T126" s="41"/>
      <c r="U126" s="41"/>
      <c r="V126" s="41"/>
      <c r="W126" s="41"/>
      <c r="X126" s="41"/>
      <c r="Y126" s="166"/>
      <c r="Z126" s="166"/>
      <c r="AA126" s="41"/>
      <c r="AB126" s="41"/>
      <c r="AC126" s="41"/>
      <c r="AD126" s="41"/>
      <c r="AE126" s="41"/>
      <c r="AF126" s="41"/>
      <c r="AG126" s="41"/>
      <c r="AH126" s="41"/>
      <c r="AI126" s="41"/>
    </row>
    <row r="127" spans="1:35" ht="15.75" customHeight="1" x14ac:dyDescent="0.2">
      <c r="A127" s="166"/>
      <c r="B127" s="218"/>
      <c r="C127" s="218"/>
      <c r="D127" s="41"/>
      <c r="E127" s="41"/>
      <c r="F127" s="41"/>
      <c r="G127" s="41"/>
      <c r="H127" s="41"/>
      <c r="I127" s="41"/>
      <c r="J127" s="166"/>
      <c r="K127" s="41"/>
      <c r="L127" s="41"/>
      <c r="M127" s="41"/>
      <c r="N127" s="166"/>
      <c r="O127" s="166"/>
      <c r="P127" s="41"/>
      <c r="Q127" s="41"/>
      <c r="R127" s="41"/>
      <c r="S127" s="41"/>
      <c r="T127" s="41"/>
      <c r="U127" s="41"/>
      <c r="V127" s="41"/>
      <c r="W127" s="41"/>
      <c r="X127" s="41"/>
      <c r="Y127" s="166"/>
      <c r="Z127" s="166"/>
      <c r="AA127" s="41"/>
      <c r="AB127" s="41"/>
      <c r="AC127" s="41"/>
      <c r="AD127" s="41"/>
      <c r="AE127" s="41"/>
      <c r="AF127" s="41"/>
      <c r="AG127" s="41"/>
      <c r="AH127" s="41"/>
      <c r="AI127" s="41"/>
    </row>
    <row r="128" spans="1:35" ht="15.75" customHeight="1" x14ac:dyDescent="0.2">
      <c r="A128" s="166"/>
      <c r="B128" s="218"/>
      <c r="C128" s="218"/>
      <c r="D128" s="41"/>
      <c r="E128" s="41"/>
      <c r="F128" s="41"/>
      <c r="G128" s="41"/>
      <c r="H128" s="41"/>
      <c r="I128" s="41"/>
      <c r="J128" s="166"/>
      <c r="K128" s="41"/>
      <c r="L128" s="41"/>
      <c r="M128" s="41"/>
      <c r="N128" s="166"/>
      <c r="O128" s="166"/>
      <c r="P128" s="41"/>
      <c r="Q128" s="41"/>
      <c r="R128" s="41"/>
      <c r="S128" s="41"/>
      <c r="T128" s="41"/>
      <c r="U128" s="41"/>
      <c r="V128" s="41"/>
      <c r="W128" s="41"/>
      <c r="X128" s="41"/>
      <c r="Y128" s="166"/>
      <c r="Z128" s="166"/>
      <c r="AA128" s="41"/>
      <c r="AB128" s="41"/>
      <c r="AC128" s="41"/>
      <c r="AD128" s="41"/>
      <c r="AE128" s="41"/>
      <c r="AF128" s="41"/>
      <c r="AG128" s="41"/>
      <c r="AH128" s="41"/>
      <c r="AI128" s="41"/>
    </row>
    <row r="129" spans="1:35" ht="15.75" customHeight="1" x14ac:dyDescent="0.2">
      <c r="A129" s="166"/>
      <c r="B129" s="218"/>
      <c r="C129" s="218"/>
      <c r="D129" s="41"/>
      <c r="E129" s="41"/>
      <c r="F129" s="41"/>
      <c r="G129" s="41"/>
      <c r="H129" s="41"/>
      <c r="I129" s="41"/>
      <c r="J129" s="166"/>
      <c r="K129" s="41"/>
      <c r="L129" s="41"/>
      <c r="M129" s="41"/>
      <c r="N129" s="166"/>
      <c r="O129" s="166"/>
      <c r="P129" s="41"/>
      <c r="Q129" s="41"/>
      <c r="R129" s="41"/>
      <c r="S129" s="41"/>
      <c r="T129" s="41"/>
      <c r="U129" s="41"/>
      <c r="V129" s="41"/>
      <c r="W129" s="41"/>
      <c r="X129" s="41"/>
      <c r="Y129" s="166"/>
      <c r="Z129" s="166"/>
      <c r="AA129" s="41"/>
      <c r="AB129" s="41"/>
      <c r="AC129" s="41"/>
      <c r="AD129" s="41"/>
      <c r="AE129" s="41"/>
      <c r="AF129" s="41"/>
      <c r="AG129" s="41"/>
      <c r="AH129" s="41"/>
      <c r="AI129" s="41"/>
    </row>
    <row r="130" spans="1:35" ht="15.75" customHeight="1" x14ac:dyDescent="0.2">
      <c r="A130" s="166"/>
      <c r="B130" s="218"/>
      <c r="C130" s="218"/>
      <c r="D130" s="41"/>
      <c r="E130" s="41"/>
      <c r="F130" s="41"/>
      <c r="G130" s="41"/>
      <c r="H130" s="41"/>
      <c r="I130" s="41"/>
      <c r="J130" s="166"/>
      <c r="K130" s="41"/>
      <c r="L130" s="41"/>
      <c r="M130" s="41"/>
      <c r="N130" s="166"/>
      <c r="O130" s="166"/>
      <c r="P130" s="41"/>
      <c r="Q130" s="41"/>
      <c r="R130" s="41"/>
      <c r="S130" s="41"/>
      <c r="T130" s="41"/>
      <c r="U130" s="41"/>
      <c r="V130" s="41"/>
      <c r="W130" s="41"/>
      <c r="X130" s="41"/>
      <c r="Y130" s="166"/>
      <c r="Z130" s="166"/>
      <c r="AA130" s="41"/>
      <c r="AB130" s="41"/>
      <c r="AC130" s="41"/>
      <c r="AD130" s="41"/>
      <c r="AE130" s="41"/>
      <c r="AF130" s="41"/>
      <c r="AG130" s="41"/>
      <c r="AH130" s="41"/>
      <c r="AI130" s="41"/>
    </row>
    <row r="131" spans="1:35" ht="15.75" customHeight="1" x14ac:dyDescent="0.2">
      <c r="A131" s="166"/>
      <c r="B131" s="218"/>
      <c r="C131" s="218"/>
      <c r="D131" s="41"/>
      <c r="E131" s="41"/>
      <c r="F131" s="41"/>
      <c r="G131" s="41"/>
      <c r="H131" s="41"/>
      <c r="I131" s="41"/>
      <c r="J131" s="166"/>
      <c r="K131" s="41"/>
      <c r="L131" s="41"/>
      <c r="M131" s="41"/>
      <c r="N131" s="166"/>
      <c r="O131" s="166"/>
      <c r="P131" s="41"/>
      <c r="Q131" s="41"/>
      <c r="R131" s="41"/>
      <c r="S131" s="41"/>
      <c r="T131" s="41"/>
      <c r="U131" s="41"/>
      <c r="V131" s="41"/>
      <c r="W131" s="41"/>
      <c r="X131" s="41"/>
      <c r="Y131" s="166"/>
      <c r="Z131" s="166"/>
      <c r="AA131" s="41"/>
      <c r="AB131" s="41"/>
      <c r="AC131" s="41"/>
      <c r="AD131" s="41"/>
      <c r="AE131" s="41"/>
      <c r="AF131" s="41"/>
      <c r="AG131" s="41"/>
      <c r="AH131" s="41"/>
      <c r="AI131" s="41"/>
    </row>
    <row r="132" spans="1:35" ht="15.75" customHeight="1" x14ac:dyDescent="0.2">
      <c r="A132" s="166"/>
      <c r="B132" s="218"/>
      <c r="C132" s="218"/>
      <c r="D132" s="41"/>
      <c r="E132" s="41"/>
      <c r="F132" s="41"/>
      <c r="G132" s="41"/>
      <c r="H132" s="41"/>
      <c r="I132" s="41"/>
      <c r="J132" s="166"/>
      <c r="K132" s="41"/>
      <c r="L132" s="41"/>
      <c r="M132" s="41"/>
      <c r="N132" s="166"/>
      <c r="O132" s="166"/>
      <c r="P132" s="41"/>
      <c r="Q132" s="41"/>
      <c r="R132" s="41"/>
      <c r="S132" s="41"/>
      <c r="T132" s="41"/>
      <c r="U132" s="41"/>
      <c r="V132" s="41"/>
      <c r="W132" s="41"/>
      <c r="X132" s="41"/>
      <c r="Y132" s="166"/>
      <c r="Z132" s="166"/>
      <c r="AA132" s="41"/>
      <c r="AB132" s="41"/>
      <c r="AC132" s="41"/>
      <c r="AD132" s="41"/>
      <c r="AE132" s="41"/>
      <c r="AF132" s="41"/>
      <c r="AG132" s="41"/>
      <c r="AH132" s="41"/>
      <c r="AI132" s="41"/>
    </row>
    <row r="133" spans="1:35" ht="15.75" customHeight="1" x14ac:dyDescent="0.2">
      <c r="A133" s="166"/>
      <c r="B133" s="218"/>
      <c r="C133" s="218"/>
      <c r="D133" s="41"/>
      <c r="E133" s="41"/>
      <c r="F133" s="41"/>
      <c r="G133" s="41"/>
      <c r="H133" s="41"/>
      <c r="I133" s="41"/>
      <c r="J133" s="166"/>
      <c r="K133" s="41"/>
      <c r="L133" s="41"/>
      <c r="M133" s="41"/>
      <c r="N133" s="166"/>
      <c r="O133" s="166"/>
      <c r="P133" s="41"/>
      <c r="Q133" s="41"/>
      <c r="R133" s="41"/>
      <c r="S133" s="41"/>
      <c r="T133" s="41"/>
      <c r="U133" s="41"/>
      <c r="V133" s="41"/>
      <c r="W133" s="41"/>
      <c r="X133" s="41"/>
      <c r="Y133" s="166"/>
      <c r="Z133" s="166"/>
      <c r="AA133" s="41"/>
      <c r="AB133" s="41"/>
      <c r="AC133" s="41"/>
      <c r="AD133" s="41"/>
      <c r="AE133" s="41"/>
      <c r="AF133" s="41"/>
      <c r="AG133" s="41"/>
      <c r="AH133" s="41"/>
      <c r="AI133" s="41"/>
    </row>
    <row r="134" spans="1:35" ht="15.75" customHeight="1" x14ac:dyDescent="0.2">
      <c r="A134" s="166"/>
      <c r="B134" s="218"/>
      <c r="C134" s="218"/>
      <c r="D134" s="41"/>
      <c r="E134" s="41"/>
      <c r="F134" s="41"/>
      <c r="G134" s="41"/>
      <c r="H134" s="41"/>
      <c r="I134" s="41"/>
      <c r="J134" s="166"/>
      <c r="K134" s="41"/>
      <c r="L134" s="41"/>
      <c r="M134" s="41"/>
      <c r="N134" s="166"/>
      <c r="O134" s="166"/>
      <c r="P134" s="41"/>
      <c r="Q134" s="41"/>
      <c r="R134" s="41"/>
      <c r="S134" s="41"/>
      <c r="T134" s="41"/>
      <c r="U134" s="41"/>
      <c r="V134" s="41"/>
      <c r="W134" s="41"/>
      <c r="X134" s="41"/>
      <c r="Y134" s="166"/>
      <c r="Z134" s="166"/>
      <c r="AA134" s="41"/>
      <c r="AB134" s="41"/>
      <c r="AC134" s="41"/>
      <c r="AD134" s="41"/>
      <c r="AE134" s="41"/>
      <c r="AF134" s="41"/>
      <c r="AG134" s="41"/>
      <c r="AH134" s="41"/>
      <c r="AI134" s="41"/>
    </row>
    <row r="135" spans="1:35" ht="15.75" customHeight="1" x14ac:dyDescent="0.2">
      <c r="A135" s="166"/>
      <c r="B135" s="218"/>
      <c r="C135" s="218"/>
      <c r="D135" s="41"/>
      <c r="E135" s="41"/>
      <c r="F135" s="41"/>
      <c r="G135" s="41"/>
      <c r="H135" s="41"/>
      <c r="I135" s="41"/>
      <c r="J135" s="166"/>
      <c r="K135" s="41"/>
      <c r="L135" s="41"/>
      <c r="M135" s="41"/>
      <c r="N135" s="166"/>
      <c r="O135" s="166"/>
      <c r="P135" s="41"/>
      <c r="Q135" s="41"/>
      <c r="R135" s="41"/>
      <c r="S135" s="41"/>
      <c r="T135" s="41"/>
      <c r="U135" s="41"/>
      <c r="V135" s="41"/>
      <c r="W135" s="41"/>
      <c r="X135" s="41"/>
      <c r="Y135" s="166"/>
      <c r="Z135" s="166"/>
      <c r="AA135" s="41"/>
      <c r="AB135" s="41"/>
      <c r="AC135" s="41"/>
      <c r="AD135" s="41"/>
      <c r="AE135" s="41"/>
      <c r="AF135" s="41"/>
      <c r="AG135" s="41"/>
      <c r="AH135" s="41"/>
      <c r="AI135" s="41"/>
    </row>
    <row r="136" spans="1:35" ht="15.75" customHeight="1" x14ac:dyDescent="0.2">
      <c r="A136" s="166"/>
      <c r="B136" s="218"/>
      <c r="C136" s="218"/>
      <c r="D136" s="41"/>
      <c r="E136" s="41"/>
      <c r="F136" s="41"/>
      <c r="G136" s="41"/>
      <c r="H136" s="41"/>
      <c r="I136" s="41"/>
      <c r="J136" s="166"/>
      <c r="K136" s="41"/>
      <c r="L136" s="41"/>
      <c r="M136" s="41"/>
      <c r="N136" s="166"/>
      <c r="O136" s="166"/>
      <c r="P136" s="41"/>
      <c r="Q136" s="41"/>
      <c r="R136" s="41"/>
      <c r="S136" s="41"/>
      <c r="T136" s="41"/>
      <c r="U136" s="41"/>
      <c r="V136" s="41"/>
      <c r="W136" s="41"/>
      <c r="X136" s="41"/>
      <c r="Y136" s="166"/>
      <c r="Z136" s="166"/>
      <c r="AA136" s="41"/>
      <c r="AB136" s="41"/>
      <c r="AC136" s="41"/>
      <c r="AD136" s="41"/>
      <c r="AE136" s="41"/>
      <c r="AF136" s="41"/>
      <c r="AG136" s="41"/>
      <c r="AH136" s="41"/>
      <c r="AI136" s="41"/>
    </row>
    <row r="137" spans="1:35" ht="15.75" customHeight="1" x14ac:dyDescent="0.2">
      <c r="A137" s="166"/>
      <c r="B137" s="218"/>
      <c r="C137" s="218"/>
      <c r="D137" s="41"/>
      <c r="E137" s="41"/>
      <c r="F137" s="41"/>
      <c r="G137" s="41"/>
      <c r="H137" s="41"/>
      <c r="I137" s="41"/>
      <c r="J137" s="166"/>
      <c r="K137" s="41"/>
      <c r="L137" s="41"/>
      <c r="M137" s="41"/>
      <c r="N137" s="166"/>
      <c r="O137" s="166"/>
      <c r="P137" s="41"/>
      <c r="Q137" s="41"/>
      <c r="R137" s="41"/>
      <c r="S137" s="41"/>
      <c r="T137" s="41"/>
      <c r="U137" s="41"/>
      <c r="V137" s="41"/>
      <c r="W137" s="41"/>
      <c r="X137" s="41"/>
      <c r="Y137" s="166"/>
      <c r="Z137" s="166"/>
      <c r="AA137" s="41"/>
      <c r="AB137" s="41"/>
      <c r="AC137" s="41"/>
      <c r="AD137" s="41"/>
      <c r="AE137" s="41"/>
      <c r="AF137" s="41"/>
      <c r="AG137" s="41"/>
      <c r="AH137" s="41"/>
      <c r="AI137" s="41"/>
    </row>
    <row r="138" spans="1:35" ht="15.75" customHeight="1" x14ac:dyDescent="0.2">
      <c r="A138" s="166"/>
      <c r="B138" s="218"/>
      <c r="C138" s="218"/>
      <c r="D138" s="41"/>
      <c r="E138" s="41"/>
      <c r="F138" s="41"/>
      <c r="G138" s="41"/>
      <c r="H138" s="41"/>
      <c r="I138" s="41"/>
      <c r="J138" s="166"/>
      <c r="K138" s="41"/>
      <c r="L138" s="41"/>
      <c r="M138" s="41"/>
      <c r="N138" s="166"/>
      <c r="O138" s="166"/>
      <c r="P138" s="41"/>
      <c r="Q138" s="41"/>
      <c r="R138" s="41"/>
      <c r="S138" s="41"/>
      <c r="T138" s="41"/>
      <c r="U138" s="41"/>
      <c r="V138" s="41"/>
      <c r="W138" s="41"/>
      <c r="X138" s="41"/>
      <c r="Y138" s="166"/>
      <c r="Z138" s="166"/>
      <c r="AA138" s="41"/>
      <c r="AB138" s="41"/>
      <c r="AC138" s="41"/>
      <c r="AD138" s="41"/>
      <c r="AE138" s="41"/>
      <c r="AF138" s="41"/>
      <c r="AG138" s="41"/>
      <c r="AH138" s="41"/>
      <c r="AI138" s="41"/>
    </row>
    <row r="139" spans="1:35" ht="15.75" customHeight="1" x14ac:dyDescent="0.2">
      <c r="A139" s="166"/>
      <c r="B139" s="218"/>
      <c r="C139" s="218"/>
      <c r="D139" s="41"/>
      <c r="E139" s="41"/>
      <c r="F139" s="41"/>
      <c r="G139" s="41"/>
      <c r="H139" s="41"/>
      <c r="I139" s="41"/>
      <c r="J139" s="166"/>
      <c r="K139" s="41"/>
      <c r="L139" s="41"/>
      <c r="M139" s="41"/>
      <c r="N139" s="166"/>
      <c r="O139" s="166"/>
      <c r="P139" s="41"/>
      <c r="Q139" s="41"/>
      <c r="R139" s="41"/>
      <c r="S139" s="41"/>
      <c r="T139" s="41"/>
      <c r="U139" s="41"/>
      <c r="V139" s="41"/>
      <c r="W139" s="41"/>
      <c r="X139" s="41"/>
      <c r="Y139" s="166"/>
      <c r="Z139" s="166"/>
      <c r="AA139" s="41"/>
      <c r="AB139" s="41"/>
      <c r="AC139" s="41"/>
      <c r="AD139" s="41"/>
      <c r="AE139" s="41"/>
      <c r="AF139" s="41"/>
      <c r="AG139" s="41"/>
      <c r="AH139" s="41"/>
      <c r="AI139" s="41"/>
    </row>
    <row r="140" spans="1:35" ht="15.75" customHeight="1" x14ac:dyDescent="0.2">
      <c r="A140" s="166"/>
      <c r="B140" s="218"/>
      <c r="C140" s="218"/>
      <c r="D140" s="41"/>
      <c r="E140" s="41"/>
      <c r="F140" s="41"/>
      <c r="G140" s="41"/>
      <c r="H140" s="41"/>
      <c r="I140" s="41"/>
      <c r="J140" s="166"/>
      <c r="K140" s="41"/>
      <c r="L140" s="41"/>
      <c r="M140" s="41"/>
      <c r="N140" s="166"/>
      <c r="O140" s="166"/>
      <c r="P140" s="41"/>
      <c r="Q140" s="41"/>
      <c r="R140" s="41"/>
      <c r="S140" s="41"/>
      <c r="T140" s="41"/>
      <c r="U140" s="41"/>
      <c r="V140" s="41"/>
      <c r="W140" s="41"/>
      <c r="X140" s="41"/>
      <c r="Y140" s="166"/>
      <c r="Z140" s="166"/>
      <c r="AA140" s="41"/>
      <c r="AB140" s="41"/>
      <c r="AC140" s="41"/>
      <c r="AD140" s="41"/>
      <c r="AE140" s="41"/>
      <c r="AF140" s="41"/>
      <c r="AG140" s="41"/>
      <c r="AH140" s="41"/>
      <c r="AI140" s="41"/>
    </row>
    <row r="141" spans="1:35" ht="15.75" customHeight="1" x14ac:dyDescent="0.2">
      <c r="A141" s="166"/>
      <c r="B141" s="218"/>
      <c r="C141" s="218"/>
      <c r="D141" s="41"/>
      <c r="E141" s="41"/>
      <c r="F141" s="41"/>
      <c r="G141" s="41"/>
      <c r="H141" s="41"/>
      <c r="I141" s="41"/>
      <c r="J141" s="166"/>
      <c r="K141" s="41"/>
      <c r="L141" s="41"/>
      <c r="M141" s="41"/>
      <c r="N141" s="166"/>
      <c r="O141" s="166"/>
      <c r="P141" s="41"/>
      <c r="Q141" s="41"/>
      <c r="R141" s="41"/>
      <c r="S141" s="41"/>
      <c r="T141" s="41"/>
      <c r="U141" s="41"/>
      <c r="V141" s="41"/>
      <c r="W141" s="41"/>
      <c r="X141" s="41"/>
      <c r="Y141" s="166"/>
      <c r="Z141" s="166"/>
      <c r="AA141" s="41"/>
      <c r="AB141" s="41"/>
      <c r="AC141" s="41"/>
      <c r="AD141" s="41"/>
      <c r="AE141" s="41"/>
      <c r="AF141" s="41"/>
      <c r="AG141" s="41"/>
      <c r="AH141" s="41"/>
      <c r="AI141" s="41"/>
    </row>
    <row r="142" spans="1:35" ht="15.75" customHeight="1" x14ac:dyDescent="0.2">
      <c r="A142" s="166"/>
      <c r="B142" s="218"/>
      <c r="C142" s="218"/>
      <c r="D142" s="41"/>
      <c r="E142" s="41"/>
      <c r="F142" s="41"/>
      <c r="G142" s="41"/>
      <c r="H142" s="41"/>
      <c r="I142" s="41"/>
      <c r="J142" s="166"/>
      <c r="K142" s="41"/>
      <c r="L142" s="41"/>
      <c r="M142" s="41"/>
      <c r="N142" s="166"/>
      <c r="O142" s="166"/>
      <c r="P142" s="41"/>
      <c r="Q142" s="41"/>
      <c r="R142" s="41"/>
      <c r="S142" s="41"/>
      <c r="T142" s="41"/>
      <c r="U142" s="41"/>
      <c r="V142" s="41"/>
      <c r="W142" s="41"/>
      <c r="X142" s="41"/>
      <c r="Y142" s="166"/>
      <c r="Z142" s="166"/>
      <c r="AA142" s="41"/>
      <c r="AB142" s="41"/>
      <c r="AC142" s="41"/>
      <c r="AD142" s="41"/>
      <c r="AE142" s="41"/>
      <c r="AF142" s="41"/>
      <c r="AG142" s="41"/>
      <c r="AH142" s="41"/>
      <c r="AI142" s="41"/>
    </row>
    <row r="143" spans="1:35" ht="15.75" customHeight="1" x14ac:dyDescent="0.2">
      <c r="A143" s="166"/>
      <c r="B143" s="218"/>
      <c r="C143" s="218"/>
      <c r="D143" s="41"/>
      <c r="E143" s="41"/>
      <c r="F143" s="41"/>
      <c r="G143" s="41"/>
      <c r="H143" s="41"/>
      <c r="I143" s="41"/>
      <c r="J143" s="166"/>
      <c r="K143" s="41"/>
      <c r="L143" s="41"/>
      <c r="M143" s="41"/>
      <c r="N143" s="166"/>
      <c r="O143" s="166"/>
      <c r="P143" s="41"/>
      <c r="Q143" s="41"/>
      <c r="R143" s="41"/>
      <c r="S143" s="41"/>
      <c r="T143" s="41"/>
      <c r="U143" s="41"/>
      <c r="V143" s="41"/>
      <c r="W143" s="41"/>
      <c r="X143" s="41"/>
      <c r="Y143" s="166"/>
      <c r="Z143" s="166"/>
      <c r="AA143" s="41"/>
      <c r="AB143" s="41"/>
      <c r="AC143" s="41"/>
      <c r="AD143" s="41"/>
      <c r="AE143" s="41"/>
      <c r="AF143" s="41"/>
      <c r="AG143" s="41"/>
      <c r="AH143" s="41"/>
      <c r="AI143" s="41"/>
    </row>
    <row r="144" spans="1:35" ht="15.75" customHeight="1" x14ac:dyDescent="0.2">
      <c r="A144" s="166"/>
      <c r="B144" s="218"/>
      <c r="C144" s="218"/>
      <c r="D144" s="41"/>
      <c r="E144" s="41"/>
      <c r="F144" s="41"/>
      <c r="G144" s="41"/>
      <c r="H144" s="41"/>
      <c r="I144" s="41"/>
      <c r="J144" s="166"/>
      <c r="K144" s="41"/>
      <c r="L144" s="41"/>
      <c r="M144" s="41"/>
      <c r="N144" s="166"/>
      <c r="O144" s="166"/>
      <c r="P144" s="41"/>
      <c r="Q144" s="41"/>
      <c r="R144" s="41"/>
      <c r="S144" s="41"/>
      <c r="T144" s="41"/>
      <c r="U144" s="41"/>
      <c r="V144" s="41"/>
      <c r="W144" s="41"/>
      <c r="X144" s="41"/>
      <c r="Y144" s="166"/>
      <c r="Z144" s="166"/>
      <c r="AA144" s="41"/>
      <c r="AB144" s="41"/>
      <c r="AC144" s="41"/>
      <c r="AD144" s="41"/>
      <c r="AE144" s="41"/>
      <c r="AF144" s="41"/>
      <c r="AG144" s="41"/>
      <c r="AH144" s="41"/>
      <c r="AI144" s="41"/>
    </row>
    <row r="145" spans="1:35" ht="15.75" customHeight="1" x14ac:dyDescent="0.2">
      <c r="A145" s="166"/>
      <c r="B145" s="218"/>
      <c r="C145" s="218"/>
      <c r="D145" s="41"/>
      <c r="E145" s="41"/>
      <c r="F145" s="41"/>
      <c r="G145" s="41"/>
      <c r="H145" s="41"/>
      <c r="I145" s="41"/>
      <c r="J145" s="166"/>
      <c r="K145" s="41"/>
      <c r="L145" s="41"/>
      <c r="M145" s="41"/>
      <c r="N145" s="166"/>
      <c r="O145" s="166"/>
      <c r="P145" s="41"/>
      <c r="Q145" s="41"/>
      <c r="R145" s="41"/>
      <c r="S145" s="41"/>
      <c r="T145" s="41"/>
      <c r="U145" s="41"/>
      <c r="V145" s="41"/>
      <c r="W145" s="41"/>
      <c r="X145" s="41"/>
      <c r="Y145" s="166"/>
      <c r="Z145" s="166"/>
      <c r="AA145" s="41"/>
      <c r="AB145" s="41"/>
      <c r="AC145" s="41"/>
      <c r="AD145" s="41"/>
      <c r="AE145" s="41"/>
      <c r="AF145" s="41"/>
      <c r="AG145" s="41"/>
      <c r="AH145" s="41"/>
      <c r="AI145" s="41"/>
    </row>
    <row r="146" spans="1:35" ht="15.75" customHeight="1" x14ac:dyDescent="0.2">
      <c r="A146" s="166"/>
      <c r="B146" s="218"/>
      <c r="C146" s="218"/>
      <c r="D146" s="41"/>
      <c r="E146" s="41"/>
      <c r="F146" s="41"/>
      <c r="G146" s="41"/>
      <c r="H146" s="41"/>
      <c r="I146" s="41"/>
      <c r="J146" s="166"/>
      <c r="K146" s="41"/>
      <c r="L146" s="41"/>
      <c r="M146" s="41"/>
      <c r="N146" s="166"/>
      <c r="O146" s="166"/>
      <c r="P146" s="41"/>
      <c r="Q146" s="41"/>
      <c r="R146" s="41"/>
      <c r="S146" s="41"/>
      <c r="T146" s="41"/>
      <c r="U146" s="41"/>
      <c r="V146" s="41"/>
      <c r="W146" s="41"/>
      <c r="X146" s="41"/>
      <c r="Y146" s="166"/>
      <c r="Z146" s="166"/>
      <c r="AA146" s="41"/>
      <c r="AB146" s="41"/>
      <c r="AC146" s="41"/>
      <c r="AD146" s="41"/>
      <c r="AE146" s="41"/>
      <c r="AF146" s="41"/>
      <c r="AG146" s="41"/>
      <c r="AH146" s="41"/>
      <c r="AI146" s="41"/>
    </row>
    <row r="147" spans="1:35" ht="15.75" customHeight="1" x14ac:dyDescent="0.2">
      <c r="A147" s="166"/>
      <c r="B147" s="218"/>
      <c r="C147" s="218"/>
      <c r="D147" s="41"/>
      <c r="E147" s="41"/>
      <c r="F147" s="41"/>
      <c r="G147" s="41"/>
      <c r="H147" s="41"/>
      <c r="I147" s="41"/>
      <c r="J147" s="166"/>
      <c r="K147" s="41"/>
      <c r="L147" s="41"/>
      <c r="M147" s="41"/>
      <c r="N147" s="166"/>
      <c r="O147" s="166"/>
      <c r="P147" s="41"/>
      <c r="Q147" s="41"/>
      <c r="R147" s="41"/>
      <c r="S147" s="41"/>
      <c r="T147" s="41"/>
      <c r="U147" s="41"/>
      <c r="V147" s="41"/>
      <c r="W147" s="41"/>
      <c r="X147" s="41"/>
      <c r="Y147" s="166"/>
      <c r="Z147" s="166"/>
      <c r="AA147" s="41"/>
      <c r="AB147" s="41"/>
      <c r="AC147" s="41"/>
      <c r="AD147" s="41"/>
      <c r="AE147" s="41"/>
      <c r="AF147" s="41"/>
      <c r="AG147" s="41"/>
      <c r="AH147" s="41"/>
      <c r="AI147" s="41"/>
    </row>
    <row r="148" spans="1:35" ht="15.75" customHeight="1" x14ac:dyDescent="0.2">
      <c r="A148" s="166"/>
      <c r="B148" s="218"/>
      <c r="C148" s="218"/>
      <c r="D148" s="41"/>
      <c r="E148" s="41"/>
      <c r="F148" s="41"/>
      <c r="G148" s="41"/>
      <c r="H148" s="41"/>
      <c r="I148" s="41"/>
      <c r="J148" s="166"/>
      <c r="K148" s="41"/>
      <c r="L148" s="41"/>
      <c r="M148" s="41"/>
      <c r="N148" s="166"/>
      <c r="O148" s="166"/>
      <c r="P148" s="41"/>
      <c r="Q148" s="41"/>
      <c r="R148" s="41"/>
      <c r="S148" s="41"/>
      <c r="T148" s="41"/>
      <c r="U148" s="41"/>
      <c r="V148" s="41"/>
      <c r="W148" s="41"/>
      <c r="X148" s="41"/>
      <c r="Y148" s="166"/>
      <c r="Z148" s="166"/>
      <c r="AA148" s="41"/>
      <c r="AB148" s="41"/>
      <c r="AC148" s="41"/>
      <c r="AD148" s="41"/>
      <c r="AE148" s="41"/>
      <c r="AF148" s="41"/>
      <c r="AG148" s="41"/>
      <c r="AH148" s="41"/>
      <c r="AI148" s="41"/>
    </row>
    <row r="149" spans="1:35" ht="15.75" customHeight="1" x14ac:dyDescent="0.2">
      <c r="A149" s="166"/>
      <c r="B149" s="218"/>
      <c r="C149" s="218"/>
      <c r="D149" s="41"/>
      <c r="E149" s="41"/>
      <c r="F149" s="41"/>
      <c r="G149" s="41"/>
      <c r="H149" s="41"/>
      <c r="I149" s="41"/>
      <c r="J149" s="166"/>
      <c r="K149" s="41"/>
      <c r="L149" s="41"/>
      <c r="M149" s="41"/>
      <c r="N149" s="166"/>
      <c r="O149" s="166"/>
      <c r="P149" s="41"/>
      <c r="Q149" s="41"/>
      <c r="R149" s="41"/>
      <c r="S149" s="41"/>
      <c r="T149" s="41"/>
      <c r="U149" s="41"/>
      <c r="V149" s="41"/>
      <c r="W149" s="41"/>
      <c r="X149" s="41"/>
      <c r="Y149" s="166"/>
      <c r="Z149" s="166"/>
      <c r="AA149" s="41"/>
      <c r="AB149" s="41"/>
      <c r="AC149" s="41"/>
      <c r="AD149" s="41"/>
      <c r="AE149" s="41"/>
      <c r="AF149" s="41"/>
      <c r="AG149" s="41"/>
      <c r="AH149" s="41"/>
      <c r="AI149" s="41"/>
    </row>
    <row r="150" spans="1:35" ht="15.75" customHeight="1" x14ac:dyDescent="0.2">
      <c r="A150" s="166"/>
      <c r="B150" s="218"/>
      <c r="C150" s="218"/>
      <c r="D150" s="41"/>
      <c r="E150" s="41"/>
      <c r="F150" s="41"/>
      <c r="G150" s="41"/>
      <c r="H150" s="41"/>
      <c r="I150" s="41"/>
      <c r="J150" s="166"/>
      <c r="K150" s="41"/>
      <c r="L150" s="41"/>
      <c r="M150" s="41"/>
      <c r="N150" s="166"/>
      <c r="O150" s="166"/>
      <c r="P150" s="41"/>
      <c r="Q150" s="41"/>
      <c r="R150" s="41"/>
      <c r="S150" s="41"/>
      <c r="T150" s="41"/>
      <c r="U150" s="41"/>
      <c r="V150" s="41"/>
      <c r="W150" s="41"/>
      <c r="X150" s="41"/>
      <c r="Y150" s="166"/>
      <c r="Z150" s="166"/>
      <c r="AA150" s="41"/>
      <c r="AB150" s="41"/>
      <c r="AC150" s="41"/>
      <c r="AD150" s="41"/>
      <c r="AE150" s="41"/>
      <c r="AF150" s="41"/>
      <c r="AG150" s="41"/>
      <c r="AH150" s="41"/>
      <c r="AI150" s="41"/>
    </row>
    <row r="151" spans="1:35" ht="15.75" customHeight="1" x14ac:dyDescent="0.2">
      <c r="A151" s="166"/>
      <c r="B151" s="218"/>
      <c r="C151" s="218"/>
      <c r="D151" s="41"/>
      <c r="E151" s="41"/>
      <c r="F151" s="41"/>
      <c r="G151" s="41"/>
      <c r="H151" s="41"/>
      <c r="I151" s="41"/>
      <c r="J151" s="166"/>
      <c r="K151" s="41"/>
      <c r="L151" s="41"/>
      <c r="M151" s="41"/>
      <c r="N151" s="166"/>
      <c r="O151" s="166"/>
      <c r="P151" s="41"/>
      <c r="Q151" s="41"/>
      <c r="R151" s="41"/>
      <c r="S151" s="41"/>
      <c r="T151" s="41"/>
      <c r="U151" s="41"/>
      <c r="V151" s="41"/>
      <c r="W151" s="41"/>
      <c r="X151" s="41"/>
      <c r="Y151" s="166"/>
      <c r="Z151" s="166"/>
      <c r="AA151" s="41"/>
      <c r="AB151" s="41"/>
      <c r="AC151" s="41"/>
      <c r="AD151" s="41"/>
      <c r="AE151" s="41"/>
      <c r="AF151" s="41"/>
      <c r="AG151" s="41"/>
      <c r="AH151" s="41"/>
      <c r="AI151" s="41"/>
    </row>
    <row r="152" spans="1:35" ht="15.75" customHeight="1" x14ac:dyDescent="0.2">
      <c r="A152" s="166"/>
      <c r="B152" s="218"/>
      <c r="C152" s="218"/>
      <c r="D152" s="41"/>
      <c r="E152" s="41"/>
      <c r="F152" s="41"/>
      <c r="G152" s="41"/>
      <c r="H152" s="41"/>
      <c r="I152" s="41"/>
      <c r="J152" s="166"/>
      <c r="K152" s="41"/>
      <c r="L152" s="41"/>
      <c r="M152" s="41"/>
      <c r="N152" s="166"/>
      <c r="O152" s="166"/>
      <c r="P152" s="41"/>
      <c r="Q152" s="41"/>
      <c r="R152" s="41"/>
      <c r="S152" s="41"/>
      <c r="T152" s="41"/>
      <c r="U152" s="41"/>
      <c r="V152" s="41"/>
      <c r="W152" s="41"/>
      <c r="X152" s="41"/>
      <c r="Y152" s="166"/>
      <c r="Z152" s="166"/>
      <c r="AA152" s="41"/>
      <c r="AB152" s="41"/>
      <c r="AC152" s="41"/>
      <c r="AD152" s="41"/>
      <c r="AE152" s="41"/>
      <c r="AF152" s="41"/>
      <c r="AG152" s="41"/>
      <c r="AH152" s="41"/>
      <c r="AI152" s="41"/>
    </row>
    <row r="153" spans="1:35" ht="15.75" customHeight="1" x14ac:dyDescent="0.2">
      <c r="A153" s="166"/>
      <c r="B153" s="218"/>
      <c r="C153" s="218"/>
      <c r="D153" s="41"/>
      <c r="E153" s="41"/>
      <c r="F153" s="41"/>
      <c r="G153" s="41"/>
      <c r="H153" s="41"/>
      <c r="I153" s="41"/>
      <c r="J153" s="166"/>
      <c r="K153" s="41"/>
      <c r="L153" s="41"/>
      <c r="M153" s="41"/>
      <c r="N153" s="166"/>
      <c r="O153" s="166"/>
      <c r="P153" s="41"/>
      <c r="Q153" s="41"/>
      <c r="R153" s="41"/>
      <c r="S153" s="41"/>
      <c r="T153" s="41"/>
      <c r="U153" s="41"/>
      <c r="V153" s="41"/>
      <c r="W153" s="41"/>
      <c r="X153" s="41"/>
      <c r="Y153" s="166"/>
      <c r="Z153" s="166"/>
      <c r="AA153" s="41"/>
      <c r="AB153" s="41"/>
      <c r="AC153" s="41"/>
      <c r="AD153" s="41"/>
      <c r="AE153" s="41"/>
      <c r="AF153" s="41"/>
      <c r="AG153" s="41"/>
      <c r="AH153" s="41"/>
      <c r="AI153" s="41"/>
    </row>
    <row r="154" spans="1:35" ht="15.75" customHeight="1" x14ac:dyDescent="0.2">
      <c r="A154" s="166"/>
      <c r="B154" s="218"/>
      <c r="C154" s="218"/>
      <c r="D154" s="41"/>
      <c r="E154" s="41"/>
      <c r="F154" s="41"/>
      <c r="G154" s="41"/>
      <c r="H154" s="41"/>
      <c r="I154" s="41"/>
      <c r="J154" s="166"/>
      <c r="K154" s="41"/>
      <c r="L154" s="41"/>
      <c r="M154" s="41"/>
      <c r="N154" s="166"/>
      <c r="O154" s="166"/>
      <c r="P154" s="41"/>
      <c r="Q154" s="41"/>
      <c r="R154" s="41"/>
      <c r="S154" s="41"/>
      <c r="T154" s="41"/>
      <c r="U154" s="41"/>
      <c r="V154" s="41"/>
      <c r="W154" s="41"/>
      <c r="X154" s="41"/>
      <c r="Y154" s="166"/>
      <c r="Z154" s="166"/>
      <c r="AA154" s="41"/>
      <c r="AB154" s="41"/>
      <c r="AC154" s="41"/>
      <c r="AD154" s="41"/>
      <c r="AE154" s="41"/>
      <c r="AF154" s="41"/>
      <c r="AG154" s="41"/>
      <c r="AH154" s="41"/>
      <c r="AI154" s="41"/>
    </row>
    <row r="155" spans="1:35" ht="15.75" customHeight="1" x14ac:dyDescent="0.2">
      <c r="A155" s="166"/>
      <c r="B155" s="218"/>
      <c r="C155" s="218"/>
      <c r="D155" s="41"/>
      <c r="E155" s="41"/>
      <c r="F155" s="41"/>
      <c r="G155" s="41"/>
      <c r="H155" s="41"/>
      <c r="I155" s="41"/>
      <c r="J155" s="166"/>
      <c r="K155" s="41"/>
      <c r="L155" s="41"/>
      <c r="M155" s="41"/>
      <c r="N155" s="166"/>
      <c r="O155" s="166"/>
      <c r="P155" s="41"/>
      <c r="Q155" s="41"/>
      <c r="R155" s="41"/>
      <c r="S155" s="41"/>
      <c r="T155" s="41"/>
      <c r="U155" s="41"/>
      <c r="V155" s="41"/>
      <c r="W155" s="41"/>
      <c r="X155" s="41"/>
      <c r="Y155" s="166"/>
      <c r="Z155" s="166"/>
      <c r="AA155" s="41"/>
      <c r="AB155" s="41"/>
      <c r="AC155" s="41"/>
      <c r="AD155" s="41"/>
      <c r="AE155" s="41"/>
      <c r="AF155" s="41"/>
      <c r="AG155" s="41"/>
      <c r="AH155" s="41"/>
      <c r="AI155" s="41"/>
    </row>
    <row r="156" spans="1:35" ht="15.75" customHeight="1" x14ac:dyDescent="0.2">
      <c r="A156" s="166"/>
      <c r="B156" s="218"/>
      <c r="C156" s="218"/>
      <c r="D156" s="41"/>
      <c r="E156" s="41"/>
      <c r="F156" s="41"/>
      <c r="G156" s="41"/>
      <c r="H156" s="41"/>
      <c r="I156" s="41"/>
      <c r="J156" s="166"/>
      <c r="K156" s="41"/>
      <c r="L156" s="41"/>
      <c r="M156" s="41"/>
      <c r="N156" s="166"/>
      <c r="O156" s="166"/>
      <c r="P156" s="41"/>
      <c r="Q156" s="41"/>
      <c r="R156" s="41"/>
      <c r="S156" s="41"/>
      <c r="T156" s="41"/>
      <c r="U156" s="41"/>
      <c r="V156" s="41"/>
      <c r="W156" s="41"/>
      <c r="X156" s="41"/>
      <c r="Y156" s="166"/>
      <c r="Z156" s="166"/>
      <c r="AA156" s="41"/>
      <c r="AB156" s="41"/>
      <c r="AC156" s="41"/>
      <c r="AD156" s="41"/>
      <c r="AE156" s="41"/>
      <c r="AF156" s="41"/>
      <c r="AG156" s="41"/>
      <c r="AH156" s="41"/>
      <c r="AI156" s="41"/>
    </row>
    <row r="157" spans="1:35" ht="15.75" customHeight="1" x14ac:dyDescent="0.2">
      <c r="A157" s="166"/>
      <c r="B157" s="218"/>
      <c r="C157" s="218"/>
      <c r="D157" s="41"/>
      <c r="E157" s="41"/>
      <c r="F157" s="41"/>
      <c r="G157" s="41"/>
      <c r="H157" s="41"/>
      <c r="I157" s="41"/>
      <c r="J157" s="166"/>
      <c r="K157" s="41"/>
      <c r="L157" s="41"/>
      <c r="M157" s="41"/>
      <c r="N157" s="166"/>
      <c r="O157" s="166"/>
      <c r="P157" s="41"/>
      <c r="Q157" s="41"/>
      <c r="R157" s="41"/>
      <c r="S157" s="41"/>
      <c r="T157" s="41"/>
      <c r="U157" s="41"/>
      <c r="V157" s="41"/>
      <c r="W157" s="41"/>
      <c r="X157" s="41"/>
      <c r="Y157" s="166"/>
      <c r="Z157" s="166"/>
      <c r="AA157" s="41"/>
      <c r="AB157" s="41"/>
      <c r="AC157" s="41"/>
      <c r="AD157" s="41"/>
      <c r="AE157" s="41"/>
      <c r="AF157" s="41"/>
      <c r="AG157" s="41"/>
      <c r="AH157" s="41"/>
      <c r="AI157" s="41"/>
    </row>
    <row r="158" spans="1:35" ht="15.75" customHeight="1" x14ac:dyDescent="0.2">
      <c r="A158" s="166"/>
      <c r="B158" s="218"/>
      <c r="C158" s="218"/>
      <c r="D158" s="41"/>
      <c r="E158" s="41"/>
      <c r="F158" s="41"/>
      <c r="G158" s="41"/>
      <c r="H158" s="41"/>
      <c r="I158" s="41"/>
      <c r="J158" s="166"/>
      <c r="K158" s="41"/>
      <c r="L158" s="41"/>
      <c r="M158" s="41"/>
      <c r="N158" s="166"/>
      <c r="O158" s="166"/>
      <c r="P158" s="41"/>
      <c r="Q158" s="41"/>
      <c r="R158" s="41"/>
      <c r="S158" s="41"/>
      <c r="T158" s="41"/>
      <c r="U158" s="41"/>
      <c r="V158" s="41"/>
      <c r="W158" s="41"/>
      <c r="X158" s="41"/>
      <c r="Y158" s="166"/>
      <c r="Z158" s="166"/>
      <c r="AA158" s="41"/>
      <c r="AB158" s="41"/>
      <c r="AC158" s="41"/>
      <c r="AD158" s="41"/>
      <c r="AE158" s="41"/>
      <c r="AF158" s="41"/>
      <c r="AG158" s="41"/>
      <c r="AH158" s="41"/>
      <c r="AI158" s="41"/>
    </row>
    <row r="159" spans="1:35" ht="15.75" customHeight="1" x14ac:dyDescent="0.2">
      <c r="A159" s="166"/>
      <c r="B159" s="218"/>
      <c r="C159" s="218"/>
      <c r="D159" s="41"/>
      <c r="E159" s="41"/>
      <c r="F159" s="41"/>
      <c r="G159" s="41"/>
      <c r="H159" s="41"/>
      <c r="I159" s="41"/>
      <c r="J159" s="166"/>
      <c r="K159" s="41"/>
      <c r="L159" s="41"/>
      <c r="M159" s="41"/>
      <c r="N159" s="166"/>
      <c r="O159" s="166"/>
      <c r="P159" s="41"/>
      <c r="Q159" s="41"/>
      <c r="R159" s="41"/>
      <c r="S159" s="41"/>
      <c r="T159" s="41"/>
      <c r="U159" s="41"/>
      <c r="V159" s="41"/>
      <c r="W159" s="41"/>
      <c r="X159" s="41"/>
      <c r="Y159" s="166"/>
      <c r="Z159" s="166"/>
      <c r="AA159" s="41"/>
      <c r="AB159" s="41"/>
      <c r="AC159" s="41"/>
      <c r="AD159" s="41"/>
      <c r="AE159" s="41"/>
      <c r="AF159" s="41"/>
      <c r="AG159" s="41"/>
      <c r="AH159" s="41"/>
      <c r="AI159" s="41"/>
    </row>
    <row r="160" spans="1:35" ht="15.75" customHeight="1" x14ac:dyDescent="0.2">
      <c r="A160" s="166"/>
      <c r="B160" s="218"/>
      <c r="C160" s="218"/>
      <c r="D160" s="41"/>
      <c r="E160" s="41"/>
      <c r="F160" s="41"/>
      <c r="G160" s="41"/>
      <c r="H160" s="41"/>
      <c r="I160" s="41"/>
      <c r="J160" s="166"/>
      <c r="K160" s="41"/>
      <c r="L160" s="41"/>
      <c r="M160" s="41"/>
      <c r="N160" s="166"/>
      <c r="O160" s="166"/>
      <c r="P160" s="41"/>
      <c r="Q160" s="41"/>
      <c r="R160" s="41"/>
      <c r="S160" s="41"/>
      <c r="T160" s="41"/>
      <c r="U160" s="41"/>
      <c r="V160" s="41"/>
      <c r="W160" s="41"/>
      <c r="X160" s="41"/>
      <c r="Y160" s="166"/>
      <c r="Z160" s="166"/>
      <c r="AA160" s="41"/>
      <c r="AB160" s="41"/>
      <c r="AC160" s="41"/>
      <c r="AD160" s="41"/>
      <c r="AE160" s="41"/>
      <c r="AF160" s="41"/>
      <c r="AG160" s="41"/>
      <c r="AH160" s="41"/>
      <c r="AI160" s="41"/>
    </row>
    <row r="161" spans="1:35" ht="15.75" customHeight="1" x14ac:dyDescent="0.2">
      <c r="A161" s="166"/>
      <c r="B161" s="218"/>
      <c r="C161" s="218"/>
      <c r="D161" s="41"/>
      <c r="E161" s="41"/>
      <c r="F161" s="41"/>
      <c r="G161" s="41"/>
      <c r="H161" s="41"/>
      <c r="I161" s="41"/>
      <c r="J161" s="166"/>
      <c r="K161" s="41"/>
      <c r="L161" s="41"/>
      <c r="M161" s="41"/>
      <c r="N161" s="166"/>
      <c r="O161" s="166"/>
      <c r="P161" s="41"/>
      <c r="Q161" s="41"/>
      <c r="R161" s="41"/>
      <c r="S161" s="41"/>
      <c r="T161" s="41"/>
      <c r="U161" s="41"/>
      <c r="V161" s="41"/>
      <c r="W161" s="41"/>
      <c r="X161" s="41"/>
      <c r="Y161" s="166"/>
      <c r="Z161" s="166"/>
      <c r="AA161" s="41"/>
      <c r="AB161" s="41"/>
      <c r="AC161" s="41"/>
      <c r="AD161" s="41"/>
      <c r="AE161" s="41"/>
      <c r="AF161" s="41"/>
      <c r="AG161" s="41"/>
      <c r="AH161" s="41"/>
      <c r="AI161" s="41"/>
    </row>
    <row r="162" spans="1:35" ht="15.75" customHeight="1" x14ac:dyDescent="0.2">
      <c r="A162" s="166"/>
      <c r="B162" s="218"/>
      <c r="C162" s="218"/>
      <c r="D162" s="41"/>
      <c r="E162" s="41"/>
      <c r="F162" s="41"/>
      <c r="G162" s="41"/>
      <c r="H162" s="41"/>
      <c r="I162" s="41"/>
      <c r="J162" s="166"/>
      <c r="K162" s="41"/>
      <c r="L162" s="41"/>
      <c r="M162" s="41"/>
      <c r="N162" s="166"/>
      <c r="O162" s="166"/>
      <c r="P162" s="41"/>
      <c r="Q162" s="41"/>
      <c r="R162" s="41"/>
      <c r="S162" s="41"/>
      <c r="T162" s="41"/>
      <c r="U162" s="41"/>
      <c r="V162" s="41"/>
      <c r="W162" s="41"/>
      <c r="X162" s="41"/>
      <c r="Y162" s="166"/>
      <c r="Z162" s="166"/>
      <c r="AA162" s="41"/>
      <c r="AB162" s="41"/>
      <c r="AC162" s="41"/>
      <c r="AD162" s="41"/>
      <c r="AE162" s="41"/>
      <c r="AF162" s="41"/>
      <c r="AG162" s="41"/>
      <c r="AH162" s="41"/>
      <c r="AI162" s="41"/>
    </row>
    <row r="163" spans="1:35" ht="15.75" customHeight="1" x14ac:dyDescent="0.2">
      <c r="A163" s="166"/>
      <c r="B163" s="218"/>
      <c r="C163" s="218"/>
      <c r="D163" s="41"/>
      <c r="E163" s="41"/>
      <c r="F163" s="41"/>
      <c r="G163" s="41"/>
      <c r="H163" s="41"/>
      <c r="I163" s="41"/>
      <c r="J163" s="166"/>
      <c r="K163" s="41"/>
      <c r="L163" s="41"/>
      <c r="M163" s="41"/>
      <c r="N163" s="166"/>
      <c r="O163" s="166"/>
      <c r="P163" s="41"/>
      <c r="Q163" s="41"/>
      <c r="R163" s="41"/>
      <c r="S163" s="41"/>
      <c r="T163" s="41"/>
      <c r="U163" s="41"/>
      <c r="V163" s="41"/>
      <c r="W163" s="41"/>
      <c r="X163" s="41"/>
      <c r="Y163" s="166"/>
      <c r="Z163" s="166"/>
      <c r="AA163" s="41"/>
      <c r="AB163" s="41"/>
      <c r="AC163" s="41"/>
      <c r="AD163" s="41"/>
      <c r="AE163" s="41"/>
      <c r="AF163" s="41"/>
      <c r="AG163" s="41"/>
      <c r="AH163" s="41"/>
      <c r="AI163" s="41"/>
    </row>
    <row r="164" spans="1:35" ht="15.75" customHeight="1" x14ac:dyDescent="0.2">
      <c r="A164" s="166"/>
      <c r="B164" s="218"/>
      <c r="C164" s="218"/>
      <c r="D164" s="41"/>
      <c r="E164" s="41"/>
      <c r="F164" s="41"/>
      <c r="G164" s="41"/>
      <c r="H164" s="41"/>
      <c r="I164" s="41"/>
      <c r="J164" s="166"/>
      <c r="K164" s="41"/>
      <c r="L164" s="41"/>
      <c r="M164" s="41"/>
      <c r="N164" s="166"/>
      <c r="O164" s="166"/>
      <c r="P164" s="41"/>
      <c r="Q164" s="41"/>
      <c r="R164" s="41"/>
      <c r="S164" s="41"/>
      <c r="T164" s="41"/>
      <c r="U164" s="41"/>
      <c r="V164" s="41"/>
      <c r="W164" s="41"/>
      <c r="X164" s="41"/>
      <c r="Y164" s="166"/>
      <c r="Z164" s="166"/>
      <c r="AA164" s="41"/>
      <c r="AB164" s="41"/>
      <c r="AC164" s="41"/>
      <c r="AD164" s="41"/>
      <c r="AE164" s="41"/>
      <c r="AF164" s="41"/>
      <c r="AG164" s="41"/>
      <c r="AH164" s="41"/>
      <c r="AI164" s="41"/>
    </row>
    <row r="165" spans="1:35" ht="15.75" customHeight="1" x14ac:dyDescent="0.2">
      <c r="A165" s="166"/>
      <c r="B165" s="218"/>
      <c r="C165" s="218"/>
      <c r="D165" s="41"/>
      <c r="E165" s="41"/>
      <c r="F165" s="41"/>
      <c r="G165" s="41"/>
      <c r="H165" s="41"/>
      <c r="I165" s="41"/>
      <c r="J165" s="166"/>
      <c r="K165" s="41"/>
      <c r="L165" s="41"/>
      <c r="M165" s="41"/>
      <c r="N165" s="166"/>
      <c r="O165" s="166"/>
      <c r="P165" s="41"/>
      <c r="Q165" s="41"/>
      <c r="R165" s="41"/>
      <c r="S165" s="41"/>
      <c r="T165" s="41"/>
      <c r="U165" s="41"/>
      <c r="V165" s="41"/>
      <c r="W165" s="41"/>
      <c r="X165" s="41"/>
      <c r="Y165" s="166"/>
      <c r="Z165" s="166"/>
      <c r="AA165" s="41"/>
      <c r="AB165" s="41"/>
      <c r="AC165" s="41"/>
      <c r="AD165" s="41"/>
      <c r="AE165" s="41"/>
      <c r="AF165" s="41"/>
      <c r="AG165" s="41"/>
      <c r="AH165" s="41"/>
      <c r="AI165" s="41"/>
    </row>
    <row r="166" spans="1:35" ht="15.75" customHeight="1" x14ac:dyDescent="0.2">
      <c r="A166" s="166"/>
      <c r="B166" s="218"/>
      <c r="C166" s="218"/>
      <c r="D166" s="41"/>
      <c r="E166" s="41"/>
      <c r="F166" s="41"/>
      <c r="G166" s="41"/>
      <c r="H166" s="41"/>
      <c r="I166" s="41"/>
      <c r="J166" s="166"/>
      <c r="K166" s="41"/>
      <c r="L166" s="41"/>
      <c r="M166" s="41"/>
      <c r="N166" s="166"/>
      <c r="O166" s="166"/>
      <c r="P166" s="41"/>
      <c r="Q166" s="41"/>
      <c r="R166" s="41"/>
      <c r="S166" s="41"/>
      <c r="T166" s="41"/>
      <c r="U166" s="41"/>
      <c r="V166" s="41"/>
      <c r="W166" s="41"/>
      <c r="X166" s="41"/>
      <c r="Y166" s="166"/>
      <c r="Z166" s="166"/>
      <c r="AA166" s="41"/>
      <c r="AB166" s="41"/>
      <c r="AC166" s="41"/>
      <c r="AD166" s="41"/>
      <c r="AE166" s="41"/>
      <c r="AF166" s="41"/>
      <c r="AG166" s="41"/>
      <c r="AH166" s="41"/>
      <c r="AI166" s="41"/>
    </row>
    <row r="167" spans="1:35" ht="15.75" customHeight="1" x14ac:dyDescent="0.2">
      <c r="A167" s="166"/>
      <c r="B167" s="218"/>
      <c r="C167" s="218"/>
      <c r="D167" s="41"/>
      <c r="E167" s="41"/>
      <c r="F167" s="41"/>
      <c r="G167" s="41"/>
      <c r="H167" s="41"/>
      <c r="I167" s="41"/>
      <c r="J167" s="166"/>
      <c r="K167" s="41"/>
      <c r="L167" s="41"/>
      <c r="M167" s="41"/>
      <c r="N167" s="166"/>
      <c r="O167" s="166"/>
      <c r="P167" s="41"/>
      <c r="Q167" s="41"/>
      <c r="R167" s="41"/>
      <c r="S167" s="41"/>
      <c r="T167" s="41"/>
      <c r="U167" s="41"/>
      <c r="V167" s="41"/>
      <c r="W167" s="41"/>
      <c r="X167" s="41"/>
      <c r="Y167" s="166"/>
      <c r="Z167" s="166"/>
      <c r="AA167" s="41"/>
      <c r="AB167" s="41"/>
      <c r="AC167" s="41"/>
      <c r="AD167" s="41"/>
      <c r="AE167" s="41"/>
      <c r="AF167" s="41"/>
      <c r="AG167" s="41"/>
      <c r="AH167" s="41"/>
      <c r="AI167" s="41"/>
    </row>
    <row r="168" spans="1:35" ht="15.75" customHeight="1" x14ac:dyDescent="0.2">
      <c r="A168" s="166"/>
      <c r="B168" s="218"/>
      <c r="C168" s="218"/>
      <c r="D168" s="41"/>
      <c r="E168" s="41"/>
      <c r="F168" s="41"/>
      <c r="G168" s="41"/>
      <c r="H168" s="41"/>
      <c r="I168" s="41"/>
      <c r="J168" s="166"/>
      <c r="K168" s="41"/>
      <c r="L168" s="41"/>
      <c r="M168" s="41"/>
      <c r="N168" s="166"/>
      <c r="O168" s="166"/>
      <c r="P168" s="41"/>
      <c r="Q168" s="41"/>
      <c r="R168" s="41"/>
      <c r="S168" s="41"/>
      <c r="T168" s="41"/>
      <c r="U168" s="41"/>
      <c r="V168" s="41"/>
      <c r="W168" s="41"/>
      <c r="X168" s="41"/>
      <c r="Y168" s="166"/>
      <c r="Z168" s="166"/>
      <c r="AA168" s="41"/>
      <c r="AB168" s="41"/>
      <c r="AC168" s="41"/>
      <c r="AD168" s="41"/>
      <c r="AE168" s="41"/>
      <c r="AF168" s="41"/>
      <c r="AG168" s="41"/>
      <c r="AH168" s="41"/>
      <c r="AI168" s="41"/>
    </row>
    <row r="169" spans="1:35" ht="15.75" customHeight="1" x14ac:dyDescent="0.2">
      <c r="A169" s="166"/>
      <c r="B169" s="218"/>
      <c r="C169" s="218"/>
      <c r="D169" s="41"/>
      <c r="E169" s="41"/>
      <c r="F169" s="41"/>
      <c r="G169" s="41"/>
      <c r="H169" s="41"/>
      <c r="I169" s="41"/>
      <c r="J169" s="166"/>
      <c r="K169" s="41"/>
      <c r="L169" s="41"/>
      <c r="M169" s="41"/>
      <c r="N169" s="166"/>
      <c r="O169" s="166"/>
      <c r="P169" s="41"/>
      <c r="Q169" s="41"/>
      <c r="R169" s="41"/>
      <c r="S169" s="41"/>
      <c r="T169" s="41"/>
      <c r="U169" s="41"/>
      <c r="V169" s="41"/>
      <c r="W169" s="41"/>
      <c r="X169" s="41"/>
      <c r="Y169" s="166"/>
      <c r="Z169" s="166"/>
      <c r="AA169" s="41"/>
      <c r="AB169" s="41"/>
      <c r="AC169" s="41"/>
      <c r="AD169" s="41"/>
      <c r="AE169" s="41"/>
      <c r="AF169" s="41"/>
      <c r="AG169" s="41"/>
      <c r="AH169" s="41"/>
      <c r="AI169" s="41"/>
    </row>
    <row r="170" spans="1:35" ht="15.75" customHeight="1" x14ac:dyDescent="0.2">
      <c r="A170" s="166"/>
      <c r="B170" s="218"/>
      <c r="C170" s="218"/>
      <c r="D170" s="41"/>
      <c r="E170" s="41"/>
      <c r="F170" s="41"/>
      <c r="G170" s="41"/>
      <c r="H170" s="41"/>
      <c r="I170" s="41"/>
      <c r="J170" s="166"/>
      <c r="K170" s="41"/>
      <c r="L170" s="41"/>
      <c r="M170" s="41"/>
      <c r="N170" s="166"/>
      <c r="O170" s="166"/>
      <c r="P170" s="41"/>
      <c r="Q170" s="41"/>
      <c r="R170" s="41"/>
      <c r="S170" s="41"/>
      <c r="T170" s="41"/>
      <c r="U170" s="41"/>
      <c r="V170" s="41"/>
      <c r="W170" s="41"/>
      <c r="X170" s="41"/>
      <c r="Y170" s="166"/>
      <c r="Z170" s="166"/>
      <c r="AA170" s="41"/>
      <c r="AB170" s="41"/>
      <c r="AC170" s="41"/>
      <c r="AD170" s="41"/>
      <c r="AE170" s="41"/>
      <c r="AF170" s="41"/>
      <c r="AG170" s="41"/>
      <c r="AH170" s="41"/>
      <c r="AI170" s="41"/>
    </row>
    <row r="171" spans="1:35" ht="15.75" customHeight="1" x14ac:dyDescent="0.2">
      <c r="A171" s="166"/>
      <c r="B171" s="218"/>
      <c r="C171" s="218"/>
      <c r="D171" s="41"/>
      <c r="E171" s="41"/>
      <c r="F171" s="41"/>
      <c r="G171" s="41"/>
      <c r="H171" s="41"/>
      <c r="I171" s="41"/>
      <c r="J171" s="166"/>
      <c r="K171" s="41"/>
      <c r="L171" s="41"/>
      <c r="M171" s="41"/>
      <c r="N171" s="166"/>
      <c r="O171" s="166"/>
      <c r="P171" s="41"/>
      <c r="Q171" s="41"/>
      <c r="R171" s="41"/>
      <c r="S171" s="41"/>
      <c r="T171" s="41"/>
      <c r="U171" s="41"/>
      <c r="V171" s="41"/>
      <c r="W171" s="41"/>
      <c r="X171" s="41"/>
      <c r="Y171" s="166"/>
      <c r="Z171" s="166"/>
      <c r="AA171" s="41"/>
      <c r="AB171" s="41"/>
      <c r="AC171" s="41"/>
      <c r="AD171" s="41"/>
      <c r="AE171" s="41"/>
      <c r="AF171" s="41"/>
      <c r="AG171" s="41"/>
      <c r="AH171" s="41"/>
      <c r="AI171" s="41"/>
    </row>
    <row r="172" spans="1:35" ht="15.75" customHeight="1" x14ac:dyDescent="0.2">
      <c r="A172" s="166"/>
      <c r="B172" s="218"/>
      <c r="C172" s="218"/>
      <c r="D172" s="41"/>
      <c r="E172" s="41"/>
      <c r="F172" s="41"/>
      <c r="G172" s="41"/>
      <c r="H172" s="41"/>
      <c r="I172" s="41"/>
      <c r="J172" s="166"/>
      <c r="K172" s="41"/>
      <c r="L172" s="41"/>
      <c r="M172" s="41"/>
      <c r="N172" s="166"/>
      <c r="O172" s="166"/>
      <c r="P172" s="41"/>
      <c r="Q172" s="41"/>
      <c r="R172" s="41"/>
      <c r="S172" s="41"/>
      <c r="T172" s="41"/>
      <c r="U172" s="41"/>
      <c r="V172" s="41"/>
      <c r="W172" s="41"/>
      <c r="X172" s="41"/>
      <c r="Y172" s="166"/>
      <c r="Z172" s="166"/>
      <c r="AA172" s="41"/>
      <c r="AB172" s="41"/>
      <c r="AC172" s="41"/>
      <c r="AD172" s="41"/>
      <c r="AE172" s="41"/>
      <c r="AF172" s="41"/>
      <c r="AG172" s="41"/>
      <c r="AH172" s="41"/>
      <c r="AI172" s="41"/>
    </row>
    <row r="173" spans="1:35" ht="15.75" customHeight="1" x14ac:dyDescent="0.2">
      <c r="A173" s="166"/>
      <c r="B173" s="218"/>
      <c r="C173" s="218"/>
      <c r="D173" s="41"/>
      <c r="E173" s="41"/>
      <c r="F173" s="41"/>
      <c r="G173" s="41"/>
      <c r="H173" s="41"/>
      <c r="I173" s="41"/>
      <c r="J173" s="166"/>
      <c r="K173" s="41"/>
      <c r="L173" s="41"/>
      <c r="M173" s="41"/>
      <c r="N173" s="166"/>
      <c r="O173" s="166"/>
      <c r="P173" s="41"/>
      <c r="Q173" s="41"/>
      <c r="R173" s="41"/>
      <c r="S173" s="41"/>
      <c r="T173" s="41"/>
      <c r="U173" s="41"/>
      <c r="V173" s="41"/>
      <c r="W173" s="41"/>
      <c r="X173" s="41"/>
      <c r="Y173" s="166"/>
      <c r="Z173" s="166"/>
      <c r="AA173" s="41"/>
      <c r="AB173" s="41"/>
      <c r="AC173" s="41"/>
      <c r="AD173" s="41"/>
      <c r="AE173" s="41"/>
      <c r="AF173" s="41"/>
      <c r="AG173" s="41"/>
      <c r="AH173" s="41"/>
      <c r="AI173" s="41"/>
    </row>
    <row r="174" spans="1:35" ht="15.75" customHeight="1" x14ac:dyDescent="0.2">
      <c r="A174" s="166"/>
      <c r="B174" s="218"/>
      <c r="C174" s="218"/>
      <c r="D174" s="41"/>
      <c r="E174" s="41"/>
      <c r="F174" s="41"/>
      <c r="G174" s="41"/>
      <c r="H174" s="41"/>
      <c r="I174" s="41"/>
      <c r="J174" s="166"/>
      <c r="K174" s="41"/>
      <c r="L174" s="41"/>
      <c r="M174" s="41"/>
      <c r="N174" s="166"/>
      <c r="O174" s="166"/>
      <c r="P174" s="41"/>
      <c r="Q174" s="41"/>
      <c r="R174" s="41"/>
      <c r="S174" s="41"/>
      <c r="T174" s="41"/>
      <c r="U174" s="41"/>
      <c r="V174" s="41"/>
      <c r="W174" s="41"/>
      <c r="X174" s="41"/>
      <c r="Y174" s="166"/>
      <c r="Z174" s="166"/>
      <c r="AA174" s="41"/>
      <c r="AB174" s="41"/>
      <c r="AC174" s="41"/>
      <c r="AD174" s="41"/>
      <c r="AE174" s="41"/>
      <c r="AF174" s="41"/>
      <c r="AG174" s="41"/>
      <c r="AH174" s="41"/>
      <c r="AI174" s="41"/>
    </row>
    <row r="175" spans="1:35" ht="15.75" customHeight="1" x14ac:dyDescent="0.2">
      <c r="A175" s="166"/>
      <c r="B175" s="218"/>
      <c r="C175" s="218"/>
      <c r="D175" s="41"/>
      <c r="E175" s="41"/>
      <c r="F175" s="41"/>
      <c r="G175" s="41"/>
      <c r="H175" s="41"/>
      <c r="I175" s="41"/>
      <c r="J175" s="166"/>
      <c r="K175" s="41"/>
      <c r="L175" s="41"/>
      <c r="M175" s="41"/>
      <c r="N175" s="166"/>
      <c r="O175" s="166"/>
      <c r="P175" s="41"/>
      <c r="Q175" s="41"/>
      <c r="R175" s="41"/>
      <c r="S175" s="41"/>
      <c r="T175" s="41"/>
      <c r="U175" s="41"/>
      <c r="V175" s="41"/>
      <c r="W175" s="41"/>
      <c r="X175" s="41"/>
      <c r="Y175" s="166"/>
      <c r="Z175" s="166"/>
      <c r="AA175" s="41"/>
      <c r="AB175" s="41"/>
      <c r="AC175" s="41"/>
      <c r="AD175" s="41"/>
      <c r="AE175" s="41"/>
      <c r="AF175" s="41"/>
      <c r="AG175" s="41"/>
      <c r="AH175" s="41"/>
      <c r="AI175" s="41"/>
    </row>
    <row r="176" spans="1:35" ht="15.75" customHeight="1" x14ac:dyDescent="0.2">
      <c r="A176" s="166"/>
      <c r="B176" s="218"/>
      <c r="C176" s="218"/>
      <c r="D176" s="41"/>
      <c r="E176" s="41"/>
      <c r="F176" s="41"/>
      <c r="G176" s="41"/>
      <c r="H176" s="41"/>
      <c r="I176" s="41"/>
      <c r="J176" s="166"/>
      <c r="K176" s="41"/>
      <c r="L176" s="41"/>
      <c r="M176" s="41"/>
      <c r="N176" s="166"/>
      <c r="O176" s="166"/>
      <c r="P176" s="41"/>
      <c r="Q176" s="41"/>
      <c r="R176" s="41"/>
      <c r="S176" s="41"/>
      <c r="T176" s="41"/>
      <c r="U176" s="41"/>
      <c r="V176" s="41"/>
      <c r="W176" s="41"/>
      <c r="X176" s="41"/>
      <c r="Y176" s="166"/>
      <c r="Z176" s="166"/>
      <c r="AA176" s="41"/>
      <c r="AB176" s="41"/>
      <c r="AC176" s="41"/>
      <c r="AD176" s="41"/>
      <c r="AE176" s="41"/>
      <c r="AF176" s="41"/>
      <c r="AG176" s="41"/>
      <c r="AH176" s="41"/>
      <c r="AI176" s="41"/>
    </row>
    <row r="177" spans="1:35" ht="15.75" customHeight="1" x14ac:dyDescent="0.2">
      <c r="A177" s="166"/>
      <c r="B177" s="218"/>
      <c r="C177" s="218"/>
      <c r="D177" s="41"/>
      <c r="E177" s="41"/>
      <c r="F177" s="41"/>
      <c r="G177" s="41"/>
      <c r="H177" s="41"/>
      <c r="I177" s="41"/>
      <c r="J177" s="166"/>
      <c r="K177" s="41"/>
      <c r="L177" s="41"/>
      <c r="M177" s="41"/>
      <c r="N177" s="166"/>
      <c r="O177" s="166"/>
      <c r="P177" s="41"/>
      <c r="Q177" s="41"/>
      <c r="R177" s="41"/>
      <c r="S177" s="41"/>
      <c r="T177" s="41"/>
      <c r="U177" s="41"/>
      <c r="V177" s="41"/>
      <c r="W177" s="41"/>
      <c r="X177" s="41"/>
      <c r="Y177" s="166"/>
      <c r="Z177" s="166"/>
      <c r="AA177" s="41"/>
      <c r="AB177" s="41"/>
      <c r="AC177" s="41"/>
      <c r="AD177" s="41"/>
      <c r="AE177" s="41"/>
      <c r="AF177" s="41"/>
      <c r="AG177" s="41"/>
      <c r="AH177" s="41"/>
      <c r="AI177" s="41"/>
    </row>
    <row r="178" spans="1:35" ht="15.75" customHeight="1" x14ac:dyDescent="0.2">
      <c r="A178" s="166"/>
      <c r="B178" s="218"/>
      <c r="C178" s="218"/>
      <c r="D178" s="41"/>
      <c r="E178" s="41"/>
      <c r="F178" s="41"/>
      <c r="G178" s="41"/>
      <c r="H178" s="41"/>
      <c r="I178" s="41"/>
      <c r="J178" s="166"/>
      <c r="K178" s="41"/>
      <c r="L178" s="41"/>
      <c r="M178" s="41"/>
      <c r="N178" s="166"/>
      <c r="O178" s="166"/>
      <c r="P178" s="41"/>
      <c r="Q178" s="41"/>
      <c r="R178" s="41"/>
      <c r="S178" s="41"/>
      <c r="T178" s="41"/>
      <c r="U178" s="41"/>
      <c r="V178" s="41"/>
      <c r="W178" s="41"/>
      <c r="X178" s="41"/>
      <c r="Y178" s="166"/>
      <c r="Z178" s="166"/>
      <c r="AA178" s="41"/>
      <c r="AB178" s="41"/>
      <c r="AC178" s="41"/>
      <c r="AD178" s="41"/>
      <c r="AE178" s="41"/>
      <c r="AF178" s="41"/>
      <c r="AG178" s="41"/>
      <c r="AH178" s="41"/>
      <c r="AI178" s="41"/>
    </row>
    <row r="179" spans="1:35" ht="15.75" customHeight="1" x14ac:dyDescent="0.2">
      <c r="A179" s="166"/>
      <c r="B179" s="218"/>
      <c r="C179" s="218"/>
      <c r="D179" s="41"/>
      <c r="E179" s="41"/>
      <c r="F179" s="41"/>
      <c r="G179" s="41"/>
      <c r="H179" s="41"/>
      <c r="I179" s="41"/>
      <c r="J179" s="166"/>
      <c r="K179" s="41"/>
      <c r="L179" s="41"/>
      <c r="M179" s="41"/>
      <c r="N179" s="166"/>
      <c r="O179" s="166"/>
      <c r="P179" s="41"/>
      <c r="Q179" s="41"/>
      <c r="R179" s="41"/>
      <c r="S179" s="41"/>
      <c r="T179" s="41"/>
      <c r="U179" s="41"/>
      <c r="V179" s="41"/>
      <c r="W179" s="41"/>
      <c r="X179" s="41"/>
      <c r="Y179" s="166"/>
      <c r="Z179" s="166"/>
      <c r="AA179" s="41"/>
      <c r="AB179" s="41"/>
      <c r="AC179" s="41"/>
      <c r="AD179" s="41"/>
      <c r="AE179" s="41"/>
      <c r="AF179" s="41"/>
      <c r="AG179" s="41"/>
      <c r="AH179" s="41"/>
      <c r="AI179" s="41"/>
    </row>
    <row r="180" spans="1:35" ht="15.75" customHeight="1" x14ac:dyDescent="0.2">
      <c r="A180" s="166"/>
      <c r="B180" s="218"/>
      <c r="C180" s="218"/>
      <c r="D180" s="41"/>
      <c r="E180" s="41"/>
      <c r="F180" s="41"/>
      <c r="G180" s="41"/>
      <c r="H180" s="41"/>
      <c r="I180" s="41"/>
      <c r="J180" s="166"/>
      <c r="K180" s="41"/>
      <c r="L180" s="41"/>
      <c r="M180" s="41"/>
      <c r="N180" s="166"/>
      <c r="O180" s="166"/>
      <c r="P180" s="41"/>
      <c r="Q180" s="41"/>
      <c r="R180" s="41"/>
      <c r="S180" s="41"/>
      <c r="T180" s="41"/>
      <c r="U180" s="41"/>
      <c r="V180" s="41"/>
      <c r="W180" s="41"/>
      <c r="X180" s="41"/>
      <c r="Y180" s="166"/>
      <c r="Z180" s="166"/>
      <c r="AA180" s="41"/>
      <c r="AB180" s="41"/>
      <c r="AC180" s="41"/>
      <c r="AD180" s="41"/>
      <c r="AE180" s="41"/>
      <c r="AF180" s="41"/>
      <c r="AG180" s="41"/>
      <c r="AH180" s="41"/>
      <c r="AI180" s="41"/>
    </row>
    <row r="181" spans="1:35" ht="15.75" customHeight="1" x14ac:dyDescent="0.2">
      <c r="A181" s="166"/>
      <c r="B181" s="218"/>
      <c r="C181" s="218"/>
      <c r="D181" s="41"/>
      <c r="E181" s="41"/>
      <c r="F181" s="41"/>
      <c r="G181" s="41"/>
      <c r="H181" s="41"/>
      <c r="I181" s="41"/>
      <c r="J181" s="166"/>
      <c r="K181" s="41"/>
      <c r="L181" s="41"/>
      <c r="M181" s="41"/>
      <c r="N181" s="166"/>
      <c r="O181" s="166"/>
      <c r="P181" s="41"/>
      <c r="Q181" s="41"/>
      <c r="R181" s="41"/>
      <c r="S181" s="41"/>
      <c r="T181" s="41"/>
      <c r="U181" s="41"/>
      <c r="V181" s="41"/>
      <c r="W181" s="41"/>
      <c r="X181" s="41"/>
      <c r="Y181" s="166"/>
      <c r="Z181" s="166"/>
      <c r="AA181" s="41"/>
      <c r="AB181" s="41"/>
      <c r="AC181" s="41"/>
      <c r="AD181" s="41"/>
      <c r="AE181" s="41"/>
      <c r="AF181" s="41"/>
      <c r="AG181" s="41"/>
      <c r="AH181" s="41"/>
      <c r="AI181" s="41"/>
    </row>
    <row r="182" spans="1:35" ht="15.75" customHeight="1" x14ac:dyDescent="0.2">
      <c r="A182" s="166"/>
      <c r="B182" s="218"/>
      <c r="C182" s="218"/>
      <c r="D182" s="41"/>
      <c r="E182" s="41"/>
      <c r="F182" s="41"/>
      <c r="G182" s="41"/>
      <c r="H182" s="41"/>
      <c r="I182" s="41"/>
      <c r="J182" s="166"/>
      <c r="K182" s="41"/>
      <c r="L182" s="41"/>
      <c r="M182" s="41"/>
      <c r="N182" s="166"/>
      <c r="O182" s="166"/>
      <c r="P182" s="41"/>
      <c r="Q182" s="41"/>
      <c r="R182" s="41"/>
      <c r="S182" s="41"/>
      <c r="T182" s="41"/>
      <c r="U182" s="41"/>
      <c r="V182" s="41"/>
      <c r="W182" s="41"/>
      <c r="X182" s="41"/>
      <c r="Y182" s="166"/>
      <c r="Z182" s="166"/>
      <c r="AA182" s="41"/>
      <c r="AB182" s="41"/>
      <c r="AC182" s="41"/>
      <c r="AD182" s="41"/>
      <c r="AE182" s="41"/>
      <c r="AF182" s="41"/>
      <c r="AG182" s="41"/>
      <c r="AH182" s="41"/>
      <c r="AI182" s="41"/>
    </row>
    <row r="183" spans="1:35" ht="15.75" customHeight="1" x14ac:dyDescent="0.2">
      <c r="A183" s="166"/>
      <c r="B183" s="218"/>
      <c r="C183" s="218"/>
      <c r="D183" s="41"/>
      <c r="E183" s="41"/>
      <c r="F183" s="41"/>
      <c r="G183" s="41"/>
      <c r="H183" s="41"/>
      <c r="I183" s="41"/>
      <c r="J183" s="166"/>
      <c r="K183" s="41"/>
      <c r="L183" s="41"/>
      <c r="M183" s="41"/>
      <c r="N183" s="166"/>
      <c r="O183" s="166"/>
      <c r="P183" s="41"/>
      <c r="Q183" s="41"/>
      <c r="R183" s="41"/>
      <c r="S183" s="41"/>
      <c r="T183" s="41"/>
      <c r="U183" s="41"/>
      <c r="V183" s="41"/>
      <c r="W183" s="41"/>
      <c r="X183" s="41"/>
      <c r="Y183" s="166"/>
      <c r="Z183" s="166"/>
      <c r="AA183" s="41"/>
      <c r="AB183" s="41"/>
      <c r="AC183" s="41"/>
      <c r="AD183" s="41"/>
      <c r="AE183" s="41"/>
      <c r="AF183" s="41"/>
      <c r="AG183" s="41"/>
      <c r="AH183" s="41"/>
      <c r="AI183" s="41"/>
    </row>
    <row r="184" spans="1:35" ht="15.75" customHeight="1" x14ac:dyDescent="0.2">
      <c r="A184" s="166"/>
      <c r="B184" s="218"/>
      <c r="C184" s="218"/>
      <c r="D184" s="41"/>
      <c r="E184" s="41"/>
      <c r="F184" s="41"/>
      <c r="G184" s="41"/>
      <c r="H184" s="41"/>
      <c r="I184" s="41"/>
      <c r="J184" s="166"/>
      <c r="K184" s="41"/>
      <c r="L184" s="41"/>
      <c r="M184" s="41"/>
      <c r="N184" s="166"/>
      <c r="O184" s="166"/>
      <c r="P184" s="41"/>
      <c r="Q184" s="41"/>
      <c r="R184" s="41"/>
      <c r="S184" s="41"/>
      <c r="T184" s="41"/>
      <c r="U184" s="41"/>
      <c r="V184" s="41"/>
      <c r="W184" s="41"/>
      <c r="X184" s="41"/>
      <c r="Y184" s="166"/>
      <c r="Z184" s="166"/>
      <c r="AA184" s="41"/>
      <c r="AB184" s="41"/>
      <c r="AC184" s="41"/>
      <c r="AD184" s="41"/>
      <c r="AE184" s="41"/>
      <c r="AF184" s="41"/>
      <c r="AG184" s="41"/>
      <c r="AH184" s="41"/>
      <c r="AI184" s="41"/>
    </row>
    <row r="185" spans="1:35" ht="15.75" customHeight="1" x14ac:dyDescent="0.2">
      <c r="A185" s="166"/>
      <c r="B185" s="218"/>
      <c r="C185" s="218"/>
      <c r="D185" s="41"/>
      <c r="E185" s="41"/>
      <c r="F185" s="41"/>
      <c r="G185" s="41"/>
      <c r="H185" s="41"/>
      <c r="I185" s="41"/>
      <c r="J185" s="166"/>
      <c r="K185" s="41"/>
      <c r="L185" s="41"/>
      <c r="M185" s="41"/>
      <c r="N185" s="166"/>
      <c r="O185" s="166"/>
      <c r="P185" s="41"/>
      <c r="Q185" s="41"/>
      <c r="R185" s="41"/>
      <c r="S185" s="41"/>
      <c r="T185" s="41"/>
      <c r="U185" s="41"/>
      <c r="V185" s="41"/>
      <c r="W185" s="41"/>
      <c r="X185" s="41"/>
      <c r="Y185" s="166"/>
      <c r="Z185" s="166"/>
      <c r="AA185" s="41"/>
      <c r="AB185" s="41"/>
      <c r="AC185" s="41"/>
      <c r="AD185" s="41"/>
      <c r="AE185" s="41"/>
      <c r="AF185" s="41"/>
      <c r="AG185" s="41"/>
      <c r="AH185" s="41"/>
      <c r="AI185" s="41"/>
    </row>
    <row r="186" spans="1:35" ht="15.75" customHeight="1" x14ac:dyDescent="0.2">
      <c r="A186" s="166"/>
      <c r="B186" s="218"/>
      <c r="C186" s="218"/>
      <c r="D186" s="41"/>
      <c r="E186" s="41"/>
      <c r="F186" s="41"/>
      <c r="G186" s="41"/>
      <c r="H186" s="41"/>
      <c r="I186" s="41"/>
      <c r="J186" s="166"/>
      <c r="K186" s="41"/>
      <c r="L186" s="41"/>
      <c r="M186" s="41"/>
      <c r="N186" s="166"/>
      <c r="O186" s="166"/>
      <c r="P186" s="41"/>
      <c r="Q186" s="41"/>
      <c r="R186" s="41"/>
      <c r="S186" s="41"/>
      <c r="T186" s="41"/>
      <c r="U186" s="41"/>
      <c r="V186" s="41"/>
      <c r="W186" s="41"/>
      <c r="X186" s="41"/>
      <c r="Y186" s="166"/>
      <c r="Z186" s="166"/>
      <c r="AA186" s="41"/>
      <c r="AB186" s="41"/>
      <c r="AC186" s="41"/>
      <c r="AD186" s="41"/>
      <c r="AE186" s="41"/>
      <c r="AF186" s="41"/>
      <c r="AG186" s="41"/>
      <c r="AH186" s="41"/>
      <c r="AI186" s="41"/>
    </row>
    <row r="187" spans="1:35" ht="15.75" customHeight="1" x14ac:dyDescent="0.2">
      <c r="A187" s="166"/>
      <c r="B187" s="218"/>
      <c r="C187" s="218"/>
      <c r="D187" s="41"/>
      <c r="E187" s="41"/>
      <c r="F187" s="41"/>
      <c r="G187" s="41"/>
      <c r="H187" s="41"/>
      <c r="I187" s="41"/>
      <c r="J187" s="166"/>
      <c r="K187" s="41"/>
      <c r="L187" s="41"/>
      <c r="M187" s="41"/>
      <c r="N187" s="166"/>
      <c r="O187" s="166"/>
      <c r="P187" s="41"/>
      <c r="Q187" s="41"/>
      <c r="R187" s="41"/>
      <c r="S187" s="41"/>
      <c r="T187" s="41"/>
      <c r="U187" s="41"/>
      <c r="V187" s="41"/>
      <c r="W187" s="41"/>
      <c r="X187" s="41"/>
      <c r="Y187" s="166"/>
      <c r="Z187" s="166"/>
      <c r="AA187" s="41"/>
      <c r="AB187" s="41"/>
      <c r="AC187" s="41"/>
      <c r="AD187" s="41"/>
      <c r="AE187" s="41"/>
      <c r="AF187" s="41"/>
      <c r="AG187" s="41"/>
      <c r="AH187" s="41"/>
      <c r="AI187" s="41"/>
    </row>
    <row r="188" spans="1:35" ht="15.75" customHeight="1" x14ac:dyDescent="0.2">
      <c r="A188" s="166"/>
      <c r="B188" s="218"/>
      <c r="C188" s="218"/>
      <c r="D188" s="41"/>
      <c r="E188" s="41"/>
      <c r="F188" s="41"/>
      <c r="G188" s="41"/>
      <c r="H188" s="41"/>
      <c r="I188" s="41"/>
      <c r="J188" s="166"/>
      <c r="K188" s="41"/>
      <c r="L188" s="41"/>
      <c r="M188" s="41"/>
      <c r="N188" s="166"/>
      <c r="O188" s="166"/>
      <c r="P188" s="41"/>
      <c r="Q188" s="41"/>
      <c r="R188" s="41"/>
      <c r="S188" s="41"/>
      <c r="T188" s="41"/>
      <c r="U188" s="41"/>
      <c r="V188" s="41"/>
      <c r="W188" s="41"/>
      <c r="X188" s="41"/>
      <c r="Y188" s="166"/>
      <c r="Z188" s="166"/>
      <c r="AA188" s="41"/>
      <c r="AB188" s="41"/>
      <c r="AC188" s="41"/>
      <c r="AD188" s="41"/>
      <c r="AE188" s="41"/>
      <c r="AF188" s="41"/>
      <c r="AG188" s="41"/>
      <c r="AH188" s="41"/>
      <c r="AI188" s="41"/>
    </row>
    <row r="189" spans="1:35" ht="15.75" customHeight="1" x14ac:dyDescent="0.2">
      <c r="A189" s="166"/>
      <c r="B189" s="218"/>
      <c r="C189" s="218"/>
      <c r="D189" s="41"/>
      <c r="E189" s="41"/>
      <c r="F189" s="41"/>
      <c r="G189" s="41"/>
      <c r="H189" s="41"/>
      <c r="I189" s="41"/>
      <c r="J189" s="166"/>
      <c r="K189" s="41"/>
      <c r="L189" s="41"/>
      <c r="M189" s="41"/>
      <c r="N189" s="166"/>
      <c r="O189" s="166"/>
      <c r="P189" s="41"/>
      <c r="Q189" s="41"/>
      <c r="R189" s="41"/>
      <c r="S189" s="41"/>
      <c r="T189" s="41"/>
      <c r="U189" s="41"/>
      <c r="V189" s="41"/>
      <c r="W189" s="41"/>
      <c r="X189" s="41"/>
      <c r="Y189" s="166"/>
      <c r="Z189" s="166"/>
      <c r="AA189" s="41"/>
      <c r="AB189" s="41"/>
      <c r="AC189" s="41"/>
      <c r="AD189" s="41"/>
      <c r="AE189" s="41"/>
      <c r="AF189" s="41"/>
      <c r="AG189" s="41"/>
      <c r="AH189" s="41"/>
      <c r="AI189" s="41"/>
    </row>
    <row r="190" spans="1:35" ht="15.75" customHeight="1" x14ac:dyDescent="0.2">
      <c r="A190" s="166"/>
      <c r="B190" s="218"/>
      <c r="C190" s="218"/>
      <c r="D190" s="41"/>
      <c r="E190" s="41"/>
      <c r="F190" s="41"/>
      <c r="G190" s="41"/>
      <c r="H190" s="41"/>
      <c r="I190" s="41"/>
      <c r="J190" s="166"/>
      <c r="K190" s="41"/>
      <c r="L190" s="41"/>
      <c r="M190" s="41"/>
      <c r="N190" s="166"/>
      <c r="O190" s="166"/>
      <c r="P190" s="41"/>
      <c r="Q190" s="41"/>
      <c r="R190" s="41"/>
      <c r="S190" s="41"/>
      <c r="T190" s="41"/>
      <c r="U190" s="41"/>
      <c r="V190" s="41"/>
      <c r="W190" s="41"/>
      <c r="X190" s="41"/>
      <c r="Y190" s="166"/>
      <c r="Z190" s="166"/>
      <c r="AA190" s="41"/>
      <c r="AB190" s="41"/>
      <c r="AC190" s="41"/>
      <c r="AD190" s="41"/>
      <c r="AE190" s="41"/>
      <c r="AF190" s="41"/>
      <c r="AG190" s="41"/>
      <c r="AH190" s="41"/>
      <c r="AI190" s="41"/>
    </row>
    <row r="191" spans="1:35" ht="15.75" customHeight="1" x14ac:dyDescent="0.2">
      <c r="A191" s="166"/>
      <c r="B191" s="218"/>
      <c r="C191" s="218"/>
      <c r="D191" s="41"/>
      <c r="E191" s="41"/>
      <c r="F191" s="41"/>
      <c r="G191" s="41"/>
      <c r="H191" s="41"/>
      <c r="I191" s="41"/>
      <c r="J191" s="166"/>
      <c r="K191" s="41"/>
      <c r="L191" s="41"/>
      <c r="M191" s="41"/>
      <c r="N191" s="166"/>
      <c r="O191" s="166"/>
      <c r="P191" s="41"/>
      <c r="Q191" s="41"/>
      <c r="R191" s="41"/>
      <c r="S191" s="41"/>
      <c r="T191" s="41"/>
      <c r="U191" s="41"/>
      <c r="V191" s="41"/>
      <c r="W191" s="41"/>
      <c r="X191" s="41"/>
      <c r="Y191" s="166"/>
      <c r="Z191" s="166"/>
      <c r="AA191" s="41"/>
      <c r="AB191" s="41"/>
      <c r="AC191" s="41"/>
      <c r="AD191" s="41"/>
      <c r="AE191" s="41"/>
      <c r="AF191" s="41"/>
      <c r="AG191" s="41"/>
      <c r="AH191" s="41"/>
      <c r="AI191" s="41"/>
    </row>
    <row r="192" spans="1:35" ht="15.75" customHeight="1" x14ac:dyDescent="0.2">
      <c r="A192" s="166"/>
      <c r="B192" s="218"/>
      <c r="C192" s="218"/>
      <c r="D192" s="41"/>
      <c r="E192" s="41"/>
      <c r="F192" s="41"/>
      <c r="G192" s="41"/>
      <c r="H192" s="41"/>
      <c r="I192" s="41"/>
      <c r="J192" s="166"/>
      <c r="K192" s="41"/>
      <c r="L192" s="41"/>
      <c r="M192" s="41"/>
      <c r="N192" s="166"/>
      <c r="O192" s="166"/>
      <c r="P192" s="41"/>
      <c r="Q192" s="41"/>
      <c r="R192" s="41"/>
      <c r="S192" s="41"/>
      <c r="T192" s="41"/>
      <c r="U192" s="41"/>
      <c r="V192" s="41"/>
      <c r="W192" s="41"/>
      <c r="X192" s="41"/>
      <c r="Y192" s="166"/>
      <c r="Z192" s="166"/>
      <c r="AA192" s="41"/>
      <c r="AB192" s="41"/>
      <c r="AC192" s="41"/>
      <c r="AD192" s="41"/>
      <c r="AE192" s="41"/>
      <c r="AF192" s="41"/>
      <c r="AG192" s="41"/>
      <c r="AH192" s="41"/>
      <c r="AI192" s="41"/>
    </row>
    <row r="193" spans="1:35" ht="15.75" customHeight="1" x14ac:dyDescent="0.2">
      <c r="A193" s="166"/>
      <c r="B193" s="218"/>
      <c r="C193" s="218"/>
      <c r="D193" s="41"/>
      <c r="E193" s="41"/>
      <c r="F193" s="41"/>
      <c r="G193" s="41"/>
      <c r="H193" s="41"/>
      <c r="I193" s="41"/>
      <c r="J193" s="166"/>
      <c r="K193" s="41"/>
      <c r="L193" s="41"/>
      <c r="M193" s="41"/>
      <c r="N193" s="166"/>
      <c r="O193" s="166"/>
      <c r="P193" s="41"/>
      <c r="Q193" s="41"/>
      <c r="R193" s="41"/>
      <c r="S193" s="41"/>
      <c r="T193" s="41"/>
      <c r="U193" s="41"/>
      <c r="V193" s="41"/>
      <c r="W193" s="41"/>
      <c r="X193" s="41"/>
      <c r="Y193" s="166"/>
      <c r="Z193" s="166"/>
      <c r="AA193" s="41"/>
      <c r="AB193" s="41"/>
      <c r="AC193" s="41"/>
      <c r="AD193" s="41"/>
      <c r="AE193" s="41"/>
      <c r="AF193" s="41"/>
      <c r="AG193" s="41"/>
      <c r="AH193" s="41"/>
      <c r="AI193" s="41"/>
    </row>
    <row r="194" spans="1:35" ht="15.75" customHeight="1" x14ac:dyDescent="0.2">
      <c r="A194" s="166"/>
      <c r="B194" s="218"/>
      <c r="C194" s="218"/>
      <c r="D194" s="41"/>
      <c r="E194" s="41"/>
      <c r="F194" s="41"/>
      <c r="G194" s="41"/>
      <c r="H194" s="41"/>
      <c r="I194" s="41"/>
      <c r="J194" s="166"/>
      <c r="K194" s="41"/>
      <c r="L194" s="41"/>
      <c r="M194" s="41"/>
      <c r="N194" s="166"/>
      <c r="O194" s="166"/>
      <c r="P194" s="41"/>
      <c r="Q194" s="41"/>
      <c r="R194" s="41"/>
      <c r="S194" s="41"/>
      <c r="T194" s="41"/>
      <c r="U194" s="41"/>
      <c r="V194" s="41"/>
      <c r="W194" s="41"/>
      <c r="X194" s="41"/>
      <c r="Y194" s="166"/>
      <c r="Z194" s="166"/>
      <c r="AA194" s="41"/>
      <c r="AB194" s="41"/>
      <c r="AC194" s="41"/>
      <c r="AD194" s="41"/>
      <c r="AE194" s="41"/>
      <c r="AF194" s="41"/>
      <c r="AG194" s="41"/>
      <c r="AH194" s="41"/>
      <c r="AI194" s="41"/>
    </row>
    <row r="195" spans="1:35" ht="15.75" customHeight="1" x14ac:dyDescent="0.2">
      <c r="A195" s="166"/>
      <c r="B195" s="218"/>
      <c r="C195" s="218"/>
      <c r="D195" s="41"/>
      <c r="E195" s="41"/>
      <c r="F195" s="41"/>
      <c r="G195" s="41"/>
      <c r="H195" s="41"/>
      <c r="I195" s="41"/>
      <c r="J195" s="166"/>
      <c r="K195" s="41"/>
      <c r="L195" s="41"/>
      <c r="M195" s="41"/>
      <c r="N195" s="166"/>
      <c r="O195" s="166"/>
      <c r="P195" s="41"/>
      <c r="Q195" s="41"/>
      <c r="R195" s="41"/>
      <c r="S195" s="41"/>
      <c r="T195" s="41"/>
      <c r="U195" s="41"/>
      <c r="V195" s="41"/>
      <c r="W195" s="41"/>
      <c r="X195" s="41"/>
      <c r="Y195" s="166"/>
      <c r="Z195" s="166"/>
      <c r="AA195" s="41"/>
      <c r="AB195" s="41"/>
      <c r="AC195" s="41"/>
      <c r="AD195" s="41"/>
      <c r="AE195" s="41"/>
      <c r="AF195" s="41"/>
      <c r="AG195" s="41"/>
      <c r="AH195" s="41"/>
      <c r="AI195" s="41"/>
    </row>
    <row r="196" spans="1:35" ht="15.75" customHeight="1" x14ac:dyDescent="0.2">
      <c r="A196" s="166"/>
      <c r="B196" s="218"/>
      <c r="C196" s="218"/>
      <c r="D196" s="41"/>
      <c r="E196" s="41"/>
      <c r="F196" s="41"/>
      <c r="G196" s="41"/>
      <c r="H196" s="41"/>
      <c r="I196" s="41"/>
      <c r="J196" s="166"/>
      <c r="K196" s="41"/>
      <c r="L196" s="41"/>
      <c r="M196" s="41"/>
      <c r="N196" s="166"/>
      <c r="O196" s="166"/>
      <c r="P196" s="41"/>
      <c r="Q196" s="41"/>
      <c r="R196" s="41"/>
      <c r="S196" s="41"/>
      <c r="T196" s="41"/>
      <c r="U196" s="41"/>
      <c r="V196" s="41"/>
      <c r="W196" s="41"/>
      <c r="X196" s="41"/>
      <c r="Y196" s="166"/>
      <c r="Z196" s="166"/>
      <c r="AA196" s="41"/>
      <c r="AB196" s="41"/>
      <c r="AC196" s="41"/>
      <c r="AD196" s="41"/>
      <c r="AE196" s="41"/>
      <c r="AF196" s="41"/>
      <c r="AG196" s="41"/>
      <c r="AH196" s="41"/>
      <c r="AI196" s="41"/>
    </row>
    <row r="197" spans="1:35" ht="15.75" customHeight="1" x14ac:dyDescent="0.2">
      <c r="A197" s="166"/>
      <c r="B197" s="218"/>
      <c r="C197" s="218"/>
      <c r="D197" s="41"/>
      <c r="E197" s="41"/>
      <c r="F197" s="41"/>
      <c r="G197" s="41"/>
      <c r="H197" s="41"/>
      <c r="I197" s="41"/>
      <c r="J197" s="166"/>
      <c r="K197" s="41"/>
      <c r="L197" s="41"/>
      <c r="M197" s="41"/>
      <c r="N197" s="166"/>
      <c r="O197" s="166"/>
      <c r="P197" s="41"/>
      <c r="Q197" s="41"/>
      <c r="R197" s="41"/>
      <c r="S197" s="41"/>
      <c r="T197" s="41"/>
      <c r="U197" s="41"/>
      <c r="V197" s="41"/>
      <c r="W197" s="41"/>
      <c r="X197" s="41"/>
      <c r="Y197" s="166"/>
      <c r="Z197" s="166"/>
      <c r="AA197" s="41"/>
      <c r="AB197" s="41"/>
      <c r="AC197" s="41"/>
      <c r="AD197" s="41"/>
      <c r="AE197" s="41"/>
      <c r="AF197" s="41"/>
      <c r="AG197" s="41"/>
      <c r="AH197" s="41"/>
      <c r="AI197" s="41"/>
    </row>
    <row r="198" spans="1:35" ht="15.75" customHeight="1" x14ac:dyDescent="0.2">
      <c r="A198" s="166"/>
      <c r="B198" s="218"/>
      <c r="C198" s="218"/>
      <c r="D198" s="41"/>
      <c r="E198" s="41"/>
      <c r="F198" s="41"/>
      <c r="G198" s="41"/>
      <c r="H198" s="41"/>
      <c r="I198" s="41"/>
      <c r="J198" s="166"/>
      <c r="K198" s="41"/>
      <c r="L198" s="41"/>
      <c r="M198" s="41"/>
      <c r="N198" s="166"/>
      <c r="O198" s="166"/>
      <c r="P198" s="41"/>
      <c r="Q198" s="41"/>
      <c r="R198" s="41"/>
      <c r="S198" s="41"/>
      <c r="T198" s="41"/>
      <c r="U198" s="41"/>
      <c r="V198" s="41"/>
      <c r="W198" s="41"/>
      <c r="X198" s="41"/>
      <c r="Y198" s="166"/>
      <c r="Z198" s="166"/>
      <c r="AA198" s="41"/>
      <c r="AB198" s="41"/>
      <c r="AC198" s="41"/>
      <c r="AD198" s="41"/>
      <c r="AE198" s="41"/>
      <c r="AF198" s="41"/>
      <c r="AG198" s="41"/>
      <c r="AH198" s="41"/>
      <c r="AI198" s="41"/>
    </row>
    <row r="199" spans="1:35" ht="15.75" customHeight="1" x14ac:dyDescent="0.2">
      <c r="A199" s="166"/>
      <c r="B199" s="218"/>
      <c r="C199" s="218"/>
      <c r="D199" s="41"/>
      <c r="E199" s="41"/>
      <c r="F199" s="41"/>
      <c r="G199" s="41"/>
      <c r="H199" s="41"/>
      <c r="I199" s="41"/>
      <c r="J199" s="166"/>
      <c r="K199" s="41"/>
      <c r="L199" s="41"/>
      <c r="M199" s="41"/>
      <c r="N199" s="166"/>
      <c r="O199" s="166"/>
      <c r="P199" s="41"/>
      <c r="Q199" s="41"/>
      <c r="R199" s="41"/>
      <c r="S199" s="41"/>
      <c r="T199" s="41"/>
      <c r="U199" s="41"/>
      <c r="V199" s="41"/>
      <c r="W199" s="41"/>
      <c r="X199" s="41"/>
      <c r="Y199" s="166"/>
      <c r="Z199" s="166"/>
      <c r="AA199" s="41"/>
      <c r="AB199" s="41"/>
      <c r="AC199" s="41"/>
      <c r="AD199" s="41"/>
      <c r="AE199" s="41"/>
      <c r="AF199" s="41"/>
      <c r="AG199" s="41"/>
      <c r="AH199" s="41"/>
      <c r="AI199" s="41"/>
    </row>
    <row r="200" spans="1:35" ht="15.75" customHeight="1" x14ac:dyDescent="0.2">
      <c r="A200" s="166"/>
      <c r="B200" s="218"/>
      <c r="C200" s="218"/>
      <c r="D200" s="41"/>
      <c r="E200" s="41"/>
      <c r="F200" s="41"/>
      <c r="G200" s="41"/>
      <c r="H200" s="41"/>
      <c r="I200" s="41"/>
      <c r="J200" s="166"/>
      <c r="K200" s="41"/>
      <c r="L200" s="41"/>
      <c r="M200" s="41"/>
      <c r="N200" s="166"/>
      <c r="O200" s="166"/>
      <c r="P200" s="41"/>
      <c r="Q200" s="41"/>
      <c r="R200" s="41"/>
      <c r="S200" s="41"/>
      <c r="T200" s="41"/>
      <c r="U200" s="41"/>
      <c r="V200" s="41"/>
      <c r="W200" s="41"/>
      <c r="X200" s="41"/>
      <c r="Y200" s="166"/>
      <c r="Z200" s="166"/>
      <c r="AA200" s="41"/>
      <c r="AB200" s="41"/>
      <c r="AC200" s="41"/>
      <c r="AD200" s="41"/>
      <c r="AE200" s="41"/>
      <c r="AF200" s="41"/>
      <c r="AG200" s="41"/>
      <c r="AH200" s="41"/>
      <c r="AI200" s="41"/>
    </row>
    <row r="201" spans="1:35" ht="15.75" customHeight="1" x14ac:dyDescent="0.2">
      <c r="A201" s="166"/>
      <c r="B201" s="218"/>
      <c r="C201" s="218"/>
      <c r="D201" s="41"/>
      <c r="E201" s="41"/>
      <c r="F201" s="41"/>
      <c r="G201" s="41"/>
      <c r="H201" s="41"/>
      <c r="I201" s="41"/>
      <c r="J201" s="166"/>
      <c r="K201" s="41"/>
      <c r="L201" s="41"/>
      <c r="M201" s="41"/>
      <c r="N201" s="166"/>
      <c r="O201" s="166"/>
      <c r="P201" s="41"/>
      <c r="Q201" s="41"/>
      <c r="R201" s="41"/>
      <c r="S201" s="41"/>
      <c r="T201" s="41"/>
      <c r="U201" s="41"/>
      <c r="V201" s="41"/>
      <c r="W201" s="41"/>
      <c r="X201" s="41"/>
      <c r="Y201" s="166"/>
      <c r="Z201" s="166"/>
      <c r="AA201" s="41"/>
      <c r="AB201" s="41"/>
      <c r="AC201" s="41"/>
      <c r="AD201" s="41"/>
      <c r="AE201" s="41"/>
      <c r="AF201" s="41"/>
      <c r="AG201" s="41"/>
      <c r="AH201" s="41"/>
      <c r="AI201" s="41"/>
    </row>
    <row r="202" spans="1:35" ht="15.75" customHeight="1" x14ac:dyDescent="0.2">
      <c r="A202" s="166"/>
      <c r="B202" s="218"/>
      <c r="C202" s="218"/>
      <c r="D202" s="41"/>
      <c r="E202" s="41"/>
      <c r="F202" s="41"/>
      <c r="G202" s="41"/>
      <c r="H202" s="41"/>
      <c r="I202" s="41"/>
      <c r="J202" s="166"/>
      <c r="K202" s="41"/>
      <c r="L202" s="41"/>
      <c r="M202" s="41"/>
      <c r="N202" s="166"/>
      <c r="O202" s="166"/>
      <c r="P202" s="41"/>
      <c r="Q202" s="41"/>
      <c r="R202" s="41"/>
      <c r="S202" s="41"/>
      <c r="T202" s="41"/>
      <c r="U202" s="41"/>
      <c r="V202" s="41"/>
      <c r="W202" s="41"/>
      <c r="X202" s="41"/>
      <c r="Y202" s="166"/>
      <c r="Z202" s="166"/>
      <c r="AA202" s="41"/>
      <c r="AB202" s="41"/>
      <c r="AC202" s="41"/>
      <c r="AD202" s="41"/>
      <c r="AE202" s="41"/>
      <c r="AF202" s="41"/>
      <c r="AG202" s="41"/>
      <c r="AH202" s="41"/>
      <c r="AI202" s="41"/>
    </row>
    <row r="203" spans="1:35" ht="15.75" customHeight="1" x14ac:dyDescent="0.2">
      <c r="A203" s="166"/>
      <c r="B203" s="218"/>
      <c r="C203" s="218"/>
      <c r="D203" s="41"/>
      <c r="E203" s="41"/>
      <c r="F203" s="41"/>
      <c r="G203" s="41"/>
      <c r="H203" s="41"/>
      <c r="I203" s="41"/>
      <c r="J203" s="166"/>
      <c r="K203" s="41"/>
      <c r="L203" s="41"/>
      <c r="M203" s="41"/>
      <c r="N203" s="166"/>
      <c r="O203" s="166"/>
      <c r="P203" s="41"/>
      <c r="Q203" s="41"/>
      <c r="R203" s="41"/>
      <c r="S203" s="41"/>
      <c r="T203" s="41"/>
      <c r="U203" s="41"/>
      <c r="V203" s="41"/>
      <c r="W203" s="41"/>
      <c r="X203" s="41"/>
      <c r="Y203" s="166"/>
      <c r="Z203" s="166"/>
      <c r="AA203" s="41"/>
      <c r="AB203" s="41"/>
      <c r="AC203" s="41"/>
      <c r="AD203" s="41"/>
      <c r="AE203" s="41"/>
      <c r="AF203" s="41"/>
      <c r="AG203" s="41"/>
      <c r="AH203" s="41"/>
      <c r="AI203" s="41"/>
    </row>
    <row r="204" spans="1:35" ht="15.75" customHeight="1" x14ac:dyDescent="0.2">
      <c r="A204" s="166"/>
      <c r="B204" s="218"/>
      <c r="C204" s="218"/>
      <c r="D204" s="41"/>
      <c r="E204" s="41"/>
      <c r="F204" s="41"/>
      <c r="G204" s="41"/>
      <c r="H204" s="41"/>
      <c r="I204" s="41"/>
      <c r="J204" s="166"/>
      <c r="K204" s="41"/>
      <c r="L204" s="41"/>
      <c r="M204" s="41"/>
      <c r="N204" s="166"/>
      <c r="O204" s="166"/>
      <c r="P204" s="41"/>
      <c r="Q204" s="41"/>
      <c r="R204" s="41"/>
      <c r="S204" s="41"/>
      <c r="T204" s="41"/>
      <c r="U204" s="41"/>
      <c r="V204" s="41"/>
      <c r="W204" s="41"/>
      <c r="X204" s="41"/>
      <c r="Y204" s="166"/>
      <c r="Z204" s="166"/>
      <c r="AA204" s="41"/>
      <c r="AB204" s="41"/>
      <c r="AC204" s="41"/>
      <c r="AD204" s="41"/>
      <c r="AE204" s="41"/>
      <c r="AF204" s="41"/>
      <c r="AG204" s="41"/>
      <c r="AH204" s="41"/>
      <c r="AI204" s="41"/>
    </row>
    <row r="205" spans="1:35" ht="15.75" customHeight="1" x14ac:dyDescent="0.2">
      <c r="A205" s="166"/>
      <c r="B205" s="218"/>
      <c r="C205" s="218"/>
      <c r="D205" s="41"/>
      <c r="E205" s="41"/>
      <c r="F205" s="41"/>
      <c r="G205" s="41"/>
      <c r="H205" s="41"/>
      <c r="I205" s="41"/>
      <c r="J205" s="166"/>
      <c r="K205" s="41"/>
      <c r="L205" s="41"/>
      <c r="M205" s="41"/>
      <c r="N205" s="166"/>
      <c r="O205" s="166"/>
      <c r="P205" s="41"/>
      <c r="Q205" s="41"/>
      <c r="R205" s="41"/>
      <c r="S205" s="41"/>
      <c r="T205" s="41"/>
      <c r="U205" s="41"/>
      <c r="V205" s="41"/>
      <c r="W205" s="41"/>
      <c r="X205" s="41"/>
      <c r="Y205" s="166"/>
      <c r="Z205" s="166"/>
      <c r="AA205" s="41"/>
      <c r="AB205" s="41"/>
      <c r="AC205" s="41"/>
      <c r="AD205" s="41"/>
      <c r="AE205" s="41"/>
      <c r="AF205" s="41"/>
      <c r="AG205" s="41"/>
      <c r="AH205" s="41"/>
      <c r="AI205" s="41"/>
    </row>
    <row r="206" spans="1:35" ht="15.75" customHeight="1" x14ac:dyDescent="0.2">
      <c r="A206" s="166"/>
      <c r="B206" s="218"/>
      <c r="C206" s="218"/>
      <c r="D206" s="41"/>
      <c r="E206" s="41"/>
      <c r="F206" s="41"/>
      <c r="G206" s="41"/>
      <c r="H206" s="41"/>
      <c r="I206" s="41"/>
      <c r="J206" s="166"/>
      <c r="K206" s="41"/>
      <c r="L206" s="41"/>
      <c r="M206" s="41"/>
      <c r="N206" s="166"/>
      <c r="O206" s="166"/>
      <c r="P206" s="41"/>
      <c r="Q206" s="41"/>
      <c r="R206" s="41"/>
      <c r="S206" s="41"/>
      <c r="T206" s="41"/>
      <c r="U206" s="41"/>
      <c r="V206" s="41"/>
      <c r="W206" s="41"/>
      <c r="X206" s="41"/>
      <c r="Y206" s="166"/>
      <c r="Z206" s="166"/>
      <c r="AA206" s="41"/>
      <c r="AB206" s="41"/>
      <c r="AC206" s="41"/>
      <c r="AD206" s="41"/>
      <c r="AE206" s="41"/>
      <c r="AF206" s="41"/>
      <c r="AG206" s="41"/>
      <c r="AH206" s="41"/>
      <c r="AI206" s="41"/>
    </row>
    <row r="207" spans="1:35" ht="15.75" customHeight="1" x14ac:dyDescent="0.2">
      <c r="A207" s="166"/>
      <c r="B207" s="218"/>
      <c r="C207" s="218"/>
      <c r="D207" s="41"/>
      <c r="E207" s="41"/>
      <c r="F207" s="41"/>
      <c r="G207" s="41"/>
      <c r="H207" s="41"/>
      <c r="I207" s="41"/>
      <c r="J207" s="166"/>
      <c r="K207" s="41"/>
      <c r="L207" s="41"/>
      <c r="M207" s="41"/>
      <c r="N207" s="166"/>
      <c r="O207" s="166"/>
      <c r="P207" s="41"/>
      <c r="Q207" s="41"/>
      <c r="R207" s="41"/>
      <c r="S207" s="41"/>
      <c r="T207" s="41"/>
      <c r="U207" s="41"/>
      <c r="V207" s="41"/>
      <c r="W207" s="41"/>
      <c r="X207" s="41"/>
      <c r="Y207" s="166"/>
      <c r="Z207" s="166"/>
      <c r="AA207" s="41"/>
      <c r="AB207" s="41"/>
      <c r="AC207" s="41"/>
      <c r="AD207" s="41"/>
      <c r="AE207" s="41"/>
      <c r="AF207" s="41"/>
      <c r="AG207" s="41"/>
      <c r="AH207" s="41"/>
      <c r="AI207" s="41"/>
    </row>
    <row r="208" spans="1:35" ht="15.75" customHeight="1" x14ac:dyDescent="0.2">
      <c r="A208" s="166"/>
      <c r="B208" s="218"/>
      <c r="C208" s="218"/>
      <c r="D208" s="41"/>
      <c r="E208" s="41"/>
      <c r="F208" s="41"/>
      <c r="G208" s="41"/>
      <c r="H208" s="41"/>
      <c r="I208" s="41"/>
      <c r="J208" s="166"/>
      <c r="K208" s="41"/>
      <c r="L208" s="41"/>
      <c r="M208" s="41"/>
      <c r="N208" s="166"/>
      <c r="O208" s="166"/>
      <c r="P208" s="41"/>
      <c r="Q208" s="41"/>
      <c r="R208" s="41"/>
      <c r="S208" s="41"/>
      <c r="T208" s="41"/>
      <c r="U208" s="41"/>
      <c r="V208" s="41"/>
      <c r="W208" s="41"/>
      <c r="X208" s="41"/>
      <c r="Y208" s="166"/>
      <c r="Z208" s="166"/>
      <c r="AA208" s="41"/>
      <c r="AB208" s="41"/>
      <c r="AC208" s="41"/>
      <c r="AD208" s="41"/>
      <c r="AE208" s="41"/>
      <c r="AF208" s="41"/>
      <c r="AG208" s="41"/>
      <c r="AH208" s="41"/>
      <c r="AI208" s="41"/>
    </row>
    <row r="209" spans="1:35" ht="15.75" customHeight="1" x14ac:dyDescent="0.2">
      <c r="A209" s="166"/>
      <c r="B209" s="218"/>
      <c r="C209" s="218"/>
      <c r="D209" s="41"/>
      <c r="E209" s="41"/>
      <c r="F209" s="41"/>
      <c r="G209" s="41"/>
      <c r="H209" s="41"/>
      <c r="I209" s="41"/>
      <c r="J209" s="166"/>
      <c r="K209" s="41"/>
      <c r="L209" s="41"/>
      <c r="M209" s="41"/>
      <c r="N209" s="166"/>
      <c r="O209" s="166"/>
      <c r="P209" s="41"/>
      <c r="Q209" s="41"/>
      <c r="R209" s="41"/>
      <c r="S209" s="41"/>
      <c r="T209" s="41"/>
      <c r="U209" s="41"/>
      <c r="V209" s="41"/>
      <c r="W209" s="41"/>
      <c r="X209" s="41"/>
      <c r="Y209" s="166"/>
      <c r="Z209" s="166"/>
      <c r="AA209" s="41"/>
      <c r="AB209" s="41"/>
      <c r="AC209" s="41"/>
      <c r="AD209" s="41"/>
      <c r="AE209" s="41"/>
      <c r="AF209" s="41"/>
      <c r="AG209" s="41"/>
      <c r="AH209" s="41"/>
      <c r="AI209" s="41"/>
    </row>
    <row r="210" spans="1:35" ht="15.75" customHeight="1" x14ac:dyDescent="0.2">
      <c r="A210" s="166"/>
      <c r="B210" s="218"/>
      <c r="C210" s="218"/>
      <c r="D210" s="41"/>
      <c r="E210" s="41"/>
      <c r="F210" s="41"/>
      <c r="G210" s="41"/>
      <c r="H210" s="41"/>
      <c r="I210" s="41"/>
      <c r="J210" s="166"/>
      <c r="K210" s="41"/>
      <c r="L210" s="41"/>
      <c r="M210" s="41"/>
      <c r="N210" s="166"/>
      <c r="O210" s="166"/>
      <c r="P210" s="41"/>
      <c r="Q210" s="41"/>
      <c r="R210" s="41"/>
      <c r="S210" s="41"/>
      <c r="T210" s="41"/>
      <c r="U210" s="41"/>
      <c r="V210" s="41"/>
      <c r="W210" s="41"/>
      <c r="X210" s="41"/>
      <c r="Y210" s="166"/>
      <c r="Z210" s="166"/>
      <c r="AA210" s="41"/>
      <c r="AB210" s="41"/>
      <c r="AC210" s="41"/>
      <c r="AD210" s="41"/>
      <c r="AE210" s="41"/>
      <c r="AF210" s="41"/>
      <c r="AG210" s="41"/>
      <c r="AH210" s="41"/>
      <c r="AI210" s="41"/>
    </row>
    <row r="211" spans="1:35" ht="15.75" customHeight="1" x14ac:dyDescent="0.2">
      <c r="A211" s="166"/>
      <c r="B211" s="218"/>
      <c r="C211" s="218"/>
      <c r="D211" s="41"/>
      <c r="E211" s="41"/>
      <c r="F211" s="41"/>
      <c r="G211" s="41"/>
      <c r="H211" s="41"/>
      <c r="I211" s="41"/>
      <c r="J211" s="166"/>
      <c r="K211" s="41"/>
      <c r="L211" s="41"/>
      <c r="M211" s="41"/>
      <c r="N211" s="166"/>
      <c r="O211" s="166"/>
      <c r="P211" s="41"/>
      <c r="Q211" s="41"/>
      <c r="R211" s="41"/>
      <c r="S211" s="41"/>
      <c r="T211" s="41"/>
      <c r="U211" s="41"/>
      <c r="V211" s="41"/>
      <c r="W211" s="41"/>
      <c r="X211" s="41"/>
      <c r="Y211" s="166"/>
      <c r="Z211" s="166"/>
      <c r="AA211" s="41"/>
      <c r="AB211" s="41"/>
      <c r="AC211" s="41"/>
      <c r="AD211" s="41"/>
      <c r="AE211" s="41"/>
      <c r="AF211" s="41"/>
      <c r="AG211" s="41"/>
      <c r="AH211" s="41"/>
      <c r="AI211" s="41"/>
    </row>
    <row r="212" spans="1:35" ht="15.75" customHeight="1" x14ac:dyDescent="0.2">
      <c r="A212" s="166"/>
      <c r="B212" s="218"/>
      <c r="C212" s="218"/>
      <c r="D212" s="41"/>
      <c r="E212" s="41"/>
      <c r="F212" s="41"/>
      <c r="G212" s="41"/>
      <c r="H212" s="41"/>
      <c r="I212" s="41"/>
      <c r="J212" s="166"/>
      <c r="K212" s="41"/>
      <c r="L212" s="41"/>
      <c r="M212" s="41"/>
      <c r="N212" s="166"/>
      <c r="O212" s="166"/>
      <c r="P212" s="41"/>
      <c r="Q212" s="41"/>
      <c r="R212" s="41"/>
      <c r="S212" s="41"/>
      <c r="T212" s="41"/>
      <c r="U212" s="41"/>
      <c r="V212" s="41"/>
      <c r="W212" s="41"/>
      <c r="X212" s="41"/>
      <c r="Y212" s="166"/>
      <c r="Z212" s="166"/>
      <c r="AA212" s="41"/>
      <c r="AB212" s="41"/>
      <c r="AC212" s="41"/>
      <c r="AD212" s="41"/>
      <c r="AE212" s="41"/>
      <c r="AF212" s="41"/>
      <c r="AG212" s="41"/>
      <c r="AH212" s="41"/>
      <c r="AI212" s="41"/>
    </row>
    <row r="213" spans="1:35" ht="15.75" customHeight="1" x14ac:dyDescent="0.2">
      <c r="A213" s="166"/>
      <c r="B213" s="218"/>
      <c r="C213" s="218"/>
      <c r="D213" s="41"/>
      <c r="E213" s="41"/>
      <c r="F213" s="41"/>
      <c r="G213" s="41"/>
      <c r="H213" s="41"/>
      <c r="I213" s="41"/>
      <c r="J213" s="166"/>
      <c r="K213" s="41"/>
      <c r="L213" s="41"/>
      <c r="M213" s="41"/>
      <c r="N213" s="166"/>
      <c r="O213" s="166"/>
      <c r="P213" s="41"/>
      <c r="Q213" s="41"/>
      <c r="R213" s="41"/>
      <c r="S213" s="41"/>
      <c r="T213" s="41"/>
      <c r="U213" s="41"/>
      <c r="V213" s="41"/>
      <c r="W213" s="41"/>
      <c r="X213" s="41"/>
      <c r="Y213" s="166"/>
      <c r="Z213" s="166"/>
      <c r="AA213" s="41"/>
      <c r="AB213" s="41"/>
      <c r="AC213" s="41"/>
      <c r="AD213" s="41"/>
      <c r="AE213" s="41"/>
      <c r="AF213" s="41"/>
      <c r="AG213" s="41"/>
      <c r="AH213" s="41"/>
      <c r="AI213" s="41"/>
    </row>
    <row r="214" spans="1:35" ht="15.75" customHeight="1" x14ac:dyDescent="0.2">
      <c r="A214" s="166"/>
      <c r="B214" s="218"/>
      <c r="C214" s="218"/>
      <c r="D214" s="41"/>
      <c r="E214" s="41"/>
      <c r="F214" s="41"/>
      <c r="G214" s="41"/>
      <c r="H214" s="41"/>
      <c r="I214" s="41"/>
      <c r="J214" s="166"/>
      <c r="K214" s="41"/>
      <c r="L214" s="41"/>
      <c r="M214" s="41"/>
      <c r="N214" s="166"/>
      <c r="O214" s="166"/>
      <c r="P214" s="41"/>
      <c r="Q214" s="41"/>
      <c r="R214" s="41"/>
      <c r="S214" s="41"/>
      <c r="T214" s="41"/>
      <c r="U214" s="41"/>
      <c r="V214" s="41"/>
      <c r="W214" s="41"/>
      <c r="X214" s="41"/>
      <c r="Y214" s="166"/>
      <c r="Z214" s="166"/>
      <c r="AA214" s="41"/>
      <c r="AB214" s="41"/>
      <c r="AC214" s="41"/>
      <c r="AD214" s="41"/>
      <c r="AE214" s="41"/>
      <c r="AF214" s="41"/>
      <c r="AG214" s="41"/>
      <c r="AH214" s="41"/>
      <c r="AI214" s="41"/>
    </row>
    <row r="215" spans="1:35" ht="15.75" customHeight="1" x14ac:dyDescent="0.2">
      <c r="A215" s="166"/>
      <c r="B215" s="218"/>
      <c r="C215" s="218"/>
      <c r="D215" s="41"/>
      <c r="E215" s="41"/>
      <c r="F215" s="41"/>
      <c r="G215" s="41"/>
      <c r="H215" s="41"/>
      <c r="I215" s="41"/>
      <c r="J215" s="166"/>
      <c r="K215" s="41"/>
      <c r="L215" s="41"/>
      <c r="M215" s="41"/>
      <c r="N215" s="166"/>
      <c r="O215" s="166"/>
      <c r="P215" s="41"/>
      <c r="Q215" s="41"/>
      <c r="R215" s="41"/>
      <c r="S215" s="41"/>
      <c r="T215" s="41"/>
      <c r="U215" s="41"/>
      <c r="V215" s="41"/>
      <c r="W215" s="41"/>
      <c r="X215" s="41"/>
      <c r="Y215" s="166"/>
      <c r="Z215" s="166"/>
      <c r="AA215" s="41"/>
      <c r="AB215" s="41"/>
      <c r="AC215" s="41"/>
      <c r="AD215" s="41"/>
      <c r="AE215" s="41"/>
      <c r="AF215" s="41"/>
      <c r="AG215" s="41"/>
      <c r="AH215" s="41"/>
      <c r="AI215" s="41"/>
    </row>
    <row r="216" spans="1:35" ht="15.75" customHeight="1" x14ac:dyDescent="0.2">
      <c r="A216" s="166"/>
      <c r="B216" s="218"/>
      <c r="C216" s="218"/>
      <c r="D216" s="41"/>
      <c r="E216" s="41"/>
      <c r="F216" s="41"/>
      <c r="G216" s="41"/>
      <c r="H216" s="41"/>
      <c r="I216" s="41"/>
      <c r="J216" s="166"/>
      <c r="K216" s="41"/>
      <c r="L216" s="41"/>
      <c r="M216" s="41"/>
      <c r="N216" s="166"/>
      <c r="O216" s="166"/>
      <c r="P216" s="41"/>
      <c r="Q216" s="41"/>
      <c r="R216" s="41"/>
      <c r="S216" s="41"/>
      <c r="T216" s="41"/>
      <c r="U216" s="41"/>
      <c r="V216" s="41"/>
      <c r="W216" s="41"/>
      <c r="X216" s="41"/>
      <c r="Y216" s="166"/>
      <c r="Z216" s="166"/>
      <c r="AA216" s="41"/>
      <c r="AB216" s="41"/>
      <c r="AC216" s="41"/>
      <c r="AD216" s="41"/>
      <c r="AE216" s="41"/>
      <c r="AF216" s="41"/>
      <c r="AG216" s="41"/>
      <c r="AH216" s="41"/>
      <c r="AI216" s="41"/>
    </row>
    <row r="217" spans="1:35" ht="15.75" customHeight="1" x14ac:dyDescent="0.2">
      <c r="A217" s="166"/>
      <c r="B217" s="218"/>
      <c r="C217" s="218"/>
      <c r="D217" s="41"/>
      <c r="E217" s="41"/>
      <c r="F217" s="41"/>
      <c r="G217" s="41"/>
      <c r="H217" s="41"/>
      <c r="I217" s="41"/>
      <c r="J217" s="166"/>
      <c r="K217" s="41"/>
      <c r="L217" s="41"/>
      <c r="M217" s="41"/>
      <c r="N217" s="166"/>
      <c r="O217" s="166"/>
      <c r="P217" s="41"/>
      <c r="Q217" s="41"/>
      <c r="R217" s="41"/>
      <c r="S217" s="41"/>
      <c r="T217" s="41"/>
      <c r="U217" s="41"/>
      <c r="V217" s="41"/>
      <c r="W217" s="41"/>
      <c r="X217" s="41"/>
      <c r="Y217" s="166"/>
      <c r="Z217" s="166"/>
      <c r="AA217" s="41"/>
      <c r="AB217" s="41"/>
      <c r="AC217" s="41"/>
      <c r="AD217" s="41"/>
      <c r="AE217" s="41"/>
      <c r="AF217" s="41"/>
      <c r="AG217" s="41"/>
      <c r="AH217" s="41"/>
      <c r="AI217" s="41"/>
    </row>
    <row r="218" spans="1:35" ht="15.75" customHeight="1" x14ac:dyDescent="0.2">
      <c r="A218" s="166"/>
      <c r="B218" s="218"/>
      <c r="C218" s="218"/>
      <c r="D218" s="41"/>
      <c r="E218" s="41"/>
      <c r="F218" s="41"/>
      <c r="G218" s="41"/>
      <c r="H218" s="41"/>
      <c r="I218" s="41"/>
      <c r="J218" s="166"/>
      <c r="K218" s="41"/>
      <c r="L218" s="41"/>
      <c r="M218" s="41"/>
      <c r="N218" s="166"/>
      <c r="O218" s="166"/>
      <c r="P218" s="41"/>
      <c r="Q218" s="41"/>
      <c r="R218" s="41"/>
      <c r="S218" s="41"/>
      <c r="T218" s="41"/>
      <c r="U218" s="41"/>
      <c r="V218" s="41"/>
      <c r="W218" s="41"/>
      <c r="X218" s="41"/>
      <c r="Y218" s="166"/>
      <c r="Z218" s="166"/>
      <c r="AA218" s="41"/>
      <c r="AB218" s="41"/>
      <c r="AC218" s="41"/>
      <c r="AD218" s="41"/>
      <c r="AE218" s="41"/>
      <c r="AF218" s="41"/>
      <c r="AG218" s="41"/>
      <c r="AH218" s="41"/>
      <c r="AI218" s="41"/>
    </row>
    <row r="219" spans="1:35" ht="15.75" customHeight="1" x14ac:dyDescent="0.2">
      <c r="A219" s="166"/>
      <c r="B219" s="218"/>
      <c r="C219" s="218"/>
      <c r="D219" s="41"/>
      <c r="E219" s="41"/>
      <c r="F219" s="41"/>
      <c r="G219" s="41"/>
      <c r="H219" s="41"/>
      <c r="I219" s="41"/>
      <c r="J219" s="166"/>
      <c r="K219" s="41"/>
      <c r="L219" s="41"/>
      <c r="M219" s="41"/>
      <c r="N219" s="166"/>
      <c r="O219" s="166"/>
      <c r="P219" s="41"/>
      <c r="Q219" s="41"/>
      <c r="R219" s="41"/>
      <c r="S219" s="41"/>
      <c r="T219" s="41"/>
      <c r="U219" s="41"/>
      <c r="V219" s="41"/>
      <c r="W219" s="41"/>
      <c r="X219" s="41"/>
      <c r="Y219" s="166"/>
      <c r="Z219" s="166"/>
      <c r="AA219" s="41"/>
      <c r="AB219" s="41"/>
      <c r="AC219" s="41"/>
      <c r="AD219" s="41"/>
      <c r="AE219" s="41"/>
      <c r="AF219" s="41"/>
      <c r="AG219" s="41"/>
      <c r="AH219" s="41"/>
      <c r="AI219" s="41"/>
    </row>
    <row r="220" spans="1:35" ht="15.75" customHeight="1" x14ac:dyDescent="0.2">
      <c r="A220" s="166"/>
      <c r="B220" s="218"/>
      <c r="C220" s="218"/>
      <c r="D220" s="41"/>
      <c r="E220" s="41"/>
      <c r="F220" s="41"/>
      <c r="G220" s="41"/>
      <c r="H220" s="41"/>
      <c r="I220" s="41"/>
      <c r="J220" s="166"/>
      <c r="K220" s="41"/>
      <c r="L220" s="41"/>
      <c r="M220" s="41"/>
      <c r="N220" s="166"/>
      <c r="O220" s="166"/>
      <c r="P220" s="41"/>
      <c r="Q220" s="41"/>
      <c r="R220" s="41"/>
      <c r="S220" s="41"/>
      <c r="T220" s="41"/>
      <c r="U220" s="41"/>
      <c r="V220" s="41"/>
      <c r="W220" s="41"/>
      <c r="X220" s="41"/>
      <c r="Y220" s="166"/>
      <c r="Z220" s="166"/>
      <c r="AA220" s="41"/>
      <c r="AB220" s="41"/>
      <c r="AC220" s="41"/>
      <c r="AD220" s="41"/>
      <c r="AE220" s="41"/>
      <c r="AF220" s="41"/>
      <c r="AG220" s="41"/>
      <c r="AH220" s="41"/>
      <c r="AI220" s="41"/>
    </row>
    <row r="221" spans="1:35" ht="15.75" customHeight="1" x14ac:dyDescent="0.2">
      <c r="A221" s="166"/>
      <c r="B221" s="218"/>
      <c r="C221" s="218"/>
      <c r="D221" s="41"/>
      <c r="E221" s="41"/>
      <c r="F221" s="41"/>
      <c r="G221" s="41"/>
      <c r="H221" s="41"/>
      <c r="I221" s="41"/>
      <c r="J221" s="166"/>
      <c r="K221" s="41"/>
      <c r="L221" s="41"/>
      <c r="M221" s="41"/>
      <c r="N221" s="166"/>
      <c r="O221" s="166"/>
      <c r="P221" s="41"/>
      <c r="Q221" s="41"/>
      <c r="R221" s="41"/>
      <c r="S221" s="41"/>
      <c r="T221" s="41"/>
      <c r="U221" s="41"/>
      <c r="V221" s="41"/>
      <c r="W221" s="41"/>
      <c r="X221" s="41"/>
      <c r="Y221" s="166"/>
      <c r="Z221" s="166"/>
      <c r="AA221" s="41"/>
      <c r="AB221" s="41"/>
      <c r="AC221" s="41"/>
      <c r="AD221" s="41"/>
      <c r="AE221" s="41"/>
      <c r="AF221" s="41"/>
      <c r="AG221" s="41"/>
      <c r="AH221" s="41"/>
      <c r="AI221" s="41"/>
    </row>
    <row r="222" spans="1:35" ht="15.75" customHeight="1" x14ac:dyDescent="0.2">
      <c r="A222" s="166"/>
      <c r="B222" s="218"/>
      <c r="C222" s="218"/>
      <c r="D222" s="41"/>
      <c r="E222" s="41"/>
      <c r="F222" s="41"/>
      <c r="G222" s="41"/>
      <c r="H222" s="41"/>
      <c r="I222" s="41"/>
      <c r="J222" s="166"/>
      <c r="K222" s="41"/>
      <c r="L222" s="41"/>
      <c r="M222" s="41"/>
      <c r="N222" s="166"/>
      <c r="O222" s="166"/>
      <c r="P222" s="41"/>
      <c r="Q222" s="41"/>
      <c r="R222" s="41"/>
      <c r="S222" s="41"/>
      <c r="T222" s="41"/>
      <c r="U222" s="41"/>
      <c r="V222" s="41"/>
      <c r="W222" s="41"/>
      <c r="X222" s="41"/>
      <c r="Y222" s="166"/>
      <c r="Z222" s="166"/>
      <c r="AA222" s="41"/>
      <c r="AB222" s="41"/>
      <c r="AC222" s="41"/>
      <c r="AD222" s="41"/>
      <c r="AE222" s="41"/>
      <c r="AF222" s="41"/>
      <c r="AG222" s="41"/>
      <c r="AH222" s="41"/>
      <c r="AI222" s="41"/>
    </row>
    <row r="223" spans="1:35" ht="15.75" customHeight="1" x14ac:dyDescent="0.2">
      <c r="A223" s="166"/>
      <c r="B223" s="218"/>
      <c r="C223" s="218"/>
      <c r="D223" s="41"/>
      <c r="E223" s="41"/>
      <c r="F223" s="41"/>
      <c r="G223" s="41"/>
      <c r="H223" s="41"/>
      <c r="I223" s="41"/>
      <c r="J223" s="166"/>
      <c r="K223" s="41"/>
      <c r="L223" s="41"/>
      <c r="M223" s="41"/>
      <c r="N223" s="166"/>
      <c r="O223" s="166"/>
      <c r="P223" s="41"/>
      <c r="Q223" s="41"/>
      <c r="R223" s="41"/>
      <c r="S223" s="41"/>
      <c r="T223" s="41"/>
      <c r="U223" s="41"/>
      <c r="V223" s="41"/>
      <c r="W223" s="41"/>
      <c r="X223" s="41"/>
      <c r="Y223" s="166"/>
      <c r="Z223" s="166"/>
      <c r="AA223" s="41"/>
      <c r="AB223" s="41"/>
      <c r="AC223" s="41"/>
      <c r="AD223" s="41"/>
      <c r="AE223" s="41"/>
      <c r="AF223" s="41"/>
      <c r="AG223" s="41"/>
      <c r="AH223" s="41"/>
      <c r="AI223" s="41"/>
    </row>
    <row r="224" spans="1:35" ht="15.75" customHeight="1" x14ac:dyDescent="0.2">
      <c r="A224" s="166"/>
      <c r="B224" s="218"/>
      <c r="C224" s="218"/>
      <c r="D224" s="41"/>
      <c r="E224" s="41"/>
      <c r="F224" s="41"/>
      <c r="G224" s="41"/>
      <c r="H224" s="41"/>
      <c r="I224" s="41"/>
      <c r="J224" s="166"/>
      <c r="K224" s="41"/>
      <c r="L224" s="41"/>
      <c r="M224" s="41"/>
      <c r="N224" s="166"/>
      <c r="O224" s="166"/>
      <c r="P224" s="41"/>
      <c r="Q224" s="41"/>
      <c r="R224" s="41"/>
      <c r="S224" s="41"/>
      <c r="T224" s="41"/>
      <c r="U224" s="41"/>
      <c r="V224" s="41"/>
      <c r="W224" s="41"/>
      <c r="X224" s="41"/>
      <c r="Y224" s="166"/>
      <c r="Z224" s="166"/>
      <c r="AA224" s="41"/>
      <c r="AB224" s="41"/>
      <c r="AC224" s="41"/>
      <c r="AD224" s="41"/>
      <c r="AE224" s="41"/>
      <c r="AF224" s="41"/>
      <c r="AG224" s="41"/>
      <c r="AH224" s="41"/>
      <c r="AI224" s="41"/>
    </row>
    <row r="225" spans="1:35" ht="15.75" customHeight="1" x14ac:dyDescent="0.2">
      <c r="A225" s="166"/>
      <c r="B225" s="218"/>
      <c r="C225" s="218"/>
      <c r="D225" s="41"/>
      <c r="E225" s="41"/>
      <c r="F225" s="41"/>
      <c r="G225" s="41"/>
      <c r="H225" s="41"/>
      <c r="I225" s="41"/>
      <c r="J225" s="166"/>
      <c r="K225" s="41"/>
      <c r="L225" s="41"/>
      <c r="M225" s="41"/>
      <c r="N225" s="166"/>
      <c r="O225" s="166"/>
      <c r="P225" s="41"/>
      <c r="Q225" s="41"/>
      <c r="R225" s="41"/>
      <c r="S225" s="41"/>
      <c r="T225" s="41"/>
      <c r="U225" s="41"/>
      <c r="V225" s="41"/>
      <c r="W225" s="41"/>
      <c r="X225" s="41"/>
      <c r="Y225" s="166"/>
      <c r="Z225" s="166"/>
      <c r="AA225" s="41"/>
      <c r="AB225" s="41"/>
      <c r="AC225" s="41"/>
      <c r="AD225" s="41"/>
      <c r="AE225" s="41"/>
      <c r="AF225" s="41"/>
      <c r="AG225" s="41"/>
      <c r="AH225" s="41"/>
      <c r="AI225" s="41"/>
    </row>
    <row r="226" spans="1:35" ht="15.75" customHeight="1" x14ac:dyDescent="0.2">
      <c r="A226" s="166"/>
      <c r="B226" s="218"/>
      <c r="C226" s="218"/>
      <c r="D226" s="41"/>
      <c r="E226" s="41"/>
      <c r="F226" s="41"/>
      <c r="G226" s="41"/>
      <c r="H226" s="41"/>
      <c r="I226" s="41"/>
      <c r="J226" s="166"/>
      <c r="K226" s="41"/>
      <c r="L226" s="41"/>
      <c r="M226" s="41"/>
      <c r="N226" s="166"/>
      <c r="O226" s="166"/>
      <c r="P226" s="41"/>
      <c r="Q226" s="41"/>
      <c r="R226" s="41"/>
      <c r="S226" s="41"/>
      <c r="T226" s="41"/>
      <c r="U226" s="41"/>
      <c r="V226" s="41"/>
      <c r="W226" s="41"/>
      <c r="X226" s="41"/>
      <c r="Y226" s="166"/>
      <c r="Z226" s="166"/>
      <c r="AA226" s="41"/>
      <c r="AB226" s="41"/>
      <c r="AC226" s="41"/>
      <c r="AD226" s="41"/>
      <c r="AE226" s="41"/>
      <c r="AF226" s="41"/>
      <c r="AG226" s="41"/>
      <c r="AH226" s="41"/>
      <c r="AI226" s="41"/>
    </row>
    <row r="227" spans="1:35" ht="15.75" customHeight="1" x14ac:dyDescent="0.2">
      <c r="A227" s="166"/>
      <c r="B227" s="218"/>
      <c r="C227" s="218"/>
      <c r="D227" s="41"/>
      <c r="E227" s="41"/>
      <c r="F227" s="41"/>
      <c r="G227" s="41"/>
      <c r="H227" s="41"/>
      <c r="I227" s="41"/>
      <c r="J227" s="166"/>
      <c r="K227" s="41"/>
      <c r="L227" s="41"/>
      <c r="M227" s="41"/>
      <c r="N227" s="166"/>
      <c r="O227" s="166"/>
      <c r="P227" s="41"/>
      <c r="Q227" s="41"/>
      <c r="R227" s="41"/>
      <c r="S227" s="41"/>
      <c r="T227" s="41"/>
      <c r="U227" s="41"/>
      <c r="V227" s="41"/>
      <c r="W227" s="41"/>
      <c r="X227" s="41"/>
      <c r="Y227" s="166"/>
      <c r="Z227" s="166"/>
      <c r="AA227" s="41"/>
      <c r="AB227" s="41"/>
      <c r="AC227" s="41"/>
      <c r="AD227" s="41"/>
      <c r="AE227" s="41"/>
      <c r="AF227" s="41"/>
      <c r="AG227" s="41"/>
      <c r="AH227" s="41"/>
      <c r="AI227" s="41"/>
    </row>
    <row r="228" spans="1:35" ht="15.75" customHeight="1" x14ac:dyDescent="0.2">
      <c r="A228" s="166"/>
      <c r="B228" s="218"/>
      <c r="C228" s="218"/>
      <c r="D228" s="41"/>
      <c r="E228" s="41"/>
      <c r="F228" s="41"/>
      <c r="G228" s="41"/>
      <c r="H228" s="41"/>
      <c r="I228" s="41"/>
      <c r="J228" s="166"/>
      <c r="K228" s="41"/>
      <c r="L228" s="41"/>
      <c r="M228" s="41"/>
      <c r="N228" s="166"/>
      <c r="O228" s="166"/>
      <c r="P228" s="41"/>
      <c r="Q228" s="41"/>
      <c r="R228" s="41"/>
      <c r="S228" s="41"/>
      <c r="T228" s="41"/>
      <c r="U228" s="41"/>
      <c r="V228" s="41"/>
      <c r="W228" s="41"/>
      <c r="X228" s="41"/>
      <c r="Y228" s="166"/>
      <c r="Z228" s="166"/>
      <c r="AA228" s="41"/>
      <c r="AB228" s="41"/>
      <c r="AC228" s="41"/>
      <c r="AD228" s="41"/>
      <c r="AE228" s="41"/>
      <c r="AF228" s="41"/>
      <c r="AG228" s="41"/>
      <c r="AH228" s="41"/>
      <c r="AI228" s="41"/>
    </row>
    <row r="229" spans="1:35" ht="15.75" customHeight="1" x14ac:dyDescent="0.2">
      <c r="A229" s="166"/>
      <c r="B229" s="218"/>
      <c r="C229" s="218"/>
      <c r="D229" s="41"/>
      <c r="E229" s="41"/>
      <c r="F229" s="41"/>
      <c r="G229" s="41"/>
      <c r="H229" s="41"/>
      <c r="I229" s="41"/>
      <c r="J229" s="166"/>
      <c r="K229" s="41"/>
      <c r="L229" s="41"/>
      <c r="M229" s="41"/>
      <c r="N229" s="166"/>
      <c r="O229" s="166"/>
      <c r="P229" s="41"/>
      <c r="Q229" s="41"/>
      <c r="R229" s="41"/>
      <c r="S229" s="41"/>
      <c r="T229" s="41"/>
      <c r="U229" s="41"/>
      <c r="V229" s="41"/>
      <c r="W229" s="41"/>
      <c r="X229" s="41"/>
      <c r="Y229" s="166"/>
      <c r="Z229" s="166"/>
      <c r="AA229" s="41"/>
      <c r="AB229" s="41"/>
      <c r="AC229" s="41"/>
      <c r="AD229" s="41"/>
      <c r="AE229" s="41"/>
      <c r="AF229" s="41"/>
      <c r="AG229" s="41"/>
      <c r="AH229" s="41"/>
      <c r="AI229" s="41"/>
    </row>
    <row r="230" spans="1:35" ht="15.75" customHeight="1" x14ac:dyDescent="0.2">
      <c r="A230" s="166"/>
      <c r="B230" s="218"/>
      <c r="C230" s="218"/>
      <c r="D230" s="41"/>
      <c r="E230" s="41"/>
      <c r="F230" s="41"/>
      <c r="G230" s="41"/>
      <c r="H230" s="41"/>
      <c r="I230" s="41"/>
      <c r="J230" s="166"/>
      <c r="K230" s="41"/>
      <c r="L230" s="41"/>
      <c r="M230" s="41"/>
      <c r="N230" s="166"/>
      <c r="O230" s="166"/>
      <c r="P230" s="41"/>
      <c r="Q230" s="41"/>
      <c r="R230" s="41"/>
      <c r="S230" s="41"/>
      <c r="T230" s="41"/>
      <c r="U230" s="41"/>
      <c r="V230" s="41"/>
      <c r="W230" s="41"/>
      <c r="X230" s="41"/>
      <c r="Y230" s="166"/>
      <c r="Z230" s="166"/>
      <c r="AA230" s="41"/>
      <c r="AB230" s="41"/>
      <c r="AC230" s="41"/>
      <c r="AD230" s="41"/>
      <c r="AE230" s="41"/>
      <c r="AF230" s="41"/>
      <c r="AG230" s="41"/>
      <c r="AH230" s="41"/>
      <c r="AI230" s="41"/>
    </row>
    <row r="231" spans="1:35" ht="15.75" customHeight="1" x14ac:dyDescent="0.2">
      <c r="A231" s="166"/>
      <c r="B231" s="218"/>
      <c r="C231" s="218"/>
      <c r="D231" s="41"/>
      <c r="E231" s="41"/>
      <c r="F231" s="41"/>
      <c r="G231" s="41"/>
      <c r="H231" s="41"/>
      <c r="I231" s="41"/>
      <c r="J231" s="166"/>
      <c r="K231" s="41"/>
      <c r="L231" s="41"/>
      <c r="M231" s="41"/>
      <c r="N231" s="166"/>
      <c r="O231" s="166"/>
      <c r="P231" s="41"/>
      <c r="Q231" s="41"/>
      <c r="R231" s="41"/>
      <c r="S231" s="41"/>
      <c r="T231" s="41"/>
      <c r="U231" s="41"/>
      <c r="V231" s="41"/>
      <c r="W231" s="41"/>
      <c r="X231" s="41"/>
      <c r="Y231" s="166"/>
      <c r="Z231" s="166"/>
      <c r="AA231" s="41"/>
      <c r="AB231" s="41"/>
      <c r="AC231" s="41"/>
      <c r="AD231" s="41"/>
      <c r="AE231" s="41"/>
      <c r="AF231" s="41"/>
      <c r="AG231" s="41"/>
      <c r="AH231" s="41"/>
      <c r="AI231" s="41"/>
    </row>
    <row r="232" spans="1:35" ht="15.75" customHeight="1" x14ac:dyDescent="0.2">
      <c r="A232" s="166"/>
      <c r="B232" s="218"/>
      <c r="C232" s="218"/>
      <c r="D232" s="41"/>
      <c r="E232" s="41"/>
      <c r="F232" s="41"/>
      <c r="G232" s="41"/>
      <c r="H232" s="41"/>
      <c r="I232" s="41"/>
      <c r="J232" s="166"/>
      <c r="K232" s="41"/>
      <c r="L232" s="41"/>
      <c r="M232" s="41"/>
      <c r="N232" s="166"/>
      <c r="O232" s="166"/>
      <c r="P232" s="41"/>
      <c r="Q232" s="41"/>
      <c r="R232" s="41"/>
      <c r="S232" s="41"/>
      <c r="T232" s="41"/>
      <c r="U232" s="41"/>
      <c r="V232" s="41"/>
      <c r="W232" s="41"/>
      <c r="X232" s="41"/>
      <c r="Y232" s="166"/>
      <c r="Z232" s="166"/>
      <c r="AA232" s="41"/>
      <c r="AB232" s="41"/>
      <c r="AC232" s="41"/>
      <c r="AD232" s="41"/>
      <c r="AE232" s="41"/>
      <c r="AF232" s="41"/>
      <c r="AG232" s="41"/>
      <c r="AH232" s="41"/>
      <c r="AI232" s="41"/>
    </row>
    <row r="233" spans="1:35" ht="15.75" customHeight="1" x14ac:dyDescent="0.2">
      <c r="A233" s="166"/>
      <c r="B233" s="218"/>
      <c r="C233" s="218"/>
      <c r="D233" s="41"/>
      <c r="E233" s="41"/>
      <c r="F233" s="41"/>
      <c r="G233" s="41"/>
      <c r="H233" s="41"/>
      <c r="I233" s="41"/>
      <c r="J233" s="166"/>
      <c r="K233" s="41"/>
      <c r="L233" s="41"/>
      <c r="M233" s="41"/>
      <c r="N233" s="166"/>
      <c r="O233" s="166"/>
      <c r="P233" s="41"/>
      <c r="Q233" s="41"/>
      <c r="R233" s="41"/>
      <c r="S233" s="41"/>
      <c r="T233" s="41"/>
      <c r="U233" s="41"/>
      <c r="V233" s="41"/>
      <c r="W233" s="41"/>
      <c r="X233" s="41"/>
      <c r="Y233" s="166"/>
      <c r="Z233" s="166"/>
      <c r="AA233" s="41"/>
      <c r="AB233" s="41"/>
      <c r="AC233" s="41"/>
      <c r="AD233" s="41"/>
      <c r="AE233" s="41"/>
      <c r="AF233" s="41"/>
      <c r="AG233" s="41"/>
      <c r="AH233" s="41"/>
      <c r="AI233" s="41"/>
    </row>
    <row r="234" spans="1:35" ht="15.75" customHeight="1" x14ac:dyDescent="0.2"/>
    <row r="235" spans="1:35" ht="15.75" customHeight="1" x14ac:dyDescent="0.2"/>
    <row r="236" spans="1:35" ht="15.75" customHeight="1" x14ac:dyDescent="0.2"/>
    <row r="237" spans="1:35" ht="15.75" customHeight="1" x14ac:dyDescent="0.2"/>
    <row r="238" spans="1:35" ht="15.75" customHeight="1" x14ac:dyDescent="0.2"/>
    <row r="239" spans="1:35" ht="15.75" customHeight="1" x14ac:dyDescent="0.2"/>
    <row r="240" spans="1:35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AI29" xr:uid="{00000000-0009-0000-0000-000006000000}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J1000"/>
  <sheetViews>
    <sheetView workbookViewId="0">
      <pane xSplit="1" topLeftCell="G1" activePane="topRight" state="frozen"/>
      <selection pane="topRight" activeCell="X3" sqref="X3"/>
    </sheetView>
  </sheetViews>
  <sheetFormatPr defaultColWidth="12.5703125" defaultRowHeight="15" customHeight="1" x14ac:dyDescent="0.2"/>
  <cols>
    <col min="1" max="1" width="18.42578125" customWidth="1"/>
    <col min="2" max="2" width="10.42578125" customWidth="1"/>
    <col min="3" max="3" width="8.28515625" customWidth="1"/>
    <col min="4" max="4" width="8.7109375" customWidth="1"/>
    <col min="5" max="5" width="10.28515625" customWidth="1"/>
    <col min="6" max="6" width="7.5703125" customWidth="1"/>
    <col min="7" max="8" width="9.7109375" customWidth="1"/>
    <col min="9" max="9" width="7.7109375" customWidth="1"/>
    <col min="10" max="10" width="9.140625" customWidth="1"/>
    <col min="11" max="11" width="8.42578125" customWidth="1"/>
    <col min="12" max="12" width="9.42578125" customWidth="1"/>
    <col min="13" max="13" width="9" customWidth="1"/>
    <col min="14" max="14" width="8.42578125" customWidth="1"/>
    <col min="15" max="15" width="10.7109375" hidden="1" customWidth="1"/>
    <col min="16" max="16" width="11.42578125" customWidth="1"/>
    <col min="17" max="19" width="6.42578125" customWidth="1"/>
    <col min="20" max="20" width="9.42578125" customWidth="1"/>
    <col min="21" max="21" width="8.28515625" customWidth="1"/>
    <col min="22" max="22" width="7.7109375" customWidth="1"/>
    <col min="23" max="23" width="8.85546875" customWidth="1"/>
    <col min="24" max="24" width="8.140625" customWidth="1"/>
    <col min="25" max="26" width="12.28515625" customWidth="1"/>
    <col min="27" max="27" width="14" customWidth="1"/>
    <col min="28" max="28" width="12.7109375" customWidth="1"/>
    <col min="29" max="29" width="10" customWidth="1"/>
    <col min="30" max="30" width="12.42578125" customWidth="1"/>
    <col min="31" max="31" width="7" customWidth="1"/>
  </cols>
  <sheetData>
    <row r="1" spans="1:36" ht="19.5" customHeight="1" x14ac:dyDescent="0.2">
      <c r="A1" s="129"/>
      <c r="B1" s="168"/>
      <c r="C1" s="168"/>
      <c r="D1" s="130"/>
      <c r="E1" s="130"/>
      <c r="F1" s="168"/>
      <c r="G1" s="130"/>
      <c r="H1" s="130"/>
      <c r="I1" s="130"/>
      <c r="J1" s="129"/>
      <c r="K1" s="129"/>
      <c r="L1" s="129"/>
      <c r="M1" s="88" t="s">
        <v>1</v>
      </c>
      <c r="N1" s="129"/>
      <c r="O1" s="129"/>
      <c r="P1" s="130"/>
      <c r="Q1" s="130"/>
      <c r="R1" s="130"/>
      <c r="S1" s="130"/>
      <c r="T1" s="130"/>
      <c r="U1" s="130"/>
      <c r="V1" s="130"/>
      <c r="W1" s="130"/>
      <c r="X1" s="130"/>
      <c r="Y1" s="129"/>
      <c r="Z1" s="129"/>
      <c r="AA1" s="130"/>
      <c r="AB1" s="130"/>
      <c r="AC1" s="130"/>
      <c r="AD1" s="130"/>
      <c r="AE1" s="130"/>
      <c r="AF1" s="130"/>
      <c r="AG1" s="130"/>
      <c r="AH1" s="130"/>
      <c r="AI1" s="130"/>
    </row>
    <row r="2" spans="1:36" ht="15.75" customHeight="1" x14ac:dyDescent="0.2">
      <c r="A2" s="129"/>
      <c r="B2" s="168"/>
      <c r="C2" s="168"/>
      <c r="D2" s="130"/>
      <c r="E2" s="130"/>
      <c r="F2" s="168"/>
      <c r="G2" s="130"/>
      <c r="H2" s="130"/>
      <c r="I2" s="130"/>
      <c r="J2" s="133" t="s">
        <v>2</v>
      </c>
      <c r="K2" s="133">
        <v>8000</v>
      </c>
      <c r="L2" s="41"/>
      <c r="M2" s="135">
        <v>200000</v>
      </c>
      <c r="N2" s="129"/>
      <c r="O2" s="8">
        <v>0</v>
      </c>
      <c r="P2" s="130"/>
      <c r="Q2" s="130">
        <v>250</v>
      </c>
      <c r="R2" s="130">
        <v>200</v>
      </c>
      <c r="S2" s="130">
        <v>150</v>
      </c>
      <c r="T2" s="130"/>
      <c r="U2" s="130"/>
      <c r="V2" s="9">
        <v>0.12</v>
      </c>
      <c r="W2" s="130"/>
      <c r="X2" s="9">
        <v>7.0000000000000007E-2</v>
      </c>
      <c r="Y2" s="129"/>
      <c r="Z2" s="129"/>
      <c r="AA2" s="130"/>
      <c r="AB2" s="130"/>
      <c r="AC2" s="130"/>
      <c r="AD2" s="130"/>
      <c r="AE2" s="130"/>
      <c r="AF2" s="130"/>
      <c r="AG2" s="130"/>
      <c r="AH2" s="130"/>
      <c r="AI2" s="130"/>
    </row>
    <row r="3" spans="1:36" ht="25.5" customHeight="1" x14ac:dyDescent="0.2">
      <c r="A3" s="136" t="s">
        <v>336</v>
      </c>
      <c r="B3" s="171" t="s">
        <v>4</v>
      </c>
      <c r="C3" s="171" t="s">
        <v>337</v>
      </c>
      <c r="D3" s="136" t="s">
        <v>338</v>
      </c>
      <c r="E3" s="221" t="s">
        <v>481</v>
      </c>
      <c r="F3" s="171" t="s">
        <v>340</v>
      </c>
      <c r="G3" s="136" t="s">
        <v>341</v>
      </c>
      <c r="H3" s="136" t="s">
        <v>342</v>
      </c>
      <c r="I3" s="136" t="s">
        <v>9</v>
      </c>
      <c r="J3" s="136" t="s">
        <v>10</v>
      </c>
      <c r="K3" s="136" t="s">
        <v>11</v>
      </c>
      <c r="L3" s="10" t="s">
        <v>12</v>
      </c>
      <c r="M3" s="136" t="s">
        <v>13</v>
      </c>
      <c r="N3" s="136" t="s">
        <v>14</v>
      </c>
      <c r="O3" s="136"/>
      <c r="P3" s="136" t="s">
        <v>15</v>
      </c>
      <c r="Q3" s="136" t="s">
        <v>16</v>
      </c>
      <c r="R3" s="136" t="s">
        <v>17</v>
      </c>
      <c r="S3" s="10" t="s">
        <v>18</v>
      </c>
      <c r="T3" s="136" t="s">
        <v>19</v>
      </c>
      <c r="U3" s="136" t="s">
        <v>20</v>
      </c>
      <c r="V3" s="136" t="s">
        <v>21</v>
      </c>
      <c r="W3" s="136" t="s">
        <v>22</v>
      </c>
      <c r="X3" s="136" t="s">
        <v>23</v>
      </c>
      <c r="Y3" s="136" t="s">
        <v>24</v>
      </c>
      <c r="Z3" s="136" t="s">
        <v>25</v>
      </c>
      <c r="AA3" s="136"/>
      <c r="AB3" s="136" t="s">
        <v>26</v>
      </c>
      <c r="AC3" s="136" t="s">
        <v>27</v>
      </c>
      <c r="AD3" s="136" t="s">
        <v>28</v>
      </c>
      <c r="AE3" s="136" t="s">
        <v>29</v>
      </c>
      <c r="AF3" s="10" t="s">
        <v>30</v>
      </c>
      <c r="AG3" s="45" t="s">
        <v>31</v>
      </c>
      <c r="AH3" s="45" t="s">
        <v>32</v>
      </c>
      <c r="AI3" s="45" t="s">
        <v>33</v>
      </c>
      <c r="AJ3" s="45" t="s">
        <v>34</v>
      </c>
    </row>
    <row r="4" spans="1:36" ht="15.75" customHeight="1" x14ac:dyDescent="0.2">
      <c r="A4" s="257" t="s">
        <v>343</v>
      </c>
      <c r="B4" s="264">
        <f t="shared" ref="B4:B28" si="0">C4+E4+G4</f>
        <v>175.25</v>
      </c>
      <c r="C4" s="257">
        <v>157.41</v>
      </c>
      <c r="D4" s="264">
        <f t="shared" ref="D4:D28" si="1">C4*10.764</f>
        <v>1694.36124</v>
      </c>
      <c r="E4" s="257">
        <v>17.84</v>
      </c>
      <c r="F4" s="264">
        <f t="shared" ref="F4:F28" si="2">E4*10.764</f>
        <v>192.02975999999998</v>
      </c>
      <c r="G4" s="257">
        <v>0</v>
      </c>
      <c r="H4" s="257">
        <f t="shared" ref="H4:H28" si="3">G4*10.764</f>
        <v>0</v>
      </c>
      <c r="I4" s="264">
        <f t="shared" ref="I4:I28" si="4">D4+F4+H4</f>
        <v>1886.3909999999998</v>
      </c>
      <c r="J4" s="264">
        <f t="shared" ref="J4:J28" si="5">(D4+F4+(H4/2))*1.45</f>
        <v>2735.2669499999997</v>
      </c>
      <c r="K4" s="257">
        <f t="shared" ref="K4:K28" si="6">J4*$K$2</f>
        <v>21882135.599999998</v>
      </c>
      <c r="L4" s="257">
        <v>500000</v>
      </c>
      <c r="M4" s="265">
        <v>400000</v>
      </c>
      <c r="N4" s="257">
        <f t="shared" ref="N4:N28" si="7">SUM(K4:M4)</f>
        <v>22782135.599999998</v>
      </c>
      <c r="O4" s="257">
        <f t="shared" ref="O4:O28" si="8">($O$2*N4)</f>
        <v>0</v>
      </c>
      <c r="P4" s="257">
        <f t="shared" ref="P4:P28" si="9">N4-O4</f>
        <v>22782135.599999998</v>
      </c>
      <c r="Q4" s="257">
        <f t="shared" ref="Q4:Q28" si="10">J4*$Q$2</f>
        <v>683816.73749999993</v>
      </c>
      <c r="R4" s="257">
        <f t="shared" ref="R4:R28" si="11">J4*$R$2</f>
        <v>547053.3899999999</v>
      </c>
      <c r="S4" s="257">
        <f t="shared" ref="S4:S28" si="12">J4*$S$2</f>
        <v>410290.04249999998</v>
      </c>
      <c r="T4" s="257">
        <f t="shared" ref="T4:T28" si="13">SUM(P4:S4)</f>
        <v>24423295.77</v>
      </c>
      <c r="U4" s="257">
        <v>30000</v>
      </c>
      <c r="V4" s="257">
        <f t="shared" ref="V4:V28" si="14">$V$2*P4</f>
        <v>2733856.2719999994</v>
      </c>
      <c r="W4" s="257">
        <f>(12%*Q4)+(12%*R4)</f>
        <v>147704.41529999996</v>
      </c>
      <c r="X4" s="257">
        <f t="shared" ref="X4:X28" si="15">CEILING(($X$2*P4),100)</f>
        <v>1594800</v>
      </c>
      <c r="Y4" s="257">
        <v>6000</v>
      </c>
      <c r="Z4" s="257">
        <f t="shared" ref="Z4:Z28" si="16">SUM(T4:Y4)</f>
        <v>28935656.4573</v>
      </c>
      <c r="AA4" s="257"/>
      <c r="AB4" s="257"/>
      <c r="AC4" s="257"/>
      <c r="AD4" s="257"/>
      <c r="AE4" s="257"/>
      <c r="AF4" s="266" t="s">
        <v>518</v>
      </c>
      <c r="AG4" s="267" t="s">
        <v>519</v>
      </c>
      <c r="AH4" s="266" t="s">
        <v>45</v>
      </c>
      <c r="AI4" s="268" t="s">
        <v>45</v>
      </c>
      <c r="AJ4" s="269" t="s">
        <v>484</v>
      </c>
    </row>
    <row r="5" spans="1:36" ht="15.75" customHeight="1" x14ac:dyDescent="0.2">
      <c r="A5" s="257" t="s">
        <v>350</v>
      </c>
      <c r="B5" s="264">
        <f t="shared" si="0"/>
        <v>162.51</v>
      </c>
      <c r="C5" s="257">
        <v>141.72</v>
      </c>
      <c r="D5" s="264">
        <f t="shared" si="1"/>
        <v>1525.47408</v>
      </c>
      <c r="E5" s="257">
        <v>20.79</v>
      </c>
      <c r="F5" s="264">
        <f t="shared" si="2"/>
        <v>223.78355999999997</v>
      </c>
      <c r="G5" s="257">
        <v>0</v>
      </c>
      <c r="H5" s="257">
        <f t="shared" si="3"/>
        <v>0</v>
      </c>
      <c r="I5" s="264">
        <f t="shared" si="4"/>
        <v>1749.2576399999998</v>
      </c>
      <c r="J5" s="264">
        <f t="shared" si="5"/>
        <v>2536.4235779999995</v>
      </c>
      <c r="K5" s="257">
        <f t="shared" si="6"/>
        <v>20291388.623999994</v>
      </c>
      <c r="L5" s="257">
        <v>500000</v>
      </c>
      <c r="M5" s="265">
        <v>400000</v>
      </c>
      <c r="N5" s="257">
        <f t="shared" si="7"/>
        <v>21191388.623999994</v>
      </c>
      <c r="O5" s="257">
        <f t="shared" si="8"/>
        <v>0</v>
      </c>
      <c r="P5" s="257">
        <f t="shared" si="9"/>
        <v>21191388.623999994</v>
      </c>
      <c r="Q5" s="257">
        <f t="shared" si="10"/>
        <v>634105.89449999982</v>
      </c>
      <c r="R5" s="257">
        <f t="shared" si="11"/>
        <v>507284.71559999988</v>
      </c>
      <c r="S5" s="257">
        <f t="shared" si="12"/>
        <v>380463.53669999994</v>
      </c>
      <c r="T5" s="257">
        <f t="shared" si="13"/>
        <v>22713242.770799991</v>
      </c>
      <c r="U5" s="257">
        <v>30000</v>
      </c>
      <c r="V5" s="257">
        <f t="shared" si="14"/>
        <v>2542966.6348799993</v>
      </c>
      <c r="W5" s="257">
        <f>(12%*Q5)+(12%*R5)+(12%*S5)</f>
        <v>182622.49761599995</v>
      </c>
      <c r="X5" s="257">
        <f t="shared" si="15"/>
        <v>1483400</v>
      </c>
      <c r="Y5" s="257">
        <v>6000</v>
      </c>
      <c r="Z5" s="257">
        <f t="shared" si="16"/>
        <v>26958231.90329599</v>
      </c>
      <c r="AA5" s="257"/>
      <c r="AB5" s="257"/>
      <c r="AC5" s="257"/>
      <c r="AD5" s="257"/>
      <c r="AE5" s="257"/>
      <c r="AF5" s="270" t="s">
        <v>520</v>
      </c>
      <c r="AG5" s="271" t="s">
        <v>521</v>
      </c>
      <c r="AH5" s="270" t="s">
        <v>45</v>
      </c>
      <c r="AI5" s="268" t="s">
        <v>45</v>
      </c>
      <c r="AJ5" s="269" t="s">
        <v>484</v>
      </c>
    </row>
    <row r="6" spans="1:36" ht="15.75" customHeight="1" x14ac:dyDescent="0.2">
      <c r="A6" s="244" t="s">
        <v>355</v>
      </c>
      <c r="B6" s="245">
        <f t="shared" si="0"/>
        <v>102.72</v>
      </c>
      <c r="C6" s="245">
        <v>86.13</v>
      </c>
      <c r="D6" s="245">
        <f t="shared" si="1"/>
        <v>927.10331999999994</v>
      </c>
      <c r="E6" s="245">
        <v>16.59</v>
      </c>
      <c r="F6" s="245">
        <f t="shared" si="2"/>
        <v>178.57476</v>
      </c>
      <c r="G6" s="245">
        <v>0</v>
      </c>
      <c r="H6" s="245">
        <f t="shared" si="3"/>
        <v>0</v>
      </c>
      <c r="I6" s="245">
        <f t="shared" si="4"/>
        <v>1105.6780799999999</v>
      </c>
      <c r="J6" s="245">
        <f t="shared" si="5"/>
        <v>1603.2332159999999</v>
      </c>
      <c r="K6" s="246">
        <f t="shared" si="6"/>
        <v>12825865.727999998</v>
      </c>
      <c r="L6" s="246">
        <v>500000</v>
      </c>
      <c r="M6" s="247">
        <v>400000</v>
      </c>
      <c r="N6" s="248">
        <f t="shared" si="7"/>
        <v>13725865.727999998</v>
      </c>
      <c r="O6" s="248">
        <f t="shared" si="8"/>
        <v>0</v>
      </c>
      <c r="P6" s="246">
        <f t="shared" si="9"/>
        <v>13725865.727999998</v>
      </c>
      <c r="Q6" s="246">
        <f t="shared" si="10"/>
        <v>400808.30399999995</v>
      </c>
      <c r="R6" s="246">
        <f t="shared" si="11"/>
        <v>320646.64319999999</v>
      </c>
      <c r="S6" s="246">
        <f t="shared" si="12"/>
        <v>240484.98239999998</v>
      </c>
      <c r="T6" s="246">
        <f t="shared" si="13"/>
        <v>14687805.657599999</v>
      </c>
      <c r="U6" s="246">
        <v>30000</v>
      </c>
      <c r="V6" s="246">
        <f t="shared" si="14"/>
        <v>1647103.8873599998</v>
      </c>
      <c r="W6" s="246">
        <f t="shared" ref="W6:W28" si="17">(12%*Q6)+(12%*R6)</f>
        <v>86574.593663999985</v>
      </c>
      <c r="X6" s="246">
        <f t="shared" si="15"/>
        <v>960900</v>
      </c>
      <c r="Y6" s="248">
        <v>6000</v>
      </c>
      <c r="Z6" s="248">
        <f t="shared" si="16"/>
        <v>17418384.138623998</v>
      </c>
      <c r="AA6" s="249" t="s">
        <v>487</v>
      </c>
      <c r="AB6" s="250"/>
      <c r="AC6" s="250"/>
      <c r="AD6" s="250"/>
      <c r="AE6" s="250"/>
      <c r="AF6" s="272" t="s">
        <v>522</v>
      </c>
      <c r="AG6" s="273" t="s">
        <v>523</v>
      </c>
      <c r="AH6" s="272" t="s">
        <v>45</v>
      </c>
      <c r="AI6" s="274" t="s">
        <v>45</v>
      </c>
      <c r="AJ6" s="275" t="s">
        <v>484</v>
      </c>
    </row>
    <row r="7" spans="1:36" ht="15.75" customHeight="1" x14ac:dyDescent="0.2">
      <c r="A7" s="244" t="s">
        <v>359</v>
      </c>
      <c r="B7" s="245">
        <f t="shared" si="0"/>
        <v>117.42999999999999</v>
      </c>
      <c r="C7" s="245">
        <v>100.69</v>
      </c>
      <c r="D7" s="245">
        <f t="shared" si="1"/>
        <v>1083.8271599999998</v>
      </c>
      <c r="E7" s="245">
        <v>16.739999999999998</v>
      </c>
      <c r="F7" s="245">
        <f t="shared" si="2"/>
        <v>180.18935999999997</v>
      </c>
      <c r="G7" s="245">
        <v>0</v>
      </c>
      <c r="H7" s="245">
        <f t="shared" si="3"/>
        <v>0</v>
      </c>
      <c r="I7" s="245">
        <f t="shared" si="4"/>
        <v>1264.0165199999997</v>
      </c>
      <c r="J7" s="245">
        <f t="shared" si="5"/>
        <v>1832.8239539999995</v>
      </c>
      <c r="K7" s="246">
        <f t="shared" si="6"/>
        <v>14662591.631999996</v>
      </c>
      <c r="L7" s="246">
        <v>500000</v>
      </c>
      <c r="M7" s="247">
        <v>400000</v>
      </c>
      <c r="N7" s="248">
        <f t="shared" si="7"/>
        <v>15562591.631999996</v>
      </c>
      <c r="O7" s="248">
        <f t="shared" si="8"/>
        <v>0</v>
      </c>
      <c r="P7" s="246">
        <f t="shared" si="9"/>
        <v>15562591.631999996</v>
      </c>
      <c r="Q7" s="246">
        <f t="shared" si="10"/>
        <v>458205.98849999986</v>
      </c>
      <c r="R7" s="246">
        <f t="shared" si="11"/>
        <v>366564.7907999999</v>
      </c>
      <c r="S7" s="246">
        <f t="shared" si="12"/>
        <v>274923.59309999994</v>
      </c>
      <c r="T7" s="246">
        <f t="shared" si="13"/>
        <v>16662286.004399994</v>
      </c>
      <c r="U7" s="246">
        <v>30000</v>
      </c>
      <c r="V7" s="246">
        <f t="shared" si="14"/>
        <v>1867510.9958399993</v>
      </c>
      <c r="W7" s="246">
        <f t="shared" si="17"/>
        <v>98972.493515999959</v>
      </c>
      <c r="X7" s="246">
        <f t="shared" si="15"/>
        <v>1089400</v>
      </c>
      <c r="Y7" s="248">
        <v>6000</v>
      </c>
      <c r="Z7" s="248">
        <f t="shared" si="16"/>
        <v>19754169.493755993</v>
      </c>
      <c r="AA7" s="249" t="s">
        <v>487</v>
      </c>
      <c r="AB7" s="250"/>
      <c r="AC7" s="250"/>
      <c r="AD7" s="250"/>
      <c r="AE7" s="250"/>
      <c r="AF7" s="272" t="s">
        <v>524</v>
      </c>
      <c r="AG7" s="273" t="s">
        <v>525</v>
      </c>
      <c r="AH7" s="272" t="s">
        <v>45</v>
      </c>
      <c r="AI7" s="274" t="s">
        <v>45</v>
      </c>
      <c r="AJ7" s="275" t="s">
        <v>484</v>
      </c>
    </row>
    <row r="8" spans="1:36" ht="15.75" customHeight="1" x14ac:dyDescent="0.2">
      <c r="A8" s="244" t="s">
        <v>363</v>
      </c>
      <c r="B8" s="245">
        <f t="shared" si="0"/>
        <v>51.209999999999994</v>
      </c>
      <c r="C8" s="245">
        <v>44.12</v>
      </c>
      <c r="D8" s="245">
        <f t="shared" si="1"/>
        <v>474.90767999999997</v>
      </c>
      <c r="E8" s="245">
        <v>7.09</v>
      </c>
      <c r="F8" s="245">
        <f t="shared" si="2"/>
        <v>76.316759999999988</v>
      </c>
      <c r="G8" s="245">
        <v>0</v>
      </c>
      <c r="H8" s="245">
        <f t="shared" si="3"/>
        <v>0</v>
      </c>
      <c r="I8" s="245">
        <f t="shared" si="4"/>
        <v>551.22443999999996</v>
      </c>
      <c r="J8" s="245">
        <f t="shared" si="5"/>
        <v>799.27543799999989</v>
      </c>
      <c r="K8" s="246">
        <f t="shared" si="6"/>
        <v>6394203.5039999988</v>
      </c>
      <c r="L8" s="246">
        <v>300000</v>
      </c>
      <c r="M8" s="247">
        <v>200000</v>
      </c>
      <c r="N8" s="248">
        <f t="shared" si="7"/>
        <v>6894203.5039999988</v>
      </c>
      <c r="O8" s="248">
        <f t="shared" si="8"/>
        <v>0</v>
      </c>
      <c r="P8" s="246">
        <f t="shared" si="9"/>
        <v>6894203.5039999988</v>
      </c>
      <c r="Q8" s="246">
        <f t="shared" si="10"/>
        <v>199818.85949999996</v>
      </c>
      <c r="R8" s="246">
        <f t="shared" si="11"/>
        <v>159855.08759999997</v>
      </c>
      <c r="S8" s="246">
        <f t="shared" si="12"/>
        <v>119891.31569999998</v>
      </c>
      <c r="T8" s="246">
        <f t="shared" si="13"/>
        <v>7373768.7667999994</v>
      </c>
      <c r="U8" s="246">
        <v>30000</v>
      </c>
      <c r="V8" s="246">
        <f t="shared" si="14"/>
        <v>827304.42047999986</v>
      </c>
      <c r="W8" s="246">
        <f t="shared" si="17"/>
        <v>43160.873651999995</v>
      </c>
      <c r="X8" s="246">
        <f t="shared" si="15"/>
        <v>482600</v>
      </c>
      <c r="Y8" s="248">
        <v>6000</v>
      </c>
      <c r="Z8" s="248">
        <f t="shared" si="16"/>
        <v>8762834.0609319992</v>
      </c>
      <c r="AA8" s="249" t="s">
        <v>487</v>
      </c>
      <c r="AB8" s="250"/>
      <c r="AC8" s="250"/>
      <c r="AD8" s="250"/>
      <c r="AE8" s="250"/>
      <c r="AF8" s="272">
        <v>213</v>
      </c>
      <c r="AG8" s="273" t="s">
        <v>526</v>
      </c>
      <c r="AH8" s="272" t="s">
        <v>65</v>
      </c>
      <c r="AI8" s="274" t="s">
        <v>45</v>
      </c>
      <c r="AJ8" s="253" t="s">
        <v>462</v>
      </c>
    </row>
    <row r="9" spans="1:36" ht="15.75" customHeight="1" x14ac:dyDescent="0.2">
      <c r="A9" s="244" t="s">
        <v>367</v>
      </c>
      <c r="B9" s="245">
        <f t="shared" si="0"/>
        <v>51.209999999999994</v>
      </c>
      <c r="C9" s="245">
        <v>44.12</v>
      </c>
      <c r="D9" s="245">
        <f t="shared" si="1"/>
        <v>474.90767999999997</v>
      </c>
      <c r="E9" s="245">
        <v>7.09</v>
      </c>
      <c r="F9" s="245">
        <f t="shared" si="2"/>
        <v>76.316759999999988</v>
      </c>
      <c r="G9" s="245">
        <v>0</v>
      </c>
      <c r="H9" s="245">
        <f t="shared" si="3"/>
        <v>0</v>
      </c>
      <c r="I9" s="245">
        <f t="shared" si="4"/>
        <v>551.22443999999996</v>
      </c>
      <c r="J9" s="245">
        <f t="shared" si="5"/>
        <v>799.27543799999989</v>
      </c>
      <c r="K9" s="246">
        <f t="shared" si="6"/>
        <v>6394203.5039999988</v>
      </c>
      <c r="L9" s="246">
        <v>300000</v>
      </c>
      <c r="M9" s="247">
        <v>200000</v>
      </c>
      <c r="N9" s="248">
        <f t="shared" si="7"/>
        <v>6894203.5039999988</v>
      </c>
      <c r="O9" s="248">
        <f t="shared" si="8"/>
        <v>0</v>
      </c>
      <c r="P9" s="246">
        <f t="shared" si="9"/>
        <v>6894203.5039999988</v>
      </c>
      <c r="Q9" s="246">
        <f t="shared" si="10"/>
        <v>199818.85949999996</v>
      </c>
      <c r="R9" s="246">
        <f t="shared" si="11"/>
        <v>159855.08759999997</v>
      </c>
      <c r="S9" s="246">
        <f t="shared" si="12"/>
        <v>119891.31569999998</v>
      </c>
      <c r="T9" s="246">
        <f t="shared" si="13"/>
        <v>7373768.7667999994</v>
      </c>
      <c r="U9" s="246">
        <v>30000</v>
      </c>
      <c r="V9" s="246">
        <f t="shared" si="14"/>
        <v>827304.42047999986</v>
      </c>
      <c r="W9" s="246">
        <f t="shared" si="17"/>
        <v>43160.873651999995</v>
      </c>
      <c r="X9" s="246">
        <f t="shared" si="15"/>
        <v>482600</v>
      </c>
      <c r="Y9" s="248">
        <v>6000</v>
      </c>
      <c r="Z9" s="248">
        <f t="shared" si="16"/>
        <v>8762834.0609319992</v>
      </c>
      <c r="AA9" s="249" t="s">
        <v>487</v>
      </c>
      <c r="AB9" s="250"/>
      <c r="AC9" s="250"/>
      <c r="AD9" s="250"/>
      <c r="AE9" s="250"/>
      <c r="AF9" s="272">
        <v>214</v>
      </c>
      <c r="AG9" s="273" t="s">
        <v>527</v>
      </c>
      <c r="AH9" s="272" t="s">
        <v>65</v>
      </c>
      <c r="AI9" s="274" t="s">
        <v>45</v>
      </c>
      <c r="AJ9" s="253" t="s">
        <v>462</v>
      </c>
    </row>
    <row r="10" spans="1:36" ht="15.75" customHeight="1" x14ac:dyDescent="0.2">
      <c r="A10" s="244" t="s">
        <v>370</v>
      </c>
      <c r="B10" s="245">
        <f t="shared" si="0"/>
        <v>51.209999999999994</v>
      </c>
      <c r="C10" s="245">
        <v>44.12</v>
      </c>
      <c r="D10" s="245">
        <f t="shared" si="1"/>
        <v>474.90767999999997</v>
      </c>
      <c r="E10" s="245">
        <v>7.09</v>
      </c>
      <c r="F10" s="245">
        <f t="shared" si="2"/>
        <v>76.316759999999988</v>
      </c>
      <c r="G10" s="245">
        <v>0</v>
      </c>
      <c r="H10" s="245">
        <f t="shared" si="3"/>
        <v>0</v>
      </c>
      <c r="I10" s="245">
        <f t="shared" si="4"/>
        <v>551.22443999999996</v>
      </c>
      <c r="J10" s="245">
        <f t="shared" si="5"/>
        <v>799.27543799999989</v>
      </c>
      <c r="K10" s="246">
        <f t="shared" si="6"/>
        <v>6394203.5039999988</v>
      </c>
      <c r="L10" s="246">
        <v>300000</v>
      </c>
      <c r="M10" s="247">
        <v>200000</v>
      </c>
      <c r="N10" s="248">
        <f t="shared" si="7"/>
        <v>6894203.5039999988</v>
      </c>
      <c r="O10" s="248">
        <f t="shared" si="8"/>
        <v>0</v>
      </c>
      <c r="P10" s="246">
        <f t="shared" si="9"/>
        <v>6894203.5039999988</v>
      </c>
      <c r="Q10" s="246">
        <f t="shared" si="10"/>
        <v>199818.85949999996</v>
      </c>
      <c r="R10" s="246">
        <f t="shared" si="11"/>
        <v>159855.08759999997</v>
      </c>
      <c r="S10" s="246">
        <f t="shared" si="12"/>
        <v>119891.31569999998</v>
      </c>
      <c r="T10" s="246">
        <f t="shared" si="13"/>
        <v>7373768.7667999994</v>
      </c>
      <c r="U10" s="246">
        <v>30000</v>
      </c>
      <c r="V10" s="246">
        <f t="shared" si="14"/>
        <v>827304.42047999986</v>
      </c>
      <c r="W10" s="246">
        <f t="shared" si="17"/>
        <v>43160.873651999995</v>
      </c>
      <c r="X10" s="246">
        <f t="shared" si="15"/>
        <v>482600</v>
      </c>
      <c r="Y10" s="248">
        <v>6000</v>
      </c>
      <c r="Z10" s="248">
        <f t="shared" si="16"/>
        <v>8762834.0609319992</v>
      </c>
      <c r="AA10" s="249" t="s">
        <v>487</v>
      </c>
      <c r="AB10" s="250"/>
      <c r="AC10" s="250"/>
      <c r="AD10" s="250"/>
      <c r="AE10" s="250"/>
      <c r="AF10" s="272">
        <v>215</v>
      </c>
      <c r="AG10" s="273" t="s">
        <v>528</v>
      </c>
      <c r="AH10" s="272" t="s">
        <v>65</v>
      </c>
      <c r="AI10" s="274" t="s">
        <v>45</v>
      </c>
      <c r="AJ10" s="253" t="s">
        <v>462</v>
      </c>
    </row>
    <row r="11" spans="1:36" ht="15.75" customHeight="1" x14ac:dyDescent="0.2">
      <c r="A11" s="244" t="s">
        <v>372</v>
      </c>
      <c r="B11" s="245">
        <f t="shared" si="0"/>
        <v>62.88</v>
      </c>
      <c r="C11" s="245">
        <v>54.09</v>
      </c>
      <c r="D11" s="245">
        <f t="shared" si="1"/>
        <v>582.22475999999995</v>
      </c>
      <c r="E11" s="245">
        <v>8.7899999999999991</v>
      </c>
      <c r="F11" s="245">
        <f t="shared" si="2"/>
        <v>94.615559999999988</v>
      </c>
      <c r="G11" s="245">
        <v>0</v>
      </c>
      <c r="H11" s="245">
        <f t="shared" si="3"/>
        <v>0</v>
      </c>
      <c r="I11" s="245">
        <f t="shared" si="4"/>
        <v>676.84031999999991</v>
      </c>
      <c r="J11" s="245">
        <f t="shared" si="5"/>
        <v>981.41846399999986</v>
      </c>
      <c r="K11" s="246">
        <f t="shared" si="6"/>
        <v>7851347.7119999984</v>
      </c>
      <c r="L11" s="246">
        <v>400000</v>
      </c>
      <c r="M11" s="247">
        <v>200000</v>
      </c>
      <c r="N11" s="248">
        <f t="shared" si="7"/>
        <v>8451347.7119999975</v>
      </c>
      <c r="O11" s="248">
        <f t="shared" si="8"/>
        <v>0</v>
      </c>
      <c r="P11" s="246">
        <f t="shared" si="9"/>
        <v>8451347.7119999975</v>
      </c>
      <c r="Q11" s="246">
        <f t="shared" si="10"/>
        <v>245354.61599999995</v>
      </c>
      <c r="R11" s="246">
        <f t="shared" si="11"/>
        <v>196283.69279999996</v>
      </c>
      <c r="S11" s="246">
        <f t="shared" si="12"/>
        <v>147212.76959999997</v>
      </c>
      <c r="T11" s="246">
        <f t="shared" si="13"/>
        <v>9040198.7903999984</v>
      </c>
      <c r="U11" s="246">
        <v>30000</v>
      </c>
      <c r="V11" s="246">
        <f t="shared" si="14"/>
        <v>1014161.7254399997</v>
      </c>
      <c r="W11" s="246">
        <f t="shared" si="17"/>
        <v>52996.597055999984</v>
      </c>
      <c r="X11" s="246">
        <f t="shared" si="15"/>
        <v>591600</v>
      </c>
      <c r="Y11" s="248">
        <v>6000</v>
      </c>
      <c r="Z11" s="248">
        <f t="shared" si="16"/>
        <v>10734957.112895997</v>
      </c>
      <c r="AA11" s="249" t="s">
        <v>487</v>
      </c>
      <c r="AB11" s="250"/>
      <c r="AC11" s="250"/>
      <c r="AD11" s="250"/>
      <c r="AE11" s="250"/>
      <c r="AF11" s="272">
        <v>170</v>
      </c>
      <c r="AG11" s="273" t="s">
        <v>529</v>
      </c>
      <c r="AH11" s="272" t="s">
        <v>40</v>
      </c>
      <c r="AI11" s="274" t="s">
        <v>45</v>
      </c>
      <c r="AJ11" s="253" t="s">
        <v>453</v>
      </c>
    </row>
    <row r="12" spans="1:36" ht="15.75" customHeight="1" x14ac:dyDescent="0.2">
      <c r="A12" s="244" t="s">
        <v>374</v>
      </c>
      <c r="B12" s="245">
        <f t="shared" si="0"/>
        <v>62.88</v>
      </c>
      <c r="C12" s="245">
        <v>54.09</v>
      </c>
      <c r="D12" s="245">
        <f t="shared" si="1"/>
        <v>582.22475999999995</v>
      </c>
      <c r="E12" s="245">
        <v>8.7899999999999991</v>
      </c>
      <c r="F12" s="245">
        <f t="shared" si="2"/>
        <v>94.615559999999988</v>
      </c>
      <c r="G12" s="245">
        <v>0</v>
      </c>
      <c r="H12" s="245">
        <f t="shared" si="3"/>
        <v>0</v>
      </c>
      <c r="I12" s="245">
        <f t="shared" si="4"/>
        <v>676.84031999999991</v>
      </c>
      <c r="J12" s="245">
        <f t="shared" si="5"/>
        <v>981.41846399999986</v>
      </c>
      <c r="K12" s="246">
        <f t="shared" si="6"/>
        <v>7851347.7119999984</v>
      </c>
      <c r="L12" s="246">
        <v>400000</v>
      </c>
      <c r="M12" s="247">
        <v>200000</v>
      </c>
      <c r="N12" s="248">
        <f t="shared" si="7"/>
        <v>8451347.7119999975</v>
      </c>
      <c r="O12" s="248">
        <f t="shared" si="8"/>
        <v>0</v>
      </c>
      <c r="P12" s="246">
        <f t="shared" si="9"/>
        <v>8451347.7119999975</v>
      </c>
      <c r="Q12" s="246">
        <f t="shared" si="10"/>
        <v>245354.61599999995</v>
      </c>
      <c r="R12" s="246">
        <f t="shared" si="11"/>
        <v>196283.69279999996</v>
      </c>
      <c r="S12" s="246">
        <f t="shared" si="12"/>
        <v>147212.76959999997</v>
      </c>
      <c r="T12" s="246">
        <f t="shared" si="13"/>
        <v>9040198.7903999984</v>
      </c>
      <c r="U12" s="246">
        <v>30000</v>
      </c>
      <c r="V12" s="246">
        <f t="shared" si="14"/>
        <v>1014161.7254399997</v>
      </c>
      <c r="W12" s="246">
        <f t="shared" si="17"/>
        <v>52996.597055999984</v>
      </c>
      <c r="X12" s="246">
        <f t="shared" si="15"/>
        <v>591600</v>
      </c>
      <c r="Y12" s="248">
        <v>6000</v>
      </c>
      <c r="Z12" s="248">
        <f t="shared" si="16"/>
        <v>10734957.112895997</v>
      </c>
      <c r="AA12" s="249" t="s">
        <v>487</v>
      </c>
      <c r="AB12" s="250"/>
      <c r="AC12" s="250"/>
      <c r="AD12" s="250"/>
      <c r="AE12" s="250"/>
      <c r="AF12" s="272">
        <v>171</v>
      </c>
      <c r="AG12" s="273" t="s">
        <v>530</v>
      </c>
      <c r="AH12" s="272" t="s">
        <v>40</v>
      </c>
      <c r="AI12" s="274" t="s">
        <v>45</v>
      </c>
      <c r="AJ12" s="253" t="s">
        <v>453</v>
      </c>
    </row>
    <row r="13" spans="1:36" ht="15.75" customHeight="1" x14ac:dyDescent="0.2">
      <c r="A13" s="244" t="s">
        <v>377</v>
      </c>
      <c r="B13" s="245">
        <f t="shared" si="0"/>
        <v>64.25</v>
      </c>
      <c r="C13" s="245">
        <v>55.26</v>
      </c>
      <c r="D13" s="245">
        <f t="shared" si="1"/>
        <v>594.81863999999996</v>
      </c>
      <c r="E13" s="245">
        <v>8.99</v>
      </c>
      <c r="F13" s="245">
        <f t="shared" si="2"/>
        <v>96.768360000000001</v>
      </c>
      <c r="G13" s="245">
        <v>0</v>
      </c>
      <c r="H13" s="245">
        <f t="shared" si="3"/>
        <v>0</v>
      </c>
      <c r="I13" s="245">
        <f t="shared" si="4"/>
        <v>691.58699999999999</v>
      </c>
      <c r="J13" s="245">
        <f t="shared" si="5"/>
        <v>1002.80115</v>
      </c>
      <c r="K13" s="246">
        <f t="shared" si="6"/>
        <v>8022409.2000000002</v>
      </c>
      <c r="L13" s="246">
        <v>400000</v>
      </c>
      <c r="M13" s="247">
        <v>200000</v>
      </c>
      <c r="N13" s="248">
        <f t="shared" si="7"/>
        <v>8622409.1999999993</v>
      </c>
      <c r="O13" s="248">
        <f t="shared" si="8"/>
        <v>0</v>
      </c>
      <c r="P13" s="246">
        <f t="shared" si="9"/>
        <v>8622409.1999999993</v>
      </c>
      <c r="Q13" s="246">
        <f t="shared" si="10"/>
        <v>250700.28750000001</v>
      </c>
      <c r="R13" s="246">
        <f t="shared" si="11"/>
        <v>200560.23</v>
      </c>
      <c r="S13" s="246">
        <f t="shared" si="12"/>
        <v>150420.17250000002</v>
      </c>
      <c r="T13" s="246">
        <f t="shared" si="13"/>
        <v>9224089.8899999987</v>
      </c>
      <c r="U13" s="246">
        <v>30000</v>
      </c>
      <c r="V13" s="246">
        <f t="shared" si="14"/>
        <v>1034689.1039999998</v>
      </c>
      <c r="W13" s="246">
        <f t="shared" si="17"/>
        <v>54151.2621</v>
      </c>
      <c r="X13" s="246">
        <f t="shared" si="15"/>
        <v>603600</v>
      </c>
      <c r="Y13" s="248">
        <v>6000</v>
      </c>
      <c r="Z13" s="248">
        <f t="shared" si="16"/>
        <v>10952530.256099999</v>
      </c>
      <c r="AA13" s="249" t="s">
        <v>487</v>
      </c>
      <c r="AB13" s="250"/>
      <c r="AC13" s="250"/>
      <c r="AD13" s="250"/>
      <c r="AE13" s="250"/>
      <c r="AF13" s="272">
        <v>172</v>
      </c>
      <c r="AG13" s="273" t="s">
        <v>531</v>
      </c>
      <c r="AH13" s="272" t="s">
        <v>40</v>
      </c>
      <c r="AI13" s="274" t="s">
        <v>45</v>
      </c>
      <c r="AJ13" s="253" t="s">
        <v>453</v>
      </c>
    </row>
    <row r="14" spans="1:36" ht="15.75" customHeight="1" x14ac:dyDescent="0.2">
      <c r="A14" s="254" t="s">
        <v>532</v>
      </c>
      <c r="B14" s="156">
        <f t="shared" si="0"/>
        <v>79.179999999999993</v>
      </c>
      <c r="C14" s="155">
        <v>53.16</v>
      </c>
      <c r="D14" s="156">
        <f t="shared" si="1"/>
        <v>572.2142399999999</v>
      </c>
      <c r="E14" s="155">
        <v>26.02</v>
      </c>
      <c r="F14" s="156">
        <f t="shared" si="2"/>
        <v>280.07927999999998</v>
      </c>
      <c r="G14" s="156">
        <v>0</v>
      </c>
      <c r="H14" s="156">
        <f t="shared" si="3"/>
        <v>0</v>
      </c>
      <c r="I14" s="156">
        <f t="shared" si="4"/>
        <v>852.29351999999994</v>
      </c>
      <c r="J14" s="156">
        <f t="shared" si="5"/>
        <v>1235.8256039999999</v>
      </c>
      <c r="K14" s="158">
        <f t="shared" si="6"/>
        <v>9886604.8319999985</v>
      </c>
      <c r="L14" s="158">
        <v>400000</v>
      </c>
      <c r="M14" s="159">
        <v>400000</v>
      </c>
      <c r="N14" s="160">
        <f t="shared" si="7"/>
        <v>10686604.831999999</v>
      </c>
      <c r="O14" s="160">
        <f t="shared" si="8"/>
        <v>0</v>
      </c>
      <c r="P14" s="158">
        <f t="shared" si="9"/>
        <v>10686604.831999999</v>
      </c>
      <c r="Q14" s="158">
        <f t="shared" si="10"/>
        <v>308956.40099999995</v>
      </c>
      <c r="R14" s="158">
        <f t="shared" si="11"/>
        <v>247165.12079999998</v>
      </c>
      <c r="S14" s="158">
        <f t="shared" si="12"/>
        <v>185373.8406</v>
      </c>
      <c r="T14" s="158">
        <f t="shared" si="13"/>
        <v>11428100.194399999</v>
      </c>
      <c r="U14" s="158">
        <v>30000</v>
      </c>
      <c r="V14" s="158">
        <f t="shared" si="14"/>
        <v>1282392.5798399998</v>
      </c>
      <c r="W14" s="158">
        <f t="shared" si="17"/>
        <v>66734.582615999985</v>
      </c>
      <c r="X14" s="158">
        <f t="shared" si="15"/>
        <v>748100</v>
      </c>
      <c r="Y14" s="160">
        <v>6000</v>
      </c>
      <c r="Z14" s="160">
        <f t="shared" si="16"/>
        <v>13561327.356855998</v>
      </c>
      <c r="AA14" s="154" t="s">
        <v>487</v>
      </c>
      <c r="AB14" s="161"/>
      <c r="AC14" s="161"/>
      <c r="AD14" s="161"/>
      <c r="AE14" s="161"/>
      <c r="AF14" s="276">
        <v>173</v>
      </c>
      <c r="AG14" s="277" t="s">
        <v>533</v>
      </c>
      <c r="AH14" s="276" t="s">
        <v>40</v>
      </c>
      <c r="AI14" s="254" t="s">
        <v>45</v>
      </c>
      <c r="AJ14" s="162" t="s">
        <v>453</v>
      </c>
    </row>
    <row r="15" spans="1:36" ht="15.75" customHeight="1" x14ac:dyDescent="0.2">
      <c r="A15" s="254" t="s">
        <v>500</v>
      </c>
      <c r="B15" s="156">
        <f t="shared" si="0"/>
        <v>87.91</v>
      </c>
      <c r="C15" s="156">
        <v>74.92</v>
      </c>
      <c r="D15" s="156">
        <f t="shared" si="1"/>
        <v>806.43887999999993</v>
      </c>
      <c r="E15" s="155">
        <v>12.99</v>
      </c>
      <c r="F15" s="156">
        <f t="shared" si="2"/>
        <v>139.82435999999998</v>
      </c>
      <c r="G15" s="156">
        <v>0</v>
      </c>
      <c r="H15" s="156">
        <f t="shared" si="3"/>
        <v>0</v>
      </c>
      <c r="I15" s="156">
        <f t="shared" si="4"/>
        <v>946.26323999999988</v>
      </c>
      <c r="J15" s="156">
        <f t="shared" si="5"/>
        <v>1372.0816979999997</v>
      </c>
      <c r="K15" s="158">
        <f t="shared" si="6"/>
        <v>10976653.583999997</v>
      </c>
      <c r="L15" s="159">
        <v>500000</v>
      </c>
      <c r="M15" s="159">
        <v>400000</v>
      </c>
      <c r="N15" s="160">
        <f t="shared" si="7"/>
        <v>11876653.583999997</v>
      </c>
      <c r="O15" s="160">
        <f t="shared" si="8"/>
        <v>0</v>
      </c>
      <c r="P15" s="158">
        <f t="shared" si="9"/>
        <v>11876653.583999997</v>
      </c>
      <c r="Q15" s="158">
        <f t="shared" si="10"/>
        <v>343020.42449999991</v>
      </c>
      <c r="R15" s="158">
        <f t="shared" si="11"/>
        <v>274416.33959999995</v>
      </c>
      <c r="S15" s="158">
        <f t="shared" si="12"/>
        <v>205812.25469999996</v>
      </c>
      <c r="T15" s="158">
        <f t="shared" si="13"/>
        <v>12699902.602799997</v>
      </c>
      <c r="U15" s="158">
        <v>30000</v>
      </c>
      <c r="V15" s="158">
        <f t="shared" si="14"/>
        <v>1425198.4300799996</v>
      </c>
      <c r="W15" s="158">
        <f t="shared" si="17"/>
        <v>74092.41169199998</v>
      </c>
      <c r="X15" s="158">
        <f t="shared" si="15"/>
        <v>831400</v>
      </c>
      <c r="Y15" s="160">
        <v>6000</v>
      </c>
      <c r="Z15" s="160">
        <f t="shared" si="16"/>
        <v>15066593.444571996</v>
      </c>
      <c r="AA15" s="154" t="s">
        <v>487</v>
      </c>
      <c r="AB15" s="161"/>
      <c r="AC15" s="161"/>
      <c r="AD15" s="161"/>
      <c r="AE15" s="161"/>
      <c r="AF15" s="276" t="s">
        <v>534</v>
      </c>
      <c r="AG15" s="277" t="s">
        <v>535</v>
      </c>
      <c r="AH15" s="276" t="s">
        <v>45</v>
      </c>
      <c r="AI15" s="254" t="s">
        <v>45</v>
      </c>
      <c r="AJ15" s="162" t="s">
        <v>484</v>
      </c>
    </row>
    <row r="16" spans="1:36" ht="15.75" customHeight="1" x14ac:dyDescent="0.2">
      <c r="A16" s="244" t="s">
        <v>387</v>
      </c>
      <c r="B16" s="245">
        <f t="shared" si="0"/>
        <v>65.930000000000007</v>
      </c>
      <c r="C16" s="245">
        <v>56.78</v>
      </c>
      <c r="D16" s="245">
        <f t="shared" si="1"/>
        <v>611.17991999999992</v>
      </c>
      <c r="E16" s="245">
        <v>9.15</v>
      </c>
      <c r="F16" s="245">
        <f t="shared" si="2"/>
        <v>98.490600000000001</v>
      </c>
      <c r="G16" s="245">
        <v>0</v>
      </c>
      <c r="H16" s="245">
        <f t="shared" si="3"/>
        <v>0</v>
      </c>
      <c r="I16" s="245">
        <f t="shared" si="4"/>
        <v>709.6705199999999</v>
      </c>
      <c r="J16" s="245">
        <f t="shared" si="5"/>
        <v>1029.0222539999997</v>
      </c>
      <c r="K16" s="246">
        <f t="shared" si="6"/>
        <v>8232178.0319999978</v>
      </c>
      <c r="L16" s="246">
        <v>400000</v>
      </c>
      <c r="M16" s="247">
        <v>200000</v>
      </c>
      <c r="N16" s="248">
        <f t="shared" si="7"/>
        <v>8832178.0319999978</v>
      </c>
      <c r="O16" s="248">
        <f t="shared" si="8"/>
        <v>0</v>
      </c>
      <c r="P16" s="246">
        <f t="shared" si="9"/>
        <v>8832178.0319999978</v>
      </c>
      <c r="Q16" s="246">
        <f t="shared" si="10"/>
        <v>257255.56349999993</v>
      </c>
      <c r="R16" s="246">
        <f t="shared" si="11"/>
        <v>205804.45079999996</v>
      </c>
      <c r="S16" s="246">
        <f t="shared" si="12"/>
        <v>154353.33809999996</v>
      </c>
      <c r="T16" s="246">
        <f t="shared" si="13"/>
        <v>9449591.3843999971</v>
      </c>
      <c r="U16" s="246">
        <v>30000</v>
      </c>
      <c r="V16" s="246">
        <f t="shared" si="14"/>
        <v>1059861.3638399998</v>
      </c>
      <c r="W16" s="246">
        <f t="shared" si="17"/>
        <v>55567.201715999981</v>
      </c>
      <c r="X16" s="246">
        <f t="shared" si="15"/>
        <v>618300</v>
      </c>
      <c r="Y16" s="248">
        <v>6000</v>
      </c>
      <c r="Z16" s="248">
        <f t="shared" si="16"/>
        <v>11219319.949955998</v>
      </c>
      <c r="AA16" s="249" t="s">
        <v>487</v>
      </c>
      <c r="AB16" s="250"/>
      <c r="AC16" s="250"/>
      <c r="AD16" s="250"/>
      <c r="AE16" s="250"/>
      <c r="AF16" s="272">
        <v>174</v>
      </c>
      <c r="AG16" s="273" t="s">
        <v>536</v>
      </c>
      <c r="AH16" s="272" t="s">
        <v>40</v>
      </c>
      <c r="AI16" s="274" t="s">
        <v>45</v>
      </c>
      <c r="AJ16" s="253" t="s">
        <v>453</v>
      </c>
    </row>
    <row r="17" spans="1:36" ht="15.75" customHeight="1" x14ac:dyDescent="0.2">
      <c r="A17" s="244" t="s">
        <v>389</v>
      </c>
      <c r="B17" s="245">
        <f t="shared" si="0"/>
        <v>51.07</v>
      </c>
      <c r="C17" s="245">
        <v>44.52</v>
      </c>
      <c r="D17" s="245">
        <f t="shared" si="1"/>
        <v>479.21328</v>
      </c>
      <c r="E17" s="245">
        <v>6.55</v>
      </c>
      <c r="F17" s="245">
        <f t="shared" si="2"/>
        <v>70.504199999999997</v>
      </c>
      <c r="G17" s="245">
        <v>0</v>
      </c>
      <c r="H17" s="245">
        <f t="shared" si="3"/>
        <v>0</v>
      </c>
      <c r="I17" s="245">
        <f t="shared" si="4"/>
        <v>549.71748000000002</v>
      </c>
      <c r="J17" s="245">
        <f t="shared" si="5"/>
        <v>797.09034599999995</v>
      </c>
      <c r="K17" s="246">
        <f t="shared" si="6"/>
        <v>6376722.7679999992</v>
      </c>
      <c r="L17" s="246">
        <v>300000</v>
      </c>
      <c r="M17" s="247">
        <v>200000</v>
      </c>
      <c r="N17" s="248">
        <f t="shared" si="7"/>
        <v>6876722.7679999992</v>
      </c>
      <c r="O17" s="248">
        <f t="shared" si="8"/>
        <v>0</v>
      </c>
      <c r="P17" s="246">
        <f t="shared" si="9"/>
        <v>6876722.7679999992</v>
      </c>
      <c r="Q17" s="246">
        <f t="shared" si="10"/>
        <v>199272.58649999998</v>
      </c>
      <c r="R17" s="246">
        <f t="shared" si="11"/>
        <v>159418.0692</v>
      </c>
      <c r="S17" s="246">
        <f t="shared" si="12"/>
        <v>119563.55189999999</v>
      </c>
      <c r="T17" s="246">
        <f t="shared" si="13"/>
        <v>7354976.9755999995</v>
      </c>
      <c r="U17" s="246">
        <v>30000</v>
      </c>
      <c r="V17" s="246">
        <f t="shared" si="14"/>
        <v>825206.7321599999</v>
      </c>
      <c r="W17" s="246">
        <f t="shared" si="17"/>
        <v>43042.878683999996</v>
      </c>
      <c r="X17" s="246">
        <f t="shared" si="15"/>
        <v>481400</v>
      </c>
      <c r="Y17" s="248">
        <v>6000</v>
      </c>
      <c r="Z17" s="248">
        <f t="shared" si="16"/>
        <v>8740626.5864439998</v>
      </c>
      <c r="AA17" s="249" t="s">
        <v>487</v>
      </c>
      <c r="AB17" s="250"/>
      <c r="AC17" s="250"/>
      <c r="AD17" s="250"/>
      <c r="AE17" s="250"/>
      <c r="AF17" s="272">
        <v>216</v>
      </c>
      <c r="AG17" s="273" t="s">
        <v>537</v>
      </c>
      <c r="AH17" s="272" t="s">
        <v>65</v>
      </c>
      <c r="AI17" s="274" t="s">
        <v>45</v>
      </c>
      <c r="AJ17" s="253" t="s">
        <v>538</v>
      </c>
    </row>
    <row r="18" spans="1:36" ht="15.75" customHeight="1" x14ac:dyDescent="0.2">
      <c r="A18" s="244" t="s">
        <v>394</v>
      </c>
      <c r="B18" s="245">
        <f t="shared" si="0"/>
        <v>51.07</v>
      </c>
      <c r="C18" s="245">
        <v>44.52</v>
      </c>
      <c r="D18" s="245">
        <f t="shared" si="1"/>
        <v>479.21328</v>
      </c>
      <c r="E18" s="245">
        <v>6.55</v>
      </c>
      <c r="F18" s="245">
        <f t="shared" si="2"/>
        <v>70.504199999999997</v>
      </c>
      <c r="G18" s="245">
        <v>0</v>
      </c>
      <c r="H18" s="245">
        <f t="shared" si="3"/>
        <v>0</v>
      </c>
      <c r="I18" s="245">
        <f t="shared" si="4"/>
        <v>549.71748000000002</v>
      </c>
      <c r="J18" s="245">
        <f t="shared" si="5"/>
        <v>797.09034599999995</v>
      </c>
      <c r="K18" s="246">
        <f t="shared" si="6"/>
        <v>6376722.7679999992</v>
      </c>
      <c r="L18" s="246">
        <v>300000</v>
      </c>
      <c r="M18" s="247">
        <v>200000</v>
      </c>
      <c r="N18" s="248">
        <f t="shared" si="7"/>
        <v>6876722.7679999992</v>
      </c>
      <c r="O18" s="248">
        <f t="shared" si="8"/>
        <v>0</v>
      </c>
      <c r="P18" s="246">
        <f t="shared" si="9"/>
        <v>6876722.7679999992</v>
      </c>
      <c r="Q18" s="246">
        <f t="shared" si="10"/>
        <v>199272.58649999998</v>
      </c>
      <c r="R18" s="246">
        <f t="shared" si="11"/>
        <v>159418.0692</v>
      </c>
      <c r="S18" s="246">
        <f t="shared" si="12"/>
        <v>119563.55189999999</v>
      </c>
      <c r="T18" s="246">
        <f t="shared" si="13"/>
        <v>7354976.9755999995</v>
      </c>
      <c r="U18" s="246">
        <v>30000</v>
      </c>
      <c r="V18" s="246">
        <f t="shared" si="14"/>
        <v>825206.7321599999</v>
      </c>
      <c r="W18" s="246">
        <f t="shared" si="17"/>
        <v>43042.878683999996</v>
      </c>
      <c r="X18" s="246">
        <f t="shared" si="15"/>
        <v>481400</v>
      </c>
      <c r="Y18" s="248">
        <v>6000</v>
      </c>
      <c r="Z18" s="248">
        <f t="shared" si="16"/>
        <v>8740626.5864439998</v>
      </c>
      <c r="AA18" s="249" t="s">
        <v>487</v>
      </c>
      <c r="AB18" s="250"/>
      <c r="AC18" s="250"/>
      <c r="AD18" s="250"/>
      <c r="AE18" s="250"/>
      <c r="AF18" s="272">
        <v>217</v>
      </c>
      <c r="AG18" s="273" t="s">
        <v>539</v>
      </c>
      <c r="AH18" s="272" t="s">
        <v>65</v>
      </c>
      <c r="AI18" s="274" t="s">
        <v>45</v>
      </c>
      <c r="AJ18" s="253" t="s">
        <v>538</v>
      </c>
    </row>
    <row r="19" spans="1:36" ht="15.75" customHeight="1" x14ac:dyDescent="0.2">
      <c r="A19" s="244" t="s">
        <v>395</v>
      </c>
      <c r="B19" s="245">
        <f t="shared" si="0"/>
        <v>40.78</v>
      </c>
      <c r="C19" s="245">
        <v>36.04</v>
      </c>
      <c r="D19" s="245">
        <f t="shared" si="1"/>
        <v>387.93455999999998</v>
      </c>
      <c r="E19" s="245">
        <v>4.74</v>
      </c>
      <c r="F19" s="245">
        <f t="shared" si="2"/>
        <v>51.021360000000001</v>
      </c>
      <c r="G19" s="245">
        <v>0</v>
      </c>
      <c r="H19" s="245">
        <f t="shared" si="3"/>
        <v>0</v>
      </c>
      <c r="I19" s="245">
        <f t="shared" si="4"/>
        <v>438.95591999999999</v>
      </c>
      <c r="J19" s="245">
        <f t="shared" si="5"/>
        <v>636.48608400000001</v>
      </c>
      <c r="K19" s="246">
        <f t="shared" si="6"/>
        <v>5091888.6720000003</v>
      </c>
      <c r="L19" s="246">
        <v>300000</v>
      </c>
      <c r="M19" s="247">
        <v>200000</v>
      </c>
      <c r="N19" s="248">
        <f t="shared" si="7"/>
        <v>5591888.6720000003</v>
      </c>
      <c r="O19" s="248">
        <f t="shared" si="8"/>
        <v>0</v>
      </c>
      <c r="P19" s="246">
        <f t="shared" si="9"/>
        <v>5591888.6720000003</v>
      </c>
      <c r="Q19" s="246">
        <f t="shared" si="10"/>
        <v>159121.52100000001</v>
      </c>
      <c r="R19" s="246">
        <f t="shared" si="11"/>
        <v>127297.21679999999</v>
      </c>
      <c r="S19" s="246">
        <f t="shared" si="12"/>
        <v>95472.912599999996</v>
      </c>
      <c r="T19" s="246">
        <f t="shared" si="13"/>
        <v>5973780.3223999999</v>
      </c>
      <c r="U19" s="246">
        <v>30000</v>
      </c>
      <c r="V19" s="246">
        <f t="shared" si="14"/>
        <v>671026.64064</v>
      </c>
      <c r="W19" s="246">
        <f t="shared" si="17"/>
        <v>34370.248535999999</v>
      </c>
      <c r="X19" s="246">
        <f t="shared" si="15"/>
        <v>391500</v>
      </c>
      <c r="Y19" s="248">
        <v>6000</v>
      </c>
      <c r="Z19" s="248">
        <f t="shared" si="16"/>
        <v>7106677.2115759999</v>
      </c>
      <c r="AA19" s="249" t="s">
        <v>487</v>
      </c>
      <c r="AB19" s="250"/>
      <c r="AC19" s="250"/>
      <c r="AD19" s="250"/>
      <c r="AE19" s="250"/>
      <c r="AF19" s="272">
        <v>218</v>
      </c>
      <c r="AG19" s="273" t="s">
        <v>540</v>
      </c>
      <c r="AH19" s="272" t="s">
        <v>65</v>
      </c>
      <c r="AI19" s="274" t="s">
        <v>45</v>
      </c>
      <c r="AJ19" s="253" t="s">
        <v>538</v>
      </c>
    </row>
    <row r="20" spans="1:36" ht="15.75" customHeight="1" x14ac:dyDescent="0.2">
      <c r="A20" s="244" t="s">
        <v>401</v>
      </c>
      <c r="B20" s="245">
        <f t="shared" si="0"/>
        <v>71.070000000000007</v>
      </c>
      <c r="C20" s="245">
        <v>61.02</v>
      </c>
      <c r="D20" s="245">
        <f t="shared" si="1"/>
        <v>656.81928000000005</v>
      </c>
      <c r="E20" s="245">
        <v>10.050000000000001</v>
      </c>
      <c r="F20" s="245">
        <f t="shared" si="2"/>
        <v>108.1782</v>
      </c>
      <c r="G20" s="245">
        <v>0</v>
      </c>
      <c r="H20" s="245">
        <f t="shared" si="3"/>
        <v>0</v>
      </c>
      <c r="I20" s="245">
        <f t="shared" si="4"/>
        <v>764.99748</v>
      </c>
      <c r="J20" s="245">
        <f t="shared" si="5"/>
        <v>1109.2463459999999</v>
      </c>
      <c r="K20" s="246">
        <f t="shared" si="6"/>
        <v>8873970.7679999992</v>
      </c>
      <c r="L20" s="246">
        <v>400000</v>
      </c>
      <c r="M20" s="247">
        <v>200000</v>
      </c>
      <c r="N20" s="248">
        <f t="shared" si="7"/>
        <v>9473970.7679999992</v>
      </c>
      <c r="O20" s="248">
        <f t="shared" si="8"/>
        <v>0</v>
      </c>
      <c r="P20" s="246">
        <f t="shared" si="9"/>
        <v>9473970.7679999992</v>
      </c>
      <c r="Q20" s="246">
        <f t="shared" si="10"/>
        <v>277311.58649999998</v>
      </c>
      <c r="R20" s="246">
        <f t="shared" si="11"/>
        <v>221849.26919999998</v>
      </c>
      <c r="S20" s="246">
        <f t="shared" si="12"/>
        <v>166386.95189999999</v>
      </c>
      <c r="T20" s="246">
        <f t="shared" si="13"/>
        <v>10139518.5756</v>
      </c>
      <c r="U20" s="246">
        <v>30000</v>
      </c>
      <c r="V20" s="246">
        <f t="shared" si="14"/>
        <v>1136876.4921599999</v>
      </c>
      <c r="W20" s="246">
        <f t="shared" si="17"/>
        <v>59899.302683999995</v>
      </c>
      <c r="X20" s="246">
        <f t="shared" si="15"/>
        <v>663200</v>
      </c>
      <c r="Y20" s="248">
        <v>6000</v>
      </c>
      <c r="Z20" s="248">
        <f t="shared" si="16"/>
        <v>12035494.370444</v>
      </c>
      <c r="AA20" s="249" t="s">
        <v>487</v>
      </c>
      <c r="AB20" s="250"/>
      <c r="AC20" s="250"/>
      <c r="AD20" s="250"/>
      <c r="AE20" s="250"/>
      <c r="AF20" s="272">
        <v>175</v>
      </c>
      <c r="AG20" s="273" t="s">
        <v>541</v>
      </c>
      <c r="AH20" s="272" t="s">
        <v>40</v>
      </c>
      <c r="AI20" s="274" t="s">
        <v>45</v>
      </c>
      <c r="AJ20" s="253" t="s">
        <v>453</v>
      </c>
    </row>
    <row r="21" spans="1:36" ht="15.75" customHeight="1" x14ac:dyDescent="0.2">
      <c r="A21" s="244" t="s">
        <v>402</v>
      </c>
      <c r="B21" s="245">
        <f t="shared" si="0"/>
        <v>81.63000000000001</v>
      </c>
      <c r="C21" s="245">
        <v>69.73</v>
      </c>
      <c r="D21" s="245">
        <f t="shared" si="1"/>
        <v>750.57371999999998</v>
      </c>
      <c r="E21" s="245">
        <v>11.9</v>
      </c>
      <c r="F21" s="245">
        <f t="shared" si="2"/>
        <v>128.0916</v>
      </c>
      <c r="G21" s="245">
        <v>0</v>
      </c>
      <c r="H21" s="245">
        <f t="shared" si="3"/>
        <v>0</v>
      </c>
      <c r="I21" s="245">
        <f t="shared" si="4"/>
        <v>878.66531999999995</v>
      </c>
      <c r="J21" s="245">
        <f t="shared" si="5"/>
        <v>1274.0647139999999</v>
      </c>
      <c r="K21" s="246">
        <f t="shared" si="6"/>
        <v>10192517.711999999</v>
      </c>
      <c r="L21" s="246">
        <v>400000</v>
      </c>
      <c r="M21" s="247">
        <v>200000</v>
      </c>
      <c r="N21" s="248">
        <f t="shared" si="7"/>
        <v>10792517.711999999</v>
      </c>
      <c r="O21" s="248">
        <f t="shared" si="8"/>
        <v>0</v>
      </c>
      <c r="P21" s="246">
        <f t="shared" si="9"/>
        <v>10792517.711999999</v>
      </c>
      <c r="Q21" s="246">
        <f t="shared" si="10"/>
        <v>318516.17849999998</v>
      </c>
      <c r="R21" s="246">
        <f t="shared" si="11"/>
        <v>254812.94279999996</v>
      </c>
      <c r="S21" s="246">
        <f t="shared" si="12"/>
        <v>191109.70709999997</v>
      </c>
      <c r="T21" s="246">
        <f t="shared" si="13"/>
        <v>11556956.5404</v>
      </c>
      <c r="U21" s="246">
        <v>30000</v>
      </c>
      <c r="V21" s="246">
        <f t="shared" si="14"/>
        <v>1295102.1254399999</v>
      </c>
      <c r="W21" s="246">
        <f t="shared" si="17"/>
        <v>68799.494555999991</v>
      </c>
      <c r="X21" s="246">
        <f t="shared" si="15"/>
        <v>755500</v>
      </c>
      <c r="Y21" s="248">
        <v>6000</v>
      </c>
      <c r="Z21" s="248">
        <f t="shared" si="16"/>
        <v>13712358.160396</v>
      </c>
      <c r="AA21" s="249" t="s">
        <v>487</v>
      </c>
      <c r="AB21" s="250"/>
      <c r="AC21" s="250"/>
      <c r="AD21" s="250"/>
      <c r="AE21" s="250"/>
      <c r="AF21" s="272">
        <v>176</v>
      </c>
      <c r="AG21" s="273" t="s">
        <v>542</v>
      </c>
      <c r="AH21" s="272" t="s">
        <v>40</v>
      </c>
      <c r="AI21" s="274" t="s">
        <v>45</v>
      </c>
      <c r="AJ21" s="253" t="s">
        <v>453</v>
      </c>
    </row>
    <row r="22" spans="1:36" ht="15.75" customHeight="1" x14ac:dyDescent="0.2">
      <c r="A22" s="244" t="s">
        <v>408</v>
      </c>
      <c r="B22" s="245">
        <f t="shared" si="0"/>
        <v>50.22</v>
      </c>
      <c r="C22" s="245">
        <v>43.82</v>
      </c>
      <c r="D22" s="245">
        <f t="shared" si="1"/>
        <v>471.67847999999998</v>
      </c>
      <c r="E22" s="245">
        <v>6.4</v>
      </c>
      <c r="F22" s="245">
        <f t="shared" si="2"/>
        <v>68.889600000000002</v>
      </c>
      <c r="G22" s="245">
        <v>0</v>
      </c>
      <c r="H22" s="245">
        <f t="shared" si="3"/>
        <v>0</v>
      </c>
      <c r="I22" s="245">
        <f t="shared" si="4"/>
        <v>540.56808000000001</v>
      </c>
      <c r="J22" s="245">
        <f t="shared" si="5"/>
        <v>783.82371599999999</v>
      </c>
      <c r="K22" s="246">
        <f t="shared" si="6"/>
        <v>6270589.7280000001</v>
      </c>
      <c r="L22" s="246">
        <v>300000</v>
      </c>
      <c r="M22" s="247">
        <v>200000</v>
      </c>
      <c r="N22" s="248">
        <f t="shared" si="7"/>
        <v>6770589.7280000001</v>
      </c>
      <c r="O22" s="248">
        <f t="shared" si="8"/>
        <v>0</v>
      </c>
      <c r="P22" s="246">
        <f t="shared" si="9"/>
        <v>6770589.7280000001</v>
      </c>
      <c r="Q22" s="246">
        <f t="shared" si="10"/>
        <v>195955.929</v>
      </c>
      <c r="R22" s="246">
        <f t="shared" si="11"/>
        <v>156764.7432</v>
      </c>
      <c r="S22" s="246">
        <f t="shared" si="12"/>
        <v>117573.55740000001</v>
      </c>
      <c r="T22" s="246">
        <f t="shared" si="13"/>
        <v>7240883.9576000003</v>
      </c>
      <c r="U22" s="246">
        <v>30000</v>
      </c>
      <c r="V22" s="246">
        <f t="shared" si="14"/>
        <v>812470.76735999994</v>
      </c>
      <c r="W22" s="246">
        <f t="shared" si="17"/>
        <v>42326.480664000002</v>
      </c>
      <c r="X22" s="246">
        <f t="shared" si="15"/>
        <v>474000</v>
      </c>
      <c r="Y22" s="248">
        <v>6000</v>
      </c>
      <c r="Z22" s="248">
        <f t="shared" si="16"/>
        <v>8605681.2056239992</v>
      </c>
      <c r="AA22" s="249" t="s">
        <v>487</v>
      </c>
      <c r="AB22" s="250"/>
      <c r="AC22" s="250"/>
      <c r="AD22" s="250"/>
      <c r="AE22" s="250"/>
      <c r="AF22" s="272">
        <v>219</v>
      </c>
      <c r="AG22" s="273" t="s">
        <v>543</v>
      </c>
      <c r="AH22" s="272" t="s">
        <v>65</v>
      </c>
      <c r="AI22" s="274" t="s">
        <v>45</v>
      </c>
      <c r="AJ22" s="278" t="s">
        <v>538</v>
      </c>
    </row>
    <row r="23" spans="1:36" ht="15.75" customHeight="1" x14ac:dyDescent="0.2">
      <c r="A23" s="244" t="s">
        <v>411</v>
      </c>
      <c r="B23" s="245">
        <f t="shared" si="0"/>
        <v>41.21</v>
      </c>
      <c r="C23" s="245">
        <v>36.39</v>
      </c>
      <c r="D23" s="245">
        <f t="shared" si="1"/>
        <v>391.70195999999999</v>
      </c>
      <c r="E23" s="245">
        <v>4.82</v>
      </c>
      <c r="F23" s="245">
        <f t="shared" si="2"/>
        <v>51.882480000000001</v>
      </c>
      <c r="G23" s="245">
        <v>0</v>
      </c>
      <c r="H23" s="245">
        <f t="shared" si="3"/>
        <v>0</v>
      </c>
      <c r="I23" s="245">
        <f t="shared" si="4"/>
        <v>443.58443999999997</v>
      </c>
      <c r="J23" s="245">
        <f t="shared" si="5"/>
        <v>643.19743799999992</v>
      </c>
      <c r="K23" s="246">
        <f t="shared" si="6"/>
        <v>5145579.5039999997</v>
      </c>
      <c r="L23" s="246">
        <v>300000</v>
      </c>
      <c r="M23" s="247">
        <v>200000</v>
      </c>
      <c r="N23" s="248">
        <f t="shared" si="7"/>
        <v>5645579.5039999997</v>
      </c>
      <c r="O23" s="248">
        <f t="shared" si="8"/>
        <v>0</v>
      </c>
      <c r="P23" s="246">
        <f t="shared" si="9"/>
        <v>5645579.5039999997</v>
      </c>
      <c r="Q23" s="246">
        <f t="shared" si="10"/>
        <v>160799.35949999999</v>
      </c>
      <c r="R23" s="246">
        <f t="shared" si="11"/>
        <v>128639.48759999998</v>
      </c>
      <c r="S23" s="246">
        <f t="shared" si="12"/>
        <v>96479.615699999995</v>
      </c>
      <c r="T23" s="246">
        <f t="shared" si="13"/>
        <v>6031497.9667999996</v>
      </c>
      <c r="U23" s="246">
        <v>30000</v>
      </c>
      <c r="V23" s="246">
        <f t="shared" si="14"/>
        <v>677469.54047999997</v>
      </c>
      <c r="W23" s="246">
        <f t="shared" si="17"/>
        <v>34732.661651999995</v>
      </c>
      <c r="X23" s="246">
        <f t="shared" si="15"/>
        <v>395200</v>
      </c>
      <c r="Y23" s="248">
        <v>6000</v>
      </c>
      <c r="Z23" s="248">
        <f t="shared" si="16"/>
        <v>7174900.1689319992</v>
      </c>
      <c r="AA23" s="249" t="s">
        <v>487</v>
      </c>
      <c r="AB23" s="250"/>
      <c r="AC23" s="250"/>
      <c r="AD23" s="250"/>
      <c r="AE23" s="250"/>
      <c r="AF23" s="272">
        <v>220</v>
      </c>
      <c r="AG23" s="273" t="s">
        <v>544</v>
      </c>
      <c r="AH23" s="272" t="s">
        <v>65</v>
      </c>
      <c r="AI23" s="274" t="s">
        <v>45</v>
      </c>
      <c r="AJ23" s="278" t="s">
        <v>538</v>
      </c>
    </row>
    <row r="24" spans="1:36" ht="15.75" customHeight="1" x14ac:dyDescent="0.2">
      <c r="A24" s="244" t="s">
        <v>413</v>
      </c>
      <c r="B24" s="245">
        <f t="shared" si="0"/>
        <v>41.21</v>
      </c>
      <c r="C24" s="245">
        <v>36.39</v>
      </c>
      <c r="D24" s="245">
        <f t="shared" si="1"/>
        <v>391.70195999999999</v>
      </c>
      <c r="E24" s="245">
        <v>4.82</v>
      </c>
      <c r="F24" s="245">
        <f t="shared" si="2"/>
        <v>51.882480000000001</v>
      </c>
      <c r="G24" s="245">
        <v>0</v>
      </c>
      <c r="H24" s="245">
        <f t="shared" si="3"/>
        <v>0</v>
      </c>
      <c r="I24" s="245">
        <f t="shared" si="4"/>
        <v>443.58443999999997</v>
      </c>
      <c r="J24" s="245">
        <f t="shared" si="5"/>
        <v>643.19743799999992</v>
      </c>
      <c r="K24" s="246">
        <f t="shared" si="6"/>
        <v>5145579.5039999997</v>
      </c>
      <c r="L24" s="246">
        <v>300000</v>
      </c>
      <c r="M24" s="247">
        <v>200000</v>
      </c>
      <c r="N24" s="248">
        <f t="shared" si="7"/>
        <v>5645579.5039999997</v>
      </c>
      <c r="O24" s="248">
        <f t="shared" si="8"/>
        <v>0</v>
      </c>
      <c r="P24" s="246">
        <f t="shared" si="9"/>
        <v>5645579.5039999997</v>
      </c>
      <c r="Q24" s="246">
        <f t="shared" si="10"/>
        <v>160799.35949999999</v>
      </c>
      <c r="R24" s="246">
        <f t="shared" si="11"/>
        <v>128639.48759999998</v>
      </c>
      <c r="S24" s="246">
        <f t="shared" si="12"/>
        <v>96479.615699999995</v>
      </c>
      <c r="T24" s="246">
        <f t="shared" si="13"/>
        <v>6031497.9667999996</v>
      </c>
      <c r="U24" s="246">
        <v>30000</v>
      </c>
      <c r="V24" s="246">
        <f t="shared" si="14"/>
        <v>677469.54047999997</v>
      </c>
      <c r="W24" s="246">
        <f t="shared" si="17"/>
        <v>34732.661651999995</v>
      </c>
      <c r="X24" s="246">
        <f t="shared" si="15"/>
        <v>395200</v>
      </c>
      <c r="Y24" s="248">
        <v>6000</v>
      </c>
      <c r="Z24" s="248">
        <f t="shared" si="16"/>
        <v>7174900.1689319992</v>
      </c>
      <c r="AA24" s="249" t="s">
        <v>487</v>
      </c>
      <c r="AB24" s="250"/>
      <c r="AC24" s="250"/>
      <c r="AD24" s="250"/>
      <c r="AE24" s="250"/>
      <c r="AF24" s="272">
        <v>225</v>
      </c>
      <c r="AG24" s="273" t="s">
        <v>545</v>
      </c>
      <c r="AH24" s="272" t="s">
        <v>65</v>
      </c>
      <c r="AI24" s="274" t="s">
        <v>45</v>
      </c>
      <c r="AJ24" s="278" t="s">
        <v>538</v>
      </c>
    </row>
    <row r="25" spans="1:36" ht="15.75" customHeight="1" x14ac:dyDescent="0.2">
      <c r="A25" s="257" t="s">
        <v>415</v>
      </c>
      <c r="B25" s="259">
        <f t="shared" si="0"/>
        <v>42.36</v>
      </c>
      <c r="C25" s="258">
        <v>37.340000000000003</v>
      </c>
      <c r="D25" s="259">
        <f t="shared" si="1"/>
        <v>401.92776000000003</v>
      </c>
      <c r="E25" s="258">
        <v>5.0199999999999996</v>
      </c>
      <c r="F25" s="259">
        <f t="shared" si="2"/>
        <v>54.035279999999993</v>
      </c>
      <c r="G25" s="258">
        <v>0</v>
      </c>
      <c r="H25" s="258">
        <f t="shared" si="3"/>
        <v>0</v>
      </c>
      <c r="I25" s="259">
        <f t="shared" si="4"/>
        <v>455.96304000000003</v>
      </c>
      <c r="J25" s="259">
        <f t="shared" si="5"/>
        <v>661.14640800000006</v>
      </c>
      <c r="K25" s="258">
        <f t="shared" si="6"/>
        <v>5289171.2640000004</v>
      </c>
      <c r="L25" s="182">
        <v>300000</v>
      </c>
      <c r="M25" s="260">
        <v>200000</v>
      </c>
      <c r="N25" s="258">
        <f t="shared" si="7"/>
        <v>5789171.2640000004</v>
      </c>
      <c r="O25" s="258">
        <f t="shared" si="8"/>
        <v>0</v>
      </c>
      <c r="P25" s="258">
        <f t="shared" si="9"/>
        <v>5789171.2640000004</v>
      </c>
      <c r="Q25" s="258">
        <f t="shared" si="10"/>
        <v>165286.60200000001</v>
      </c>
      <c r="R25" s="258">
        <f t="shared" si="11"/>
        <v>132229.28160000002</v>
      </c>
      <c r="S25" s="258">
        <f t="shared" si="12"/>
        <v>99171.961200000005</v>
      </c>
      <c r="T25" s="258">
        <f t="shared" si="13"/>
        <v>6185859.1088000005</v>
      </c>
      <c r="U25" s="258">
        <v>30000</v>
      </c>
      <c r="V25" s="258">
        <f t="shared" si="14"/>
        <v>694700.55168000003</v>
      </c>
      <c r="W25" s="258">
        <f t="shared" si="17"/>
        <v>35701.906031999999</v>
      </c>
      <c r="X25" s="258">
        <f t="shared" si="15"/>
        <v>405300</v>
      </c>
      <c r="Y25" s="258">
        <v>6000</v>
      </c>
      <c r="Z25" s="258">
        <f t="shared" si="16"/>
        <v>7357561.5665119998</v>
      </c>
      <c r="AA25" s="258"/>
      <c r="AB25" s="258"/>
      <c r="AC25" s="258"/>
      <c r="AD25" s="258"/>
      <c r="AE25" s="258"/>
      <c r="AF25" s="270">
        <v>226</v>
      </c>
      <c r="AG25" s="271" t="s">
        <v>546</v>
      </c>
      <c r="AH25" s="270" t="s">
        <v>65</v>
      </c>
      <c r="AI25" s="268" t="s">
        <v>45</v>
      </c>
      <c r="AJ25" s="279" t="s">
        <v>538</v>
      </c>
    </row>
    <row r="26" spans="1:36" ht="15.75" customHeight="1" x14ac:dyDescent="0.2">
      <c r="A26" s="257" t="s">
        <v>417</v>
      </c>
      <c r="B26" s="259">
        <f t="shared" si="0"/>
        <v>42.36</v>
      </c>
      <c r="C26" s="258">
        <v>37.340000000000003</v>
      </c>
      <c r="D26" s="259">
        <f t="shared" si="1"/>
        <v>401.92776000000003</v>
      </c>
      <c r="E26" s="258">
        <v>5.0199999999999996</v>
      </c>
      <c r="F26" s="259">
        <f t="shared" si="2"/>
        <v>54.035279999999993</v>
      </c>
      <c r="G26" s="258">
        <v>0</v>
      </c>
      <c r="H26" s="258">
        <f t="shared" si="3"/>
        <v>0</v>
      </c>
      <c r="I26" s="259">
        <f t="shared" si="4"/>
        <v>455.96304000000003</v>
      </c>
      <c r="J26" s="259">
        <f t="shared" si="5"/>
        <v>661.14640800000006</v>
      </c>
      <c r="K26" s="258">
        <f t="shared" si="6"/>
        <v>5289171.2640000004</v>
      </c>
      <c r="L26" s="182">
        <v>300000</v>
      </c>
      <c r="M26" s="260">
        <v>200000</v>
      </c>
      <c r="N26" s="258">
        <f t="shared" si="7"/>
        <v>5789171.2640000004</v>
      </c>
      <c r="O26" s="258">
        <f t="shared" si="8"/>
        <v>0</v>
      </c>
      <c r="P26" s="258">
        <f t="shared" si="9"/>
        <v>5789171.2640000004</v>
      </c>
      <c r="Q26" s="258">
        <f t="shared" si="10"/>
        <v>165286.60200000001</v>
      </c>
      <c r="R26" s="258">
        <f t="shared" si="11"/>
        <v>132229.28160000002</v>
      </c>
      <c r="S26" s="258">
        <f t="shared" si="12"/>
        <v>99171.961200000005</v>
      </c>
      <c r="T26" s="258">
        <f t="shared" si="13"/>
        <v>6185859.1088000005</v>
      </c>
      <c r="U26" s="258">
        <v>30000</v>
      </c>
      <c r="V26" s="258">
        <f t="shared" si="14"/>
        <v>694700.55168000003</v>
      </c>
      <c r="W26" s="258">
        <f t="shared" si="17"/>
        <v>35701.906031999999</v>
      </c>
      <c r="X26" s="258">
        <f t="shared" si="15"/>
        <v>405300</v>
      </c>
      <c r="Y26" s="258">
        <v>6000</v>
      </c>
      <c r="Z26" s="258">
        <f t="shared" si="16"/>
        <v>7357561.5665119998</v>
      </c>
      <c r="AA26" s="258"/>
      <c r="AB26" s="258"/>
      <c r="AC26" s="258"/>
      <c r="AD26" s="258"/>
      <c r="AE26" s="258"/>
      <c r="AF26" s="270">
        <v>227</v>
      </c>
      <c r="AG26" s="271" t="s">
        <v>547</v>
      </c>
      <c r="AH26" s="270" t="s">
        <v>65</v>
      </c>
      <c r="AI26" s="268" t="s">
        <v>45</v>
      </c>
      <c r="AJ26" s="279" t="s">
        <v>538</v>
      </c>
    </row>
    <row r="27" spans="1:36" ht="15.75" customHeight="1" x14ac:dyDescent="0.2">
      <c r="A27" s="257" t="s">
        <v>419</v>
      </c>
      <c r="B27" s="259">
        <f t="shared" si="0"/>
        <v>43.93</v>
      </c>
      <c r="C27" s="258">
        <v>38.630000000000003</v>
      </c>
      <c r="D27" s="259">
        <f t="shared" si="1"/>
        <v>415.81331999999998</v>
      </c>
      <c r="E27" s="258">
        <v>5.3</v>
      </c>
      <c r="F27" s="259">
        <f t="shared" si="2"/>
        <v>57.049199999999992</v>
      </c>
      <c r="G27" s="258">
        <v>0</v>
      </c>
      <c r="H27" s="258">
        <f t="shared" si="3"/>
        <v>0</v>
      </c>
      <c r="I27" s="259">
        <f t="shared" si="4"/>
        <v>472.86251999999996</v>
      </c>
      <c r="J27" s="259">
        <f t="shared" si="5"/>
        <v>685.65065399999992</v>
      </c>
      <c r="K27" s="258">
        <f t="shared" si="6"/>
        <v>5485205.2319999989</v>
      </c>
      <c r="L27" s="182">
        <v>300000</v>
      </c>
      <c r="M27" s="260">
        <v>200000</v>
      </c>
      <c r="N27" s="258">
        <f t="shared" si="7"/>
        <v>5985205.2319999989</v>
      </c>
      <c r="O27" s="258">
        <f t="shared" si="8"/>
        <v>0</v>
      </c>
      <c r="P27" s="258">
        <f t="shared" si="9"/>
        <v>5985205.2319999989</v>
      </c>
      <c r="Q27" s="258">
        <f t="shared" si="10"/>
        <v>171412.66349999997</v>
      </c>
      <c r="R27" s="258">
        <f t="shared" si="11"/>
        <v>137130.13079999998</v>
      </c>
      <c r="S27" s="258">
        <f t="shared" si="12"/>
        <v>102847.59809999999</v>
      </c>
      <c r="T27" s="258">
        <f t="shared" si="13"/>
        <v>6396595.6243999992</v>
      </c>
      <c r="U27" s="258">
        <v>30000</v>
      </c>
      <c r="V27" s="258">
        <f t="shared" si="14"/>
        <v>718224.62783999986</v>
      </c>
      <c r="W27" s="258">
        <f t="shared" si="17"/>
        <v>37025.135315999993</v>
      </c>
      <c r="X27" s="258">
        <f t="shared" si="15"/>
        <v>419000</v>
      </c>
      <c r="Y27" s="258">
        <v>6000</v>
      </c>
      <c r="Z27" s="258">
        <f t="shared" si="16"/>
        <v>7606845.3875559997</v>
      </c>
      <c r="AA27" s="258"/>
      <c r="AB27" s="258"/>
      <c r="AC27" s="258"/>
      <c r="AD27" s="258"/>
      <c r="AE27" s="258"/>
      <c r="AF27" s="270">
        <v>228</v>
      </c>
      <c r="AG27" s="271" t="s">
        <v>548</v>
      </c>
      <c r="AH27" s="270" t="s">
        <v>65</v>
      </c>
      <c r="AI27" s="268" t="s">
        <v>45</v>
      </c>
      <c r="AJ27" s="279" t="s">
        <v>538</v>
      </c>
    </row>
    <row r="28" spans="1:36" ht="15.75" customHeight="1" x14ac:dyDescent="0.2">
      <c r="A28" s="257" t="s">
        <v>421</v>
      </c>
      <c r="B28" s="259">
        <f t="shared" si="0"/>
        <v>68.28</v>
      </c>
      <c r="C28" s="258">
        <v>60.88</v>
      </c>
      <c r="D28" s="259">
        <f t="shared" si="1"/>
        <v>655.31232</v>
      </c>
      <c r="E28" s="258">
        <v>7.4</v>
      </c>
      <c r="F28" s="259">
        <f t="shared" si="2"/>
        <v>79.653599999999997</v>
      </c>
      <c r="G28" s="258">
        <v>0</v>
      </c>
      <c r="H28" s="258">
        <f t="shared" si="3"/>
        <v>0</v>
      </c>
      <c r="I28" s="259">
        <f t="shared" si="4"/>
        <v>734.96591999999998</v>
      </c>
      <c r="J28" s="259">
        <f t="shared" si="5"/>
        <v>1065.7005839999999</v>
      </c>
      <c r="K28" s="258">
        <f t="shared" si="6"/>
        <v>8525604.6720000003</v>
      </c>
      <c r="L28" s="258">
        <v>400000</v>
      </c>
      <c r="M28" s="260">
        <v>200000</v>
      </c>
      <c r="N28" s="258">
        <f t="shared" si="7"/>
        <v>9125604.6720000003</v>
      </c>
      <c r="O28" s="258">
        <f t="shared" si="8"/>
        <v>0</v>
      </c>
      <c r="P28" s="258">
        <f t="shared" si="9"/>
        <v>9125604.6720000003</v>
      </c>
      <c r="Q28" s="258">
        <f t="shared" si="10"/>
        <v>266425.14600000001</v>
      </c>
      <c r="R28" s="258">
        <f t="shared" si="11"/>
        <v>213140.11679999999</v>
      </c>
      <c r="S28" s="258">
        <f t="shared" si="12"/>
        <v>159855.0876</v>
      </c>
      <c r="T28" s="258">
        <f t="shared" si="13"/>
        <v>9765025.0224000011</v>
      </c>
      <c r="U28" s="258">
        <v>30000</v>
      </c>
      <c r="V28" s="258">
        <f t="shared" si="14"/>
        <v>1095072.56064</v>
      </c>
      <c r="W28" s="258">
        <f t="shared" si="17"/>
        <v>57547.831535999998</v>
      </c>
      <c r="X28" s="258">
        <f t="shared" si="15"/>
        <v>638800</v>
      </c>
      <c r="Y28" s="258">
        <v>6000</v>
      </c>
      <c r="Z28" s="258">
        <f t="shared" si="16"/>
        <v>11592445.414576001</v>
      </c>
      <c r="AA28" s="258"/>
      <c r="AB28" s="258"/>
      <c r="AC28" s="258"/>
      <c r="AD28" s="258"/>
      <c r="AE28" s="258"/>
      <c r="AF28" s="270">
        <v>177</v>
      </c>
      <c r="AG28" s="271" t="s">
        <v>549</v>
      </c>
      <c r="AH28" s="270" t="s">
        <v>40</v>
      </c>
      <c r="AI28" s="268" t="s">
        <v>45</v>
      </c>
      <c r="AJ28" s="188" t="s">
        <v>453</v>
      </c>
    </row>
    <row r="29" spans="1:36" ht="15.75" customHeight="1" x14ac:dyDescent="0.2">
      <c r="A29" s="261"/>
      <c r="B29" s="261">
        <f t="shared" ref="B29:J29" si="18">SUM(B4:B28)</f>
        <v>1759.76</v>
      </c>
      <c r="C29" s="261">
        <f t="shared" si="18"/>
        <v>1513.23</v>
      </c>
      <c r="D29" s="261">
        <f t="shared" si="18"/>
        <v>16288.407720000003</v>
      </c>
      <c r="E29" s="261">
        <f t="shared" si="18"/>
        <v>246.53000000000009</v>
      </c>
      <c r="F29" s="280">
        <f t="shared" si="18"/>
        <v>2653.6489200000005</v>
      </c>
      <c r="G29" s="261">
        <f t="shared" si="18"/>
        <v>0</v>
      </c>
      <c r="H29" s="261">
        <f t="shared" si="18"/>
        <v>0</v>
      </c>
      <c r="I29" s="261">
        <f t="shared" si="18"/>
        <v>18942.056639999992</v>
      </c>
      <c r="J29" s="261">
        <f t="shared" si="18"/>
        <v>27465.982128</v>
      </c>
      <c r="K29" s="261"/>
      <c r="L29" s="261"/>
      <c r="M29" s="261"/>
      <c r="N29" s="261"/>
      <c r="O29" s="261"/>
      <c r="P29" s="261">
        <f>SUM(P4:P26)</f>
        <v>220117047.12</v>
      </c>
      <c r="Q29" s="261"/>
      <c r="R29" s="261"/>
      <c r="S29" s="261"/>
      <c r="T29" s="261"/>
      <c r="U29" s="261"/>
      <c r="V29" s="261"/>
      <c r="W29" s="261"/>
      <c r="X29" s="261"/>
      <c r="Y29" s="261"/>
      <c r="Z29" s="261">
        <f>SUM(Z4:Z26)</f>
        <v>279631017.00086391</v>
      </c>
      <c r="AA29" s="261"/>
      <c r="AB29" s="261"/>
      <c r="AC29" s="261"/>
      <c r="AD29" s="261"/>
      <c r="AE29" s="261"/>
      <c r="AF29" s="261"/>
      <c r="AG29" s="261"/>
      <c r="AH29" s="261"/>
      <c r="AI29" s="261"/>
      <c r="AJ29" s="281"/>
    </row>
    <row r="30" spans="1:36" ht="15.75" customHeight="1" x14ac:dyDescent="0.2">
      <c r="A30" s="166"/>
      <c r="B30" s="218"/>
      <c r="C30" s="218"/>
      <c r="D30" s="41"/>
      <c r="E30" s="41"/>
      <c r="F30" s="218"/>
      <c r="G30" s="41"/>
      <c r="H30" s="41"/>
      <c r="I30" s="41"/>
      <c r="J30" s="166"/>
      <c r="K30" s="41"/>
      <c r="L30" s="41"/>
      <c r="M30" s="41"/>
      <c r="N30" s="166"/>
      <c r="O30" s="166"/>
      <c r="P30" s="41"/>
      <c r="Q30" s="41"/>
      <c r="R30" s="41"/>
      <c r="S30" s="41"/>
      <c r="T30" s="41"/>
      <c r="U30" s="41"/>
      <c r="V30" s="41"/>
      <c r="W30" s="41"/>
      <c r="X30" s="41"/>
      <c r="Y30" s="166"/>
      <c r="Z30" s="166"/>
      <c r="AA30" s="41"/>
      <c r="AB30" s="41"/>
      <c r="AC30" s="41"/>
      <c r="AD30" s="41"/>
      <c r="AE30" s="41"/>
      <c r="AF30" s="41"/>
      <c r="AG30" s="41"/>
      <c r="AH30" s="41"/>
      <c r="AI30" s="41"/>
    </row>
    <row r="31" spans="1:36" ht="15.75" customHeight="1" x14ac:dyDescent="0.2">
      <c r="A31" s="166"/>
      <c r="B31" s="218"/>
      <c r="C31" s="218"/>
      <c r="D31" s="41"/>
      <c r="E31" s="41"/>
      <c r="F31" s="218"/>
      <c r="G31" s="41"/>
      <c r="H31" s="41"/>
      <c r="I31" s="41" t="s">
        <v>516</v>
      </c>
      <c r="J31" s="166">
        <f>SUM(J25:J28)+SUM(J4:J5)</f>
        <v>8345.3345819999995</v>
      </c>
      <c r="K31" s="41"/>
      <c r="L31" s="41"/>
      <c r="M31" s="41" t="s">
        <v>0</v>
      </c>
      <c r="N31" s="166"/>
      <c r="O31" s="166"/>
      <c r="P31" s="41"/>
      <c r="Q31" s="41"/>
      <c r="R31" s="41"/>
      <c r="S31" s="41"/>
      <c r="T31" s="41"/>
      <c r="U31" s="41"/>
      <c r="V31" s="41"/>
      <c r="W31" s="41"/>
      <c r="X31" s="41"/>
      <c r="Y31" s="166"/>
      <c r="Z31" s="166"/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6" ht="15.75" customHeight="1" x14ac:dyDescent="0.2">
      <c r="A32" s="166"/>
      <c r="B32" s="218"/>
      <c r="C32" s="218"/>
      <c r="D32" s="41"/>
      <c r="E32" s="41"/>
      <c r="F32" s="218"/>
      <c r="G32" s="41"/>
      <c r="H32" s="41"/>
      <c r="I32" s="41" t="s">
        <v>517</v>
      </c>
      <c r="J32" s="166">
        <f>J29-J31</f>
        <v>19120.647546</v>
      </c>
      <c r="K32" s="41"/>
      <c r="L32" s="41"/>
      <c r="M32" s="41"/>
      <c r="N32" s="166"/>
      <c r="O32" s="166"/>
      <c r="P32" s="41"/>
      <c r="Q32" s="41"/>
      <c r="R32" s="41"/>
      <c r="S32" s="41"/>
      <c r="T32" s="41"/>
      <c r="U32" s="41"/>
      <c r="V32" s="41"/>
      <c r="W32" s="41"/>
      <c r="X32" s="41"/>
      <c r="Y32" s="166"/>
      <c r="Z32" s="166"/>
      <c r="AA32" s="41"/>
      <c r="AB32" s="41"/>
      <c r="AC32" s="41"/>
      <c r="AD32" s="41"/>
      <c r="AE32" s="41"/>
      <c r="AF32" s="41"/>
      <c r="AG32" s="41"/>
      <c r="AH32" s="41"/>
      <c r="AI32" s="41"/>
    </row>
    <row r="33" spans="1:35" ht="15.75" customHeight="1" x14ac:dyDescent="0.2">
      <c r="A33" s="166"/>
      <c r="B33" s="218"/>
      <c r="C33" s="218"/>
      <c r="D33" s="41"/>
      <c r="E33" s="41"/>
      <c r="F33" s="218"/>
      <c r="G33" s="41"/>
      <c r="H33" s="41"/>
      <c r="I33" s="41"/>
      <c r="J33" s="166"/>
      <c r="K33" s="41"/>
      <c r="L33" s="41"/>
      <c r="M33" s="41"/>
      <c r="N33" s="166"/>
      <c r="O33" s="166"/>
      <c r="P33" s="41"/>
      <c r="Q33" s="41"/>
      <c r="R33" s="41"/>
      <c r="S33" s="41"/>
      <c r="T33" s="41"/>
      <c r="U33" s="41"/>
      <c r="V33" s="41"/>
      <c r="W33" s="41"/>
      <c r="X33" s="41"/>
      <c r="Y33" s="166"/>
      <c r="Z33" s="166"/>
      <c r="AA33" s="41"/>
      <c r="AB33" s="41"/>
      <c r="AC33" s="41"/>
      <c r="AD33" s="41"/>
      <c r="AE33" s="41"/>
      <c r="AF33" s="41"/>
      <c r="AG33" s="41"/>
      <c r="AH33" s="41"/>
      <c r="AI33" s="41"/>
    </row>
    <row r="34" spans="1:35" ht="15.75" customHeight="1" x14ac:dyDescent="0.2">
      <c r="A34" s="166"/>
      <c r="B34" s="218"/>
      <c r="C34" s="218"/>
      <c r="D34" s="41"/>
      <c r="E34" s="41"/>
      <c r="F34" s="218"/>
      <c r="G34" s="41"/>
      <c r="H34" s="41"/>
      <c r="I34" s="41"/>
      <c r="J34" s="166"/>
      <c r="K34" s="41"/>
      <c r="L34" s="41"/>
      <c r="M34" s="41"/>
      <c r="N34" s="166"/>
      <c r="O34" s="166"/>
      <c r="P34" s="41"/>
      <c r="Q34" s="41"/>
      <c r="R34" s="41"/>
      <c r="S34" s="41"/>
      <c r="T34" s="41"/>
      <c r="U34" s="41"/>
      <c r="V34" s="41"/>
      <c r="W34" s="41"/>
      <c r="X34" s="41"/>
      <c r="Y34" s="166"/>
      <c r="Z34" s="166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ht="15.75" customHeight="1" x14ac:dyDescent="0.2">
      <c r="A35" s="166"/>
      <c r="B35" s="218"/>
      <c r="C35" s="218"/>
      <c r="D35" s="41"/>
      <c r="E35" s="41"/>
      <c r="F35" s="218"/>
      <c r="G35" s="41"/>
      <c r="H35" s="41"/>
      <c r="I35" s="41"/>
      <c r="J35" s="166"/>
      <c r="K35" s="41"/>
      <c r="L35" s="41"/>
      <c r="M35" s="41"/>
      <c r="N35" s="166"/>
      <c r="O35" s="166"/>
      <c r="P35" s="41"/>
      <c r="Q35" s="41"/>
      <c r="R35" s="41"/>
      <c r="S35" s="41"/>
      <c r="T35" s="41"/>
      <c r="U35" s="41"/>
      <c r="V35" s="41"/>
      <c r="W35" s="41"/>
      <c r="X35" s="41"/>
      <c r="Y35" s="166"/>
      <c r="Z35" s="166"/>
      <c r="AA35" s="41"/>
      <c r="AB35" s="41"/>
      <c r="AC35" s="41"/>
      <c r="AD35" s="41"/>
      <c r="AE35" s="41"/>
      <c r="AF35" s="41"/>
      <c r="AG35" s="41"/>
      <c r="AH35" s="41"/>
      <c r="AI35" s="41"/>
    </row>
    <row r="36" spans="1:35" ht="15.75" customHeight="1" x14ac:dyDescent="0.2">
      <c r="A36" s="166"/>
      <c r="B36" s="218"/>
      <c r="C36" s="218"/>
      <c r="D36" s="41"/>
      <c r="E36" s="41"/>
      <c r="F36" s="218"/>
      <c r="G36" s="41"/>
      <c r="H36" s="41"/>
      <c r="I36" s="41"/>
      <c r="J36" s="166"/>
      <c r="K36" s="41"/>
      <c r="L36" s="41"/>
      <c r="M36" s="41"/>
      <c r="N36" s="166"/>
      <c r="O36" s="166"/>
      <c r="P36" s="41"/>
      <c r="Q36" s="41"/>
      <c r="R36" s="41"/>
      <c r="S36" s="41"/>
      <c r="T36" s="41"/>
      <c r="U36" s="41"/>
      <c r="V36" s="41"/>
      <c r="W36" s="41"/>
      <c r="X36" s="41"/>
      <c r="Y36" s="166"/>
      <c r="Z36" s="166"/>
      <c r="AA36" s="41"/>
      <c r="AB36" s="41"/>
      <c r="AC36" s="41"/>
      <c r="AD36" s="41"/>
      <c r="AE36" s="41"/>
      <c r="AF36" s="41"/>
      <c r="AG36" s="41"/>
      <c r="AH36" s="41"/>
      <c r="AI36" s="41"/>
    </row>
    <row r="37" spans="1:35" ht="15.75" customHeight="1" x14ac:dyDescent="0.2">
      <c r="A37" s="166"/>
      <c r="B37" s="218"/>
      <c r="C37" s="218"/>
      <c r="D37" s="41"/>
      <c r="E37" s="41"/>
      <c r="F37" s="218"/>
      <c r="G37" s="41"/>
      <c r="H37" s="41"/>
      <c r="I37" s="41"/>
      <c r="J37" s="166"/>
      <c r="K37" s="41"/>
      <c r="L37" s="41"/>
      <c r="M37" s="41"/>
      <c r="N37" s="166"/>
      <c r="O37" s="166"/>
      <c r="P37" s="41"/>
      <c r="Q37" s="41"/>
      <c r="R37" s="41"/>
      <c r="S37" s="41"/>
      <c r="T37" s="41"/>
      <c r="U37" s="41"/>
      <c r="V37" s="41"/>
      <c r="W37" s="41"/>
      <c r="X37" s="41"/>
      <c r="Y37" s="166"/>
      <c r="Z37" s="166"/>
      <c r="AA37" s="41"/>
      <c r="AB37" s="41"/>
      <c r="AC37" s="41"/>
      <c r="AD37" s="41"/>
      <c r="AE37" s="41"/>
      <c r="AF37" s="41"/>
      <c r="AG37" s="41"/>
      <c r="AH37" s="41"/>
      <c r="AI37" s="41"/>
    </row>
    <row r="38" spans="1:35" ht="15.75" customHeight="1" x14ac:dyDescent="0.2">
      <c r="A38" s="166"/>
      <c r="B38" s="218"/>
      <c r="C38" s="218"/>
      <c r="D38" s="41"/>
      <c r="E38" s="41"/>
      <c r="F38" s="218"/>
      <c r="G38" s="41"/>
      <c r="H38" s="41"/>
      <c r="I38" s="41"/>
      <c r="J38" s="166"/>
      <c r="K38" s="41"/>
      <c r="L38" s="41"/>
      <c r="M38" s="41"/>
      <c r="N38" s="166"/>
      <c r="O38" s="166"/>
      <c r="P38" s="41"/>
      <c r="Q38" s="41"/>
      <c r="R38" s="41"/>
      <c r="S38" s="41"/>
      <c r="T38" s="41"/>
      <c r="U38" s="41"/>
      <c r="V38" s="41"/>
      <c r="W38" s="41"/>
      <c r="X38" s="41"/>
      <c r="Y38" s="166"/>
      <c r="Z38" s="166"/>
      <c r="AA38" s="41"/>
      <c r="AB38" s="41"/>
      <c r="AC38" s="41"/>
      <c r="AD38" s="41"/>
      <c r="AE38" s="41"/>
      <c r="AF38" s="41"/>
      <c r="AG38" s="41"/>
      <c r="AH38" s="41"/>
      <c r="AI38" s="41"/>
    </row>
    <row r="39" spans="1:35" ht="15.75" customHeight="1" x14ac:dyDescent="0.2">
      <c r="A39" s="166"/>
      <c r="B39" s="218"/>
      <c r="C39" s="218"/>
      <c r="D39" s="41"/>
      <c r="E39" s="41"/>
      <c r="F39" s="218"/>
      <c r="G39" s="41"/>
      <c r="H39" s="41"/>
      <c r="I39" s="41"/>
      <c r="J39" s="166"/>
      <c r="K39" s="41"/>
      <c r="L39" s="41"/>
      <c r="M39" s="41"/>
      <c r="N39" s="166"/>
      <c r="O39" s="166"/>
      <c r="P39" s="41"/>
      <c r="Q39" s="41"/>
      <c r="R39" s="41"/>
      <c r="S39" s="41"/>
      <c r="T39" s="41"/>
      <c r="U39" s="41"/>
      <c r="V39" s="41"/>
      <c r="W39" s="41"/>
      <c r="X39" s="41"/>
      <c r="Y39" s="166"/>
      <c r="Z39" s="166"/>
      <c r="AA39" s="41"/>
      <c r="AB39" s="41"/>
      <c r="AC39" s="41"/>
      <c r="AD39" s="41"/>
      <c r="AE39" s="41"/>
      <c r="AF39" s="41"/>
      <c r="AG39" s="41"/>
      <c r="AH39" s="41"/>
      <c r="AI39" s="41"/>
    </row>
    <row r="40" spans="1:35" ht="15.75" customHeight="1" x14ac:dyDescent="0.2">
      <c r="A40" s="166"/>
      <c r="B40" s="218"/>
      <c r="C40" s="218"/>
      <c r="D40" s="41"/>
      <c r="E40" s="41"/>
      <c r="F40" s="218"/>
      <c r="G40" s="41"/>
      <c r="H40" s="41"/>
      <c r="I40" s="41"/>
      <c r="J40" s="166"/>
      <c r="K40" s="41"/>
      <c r="L40" s="41"/>
      <c r="M40" s="41"/>
      <c r="N40" s="166"/>
      <c r="O40" s="166"/>
      <c r="P40" s="41"/>
      <c r="Q40" s="41"/>
      <c r="R40" s="41"/>
      <c r="S40" s="41"/>
      <c r="T40" s="41"/>
      <c r="U40" s="41"/>
      <c r="V40" s="41"/>
      <c r="W40" s="41"/>
      <c r="X40" s="41"/>
      <c r="Y40" s="166"/>
      <c r="Z40" s="166"/>
      <c r="AA40" s="41"/>
      <c r="AB40" s="41"/>
      <c r="AC40" s="41"/>
      <c r="AD40" s="41"/>
      <c r="AE40" s="41"/>
      <c r="AF40" s="41"/>
      <c r="AG40" s="41"/>
      <c r="AH40" s="41"/>
      <c r="AI40" s="41"/>
    </row>
    <row r="41" spans="1:35" ht="15.75" customHeight="1" x14ac:dyDescent="0.2">
      <c r="A41" s="166"/>
      <c r="B41" s="218"/>
      <c r="C41" s="218"/>
      <c r="D41" s="41"/>
      <c r="E41" s="41"/>
      <c r="F41" s="218"/>
      <c r="G41" s="41"/>
      <c r="H41" s="41"/>
      <c r="I41" s="41"/>
      <c r="J41" s="166"/>
      <c r="K41" s="41"/>
      <c r="L41" s="41"/>
      <c r="M41" s="41"/>
      <c r="N41" s="166"/>
      <c r="O41" s="166"/>
      <c r="P41" s="41"/>
      <c r="Q41" s="41"/>
      <c r="R41" s="41"/>
      <c r="S41" s="41"/>
      <c r="T41" s="41"/>
      <c r="U41" s="41"/>
      <c r="V41" s="41"/>
      <c r="W41" s="41"/>
      <c r="X41" s="41"/>
      <c r="Y41" s="166"/>
      <c r="Z41" s="166"/>
      <c r="AA41" s="41"/>
      <c r="AB41" s="41"/>
      <c r="AC41" s="41"/>
      <c r="AD41" s="41"/>
      <c r="AE41" s="41"/>
      <c r="AF41" s="41"/>
      <c r="AG41" s="41"/>
      <c r="AH41" s="41"/>
      <c r="AI41" s="41"/>
    </row>
    <row r="42" spans="1:35" ht="15.75" customHeight="1" x14ac:dyDescent="0.2">
      <c r="A42" s="166"/>
      <c r="B42" s="218"/>
      <c r="C42" s="218"/>
      <c r="D42" s="41"/>
      <c r="E42" s="41"/>
      <c r="F42" s="218"/>
      <c r="G42" s="41"/>
      <c r="H42" s="41"/>
      <c r="I42" s="41"/>
      <c r="J42" s="166"/>
      <c r="K42" s="41"/>
      <c r="L42" s="41"/>
      <c r="M42" s="41"/>
      <c r="N42" s="166"/>
      <c r="O42" s="166"/>
      <c r="P42" s="41"/>
      <c r="Q42" s="41"/>
      <c r="R42" s="41"/>
      <c r="S42" s="41"/>
      <c r="T42" s="41"/>
      <c r="U42" s="41"/>
      <c r="V42" s="41"/>
      <c r="W42" s="41"/>
      <c r="X42" s="41"/>
      <c r="Y42" s="166"/>
      <c r="Z42" s="166"/>
      <c r="AA42" s="41"/>
      <c r="AB42" s="41"/>
      <c r="AC42" s="41"/>
      <c r="AD42" s="41"/>
      <c r="AE42" s="41"/>
      <c r="AF42" s="41"/>
      <c r="AG42" s="41"/>
      <c r="AH42" s="41"/>
      <c r="AI42" s="41"/>
    </row>
    <row r="43" spans="1:35" ht="15.75" customHeight="1" x14ac:dyDescent="0.2">
      <c r="A43" s="166"/>
      <c r="B43" s="218"/>
      <c r="C43" s="218"/>
      <c r="D43" s="41"/>
      <c r="E43" s="41"/>
      <c r="F43" s="218"/>
      <c r="G43" s="41"/>
      <c r="H43" s="41"/>
      <c r="I43" s="41"/>
      <c r="J43" s="166"/>
      <c r="K43" s="41"/>
      <c r="L43" s="41"/>
      <c r="M43" s="41"/>
      <c r="N43" s="166"/>
      <c r="O43" s="166"/>
      <c r="P43" s="41"/>
      <c r="Q43" s="41"/>
      <c r="R43" s="41"/>
      <c r="S43" s="41"/>
      <c r="T43" s="41"/>
      <c r="U43" s="41"/>
      <c r="V43" s="41"/>
      <c r="W43" s="41"/>
      <c r="X43" s="41"/>
      <c r="Y43" s="166"/>
      <c r="Z43" s="166"/>
      <c r="AA43" s="41"/>
      <c r="AB43" s="41"/>
      <c r="AC43" s="41"/>
      <c r="AD43" s="41"/>
      <c r="AE43" s="41"/>
      <c r="AF43" s="41"/>
      <c r="AG43" s="41"/>
      <c r="AH43" s="41"/>
      <c r="AI43" s="41"/>
    </row>
    <row r="44" spans="1:35" ht="15.75" customHeight="1" x14ac:dyDescent="0.2">
      <c r="A44" s="166"/>
      <c r="B44" s="218"/>
      <c r="C44" s="218"/>
      <c r="D44" s="41"/>
      <c r="E44" s="41"/>
      <c r="F44" s="218"/>
      <c r="G44" s="41"/>
      <c r="H44" s="41"/>
      <c r="I44" s="41"/>
      <c r="J44" s="166"/>
      <c r="K44" s="41"/>
      <c r="L44" s="41"/>
      <c r="M44" s="41"/>
      <c r="N44" s="166"/>
      <c r="O44" s="166"/>
      <c r="P44" s="41"/>
      <c r="Q44" s="41"/>
      <c r="R44" s="41"/>
      <c r="S44" s="41"/>
      <c r="T44" s="41"/>
      <c r="U44" s="41"/>
      <c r="V44" s="41"/>
      <c r="W44" s="41"/>
      <c r="X44" s="41"/>
      <c r="Y44" s="166"/>
      <c r="Z44" s="166"/>
      <c r="AA44" s="41"/>
      <c r="AB44" s="41"/>
      <c r="AC44" s="41"/>
      <c r="AD44" s="41"/>
      <c r="AE44" s="41"/>
      <c r="AF44" s="41"/>
      <c r="AG44" s="41"/>
      <c r="AH44" s="41"/>
      <c r="AI44" s="41"/>
    </row>
    <row r="45" spans="1:35" ht="15.75" customHeight="1" x14ac:dyDescent="0.2">
      <c r="A45" s="166"/>
      <c r="B45" s="218"/>
      <c r="C45" s="218"/>
      <c r="D45" s="41"/>
      <c r="E45" s="41"/>
      <c r="F45" s="218"/>
      <c r="G45" s="41"/>
      <c r="H45" s="41"/>
      <c r="I45" s="41"/>
      <c r="J45" s="166"/>
      <c r="K45" s="41"/>
      <c r="L45" s="41"/>
      <c r="M45" s="41"/>
      <c r="N45" s="166"/>
      <c r="O45" s="166"/>
      <c r="P45" s="41"/>
      <c r="Q45" s="41"/>
      <c r="R45" s="41"/>
      <c r="S45" s="41"/>
      <c r="T45" s="41"/>
      <c r="U45" s="41"/>
      <c r="V45" s="41"/>
      <c r="W45" s="41"/>
      <c r="X45" s="41"/>
      <c r="Y45" s="166"/>
      <c r="Z45" s="166"/>
      <c r="AA45" s="41"/>
      <c r="AB45" s="41"/>
      <c r="AC45" s="41"/>
      <c r="AD45" s="41"/>
      <c r="AE45" s="41"/>
      <c r="AF45" s="41"/>
      <c r="AG45" s="41"/>
      <c r="AH45" s="41"/>
      <c r="AI45" s="41"/>
    </row>
    <row r="46" spans="1:35" ht="15.75" customHeight="1" x14ac:dyDescent="0.2">
      <c r="A46" s="166"/>
      <c r="B46" s="218"/>
      <c r="C46" s="218"/>
      <c r="D46" s="41"/>
      <c r="E46" s="41"/>
      <c r="F46" s="218"/>
      <c r="G46" s="41"/>
      <c r="H46" s="41"/>
      <c r="I46" s="41"/>
      <c r="J46" s="166"/>
      <c r="K46" s="41"/>
      <c r="L46" s="41"/>
      <c r="M46" s="41"/>
      <c r="N46" s="166"/>
      <c r="O46" s="166"/>
      <c r="P46" s="41"/>
      <c r="Q46" s="41"/>
      <c r="R46" s="41"/>
      <c r="S46" s="41"/>
      <c r="T46" s="41"/>
      <c r="U46" s="41"/>
      <c r="V46" s="41"/>
      <c r="W46" s="41"/>
      <c r="X46" s="41"/>
      <c r="Y46" s="166"/>
      <c r="Z46" s="166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5.75" customHeight="1" x14ac:dyDescent="0.2">
      <c r="A47" s="166"/>
      <c r="B47" s="218"/>
      <c r="C47" s="218"/>
      <c r="D47" s="41"/>
      <c r="E47" s="41"/>
      <c r="F47" s="218"/>
      <c r="G47" s="41"/>
      <c r="H47" s="41"/>
      <c r="I47" s="41"/>
      <c r="J47" s="166"/>
      <c r="K47" s="41"/>
      <c r="L47" s="41"/>
      <c r="M47" s="41"/>
      <c r="N47" s="166"/>
      <c r="O47" s="166"/>
      <c r="P47" s="41"/>
      <c r="Q47" s="41"/>
      <c r="R47" s="41"/>
      <c r="S47" s="41"/>
      <c r="T47" s="41"/>
      <c r="U47" s="41"/>
      <c r="V47" s="41"/>
      <c r="W47" s="41"/>
      <c r="X47" s="41"/>
      <c r="Y47" s="166"/>
      <c r="Z47" s="166"/>
      <c r="AA47" s="41"/>
      <c r="AB47" s="41"/>
      <c r="AC47" s="41"/>
      <c r="AD47" s="41"/>
      <c r="AE47" s="41"/>
      <c r="AF47" s="41"/>
      <c r="AG47" s="41"/>
      <c r="AH47" s="41"/>
      <c r="AI47" s="41"/>
    </row>
    <row r="48" spans="1:35" ht="15.75" customHeight="1" x14ac:dyDescent="0.2">
      <c r="A48" s="166"/>
      <c r="B48" s="218"/>
      <c r="C48" s="218"/>
      <c r="D48" s="41"/>
      <c r="E48" s="41"/>
      <c r="F48" s="218"/>
      <c r="G48" s="41"/>
      <c r="H48" s="41"/>
      <c r="I48" s="41"/>
      <c r="J48" s="166"/>
      <c r="K48" s="41"/>
      <c r="L48" s="41"/>
      <c r="M48" s="41"/>
      <c r="N48" s="166"/>
      <c r="O48" s="166"/>
      <c r="P48" s="41"/>
      <c r="Q48" s="41"/>
      <c r="R48" s="41"/>
      <c r="S48" s="41"/>
      <c r="T48" s="41"/>
      <c r="U48" s="41"/>
      <c r="V48" s="41"/>
      <c r="W48" s="41"/>
      <c r="X48" s="41"/>
      <c r="Y48" s="166"/>
      <c r="Z48" s="166"/>
      <c r="AA48" s="41"/>
      <c r="AB48" s="41"/>
      <c r="AC48" s="41"/>
      <c r="AD48" s="41"/>
      <c r="AE48" s="41"/>
      <c r="AF48" s="41"/>
      <c r="AG48" s="41"/>
      <c r="AH48" s="41"/>
      <c r="AI48" s="41"/>
    </row>
    <row r="49" spans="1:35" ht="15.75" customHeight="1" x14ac:dyDescent="0.2">
      <c r="A49" s="166"/>
      <c r="B49" s="218"/>
      <c r="C49" s="218"/>
      <c r="D49" s="41"/>
      <c r="E49" s="41"/>
      <c r="F49" s="218"/>
      <c r="G49" s="41"/>
      <c r="H49" s="41"/>
      <c r="I49" s="41"/>
      <c r="J49" s="166"/>
      <c r="K49" s="41"/>
      <c r="L49" s="41"/>
      <c r="M49" s="41"/>
      <c r="N49" s="166"/>
      <c r="O49" s="166"/>
      <c r="P49" s="41"/>
      <c r="Q49" s="41"/>
      <c r="R49" s="41"/>
      <c r="S49" s="41"/>
      <c r="T49" s="41"/>
      <c r="U49" s="41"/>
      <c r="V49" s="41"/>
      <c r="W49" s="41"/>
      <c r="X49" s="41"/>
      <c r="Y49" s="166"/>
      <c r="Z49" s="166"/>
      <c r="AA49" s="41"/>
      <c r="AB49" s="41"/>
      <c r="AC49" s="41"/>
      <c r="AD49" s="41"/>
      <c r="AE49" s="41"/>
      <c r="AF49" s="41"/>
      <c r="AG49" s="41"/>
      <c r="AH49" s="41"/>
      <c r="AI49" s="41"/>
    </row>
    <row r="50" spans="1:35" ht="15.75" customHeight="1" x14ac:dyDescent="0.2">
      <c r="A50" s="166"/>
      <c r="B50" s="218"/>
      <c r="C50" s="218"/>
      <c r="D50" s="41"/>
      <c r="E50" s="41"/>
      <c r="F50" s="218"/>
      <c r="G50" s="41"/>
      <c r="H50" s="41"/>
      <c r="I50" s="41"/>
      <c r="J50" s="166"/>
      <c r="K50" s="41"/>
      <c r="L50" s="41"/>
      <c r="M50" s="41"/>
      <c r="N50" s="166"/>
      <c r="O50" s="166"/>
      <c r="P50" s="41"/>
      <c r="Q50" s="41"/>
      <c r="R50" s="41"/>
      <c r="S50" s="41"/>
      <c r="T50" s="41"/>
      <c r="U50" s="41"/>
      <c r="V50" s="41"/>
      <c r="W50" s="41"/>
      <c r="X50" s="41"/>
      <c r="Y50" s="166"/>
      <c r="Z50" s="166"/>
      <c r="AA50" s="41"/>
      <c r="AB50" s="41"/>
      <c r="AC50" s="41"/>
      <c r="AD50" s="41"/>
      <c r="AE50" s="41"/>
      <c r="AF50" s="41"/>
      <c r="AG50" s="41"/>
      <c r="AH50" s="41"/>
      <c r="AI50" s="41"/>
    </row>
    <row r="51" spans="1:35" ht="15.75" customHeight="1" x14ac:dyDescent="0.2">
      <c r="A51" s="166"/>
      <c r="B51" s="218"/>
      <c r="C51" s="218"/>
      <c r="D51" s="41"/>
      <c r="E51" s="41"/>
      <c r="F51" s="218"/>
      <c r="G51" s="41"/>
      <c r="H51" s="41"/>
      <c r="I51" s="41"/>
      <c r="J51" s="166"/>
      <c r="K51" s="41"/>
      <c r="L51" s="41"/>
      <c r="M51" s="41"/>
      <c r="N51" s="166"/>
      <c r="O51" s="166"/>
      <c r="P51" s="41"/>
      <c r="Q51" s="41"/>
      <c r="R51" s="41"/>
      <c r="S51" s="41"/>
      <c r="T51" s="41"/>
      <c r="U51" s="41"/>
      <c r="V51" s="41"/>
      <c r="W51" s="41"/>
      <c r="X51" s="41"/>
      <c r="Y51" s="166"/>
      <c r="Z51" s="166"/>
      <c r="AA51" s="41"/>
      <c r="AB51" s="41"/>
      <c r="AC51" s="41"/>
      <c r="AD51" s="41"/>
      <c r="AE51" s="41"/>
      <c r="AF51" s="41"/>
      <c r="AG51" s="41"/>
      <c r="AH51" s="41"/>
      <c r="AI51" s="41"/>
    </row>
    <row r="52" spans="1:35" ht="15.75" customHeight="1" x14ac:dyDescent="0.2">
      <c r="A52" s="166"/>
      <c r="B52" s="218"/>
      <c r="C52" s="218"/>
      <c r="D52" s="41"/>
      <c r="E52" s="41"/>
      <c r="F52" s="218"/>
      <c r="G52" s="41"/>
      <c r="H52" s="41"/>
      <c r="I52" s="41"/>
      <c r="J52" s="166"/>
      <c r="K52" s="41"/>
      <c r="L52" s="41"/>
      <c r="M52" s="41"/>
      <c r="N52" s="166"/>
      <c r="O52" s="166"/>
      <c r="P52" s="41"/>
      <c r="Q52" s="41"/>
      <c r="R52" s="41"/>
      <c r="S52" s="41"/>
      <c r="T52" s="41"/>
      <c r="U52" s="41"/>
      <c r="V52" s="41"/>
      <c r="W52" s="41"/>
      <c r="X52" s="41"/>
      <c r="Y52" s="166"/>
      <c r="Z52" s="166"/>
      <c r="AA52" s="41"/>
      <c r="AB52" s="41"/>
      <c r="AC52" s="41"/>
      <c r="AD52" s="41"/>
      <c r="AE52" s="41"/>
      <c r="AF52" s="41"/>
      <c r="AG52" s="41"/>
      <c r="AH52" s="41"/>
      <c r="AI52" s="41"/>
    </row>
    <row r="53" spans="1:35" ht="15.75" customHeight="1" x14ac:dyDescent="0.2">
      <c r="A53" s="166"/>
      <c r="B53" s="218"/>
      <c r="C53" s="218"/>
      <c r="D53" s="41"/>
      <c r="E53" s="41"/>
      <c r="F53" s="218"/>
      <c r="G53" s="41"/>
      <c r="H53" s="41"/>
      <c r="I53" s="41"/>
      <c r="J53" s="166"/>
      <c r="K53" s="41"/>
      <c r="L53" s="41"/>
      <c r="M53" s="41"/>
      <c r="N53" s="166"/>
      <c r="O53" s="166"/>
      <c r="P53" s="41"/>
      <c r="Q53" s="41"/>
      <c r="R53" s="41"/>
      <c r="S53" s="41"/>
      <c r="T53" s="41"/>
      <c r="U53" s="41"/>
      <c r="V53" s="41"/>
      <c r="W53" s="41"/>
      <c r="X53" s="41"/>
      <c r="Y53" s="166"/>
      <c r="Z53" s="166"/>
      <c r="AA53" s="41"/>
      <c r="AB53" s="41"/>
      <c r="AC53" s="41"/>
      <c r="AD53" s="41"/>
      <c r="AE53" s="41"/>
      <c r="AF53" s="41"/>
      <c r="AG53" s="41"/>
      <c r="AH53" s="41"/>
      <c r="AI53" s="41"/>
    </row>
    <row r="54" spans="1:35" ht="15.75" customHeight="1" x14ac:dyDescent="0.2">
      <c r="A54" s="166"/>
      <c r="B54" s="218"/>
      <c r="C54" s="218"/>
      <c r="D54" s="41"/>
      <c r="E54" s="41"/>
      <c r="F54" s="218"/>
      <c r="G54" s="41"/>
      <c r="H54" s="41"/>
      <c r="I54" s="41"/>
      <c r="J54" s="166"/>
      <c r="K54" s="41"/>
      <c r="L54" s="41"/>
      <c r="M54" s="41"/>
      <c r="N54" s="166"/>
      <c r="O54" s="166"/>
      <c r="P54" s="41"/>
      <c r="Q54" s="41"/>
      <c r="R54" s="41"/>
      <c r="S54" s="41"/>
      <c r="T54" s="41"/>
      <c r="U54" s="41"/>
      <c r="V54" s="41"/>
      <c r="W54" s="41"/>
      <c r="X54" s="41"/>
      <c r="Y54" s="166"/>
      <c r="Z54" s="166"/>
      <c r="AA54" s="41"/>
      <c r="AB54" s="41"/>
      <c r="AC54" s="41"/>
      <c r="AD54" s="41"/>
      <c r="AE54" s="41"/>
      <c r="AF54" s="41"/>
      <c r="AG54" s="41"/>
      <c r="AH54" s="41"/>
      <c r="AI54" s="41"/>
    </row>
    <row r="55" spans="1:35" ht="15.75" customHeight="1" x14ac:dyDescent="0.2">
      <c r="A55" s="166"/>
      <c r="B55" s="218"/>
      <c r="C55" s="218"/>
      <c r="D55" s="41"/>
      <c r="E55" s="41"/>
      <c r="F55" s="218"/>
      <c r="G55" s="41"/>
      <c r="H55" s="41"/>
      <c r="I55" s="41"/>
      <c r="J55" s="166"/>
      <c r="K55" s="41"/>
      <c r="L55" s="41"/>
      <c r="M55" s="41"/>
      <c r="N55" s="166"/>
      <c r="O55" s="166"/>
      <c r="P55" s="41"/>
      <c r="Q55" s="41"/>
      <c r="R55" s="41"/>
      <c r="S55" s="41"/>
      <c r="T55" s="41"/>
      <c r="U55" s="41"/>
      <c r="V55" s="41"/>
      <c r="W55" s="41"/>
      <c r="X55" s="41"/>
      <c r="Y55" s="166"/>
      <c r="Z55" s="166"/>
      <c r="AA55" s="41"/>
      <c r="AB55" s="41"/>
      <c r="AC55" s="41"/>
      <c r="AD55" s="41"/>
      <c r="AE55" s="41"/>
      <c r="AF55" s="41"/>
      <c r="AG55" s="41"/>
      <c r="AH55" s="41"/>
      <c r="AI55" s="41"/>
    </row>
    <row r="56" spans="1:35" ht="15.75" customHeight="1" x14ac:dyDescent="0.2">
      <c r="A56" s="166"/>
      <c r="B56" s="218"/>
      <c r="C56" s="218"/>
      <c r="D56" s="41"/>
      <c r="E56" s="41"/>
      <c r="F56" s="218"/>
      <c r="G56" s="41"/>
      <c r="H56" s="41"/>
      <c r="I56" s="41"/>
      <c r="J56" s="166"/>
      <c r="K56" s="41"/>
      <c r="L56" s="41"/>
      <c r="M56" s="41"/>
      <c r="N56" s="166"/>
      <c r="O56" s="166"/>
      <c r="P56" s="41"/>
      <c r="Q56" s="41"/>
      <c r="R56" s="41"/>
      <c r="S56" s="41"/>
      <c r="T56" s="41"/>
      <c r="U56" s="41"/>
      <c r="V56" s="41"/>
      <c r="W56" s="41"/>
      <c r="X56" s="41"/>
      <c r="Y56" s="166"/>
      <c r="Z56" s="166"/>
      <c r="AA56" s="41"/>
      <c r="AB56" s="41"/>
      <c r="AC56" s="41"/>
      <c r="AD56" s="41"/>
      <c r="AE56" s="41"/>
      <c r="AF56" s="41"/>
      <c r="AG56" s="41"/>
      <c r="AH56" s="41"/>
      <c r="AI56" s="41"/>
    </row>
    <row r="57" spans="1:35" ht="15.75" customHeight="1" x14ac:dyDescent="0.2">
      <c r="A57" s="166"/>
      <c r="B57" s="218"/>
      <c r="C57" s="218"/>
      <c r="D57" s="41"/>
      <c r="E57" s="41"/>
      <c r="F57" s="218"/>
      <c r="G57" s="41"/>
      <c r="H57" s="41"/>
      <c r="I57" s="41"/>
      <c r="J57" s="166"/>
      <c r="K57" s="41"/>
      <c r="L57" s="41"/>
      <c r="M57" s="41"/>
      <c r="N57" s="166"/>
      <c r="O57" s="166"/>
      <c r="P57" s="41"/>
      <c r="Q57" s="41"/>
      <c r="R57" s="41"/>
      <c r="S57" s="41"/>
      <c r="T57" s="41"/>
      <c r="U57" s="41"/>
      <c r="V57" s="41"/>
      <c r="W57" s="41"/>
      <c r="X57" s="41"/>
      <c r="Y57" s="166"/>
      <c r="Z57" s="166"/>
      <c r="AA57" s="41"/>
      <c r="AB57" s="41"/>
      <c r="AC57" s="41"/>
      <c r="AD57" s="41"/>
      <c r="AE57" s="41"/>
      <c r="AF57" s="41"/>
      <c r="AG57" s="41"/>
      <c r="AH57" s="41"/>
      <c r="AI57" s="41"/>
    </row>
    <row r="58" spans="1:35" ht="15.75" customHeight="1" x14ac:dyDescent="0.2">
      <c r="A58" s="166"/>
      <c r="B58" s="218"/>
      <c r="C58" s="218"/>
      <c r="D58" s="41"/>
      <c r="E58" s="41"/>
      <c r="F58" s="218"/>
      <c r="G58" s="41"/>
      <c r="H58" s="41"/>
      <c r="I58" s="41"/>
      <c r="J58" s="166"/>
      <c r="K58" s="41"/>
      <c r="L58" s="41"/>
      <c r="M58" s="41"/>
      <c r="N58" s="166"/>
      <c r="O58" s="166"/>
      <c r="P58" s="41"/>
      <c r="Q58" s="41"/>
      <c r="R58" s="41"/>
      <c r="S58" s="41"/>
      <c r="T58" s="41"/>
      <c r="U58" s="41"/>
      <c r="V58" s="41"/>
      <c r="W58" s="41"/>
      <c r="X58" s="41"/>
      <c r="Y58" s="166"/>
      <c r="Z58" s="166"/>
      <c r="AA58" s="41"/>
      <c r="AB58" s="41"/>
      <c r="AC58" s="41"/>
      <c r="AD58" s="41"/>
      <c r="AE58" s="41"/>
      <c r="AF58" s="41"/>
      <c r="AG58" s="41"/>
      <c r="AH58" s="41"/>
      <c r="AI58" s="41"/>
    </row>
    <row r="59" spans="1:35" ht="15.75" customHeight="1" x14ac:dyDescent="0.2">
      <c r="A59" s="166"/>
      <c r="B59" s="218"/>
      <c r="C59" s="218"/>
      <c r="D59" s="41"/>
      <c r="E59" s="41"/>
      <c r="F59" s="218"/>
      <c r="G59" s="41"/>
      <c r="H59" s="41"/>
      <c r="I59" s="41"/>
      <c r="J59" s="166"/>
      <c r="K59" s="41"/>
      <c r="L59" s="41"/>
      <c r="M59" s="41"/>
      <c r="N59" s="166"/>
      <c r="O59" s="166"/>
      <c r="P59" s="41"/>
      <c r="Q59" s="41"/>
      <c r="R59" s="41"/>
      <c r="S59" s="41"/>
      <c r="T59" s="41"/>
      <c r="U59" s="41"/>
      <c r="V59" s="41"/>
      <c r="W59" s="41"/>
      <c r="X59" s="41"/>
      <c r="Y59" s="166"/>
      <c r="Z59" s="166"/>
      <c r="AA59" s="41"/>
      <c r="AB59" s="41"/>
      <c r="AC59" s="41"/>
      <c r="AD59" s="41"/>
      <c r="AE59" s="41"/>
      <c r="AF59" s="41"/>
      <c r="AG59" s="41"/>
      <c r="AH59" s="41"/>
      <c r="AI59" s="41"/>
    </row>
    <row r="60" spans="1:35" ht="15.75" customHeight="1" x14ac:dyDescent="0.2">
      <c r="A60" s="166"/>
      <c r="B60" s="218"/>
      <c r="C60" s="218"/>
      <c r="D60" s="41"/>
      <c r="E60" s="41"/>
      <c r="F60" s="218"/>
      <c r="G60" s="41"/>
      <c r="H60" s="41"/>
      <c r="I60" s="41"/>
      <c r="J60" s="166"/>
      <c r="K60" s="41"/>
      <c r="L60" s="41"/>
      <c r="M60" s="41"/>
      <c r="N60" s="166"/>
      <c r="O60" s="166"/>
      <c r="P60" s="41"/>
      <c r="Q60" s="41"/>
      <c r="R60" s="41"/>
      <c r="S60" s="41"/>
      <c r="T60" s="41"/>
      <c r="U60" s="41"/>
      <c r="V60" s="41"/>
      <c r="W60" s="41"/>
      <c r="X60" s="41"/>
      <c r="Y60" s="166"/>
      <c r="Z60" s="166"/>
      <c r="AA60" s="41"/>
      <c r="AB60" s="41"/>
      <c r="AC60" s="41"/>
      <c r="AD60" s="41"/>
      <c r="AE60" s="41"/>
      <c r="AF60" s="41"/>
      <c r="AG60" s="41"/>
      <c r="AH60" s="41"/>
      <c r="AI60" s="41"/>
    </row>
    <row r="61" spans="1:35" ht="15.75" customHeight="1" x14ac:dyDescent="0.2">
      <c r="A61" s="166"/>
      <c r="B61" s="218"/>
      <c r="C61" s="218"/>
      <c r="D61" s="41"/>
      <c r="E61" s="41"/>
      <c r="F61" s="218"/>
      <c r="G61" s="41"/>
      <c r="H61" s="41"/>
      <c r="I61" s="41"/>
      <c r="J61" s="166"/>
      <c r="K61" s="41"/>
      <c r="L61" s="41"/>
      <c r="M61" s="41"/>
      <c r="N61" s="166"/>
      <c r="O61" s="166"/>
      <c r="P61" s="41"/>
      <c r="Q61" s="41"/>
      <c r="R61" s="41"/>
      <c r="S61" s="41"/>
      <c r="T61" s="41"/>
      <c r="U61" s="41"/>
      <c r="V61" s="41"/>
      <c r="W61" s="41"/>
      <c r="X61" s="41"/>
      <c r="Y61" s="166"/>
      <c r="Z61" s="166"/>
      <c r="AA61" s="41"/>
      <c r="AB61" s="41"/>
      <c r="AC61" s="41"/>
      <c r="AD61" s="41"/>
      <c r="AE61" s="41"/>
      <c r="AF61" s="41"/>
      <c r="AG61" s="41"/>
      <c r="AH61" s="41"/>
      <c r="AI61" s="41"/>
    </row>
    <row r="62" spans="1:35" ht="15.75" customHeight="1" x14ac:dyDescent="0.2">
      <c r="A62" s="166"/>
      <c r="B62" s="218"/>
      <c r="C62" s="218"/>
      <c r="D62" s="41"/>
      <c r="E62" s="41"/>
      <c r="F62" s="218"/>
      <c r="G62" s="41"/>
      <c r="H62" s="41"/>
      <c r="I62" s="41"/>
      <c r="J62" s="166"/>
      <c r="K62" s="41"/>
      <c r="L62" s="41"/>
      <c r="M62" s="41"/>
      <c r="N62" s="166"/>
      <c r="O62" s="166"/>
      <c r="P62" s="41"/>
      <c r="Q62" s="41"/>
      <c r="R62" s="41"/>
      <c r="S62" s="41"/>
      <c r="T62" s="41"/>
      <c r="U62" s="41"/>
      <c r="V62" s="41"/>
      <c r="W62" s="41"/>
      <c r="X62" s="41"/>
      <c r="Y62" s="166"/>
      <c r="Z62" s="166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5.75" customHeight="1" x14ac:dyDescent="0.2">
      <c r="A63" s="166"/>
      <c r="B63" s="218"/>
      <c r="C63" s="218"/>
      <c r="D63" s="41"/>
      <c r="E63" s="41"/>
      <c r="F63" s="218"/>
      <c r="G63" s="41"/>
      <c r="H63" s="41"/>
      <c r="I63" s="41"/>
      <c r="J63" s="166"/>
      <c r="K63" s="41"/>
      <c r="L63" s="41"/>
      <c r="M63" s="41"/>
      <c r="N63" s="166"/>
      <c r="O63" s="166"/>
      <c r="P63" s="41"/>
      <c r="Q63" s="41"/>
      <c r="R63" s="41"/>
      <c r="S63" s="41"/>
      <c r="T63" s="41"/>
      <c r="U63" s="41"/>
      <c r="V63" s="41"/>
      <c r="W63" s="41"/>
      <c r="X63" s="41"/>
      <c r="Y63" s="166"/>
      <c r="Z63" s="166"/>
      <c r="AA63" s="41"/>
      <c r="AB63" s="41"/>
      <c r="AC63" s="41"/>
      <c r="AD63" s="41"/>
      <c r="AE63" s="41"/>
      <c r="AF63" s="41"/>
      <c r="AG63" s="41"/>
      <c r="AH63" s="41"/>
      <c r="AI63" s="41"/>
    </row>
    <row r="64" spans="1:35" ht="15.75" customHeight="1" x14ac:dyDescent="0.2">
      <c r="A64" s="166"/>
      <c r="B64" s="218"/>
      <c r="C64" s="218"/>
      <c r="D64" s="41"/>
      <c r="E64" s="41"/>
      <c r="F64" s="218"/>
      <c r="G64" s="41"/>
      <c r="H64" s="41"/>
      <c r="I64" s="41"/>
      <c r="J64" s="166"/>
      <c r="K64" s="41"/>
      <c r="L64" s="41"/>
      <c r="M64" s="41"/>
      <c r="N64" s="166"/>
      <c r="O64" s="166"/>
      <c r="P64" s="41"/>
      <c r="Q64" s="41"/>
      <c r="R64" s="41"/>
      <c r="S64" s="41"/>
      <c r="T64" s="41"/>
      <c r="U64" s="41"/>
      <c r="V64" s="41"/>
      <c r="W64" s="41"/>
      <c r="X64" s="41"/>
      <c r="Y64" s="166"/>
      <c r="Z64" s="166"/>
      <c r="AA64" s="41"/>
      <c r="AB64" s="41"/>
      <c r="AC64" s="41"/>
      <c r="AD64" s="41"/>
      <c r="AE64" s="41"/>
      <c r="AF64" s="41"/>
      <c r="AG64" s="41"/>
      <c r="AH64" s="41"/>
      <c r="AI64" s="41"/>
    </row>
    <row r="65" spans="1:35" ht="15.75" customHeight="1" x14ac:dyDescent="0.2">
      <c r="A65" s="166"/>
      <c r="B65" s="218"/>
      <c r="C65" s="218"/>
      <c r="D65" s="41"/>
      <c r="E65" s="41"/>
      <c r="F65" s="218"/>
      <c r="G65" s="41"/>
      <c r="H65" s="41"/>
      <c r="I65" s="41"/>
      <c r="J65" s="166"/>
      <c r="K65" s="41"/>
      <c r="L65" s="41"/>
      <c r="M65" s="41"/>
      <c r="N65" s="166"/>
      <c r="O65" s="166"/>
      <c r="P65" s="41"/>
      <c r="Q65" s="41"/>
      <c r="R65" s="41"/>
      <c r="S65" s="41"/>
      <c r="T65" s="41"/>
      <c r="U65" s="41"/>
      <c r="V65" s="41"/>
      <c r="W65" s="41"/>
      <c r="X65" s="41"/>
      <c r="Y65" s="166"/>
      <c r="Z65" s="166"/>
      <c r="AA65" s="41"/>
      <c r="AB65" s="41"/>
      <c r="AC65" s="41"/>
      <c r="AD65" s="41"/>
      <c r="AE65" s="41"/>
      <c r="AF65" s="41"/>
      <c r="AG65" s="41"/>
      <c r="AH65" s="41"/>
      <c r="AI65" s="41"/>
    </row>
    <row r="66" spans="1:35" ht="15.75" customHeight="1" x14ac:dyDescent="0.2">
      <c r="A66" s="166"/>
      <c r="B66" s="218"/>
      <c r="C66" s="218"/>
      <c r="D66" s="41"/>
      <c r="E66" s="41"/>
      <c r="F66" s="218"/>
      <c r="G66" s="41"/>
      <c r="H66" s="41"/>
      <c r="I66" s="41"/>
      <c r="J66" s="166"/>
      <c r="K66" s="41"/>
      <c r="L66" s="41"/>
      <c r="M66" s="41"/>
      <c r="N66" s="166"/>
      <c r="O66" s="166"/>
      <c r="P66" s="41"/>
      <c r="Q66" s="41"/>
      <c r="R66" s="41"/>
      <c r="S66" s="41"/>
      <c r="T66" s="41"/>
      <c r="U66" s="41"/>
      <c r="V66" s="41"/>
      <c r="W66" s="41"/>
      <c r="X66" s="41"/>
      <c r="Y66" s="166"/>
      <c r="Z66" s="166"/>
      <c r="AA66" s="41"/>
      <c r="AB66" s="41"/>
      <c r="AC66" s="41"/>
      <c r="AD66" s="41"/>
      <c r="AE66" s="41"/>
      <c r="AF66" s="41"/>
      <c r="AG66" s="41"/>
      <c r="AH66" s="41"/>
      <c r="AI66" s="41"/>
    </row>
    <row r="67" spans="1:35" ht="15.75" customHeight="1" x14ac:dyDescent="0.2">
      <c r="A67" s="166"/>
      <c r="B67" s="218"/>
      <c r="C67" s="218"/>
      <c r="D67" s="41"/>
      <c r="E67" s="41"/>
      <c r="F67" s="218"/>
      <c r="G67" s="41"/>
      <c r="H67" s="41"/>
      <c r="I67" s="41"/>
      <c r="J67" s="166"/>
      <c r="K67" s="41"/>
      <c r="L67" s="41"/>
      <c r="M67" s="41"/>
      <c r="N67" s="166"/>
      <c r="O67" s="166"/>
      <c r="P67" s="41"/>
      <c r="Q67" s="41"/>
      <c r="R67" s="41"/>
      <c r="S67" s="41"/>
      <c r="T67" s="41"/>
      <c r="U67" s="41"/>
      <c r="V67" s="41"/>
      <c r="W67" s="41"/>
      <c r="X67" s="41"/>
      <c r="Y67" s="166"/>
      <c r="Z67" s="166"/>
      <c r="AA67" s="41"/>
      <c r="AB67" s="41"/>
      <c r="AC67" s="41"/>
      <c r="AD67" s="41"/>
      <c r="AE67" s="41"/>
      <c r="AF67" s="41"/>
      <c r="AG67" s="41"/>
      <c r="AH67" s="41"/>
      <c r="AI67" s="41"/>
    </row>
    <row r="68" spans="1:35" ht="15.75" customHeight="1" x14ac:dyDescent="0.2">
      <c r="A68" s="166"/>
      <c r="B68" s="218"/>
      <c r="C68" s="218"/>
      <c r="D68" s="41"/>
      <c r="E68" s="41"/>
      <c r="F68" s="218"/>
      <c r="G68" s="41"/>
      <c r="H68" s="41"/>
      <c r="I68" s="41"/>
      <c r="J68" s="166"/>
      <c r="K68" s="41"/>
      <c r="L68" s="41"/>
      <c r="M68" s="41"/>
      <c r="N68" s="166"/>
      <c r="O68" s="166"/>
      <c r="P68" s="41"/>
      <c r="Q68" s="41"/>
      <c r="R68" s="41"/>
      <c r="S68" s="41"/>
      <c r="T68" s="41"/>
      <c r="U68" s="41"/>
      <c r="V68" s="41"/>
      <c r="W68" s="41"/>
      <c r="X68" s="41"/>
      <c r="Y68" s="166"/>
      <c r="Z68" s="166"/>
      <c r="AA68" s="41"/>
      <c r="AB68" s="41"/>
      <c r="AC68" s="41"/>
      <c r="AD68" s="41"/>
      <c r="AE68" s="41"/>
      <c r="AF68" s="41"/>
      <c r="AG68" s="41"/>
      <c r="AH68" s="41"/>
      <c r="AI68" s="41"/>
    </row>
    <row r="69" spans="1:35" ht="15.75" customHeight="1" x14ac:dyDescent="0.2">
      <c r="A69" s="166"/>
      <c r="B69" s="218"/>
      <c r="C69" s="218"/>
      <c r="D69" s="41"/>
      <c r="E69" s="41"/>
      <c r="F69" s="218"/>
      <c r="G69" s="41"/>
      <c r="H69" s="41"/>
      <c r="I69" s="41"/>
      <c r="J69" s="166"/>
      <c r="K69" s="41"/>
      <c r="L69" s="41"/>
      <c r="M69" s="41"/>
      <c r="N69" s="166"/>
      <c r="O69" s="166"/>
      <c r="P69" s="41"/>
      <c r="Q69" s="41"/>
      <c r="R69" s="41"/>
      <c r="S69" s="41"/>
      <c r="T69" s="41"/>
      <c r="U69" s="41"/>
      <c r="V69" s="41"/>
      <c r="W69" s="41"/>
      <c r="X69" s="41"/>
      <c r="Y69" s="166"/>
      <c r="Z69" s="166"/>
      <c r="AA69" s="41"/>
      <c r="AB69" s="41"/>
      <c r="AC69" s="41"/>
      <c r="AD69" s="41"/>
      <c r="AE69" s="41"/>
      <c r="AF69" s="41"/>
      <c r="AG69" s="41"/>
      <c r="AH69" s="41"/>
      <c r="AI69" s="41"/>
    </row>
    <row r="70" spans="1:35" ht="15.75" customHeight="1" x14ac:dyDescent="0.2">
      <c r="A70" s="166"/>
      <c r="B70" s="218"/>
      <c r="C70" s="218"/>
      <c r="D70" s="41"/>
      <c r="E70" s="41"/>
      <c r="F70" s="218"/>
      <c r="G70" s="41"/>
      <c r="H70" s="41"/>
      <c r="I70" s="41"/>
      <c r="J70" s="166"/>
      <c r="K70" s="41"/>
      <c r="L70" s="41"/>
      <c r="M70" s="41"/>
      <c r="N70" s="166"/>
      <c r="O70" s="166"/>
      <c r="P70" s="41"/>
      <c r="Q70" s="41"/>
      <c r="R70" s="41"/>
      <c r="S70" s="41"/>
      <c r="T70" s="41"/>
      <c r="U70" s="41"/>
      <c r="V70" s="41"/>
      <c r="W70" s="41"/>
      <c r="X70" s="41"/>
      <c r="Y70" s="166"/>
      <c r="Z70" s="166"/>
      <c r="AA70" s="41"/>
      <c r="AB70" s="41"/>
      <c r="AC70" s="41"/>
      <c r="AD70" s="41"/>
      <c r="AE70" s="41"/>
      <c r="AF70" s="41"/>
      <c r="AG70" s="41"/>
      <c r="AH70" s="41"/>
      <c r="AI70" s="41"/>
    </row>
    <row r="71" spans="1:35" ht="15.75" customHeight="1" x14ac:dyDescent="0.2">
      <c r="A71" s="166"/>
      <c r="B71" s="218"/>
      <c r="C71" s="218"/>
      <c r="D71" s="41"/>
      <c r="E71" s="41"/>
      <c r="F71" s="218"/>
      <c r="G71" s="41"/>
      <c r="H71" s="41"/>
      <c r="I71" s="41"/>
      <c r="J71" s="166"/>
      <c r="K71" s="41"/>
      <c r="L71" s="41"/>
      <c r="M71" s="41"/>
      <c r="N71" s="166"/>
      <c r="O71" s="166"/>
      <c r="P71" s="41"/>
      <c r="Q71" s="41"/>
      <c r="R71" s="41"/>
      <c r="S71" s="41"/>
      <c r="T71" s="41"/>
      <c r="U71" s="41"/>
      <c r="V71" s="41"/>
      <c r="W71" s="41"/>
      <c r="X71" s="41"/>
      <c r="Y71" s="166"/>
      <c r="Z71" s="166"/>
      <c r="AA71" s="41"/>
      <c r="AB71" s="41"/>
      <c r="AC71" s="41"/>
      <c r="AD71" s="41"/>
      <c r="AE71" s="41"/>
      <c r="AF71" s="41"/>
      <c r="AG71" s="41"/>
      <c r="AH71" s="41"/>
      <c r="AI71" s="41"/>
    </row>
    <row r="72" spans="1:35" ht="15.75" customHeight="1" x14ac:dyDescent="0.2">
      <c r="A72" s="166"/>
      <c r="B72" s="218"/>
      <c r="C72" s="218"/>
      <c r="D72" s="41"/>
      <c r="E72" s="41"/>
      <c r="F72" s="218"/>
      <c r="G72" s="41"/>
      <c r="H72" s="41"/>
      <c r="I72" s="41"/>
      <c r="J72" s="166"/>
      <c r="K72" s="41"/>
      <c r="L72" s="41"/>
      <c r="M72" s="41"/>
      <c r="N72" s="166"/>
      <c r="O72" s="166"/>
      <c r="P72" s="41"/>
      <c r="Q72" s="41"/>
      <c r="R72" s="41"/>
      <c r="S72" s="41"/>
      <c r="T72" s="41"/>
      <c r="U72" s="41"/>
      <c r="V72" s="41"/>
      <c r="W72" s="41"/>
      <c r="X72" s="41"/>
      <c r="Y72" s="166"/>
      <c r="Z72" s="166"/>
      <c r="AA72" s="41"/>
      <c r="AB72" s="41"/>
      <c r="AC72" s="41"/>
      <c r="AD72" s="41"/>
      <c r="AE72" s="41"/>
      <c r="AF72" s="41"/>
      <c r="AG72" s="41"/>
      <c r="AH72" s="41"/>
      <c r="AI72" s="41"/>
    </row>
    <row r="73" spans="1:35" ht="15.75" customHeight="1" x14ac:dyDescent="0.2">
      <c r="A73" s="166"/>
      <c r="B73" s="218"/>
      <c r="C73" s="218"/>
      <c r="D73" s="41"/>
      <c r="E73" s="41"/>
      <c r="F73" s="218"/>
      <c r="G73" s="41"/>
      <c r="H73" s="41"/>
      <c r="I73" s="41"/>
      <c r="J73" s="166"/>
      <c r="K73" s="41"/>
      <c r="L73" s="41"/>
      <c r="M73" s="41"/>
      <c r="N73" s="166"/>
      <c r="O73" s="166"/>
      <c r="P73" s="41"/>
      <c r="Q73" s="41"/>
      <c r="R73" s="41"/>
      <c r="S73" s="41"/>
      <c r="T73" s="41"/>
      <c r="U73" s="41"/>
      <c r="V73" s="41"/>
      <c r="W73" s="41"/>
      <c r="X73" s="41"/>
      <c r="Y73" s="166"/>
      <c r="Z73" s="166"/>
      <c r="AA73" s="41"/>
      <c r="AB73" s="41"/>
      <c r="AC73" s="41"/>
      <c r="AD73" s="41"/>
      <c r="AE73" s="41"/>
      <c r="AF73" s="41"/>
      <c r="AG73" s="41"/>
      <c r="AH73" s="41"/>
      <c r="AI73" s="41"/>
    </row>
    <row r="74" spans="1:35" ht="15.75" customHeight="1" x14ac:dyDescent="0.2">
      <c r="A74" s="166"/>
      <c r="B74" s="218"/>
      <c r="C74" s="218"/>
      <c r="D74" s="41"/>
      <c r="E74" s="41"/>
      <c r="F74" s="218"/>
      <c r="G74" s="41"/>
      <c r="H74" s="41"/>
      <c r="I74" s="41"/>
      <c r="J74" s="166"/>
      <c r="K74" s="41"/>
      <c r="L74" s="41"/>
      <c r="M74" s="41"/>
      <c r="N74" s="166"/>
      <c r="O74" s="166"/>
      <c r="P74" s="41"/>
      <c r="Q74" s="41"/>
      <c r="R74" s="41"/>
      <c r="S74" s="41"/>
      <c r="T74" s="41"/>
      <c r="U74" s="41"/>
      <c r="V74" s="41"/>
      <c r="W74" s="41"/>
      <c r="X74" s="41"/>
      <c r="Y74" s="166"/>
      <c r="Z74" s="166"/>
      <c r="AA74" s="41"/>
      <c r="AB74" s="41"/>
      <c r="AC74" s="41"/>
      <c r="AD74" s="41"/>
      <c r="AE74" s="41"/>
      <c r="AF74" s="41"/>
      <c r="AG74" s="41"/>
      <c r="AH74" s="41"/>
      <c r="AI74" s="41"/>
    </row>
    <row r="75" spans="1:35" ht="15.75" customHeight="1" x14ac:dyDescent="0.2">
      <c r="A75" s="166"/>
      <c r="B75" s="218"/>
      <c r="C75" s="218"/>
      <c r="D75" s="41"/>
      <c r="E75" s="41"/>
      <c r="F75" s="218"/>
      <c r="G75" s="41"/>
      <c r="H75" s="41"/>
      <c r="I75" s="41"/>
      <c r="J75" s="166"/>
      <c r="K75" s="41"/>
      <c r="L75" s="41"/>
      <c r="M75" s="41"/>
      <c r="N75" s="166"/>
      <c r="O75" s="166"/>
      <c r="P75" s="41"/>
      <c r="Q75" s="41"/>
      <c r="R75" s="41"/>
      <c r="S75" s="41"/>
      <c r="T75" s="41"/>
      <c r="U75" s="41"/>
      <c r="V75" s="41"/>
      <c r="W75" s="41"/>
      <c r="X75" s="41"/>
      <c r="Y75" s="166"/>
      <c r="Z75" s="166"/>
      <c r="AA75" s="41"/>
      <c r="AB75" s="41"/>
      <c r="AC75" s="41"/>
      <c r="AD75" s="41"/>
      <c r="AE75" s="41"/>
      <c r="AF75" s="41"/>
      <c r="AG75" s="41"/>
      <c r="AH75" s="41"/>
      <c r="AI75" s="41"/>
    </row>
    <row r="76" spans="1:35" ht="15.75" customHeight="1" x14ac:dyDescent="0.2">
      <c r="A76" s="166"/>
      <c r="B76" s="218"/>
      <c r="C76" s="218"/>
      <c r="D76" s="41"/>
      <c r="E76" s="41"/>
      <c r="F76" s="218"/>
      <c r="G76" s="41"/>
      <c r="H76" s="41"/>
      <c r="I76" s="41"/>
      <c r="J76" s="166"/>
      <c r="K76" s="41"/>
      <c r="L76" s="41"/>
      <c r="M76" s="41"/>
      <c r="N76" s="166"/>
      <c r="O76" s="166"/>
      <c r="P76" s="41"/>
      <c r="Q76" s="41"/>
      <c r="R76" s="41"/>
      <c r="S76" s="41"/>
      <c r="T76" s="41"/>
      <c r="U76" s="41"/>
      <c r="V76" s="41"/>
      <c r="W76" s="41"/>
      <c r="X76" s="41"/>
      <c r="Y76" s="166"/>
      <c r="Z76" s="166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5.75" customHeight="1" x14ac:dyDescent="0.2">
      <c r="A77" s="166"/>
      <c r="B77" s="218"/>
      <c r="C77" s="218"/>
      <c r="D77" s="41"/>
      <c r="E77" s="41"/>
      <c r="F77" s="218"/>
      <c r="G77" s="41"/>
      <c r="H77" s="41"/>
      <c r="I77" s="41"/>
      <c r="J77" s="166"/>
      <c r="K77" s="41"/>
      <c r="L77" s="41"/>
      <c r="M77" s="41"/>
      <c r="N77" s="166"/>
      <c r="O77" s="166"/>
      <c r="P77" s="41"/>
      <c r="Q77" s="41"/>
      <c r="R77" s="41"/>
      <c r="S77" s="41"/>
      <c r="T77" s="41"/>
      <c r="U77" s="41"/>
      <c r="V77" s="41"/>
      <c r="W77" s="41"/>
      <c r="X77" s="41"/>
      <c r="Y77" s="166"/>
      <c r="Z77" s="166"/>
      <c r="AA77" s="41"/>
      <c r="AB77" s="41"/>
      <c r="AC77" s="41"/>
      <c r="AD77" s="41"/>
      <c r="AE77" s="41"/>
      <c r="AF77" s="41"/>
      <c r="AG77" s="41"/>
      <c r="AH77" s="41"/>
      <c r="AI77" s="41"/>
    </row>
    <row r="78" spans="1:35" ht="15.75" customHeight="1" x14ac:dyDescent="0.2">
      <c r="A78" s="166"/>
      <c r="B78" s="218"/>
      <c r="C78" s="218"/>
      <c r="D78" s="41"/>
      <c r="E78" s="41"/>
      <c r="F78" s="218"/>
      <c r="G78" s="41"/>
      <c r="H78" s="41"/>
      <c r="I78" s="41"/>
      <c r="J78" s="166"/>
      <c r="K78" s="41"/>
      <c r="L78" s="41"/>
      <c r="M78" s="41"/>
      <c r="N78" s="166"/>
      <c r="O78" s="166"/>
      <c r="P78" s="41"/>
      <c r="Q78" s="41"/>
      <c r="R78" s="41"/>
      <c r="S78" s="41"/>
      <c r="T78" s="41"/>
      <c r="U78" s="41"/>
      <c r="V78" s="41"/>
      <c r="W78" s="41"/>
      <c r="X78" s="41"/>
      <c r="Y78" s="166"/>
      <c r="Z78" s="166"/>
      <c r="AA78" s="41"/>
      <c r="AB78" s="41"/>
      <c r="AC78" s="41"/>
      <c r="AD78" s="41"/>
      <c r="AE78" s="41"/>
      <c r="AF78" s="41"/>
      <c r="AG78" s="41"/>
      <c r="AH78" s="41"/>
      <c r="AI78" s="41"/>
    </row>
    <row r="79" spans="1:35" ht="15.75" customHeight="1" x14ac:dyDescent="0.2">
      <c r="A79" s="166"/>
      <c r="B79" s="218"/>
      <c r="C79" s="218"/>
      <c r="D79" s="41"/>
      <c r="E79" s="41"/>
      <c r="F79" s="218"/>
      <c r="G79" s="41"/>
      <c r="H79" s="41"/>
      <c r="I79" s="41"/>
      <c r="J79" s="166"/>
      <c r="K79" s="41"/>
      <c r="L79" s="41"/>
      <c r="M79" s="41"/>
      <c r="N79" s="166"/>
      <c r="O79" s="166"/>
      <c r="P79" s="41"/>
      <c r="Q79" s="41"/>
      <c r="R79" s="41"/>
      <c r="S79" s="41"/>
      <c r="T79" s="41"/>
      <c r="U79" s="41"/>
      <c r="V79" s="41"/>
      <c r="W79" s="41"/>
      <c r="X79" s="41"/>
      <c r="Y79" s="166"/>
      <c r="Z79" s="166"/>
      <c r="AA79" s="41"/>
      <c r="AB79" s="41"/>
      <c r="AC79" s="41"/>
      <c r="AD79" s="41"/>
      <c r="AE79" s="41"/>
      <c r="AF79" s="41"/>
      <c r="AG79" s="41"/>
      <c r="AH79" s="41"/>
      <c r="AI79" s="41"/>
    </row>
    <row r="80" spans="1:35" ht="15.75" customHeight="1" x14ac:dyDescent="0.2">
      <c r="A80" s="166"/>
      <c r="B80" s="218"/>
      <c r="C80" s="218"/>
      <c r="D80" s="41"/>
      <c r="E80" s="41"/>
      <c r="F80" s="218"/>
      <c r="G80" s="41"/>
      <c r="H80" s="41"/>
      <c r="I80" s="41"/>
      <c r="J80" s="166"/>
      <c r="K80" s="41"/>
      <c r="L80" s="41"/>
      <c r="M80" s="41"/>
      <c r="N80" s="166"/>
      <c r="O80" s="166"/>
      <c r="P80" s="41"/>
      <c r="Q80" s="41"/>
      <c r="R80" s="41"/>
      <c r="S80" s="41"/>
      <c r="T80" s="41"/>
      <c r="U80" s="41"/>
      <c r="V80" s="41"/>
      <c r="W80" s="41"/>
      <c r="X80" s="41"/>
      <c r="Y80" s="166"/>
      <c r="Z80" s="166"/>
      <c r="AA80" s="41"/>
      <c r="AB80" s="41"/>
      <c r="AC80" s="41"/>
      <c r="AD80" s="41"/>
      <c r="AE80" s="41"/>
      <c r="AF80" s="41"/>
      <c r="AG80" s="41"/>
      <c r="AH80" s="41"/>
      <c r="AI80" s="41"/>
    </row>
    <row r="81" spans="1:35" ht="15.75" customHeight="1" x14ac:dyDescent="0.2">
      <c r="A81" s="166"/>
      <c r="B81" s="218"/>
      <c r="C81" s="218"/>
      <c r="D81" s="41"/>
      <c r="E81" s="41"/>
      <c r="F81" s="218"/>
      <c r="G81" s="41"/>
      <c r="H81" s="41"/>
      <c r="I81" s="41"/>
      <c r="J81" s="166"/>
      <c r="K81" s="41"/>
      <c r="L81" s="41"/>
      <c r="M81" s="41"/>
      <c r="N81" s="166"/>
      <c r="O81" s="166"/>
      <c r="P81" s="41"/>
      <c r="Q81" s="41"/>
      <c r="R81" s="41"/>
      <c r="S81" s="41"/>
      <c r="T81" s="41"/>
      <c r="U81" s="41"/>
      <c r="V81" s="41"/>
      <c r="W81" s="41"/>
      <c r="X81" s="41"/>
      <c r="Y81" s="166"/>
      <c r="Z81" s="166"/>
      <c r="AA81" s="41"/>
      <c r="AB81" s="41"/>
      <c r="AC81" s="41"/>
      <c r="AD81" s="41"/>
      <c r="AE81" s="41"/>
      <c r="AF81" s="41"/>
      <c r="AG81" s="41"/>
      <c r="AH81" s="41"/>
      <c r="AI81" s="41"/>
    </row>
    <row r="82" spans="1:35" ht="15.75" customHeight="1" x14ac:dyDescent="0.2">
      <c r="A82" s="166"/>
      <c r="B82" s="218"/>
      <c r="C82" s="218"/>
      <c r="D82" s="41"/>
      <c r="E82" s="41"/>
      <c r="F82" s="218"/>
      <c r="G82" s="41"/>
      <c r="H82" s="41"/>
      <c r="I82" s="41"/>
      <c r="J82" s="166"/>
      <c r="K82" s="41"/>
      <c r="L82" s="41"/>
      <c r="M82" s="41"/>
      <c r="N82" s="166"/>
      <c r="O82" s="166"/>
      <c r="P82" s="41"/>
      <c r="Q82" s="41"/>
      <c r="R82" s="41"/>
      <c r="S82" s="41"/>
      <c r="T82" s="41"/>
      <c r="U82" s="41"/>
      <c r="V82" s="41"/>
      <c r="W82" s="41"/>
      <c r="X82" s="41"/>
      <c r="Y82" s="166"/>
      <c r="Z82" s="166"/>
      <c r="AA82" s="41"/>
      <c r="AB82" s="41"/>
      <c r="AC82" s="41"/>
      <c r="AD82" s="41"/>
      <c r="AE82" s="41"/>
      <c r="AF82" s="41"/>
      <c r="AG82" s="41"/>
      <c r="AH82" s="41"/>
      <c r="AI82" s="41"/>
    </row>
    <row r="83" spans="1:35" ht="15.75" customHeight="1" x14ac:dyDescent="0.2">
      <c r="A83" s="166"/>
      <c r="B83" s="218"/>
      <c r="C83" s="218"/>
      <c r="D83" s="41"/>
      <c r="E83" s="41"/>
      <c r="F83" s="218"/>
      <c r="G83" s="41"/>
      <c r="H83" s="41"/>
      <c r="I83" s="41"/>
      <c r="J83" s="166"/>
      <c r="K83" s="41"/>
      <c r="L83" s="41"/>
      <c r="M83" s="41"/>
      <c r="N83" s="166"/>
      <c r="O83" s="166"/>
      <c r="P83" s="41"/>
      <c r="Q83" s="41"/>
      <c r="R83" s="41"/>
      <c r="S83" s="41"/>
      <c r="T83" s="41"/>
      <c r="U83" s="41"/>
      <c r="V83" s="41"/>
      <c r="W83" s="41"/>
      <c r="X83" s="41"/>
      <c r="Y83" s="166"/>
      <c r="Z83" s="166"/>
      <c r="AA83" s="41"/>
      <c r="AB83" s="41"/>
      <c r="AC83" s="41"/>
      <c r="AD83" s="41"/>
      <c r="AE83" s="41"/>
      <c r="AF83" s="41"/>
      <c r="AG83" s="41"/>
      <c r="AH83" s="41"/>
      <c r="AI83" s="41"/>
    </row>
    <row r="84" spans="1:35" ht="15.75" customHeight="1" x14ac:dyDescent="0.2">
      <c r="A84" s="166"/>
      <c r="B84" s="218"/>
      <c r="C84" s="218"/>
      <c r="D84" s="41"/>
      <c r="E84" s="41"/>
      <c r="F84" s="218"/>
      <c r="G84" s="41"/>
      <c r="H84" s="41"/>
      <c r="I84" s="41"/>
      <c r="J84" s="166"/>
      <c r="K84" s="41"/>
      <c r="L84" s="41"/>
      <c r="M84" s="41"/>
      <c r="N84" s="166"/>
      <c r="O84" s="166"/>
      <c r="P84" s="41"/>
      <c r="Q84" s="41"/>
      <c r="R84" s="41"/>
      <c r="S84" s="41"/>
      <c r="T84" s="41"/>
      <c r="U84" s="41"/>
      <c r="V84" s="41"/>
      <c r="W84" s="41"/>
      <c r="X84" s="41"/>
      <c r="Y84" s="166"/>
      <c r="Z84" s="166"/>
      <c r="AA84" s="41"/>
      <c r="AB84" s="41"/>
      <c r="AC84" s="41"/>
      <c r="AD84" s="41"/>
      <c r="AE84" s="41"/>
      <c r="AF84" s="41"/>
      <c r="AG84" s="41"/>
      <c r="AH84" s="41"/>
      <c r="AI84" s="41"/>
    </row>
    <row r="85" spans="1:35" ht="15.75" customHeight="1" x14ac:dyDescent="0.2">
      <c r="A85" s="166"/>
      <c r="B85" s="218"/>
      <c r="C85" s="218"/>
      <c r="D85" s="41"/>
      <c r="E85" s="41"/>
      <c r="F85" s="218"/>
      <c r="G85" s="41"/>
      <c r="H85" s="41"/>
      <c r="I85" s="41"/>
      <c r="J85" s="166"/>
      <c r="K85" s="41"/>
      <c r="L85" s="41"/>
      <c r="M85" s="41"/>
      <c r="N85" s="166"/>
      <c r="O85" s="166"/>
      <c r="P85" s="41"/>
      <c r="Q85" s="41"/>
      <c r="R85" s="41"/>
      <c r="S85" s="41"/>
      <c r="T85" s="41"/>
      <c r="U85" s="41"/>
      <c r="V85" s="41"/>
      <c r="W85" s="41"/>
      <c r="X85" s="41"/>
      <c r="Y85" s="166"/>
      <c r="Z85" s="166"/>
      <c r="AA85" s="41"/>
      <c r="AB85" s="41"/>
      <c r="AC85" s="41"/>
      <c r="AD85" s="41"/>
      <c r="AE85" s="41"/>
      <c r="AF85" s="41"/>
      <c r="AG85" s="41"/>
      <c r="AH85" s="41"/>
      <c r="AI85" s="41"/>
    </row>
    <row r="86" spans="1:35" ht="15.75" customHeight="1" x14ac:dyDescent="0.2">
      <c r="A86" s="166"/>
      <c r="B86" s="218"/>
      <c r="C86" s="218"/>
      <c r="D86" s="41"/>
      <c r="E86" s="41"/>
      <c r="F86" s="218"/>
      <c r="G86" s="41"/>
      <c r="H86" s="41"/>
      <c r="I86" s="41"/>
      <c r="J86" s="166"/>
      <c r="K86" s="41"/>
      <c r="L86" s="41"/>
      <c r="M86" s="41"/>
      <c r="N86" s="166"/>
      <c r="O86" s="166"/>
      <c r="P86" s="41"/>
      <c r="Q86" s="41"/>
      <c r="R86" s="41"/>
      <c r="S86" s="41"/>
      <c r="T86" s="41"/>
      <c r="U86" s="41"/>
      <c r="V86" s="41"/>
      <c r="W86" s="41"/>
      <c r="X86" s="41"/>
      <c r="Y86" s="166"/>
      <c r="Z86" s="166"/>
      <c r="AA86" s="41"/>
      <c r="AB86" s="41"/>
      <c r="AC86" s="41"/>
      <c r="AD86" s="41"/>
      <c r="AE86" s="41"/>
      <c r="AF86" s="41"/>
      <c r="AG86" s="41"/>
      <c r="AH86" s="41"/>
      <c r="AI86" s="41"/>
    </row>
    <row r="87" spans="1:35" ht="15.75" customHeight="1" x14ac:dyDescent="0.2">
      <c r="A87" s="166"/>
      <c r="B87" s="218"/>
      <c r="C87" s="218"/>
      <c r="D87" s="41"/>
      <c r="E87" s="41"/>
      <c r="F87" s="218"/>
      <c r="G87" s="41"/>
      <c r="H87" s="41"/>
      <c r="I87" s="41"/>
      <c r="J87" s="166"/>
      <c r="K87" s="41"/>
      <c r="L87" s="41"/>
      <c r="M87" s="41"/>
      <c r="N87" s="166"/>
      <c r="O87" s="166"/>
      <c r="P87" s="41"/>
      <c r="Q87" s="41"/>
      <c r="R87" s="41"/>
      <c r="S87" s="41"/>
      <c r="T87" s="41"/>
      <c r="U87" s="41"/>
      <c r="V87" s="41"/>
      <c r="W87" s="41"/>
      <c r="X87" s="41"/>
      <c r="Y87" s="166"/>
      <c r="Z87" s="166"/>
      <c r="AA87" s="41"/>
      <c r="AB87" s="41"/>
      <c r="AC87" s="41"/>
      <c r="AD87" s="41"/>
      <c r="AE87" s="41"/>
      <c r="AF87" s="41"/>
      <c r="AG87" s="41"/>
      <c r="AH87" s="41"/>
      <c r="AI87" s="41"/>
    </row>
    <row r="88" spans="1:35" ht="15.75" customHeight="1" x14ac:dyDescent="0.2">
      <c r="A88" s="166"/>
      <c r="B88" s="218"/>
      <c r="C88" s="218"/>
      <c r="D88" s="41"/>
      <c r="E88" s="41"/>
      <c r="F88" s="218"/>
      <c r="G88" s="41"/>
      <c r="H88" s="41"/>
      <c r="I88" s="41"/>
      <c r="J88" s="166"/>
      <c r="K88" s="41"/>
      <c r="L88" s="41"/>
      <c r="M88" s="41"/>
      <c r="N88" s="166"/>
      <c r="O88" s="166"/>
      <c r="P88" s="41"/>
      <c r="Q88" s="41"/>
      <c r="R88" s="41"/>
      <c r="S88" s="41"/>
      <c r="T88" s="41"/>
      <c r="U88" s="41"/>
      <c r="V88" s="41"/>
      <c r="W88" s="41"/>
      <c r="X88" s="41"/>
      <c r="Y88" s="166"/>
      <c r="Z88" s="166"/>
      <c r="AA88" s="41"/>
      <c r="AB88" s="41"/>
      <c r="AC88" s="41"/>
      <c r="AD88" s="41"/>
      <c r="AE88" s="41"/>
      <c r="AF88" s="41"/>
      <c r="AG88" s="41"/>
      <c r="AH88" s="41"/>
      <c r="AI88" s="41"/>
    </row>
    <row r="89" spans="1:35" ht="15.75" customHeight="1" x14ac:dyDescent="0.2">
      <c r="A89" s="166"/>
      <c r="B89" s="218"/>
      <c r="C89" s="218"/>
      <c r="D89" s="41"/>
      <c r="E89" s="41"/>
      <c r="F89" s="218"/>
      <c r="G89" s="41"/>
      <c r="H89" s="41"/>
      <c r="I89" s="41"/>
      <c r="J89" s="166"/>
      <c r="K89" s="41"/>
      <c r="L89" s="41"/>
      <c r="M89" s="41"/>
      <c r="N89" s="166"/>
      <c r="O89" s="166"/>
      <c r="P89" s="41"/>
      <c r="Q89" s="41"/>
      <c r="R89" s="41"/>
      <c r="S89" s="41"/>
      <c r="T89" s="41"/>
      <c r="U89" s="41"/>
      <c r="V89" s="41"/>
      <c r="W89" s="41"/>
      <c r="X89" s="41"/>
      <c r="Y89" s="166"/>
      <c r="Z89" s="166"/>
      <c r="AA89" s="41"/>
      <c r="AB89" s="41"/>
      <c r="AC89" s="41"/>
      <c r="AD89" s="41"/>
      <c r="AE89" s="41"/>
      <c r="AF89" s="41"/>
      <c r="AG89" s="41"/>
      <c r="AH89" s="41"/>
      <c r="AI89" s="41"/>
    </row>
    <row r="90" spans="1:35" ht="15.75" customHeight="1" x14ac:dyDescent="0.2">
      <c r="A90" s="166"/>
      <c r="B90" s="218"/>
      <c r="C90" s="218"/>
      <c r="D90" s="41"/>
      <c r="E90" s="41"/>
      <c r="F90" s="218"/>
      <c r="G90" s="41"/>
      <c r="H90" s="41"/>
      <c r="I90" s="41"/>
      <c r="J90" s="166"/>
      <c r="K90" s="41"/>
      <c r="L90" s="41"/>
      <c r="M90" s="41"/>
      <c r="N90" s="166"/>
      <c r="O90" s="166"/>
      <c r="P90" s="41"/>
      <c r="Q90" s="41"/>
      <c r="R90" s="41"/>
      <c r="S90" s="41"/>
      <c r="T90" s="41"/>
      <c r="U90" s="41"/>
      <c r="V90" s="41"/>
      <c r="W90" s="41"/>
      <c r="X90" s="41"/>
      <c r="Y90" s="166"/>
      <c r="Z90" s="166"/>
      <c r="AA90" s="41"/>
      <c r="AB90" s="41"/>
      <c r="AC90" s="41"/>
      <c r="AD90" s="41"/>
      <c r="AE90" s="41"/>
      <c r="AF90" s="41"/>
      <c r="AG90" s="41"/>
      <c r="AH90" s="41"/>
      <c r="AI90" s="41"/>
    </row>
    <row r="91" spans="1:35" ht="15.75" customHeight="1" x14ac:dyDescent="0.2">
      <c r="A91" s="166"/>
      <c r="B91" s="218"/>
      <c r="C91" s="218"/>
      <c r="D91" s="41"/>
      <c r="E91" s="41"/>
      <c r="F91" s="218"/>
      <c r="G91" s="41"/>
      <c r="H91" s="41"/>
      <c r="I91" s="41"/>
      <c r="J91" s="166"/>
      <c r="K91" s="41"/>
      <c r="L91" s="41"/>
      <c r="M91" s="41"/>
      <c r="N91" s="166"/>
      <c r="O91" s="166"/>
      <c r="P91" s="41"/>
      <c r="Q91" s="41"/>
      <c r="R91" s="41"/>
      <c r="S91" s="41"/>
      <c r="T91" s="41"/>
      <c r="U91" s="41"/>
      <c r="V91" s="41"/>
      <c r="W91" s="41"/>
      <c r="X91" s="41"/>
      <c r="Y91" s="166"/>
      <c r="Z91" s="166"/>
      <c r="AA91" s="41"/>
      <c r="AB91" s="41"/>
      <c r="AC91" s="41"/>
      <c r="AD91" s="41"/>
      <c r="AE91" s="41"/>
      <c r="AF91" s="41"/>
      <c r="AG91" s="41"/>
      <c r="AH91" s="41"/>
      <c r="AI91" s="41"/>
    </row>
    <row r="92" spans="1:35" ht="15.75" customHeight="1" x14ac:dyDescent="0.2">
      <c r="A92" s="166"/>
      <c r="B92" s="218"/>
      <c r="C92" s="218"/>
      <c r="D92" s="41"/>
      <c r="E92" s="41"/>
      <c r="F92" s="218"/>
      <c r="G92" s="41"/>
      <c r="H92" s="41"/>
      <c r="I92" s="41"/>
      <c r="J92" s="166"/>
      <c r="K92" s="41"/>
      <c r="L92" s="41"/>
      <c r="M92" s="41"/>
      <c r="N92" s="166"/>
      <c r="O92" s="166"/>
      <c r="P92" s="41"/>
      <c r="Q92" s="41"/>
      <c r="R92" s="41"/>
      <c r="S92" s="41"/>
      <c r="T92" s="41"/>
      <c r="U92" s="41"/>
      <c r="V92" s="41"/>
      <c r="W92" s="41"/>
      <c r="X92" s="41"/>
      <c r="Y92" s="166"/>
      <c r="Z92" s="166"/>
      <c r="AA92" s="41"/>
      <c r="AB92" s="41"/>
      <c r="AC92" s="41"/>
      <c r="AD92" s="41"/>
      <c r="AE92" s="41"/>
      <c r="AF92" s="41"/>
      <c r="AG92" s="41"/>
      <c r="AH92" s="41"/>
      <c r="AI92" s="41"/>
    </row>
    <row r="93" spans="1:35" ht="15.75" customHeight="1" x14ac:dyDescent="0.2">
      <c r="A93" s="166"/>
      <c r="B93" s="218"/>
      <c r="C93" s="218"/>
      <c r="D93" s="41"/>
      <c r="E93" s="41"/>
      <c r="F93" s="218"/>
      <c r="G93" s="41"/>
      <c r="H93" s="41"/>
      <c r="I93" s="41"/>
      <c r="J93" s="166"/>
      <c r="K93" s="41"/>
      <c r="L93" s="41"/>
      <c r="M93" s="41"/>
      <c r="N93" s="166"/>
      <c r="O93" s="166"/>
      <c r="P93" s="41"/>
      <c r="Q93" s="41"/>
      <c r="R93" s="41"/>
      <c r="S93" s="41"/>
      <c r="T93" s="41"/>
      <c r="U93" s="41"/>
      <c r="V93" s="41"/>
      <c r="W93" s="41"/>
      <c r="X93" s="41"/>
      <c r="Y93" s="166"/>
      <c r="Z93" s="166"/>
      <c r="AA93" s="41"/>
      <c r="AB93" s="41"/>
      <c r="AC93" s="41"/>
      <c r="AD93" s="41"/>
      <c r="AE93" s="41"/>
      <c r="AF93" s="41"/>
      <c r="AG93" s="41"/>
      <c r="AH93" s="41"/>
      <c r="AI93" s="41"/>
    </row>
    <row r="94" spans="1:35" ht="15.75" customHeight="1" x14ac:dyDescent="0.2">
      <c r="A94" s="166"/>
      <c r="B94" s="218"/>
      <c r="C94" s="218"/>
      <c r="D94" s="41"/>
      <c r="E94" s="41"/>
      <c r="F94" s="218"/>
      <c r="G94" s="41"/>
      <c r="H94" s="41"/>
      <c r="I94" s="41"/>
      <c r="J94" s="166"/>
      <c r="K94" s="41"/>
      <c r="L94" s="41"/>
      <c r="M94" s="41"/>
      <c r="N94" s="166"/>
      <c r="O94" s="166"/>
      <c r="P94" s="41"/>
      <c r="Q94" s="41"/>
      <c r="R94" s="41"/>
      <c r="S94" s="41"/>
      <c r="T94" s="41"/>
      <c r="U94" s="41"/>
      <c r="V94" s="41"/>
      <c r="W94" s="41"/>
      <c r="X94" s="41"/>
      <c r="Y94" s="166"/>
      <c r="Z94" s="166"/>
      <c r="AA94" s="41"/>
      <c r="AB94" s="41"/>
      <c r="AC94" s="41"/>
      <c r="AD94" s="41"/>
      <c r="AE94" s="41"/>
      <c r="AF94" s="41"/>
      <c r="AG94" s="41"/>
      <c r="AH94" s="41"/>
      <c r="AI94" s="41"/>
    </row>
    <row r="95" spans="1:35" ht="15.75" customHeight="1" x14ac:dyDescent="0.2">
      <c r="A95" s="166"/>
      <c r="B95" s="218"/>
      <c r="C95" s="218"/>
      <c r="D95" s="41"/>
      <c r="E95" s="41"/>
      <c r="F95" s="218"/>
      <c r="G95" s="41"/>
      <c r="H95" s="41"/>
      <c r="I95" s="41"/>
      <c r="J95" s="166"/>
      <c r="K95" s="41"/>
      <c r="L95" s="41"/>
      <c r="M95" s="41"/>
      <c r="N95" s="166"/>
      <c r="O95" s="166"/>
      <c r="P95" s="41"/>
      <c r="Q95" s="41"/>
      <c r="R95" s="41"/>
      <c r="S95" s="41"/>
      <c r="T95" s="41"/>
      <c r="U95" s="41"/>
      <c r="V95" s="41"/>
      <c r="W95" s="41"/>
      <c r="X95" s="41"/>
      <c r="Y95" s="166"/>
      <c r="Z95" s="166"/>
      <c r="AA95" s="41"/>
      <c r="AB95" s="41"/>
      <c r="AC95" s="41"/>
      <c r="AD95" s="41"/>
      <c r="AE95" s="41"/>
      <c r="AF95" s="41"/>
      <c r="AG95" s="41"/>
      <c r="AH95" s="41"/>
      <c r="AI95" s="41"/>
    </row>
    <row r="96" spans="1:35" ht="15.75" customHeight="1" x14ac:dyDescent="0.2">
      <c r="A96" s="166"/>
      <c r="B96" s="218"/>
      <c r="C96" s="218"/>
      <c r="D96" s="41"/>
      <c r="E96" s="41"/>
      <c r="F96" s="218"/>
      <c r="G96" s="41"/>
      <c r="H96" s="41"/>
      <c r="I96" s="41"/>
      <c r="J96" s="166"/>
      <c r="K96" s="41"/>
      <c r="L96" s="41"/>
      <c r="M96" s="41"/>
      <c r="N96" s="166"/>
      <c r="O96" s="166"/>
      <c r="P96" s="41"/>
      <c r="Q96" s="41"/>
      <c r="R96" s="41"/>
      <c r="S96" s="41"/>
      <c r="T96" s="41"/>
      <c r="U96" s="41"/>
      <c r="V96" s="41"/>
      <c r="W96" s="41"/>
      <c r="X96" s="41"/>
      <c r="Y96" s="166"/>
      <c r="Z96" s="166"/>
      <c r="AA96" s="41"/>
      <c r="AB96" s="41"/>
      <c r="AC96" s="41"/>
      <c r="AD96" s="41"/>
      <c r="AE96" s="41"/>
      <c r="AF96" s="41"/>
      <c r="AG96" s="41"/>
      <c r="AH96" s="41"/>
      <c r="AI96" s="41"/>
    </row>
    <row r="97" spans="1:35" ht="15.75" customHeight="1" x14ac:dyDescent="0.2">
      <c r="A97" s="166"/>
      <c r="B97" s="218"/>
      <c r="C97" s="218"/>
      <c r="D97" s="41"/>
      <c r="E97" s="41"/>
      <c r="F97" s="218"/>
      <c r="G97" s="41"/>
      <c r="H97" s="41"/>
      <c r="I97" s="41"/>
      <c r="J97" s="166"/>
      <c r="K97" s="41"/>
      <c r="L97" s="41"/>
      <c r="M97" s="41"/>
      <c r="N97" s="166"/>
      <c r="O97" s="166"/>
      <c r="P97" s="41"/>
      <c r="Q97" s="41"/>
      <c r="R97" s="41"/>
      <c r="S97" s="41"/>
      <c r="T97" s="41"/>
      <c r="U97" s="41"/>
      <c r="V97" s="41"/>
      <c r="W97" s="41"/>
      <c r="X97" s="41"/>
      <c r="Y97" s="166"/>
      <c r="Z97" s="166"/>
      <c r="AA97" s="41"/>
      <c r="AB97" s="41"/>
      <c r="AC97" s="41"/>
      <c r="AD97" s="41"/>
      <c r="AE97" s="41"/>
      <c r="AF97" s="41"/>
      <c r="AG97" s="41"/>
      <c r="AH97" s="41"/>
      <c r="AI97" s="41"/>
    </row>
    <row r="98" spans="1:35" ht="15.75" customHeight="1" x14ac:dyDescent="0.2">
      <c r="A98" s="166"/>
      <c r="B98" s="218"/>
      <c r="C98" s="218"/>
      <c r="D98" s="41"/>
      <c r="E98" s="41"/>
      <c r="F98" s="218"/>
      <c r="G98" s="41"/>
      <c r="H98" s="41"/>
      <c r="I98" s="41"/>
      <c r="J98" s="166"/>
      <c r="K98" s="41"/>
      <c r="L98" s="41"/>
      <c r="M98" s="41"/>
      <c r="N98" s="166"/>
      <c r="O98" s="166"/>
      <c r="P98" s="41"/>
      <c r="Q98" s="41"/>
      <c r="R98" s="41"/>
      <c r="S98" s="41"/>
      <c r="T98" s="41"/>
      <c r="U98" s="41"/>
      <c r="V98" s="41"/>
      <c r="W98" s="41"/>
      <c r="X98" s="41"/>
      <c r="Y98" s="166"/>
      <c r="Z98" s="166"/>
      <c r="AA98" s="41"/>
      <c r="AB98" s="41"/>
      <c r="AC98" s="41"/>
      <c r="AD98" s="41"/>
      <c r="AE98" s="41"/>
      <c r="AF98" s="41"/>
      <c r="AG98" s="41"/>
      <c r="AH98" s="41"/>
      <c r="AI98" s="41"/>
    </row>
    <row r="99" spans="1:35" ht="15.75" customHeight="1" x14ac:dyDescent="0.2">
      <c r="A99" s="166"/>
      <c r="B99" s="218"/>
      <c r="C99" s="218"/>
      <c r="D99" s="41"/>
      <c r="E99" s="41"/>
      <c r="F99" s="218"/>
      <c r="G99" s="41"/>
      <c r="H99" s="41"/>
      <c r="I99" s="41"/>
      <c r="J99" s="166"/>
      <c r="K99" s="41"/>
      <c r="L99" s="41"/>
      <c r="M99" s="41"/>
      <c r="N99" s="166"/>
      <c r="O99" s="166"/>
      <c r="P99" s="41"/>
      <c r="Q99" s="41"/>
      <c r="R99" s="41"/>
      <c r="S99" s="41"/>
      <c r="T99" s="41"/>
      <c r="U99" s="41"/>
      <c r="V99" s="41"/>
      <c r="W99" s="41"/>
      <c r="X99" s="41"/>
      <c r="Y99" s="166"/>
      <c r="Z99" s="166"/>
      <c r="AA99" s="41"/>
      <c r="AB99" s="41"/>
      <c r="AC99" s="41"/>
      <c r="AD99" s="41"/>
      <c r="AE99" s="41"/>
      <c r="AF99" s="41"/>
      <c r="AG99" s="41"/>
      <c r="AH99" s="41"/>
      <c r="AI99" s="41"/>
    </row>
    <row r="100" spans="1:35" ht="15.75" customHeight="1" x14ac:dyDescent="0.2">
      <c r="A100" s="166"/>
      <c r="B100" s="218"/>
      <c r="C100" s="218"/>
      <c r="D100" s="41"/>
      <c r="E100" s="41"/>
      <c r="F100" s="218"/>
      <c r="G100" s="41"/>
      <c r="H100" s="41"/>
      <c r="I100" s="41"/>
      <c r="J100" s="166"/>
      <c r="K100" s="41"/>
      <c r="L100" s="41"/>
      <c r="M100" s="41"/>
      <c r="N100" s="166"/>
      <c r="O100" s="166"/>
      <c r="P100" s="41"/>
      <c r="Q100" s="41"/>
      <c r="R100" s="41"/>
      <c r="S100" s="41"/>
      <c r="T100" s="41"/>
      <c r="U100" s="41"/>
      <c r="V100" s="41"/>
      <c r="W100" s="41"/>
      <c r="X100" s="41"/>
      <c r="Y100" s="166"/>
      <c r="Z100" s="166"/>
      <c r="AA100" s="41"/>
      <c r="AB100" s="41"/>
      <c r="AC100" s="41"/>
      <c r="AD100" s="41"/>
      <c r="AE100" s="41"/>
      <c r="AF100" s="41"/>
      <c r="AG100" s="41"/>
      <c r="AH100" s="41"/>
      <c r="AI100" s="41"/>
    </row>
    <row r="101" spans="1:35" ht="15.75" customHeight="1" x14ac:dyDescent="0.2">
      <c r="A101" s="166"/>
      <c r="B101" s="218"/>
      <c r="C101" s="218"/>
      <c r="D101" s="41"/>
      <c r="E101" s="41"/>
      <c r="F101" s="218"/>
      <c r="G101" s="41"/>
      <c r="H101" s="41"/>
      <c r="I101" s="41"/>
      <c r="J101" s="166"/>
      <c r="K101" s="41"/>
      <c r="L101" s="41"/>
      <c r="M101" s="41"/>
      <c r="N101" s="166"/>
      <c r="O101" s="166"/>
      <c r="P101" s="41"/>
      <c r="Q101" s="41"/>
      <c r="R101" s="41"/>
      <c r="S101" s="41"/>
      <c r="T101" s="41"/>
      <c r="U101" s="41"/>
      <c r="V101" s="41"/>
      <c r="W101" s="41"/>
      <c r="X101" s="41"/>
      <c r="Y101" s="166"/>
      <c r="Z101" s="166"/>
      <c r="AA101" s="41"/>
      <c r="AB101" s="41"/>
      <c r="AC101" s="41"/>
      <c r="AD101" s="41"/>
      <c r="AE101" s="41"/>
      <c r="AF101" s="41"/>
      <c r="AG101" s="41"/>
      <c r="AH101" s="41"/>
      <c r="AI101" s="41"/>
    </row>
    <row r="102" spans="1:35" ht="15.75" customHeight="1" x14ac:dyDescent="0.2">
      <c r="A102" s="166"/>
      <c r="B102" s="218"/>
      <c r="C102" s="218"/>
      <c r="D102" s="41"/>
      <c r="E102" s="41"/>
      <c r="F102" s="218"/>
      <c r="G102" s="41"/>
      <c r="H102" s="41"/>
      <c r="I102" s="41"/>
      <c r="J102" s="166"/>
      <c r="K102" s="41"/>
      <c r="L102" s="41"/>
      <c r="M102" s="41"/>
      <c r="N102" s="166"/>
      <c r="O102" s="166"/>
      <c r="P102" s="41"/>
      <c r="Q102" s="41"/>
      <c r="R102" s="41"/>
      <c r="S102" s="41"/>
      <c r="T102" s="41"/>
      <c r="U102" s="41"/>
      <c r="V102" s="41"/>
      <c r="W102" s="41"/>
      <c r="X102" s="41"/>
      <c r="Y102" s="166"/>
      <c r="Z102" s="166"/>
      <c r="AA102" s="41"/>
      <c r="AB102" s="41"/>
      <c r="AC102" s="41"/>
      <c r="AD102" s="41"/>
      <c r="AE102" s="41"/>
      <c r="AF102" s="41"/>
      <c r="AG102" s="41"/>
      <c r="AH102" s="41"/>
      <c r="AI102" s="41"/>
    </row>
    <row r="103" spans="1:35" ht="15.75" customHeight="1" x14ac:dyDescent="0.2">
      <c r="A103" s="166"/>
      <c r="B103" s="218"/>
      <c r="C103" s="218"/>
      <c r="D103" s="41"/>
      <c r="E103" s="41"/>
      <c r="F103" s="218"/>
      <c r="G103" s="41"/>
      <c r="H103" s="41"/>
      <c r="I103" s="41"/>
      <c r="J103" s="166"/>
      <c r="K103" s="41"/>
      <c r="L103" s="41"/>
      <c r="M103" s="41"/>
      <c r="N103" s="166"/>
      <c r="O103" s="166"/>
      <c r="P103" s="41"/>
      <c r="Q103" s="41"/>
      <c r="R103" s="41"/>
      <c r="S103" s="41"/>
      <c r="T103" s="41"/>
      <c r="U103" s="41"/>
      <c r="V103" s="41"/>
      <c r="W103" s="41"/>
      <c r="X103" s="41"/>
      <c r="Y103" s="166"/>
      <c r="Z103" s="166"/>
      <c r="AA103" s="41"/>
      <c r="AB103" s="41"/>
      <c r="AC103" s="41"/>
      <c r="AD103" s="41"/>
      <c r="AE103" s="41"/>
      <c r="AF103" s="41"/>
      <c r="AG103" s="41"/>
      <c r="AH103" s="41"/>
      <c r="AI103" s="41"/>
    </row>
    <row r="104" spans="1:35" ht="15.75" customHeight="1" x14ac:dyDescent="0.2">
      <c r="A104" s="166"/>
      <c r="B104" s="218"/>
      <c r="C104" s="218"/>
      <c r="D104" s="41"/>
      <c r="E104" s="41"/>
      <c r="F104" s="218"/>
      <c r="G104" s="41"/>
      <c r="H104" s="41"/>
      <c r="I104" s="41"/>
      <c r="J104" s="166"/>
      <c r="K104" s="41"/>
      <c r="L104" s="41"/>
      <c r="M104" s="41"/>
      <c r="N104" s="166"/>
      <c r="O104" s="166"/>
      <c r="P104" s="41"/>
      <c r="Q104" s="41"/>
      <c r="R104" s="41"/>
      <c r="S104" s="41"/>
      <c r="T104" s="41"/>
      <c r="U104" s="41"/>
      <c r="V104" s="41"/>
      <c r="W104" s="41"/>
      <c r="X104" s="41"/>
      <c r="Y104" s="166"/>
      <c r="Z104" s="166"/>
      <c r="AA104" s="41"/>
      <c r="AB104" s="41"/>
      <c r="AC104" s="41"/>
      <c r="AD104" s="41"/>
      <c r="AE104" s="41"/>
      <c r="AF104" s="41"/>
      <c r="AG104" s="41"/>
      <c r="AH104" s="41"/>
      <c r="AI104" s="41"/>
    </row>
    <row r="105" spans="1:35" ht="15.75" customHeight="1" x14ac:dyDescent="0.2">
      <c r="A105" s="166"/>
      <c r="B105" s="218"/>
      <c r="C105" s="218"/>
      <c r="D105" s="41"/>
      <c r="E105" s="41"/>
      <c r="F105" s="218"/>
      <c r="G105" s="41"/>
      <c r="H105" s="41"/>
      <c r="I105" s="41"/>
      <c r="J105" s="166"/>
      <c r="K105" s="41"/>
      <c r="L105" s="41"/>
      <c r="M105" s="41"/>
      <c r="N105" s="166"/>
      <c r="O105" s="166"/>
      <c r="P105" s="41"/>
      <c r="Q105" s="41"/>
      <c r="R105" s="41"/>
      <c r="S105" s="41"/>
      <c r="T105" s="41"/>
      <c r="U105" s="41"/>
      <c r="V105" s="41"/>
      <c r="W105" s="41"/>
      <c r="X105" s="41"/>
      <c r="Y105" s="166"/>
      <c r="Z105" s="166"/>
      <c r="AA105" s="41"/>
      <c r="AB105" s="41"/>
      <c r="AC105" s="41"/>
      <c r="AD105" s="41"/>
      <c r="AE105" s="41"/>
      <c r="AF105" s="41"/>
      <c r="AG105" s="41"/>
      <c r="AH105" s="41"/>
      <c r="AI105" s="41"/>
    </row>
    <row r="106" spans="1:35" ht="15.75" customHeight="1" x14ac:dyDescent="0.2">
      <c r="A106" s="166"/>
      <c r="B106" s="218"/>
      <c r="C106" s="218"/>
      <c r="D106" s="41"/>
      <c r="E106" s="41"/>
      <c r="F106" s="218"/>
      <c r="G106" s="41"/>
      <c r="H106" s="41"/>
      <c r="I106" s="41"/>
      <c r="J106" s="166"/>
      <c r="K106" s="41"/>
      <c r="L106" s="41"/>
      <c r="M106" s="41"/>
      <c r="N106" s="166"/>
      <c r="O106" s="166"/>
      <c r="P106" s="41"/>
      <c r="Q106" s="41"/>
      <c r="R106" s="41"/>
      <c r="S106" s="41"/>
      <c r="T106" s="41"/>
      <c r="U106" s="41"/>
      <c r="V106" s="41"/>
      <c r="W106" s="41"/>
      <c r="X106" s="41"/>
      <c r="Y106" s="166"/>
      <c r="Z106" s="166"/>
      <c r="AA106" s="41"/>
      <c r="AB106" s="41"/>
      <c r="AC106" s="41"/>
      <c r="AD106" s="41"/>
      <c r="AE106" s="41"/>
      <c r="AF106" s="41"/>
      <c r="AG106" s="41"/>
      <c r="AH106" s="41"/>
      <c r="AI106" s="41"/>
    </row>
    <row r="107" spans="1:35" ht="15.75" customHeight="1" x14ac:dyDescent="0.2">
      <c r="A107" s="166"/>
      <c r="B107" s="218"/>
      <c r="C107" s="218"/>
      <c r="D107" s="41"/>
      <c r="E107" s="41"/>
      <c r="F107" s="218"/>
      <c r="G107" s="41"/>
      <c r="H107" s="41"/>
      <c r="I107" s="41"/>
      <c r="J107" s="166"/>
      <c r="K107" s="41"/>
      <c r="L107" s="41"/>
      <c r="M107" s="41"/>
      <c r="N107" s="166"/>
      <c r="O107" s="166"/>
      <c r="P107" s="41"/>
      <c r="Q107" s="41"/>
      <c r="R107" s="41"/>
      <c r="S107" s="41"/>
      <c r="T107" s="41"/>
      <c r="U107" s="41"/>
      <c r="V107" s="41"/>
      <c r="W107" s="41"/>
      <c r="X107" s="41"/>
      <c r="Y107" s="166"/>
      <c r="Z107" s="166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5.75" customHeight="1" x14ac:dyDescent="0.2">
      <c r="A108" s="166"/>
      <c r="B108" s="218"/>
      <c r="C108" s="218"/>
      <c r="D108" s="41"/>
      <c r="E108" s="41"/>
      <c r="F108" s="218"/>
      <c r="G108" s="41"/>
      <c r="H108" s="41"/>
      <c r="I108" s="41"/>
      <c r="J108" s="166"/>
      <c r="K108" s="41"/>
      <c r="L108" s="41"/>
      <c r="M108" s="41"/>
      <c r="N108" s="166"/>
      <c r="O108" s="166"/>
      <c r="P108" s="41"/>
      <c r="Q108" s="41"/>
      <c r="R108" s="41"/>
      <c r="S108" s="41"/>
      <c r="T108" s="41"/>
      <c r="U108" s="41"/>
      <c r="V108" s="41"/>
      <c r="W108" s="41"/>
      <c r="X108" s="41"/>
      <c r="Y108" s="166"/>
      <c r="Z108" s="166"/>
      <c r="AA108" s="41"/>
      <c r="AB108" s="41"/>
      <c r="AC108" s="41"/>
      <c r="AD108" s="41"/>
      <c r="AE108" s="41"/>
      <c r="AF108" s="41"/>
      <c r="AG108" s="41"/>
      <c r="AH108" s="41"/>
      <c r="AI108" s="41"/>
    </row>
    <row r="109" spans="1:35" ht="15.75" customHeight="1" x14ac:dyDescent="0.2">
      <c r="A109" s="166"/>
      <c r="B109" s="218"/>
      <c r="C109" s="218"/>
      <c r="D109" s="41"/>
      <c r="E109" s="41"/>
      <c r="F109" s="218"/>
      <c r="G109" s="41"/>
      <c r="H109" s="41"/>
      <c r="I109" s="41"/>
      <c r="J109" s="166"/>
      <c r="K109" s="41"/>
      <c r="L109" s="41"/>
      <c r="M109" s="41"/>
      <c r="N109" s="166"/>
      <c r="O109" s="166"/>
      <c r="P109" s="41"/>
      <c r="Q109" s="41"/>
      <c r="R109" s="41"/>
      <c r="S109" s="41"/>
      <c r="T109" s="41"/>
      <c r="U109" s="41"/>
      <c r="V109" s="41"/>
      <c r="W109" s="41"/>
      <c r="X109" s="41"/>
      <c r="Y109" s="166"/>
      <c r="Z109" s="166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5.75" customHeight="1" x14ac:dyDescent="0.2">
      <c r="A110" s="166"/>
      <c r="B110" s="218"/>
      <c r="C110" s="218"/>
      <c r="D110" s="41"/>
      <c r="E110" s="41"/>
      <c r="F110" s="218"/>
      <c r="G110" s="41"/>
      <c r="H110" s="41"/>
      <c r="I110" s="41"/>
      <c r="J110" s="166"/>
      <c r="K110" s="41"/>
      <c r="L110" s="41"/>
      <c r="M110" s="41"/>
      <c r="N110" s="166"/>
      <c r="O110" s="166"/>
      <c r="P110" s="41"/>
      <c r="Q110" s="41"/>
      <c r="R110" s="41"/>
      <c r="S110" s="41"/>
      <c r="T110" s="41"/>
      <c r="U110" s="41"/>
      <c r="V110" s="41"/>
      <c r="W110" s="41"/>
      <c r="X110" s="41"/>
      <c r="Y110" s="166"/>
      <c r="Z110" s="166"/>
      <c r="AA110" s="41"/>
      <c r="AB110" s="41"/>
      <c r="AC110" s="41"/>
      <c r="AD110" s="41"/>
      <c r="AE110" s="41"/>
      <c r="AF110" s="41"/>
      <c r="AG110" s="41"/>
      <c r="AH110" s="41"/>
      <c r="AI110" s="41"/>
    </row>
    <row r="111" spans="1:35" ht="15.75" customHeight="1" x14ac:dyDescent="0.2">
      <c r="A111" s="166"/>
      <c r="B111" s="218"/>
      <c r="C111" s="218"/>
      <c r="D111" s="41"/>
      <c r="E111" s="41"/>
      <c r="F111" s="218"/>
      <c r="G111" s="41"/>
      <c r="H111" s="41"/>
      <c r="I111" s="41"/>
      <c r="J111" s="166"/>
      <c r="K111" s="41"/>
      <c r="L111" s="41"/>
      <c r="M111" s="41"/>
      <c r="N111" s="166"/>
      <c r="O111" s="166"/>
      <c r="P111" s="41"/>
      <c r="Q111" s="41"/>
      <c r="R111" s="41"/>
      <c r="S111" s="41"/>
      <c r="T111" s="41"/>
      <c r="U111" s="41"/>
      <c r="V111" s="41"/>
      <c r="W111" s="41"/>
      <c r="X111" s="41"/>
      <c r="Y111" s="166"/>
      <c r="Z111" s="166"/>
      <c r="AA111" s="41"/>
      <c r="AB111" s="41"/>
      <c r="AC111" s="41"/>
      <c r="AD111" s="41"/>
      <c r="AE111" s="41"/>
      <c r="AF111" s="41"/>
      <c r="AG111" s="41"/>
      <c r="AH111" s="41"/>
      <c r="AI111" s="41"/>
    </row>
    <row r="112" spans="1:35" ht="15.75" customHeight="1" x14ac:dyDescent="0.2">
      <c r="A112" s="166"/>
      <c r="B112" s="218"/>
      <c r="C112" s="218"/>
      <c r="D112" s="41"/>
      <c r="E112" s="41"/>
      <c r="F112" s="218"/>
      <c r="G112" s="41"/>
      <c r="H112" s="41"/>
      <c r="I112" s="41"/>
      <c r="J112" s="166"/>
      <c r="K112" s="41"/>
      <c r="L112" s="41"/>
      <c r="M112" s="41"/>
      <c r="N112" s="166"/>
      <c r="O112" s="166"/>
      <c r="P112" s="41"/>
      <c r="Q112" s="41"/>
      <c r="R112" s="41"/>
      <c r="S112" s="41"/>
      <c r="T112" s="41"/>
      <c r="U112" s="41"/>
      <c r="V112" s="41"/>
      <c r="W112" s="41"/>
      <c r="X112" s="41"/>
      <c r="Y112" s="166"/>
      <c r="Z112" s="166"/>
      <c r="AA112" s="41"/>
      <c r="AB112" s="41"/>
      <c r="AC112" s="41"/>
      <c r="AD112" s="41"/>
      <c r="AE112" s="41"/>
      <c r="AF112" s="41"/>
      <c r="AG112" s="41"/>
      <c r="AH112" s="41"/>
      <c r="AI112" s="41"/>
    </row>
    <row r="113" spans="1:35" ht="15.75" customHeight="1" x14ac:dyDescent="0.2">
      <c r="A113" s="166"/>
      <c r="B113" s="218"/>
      <c r="C113" s="218"/>
      <c r="D113" s="41"/>
      <c r="E113" s="41"/>
      <c r="F113" s="218"/>
      <c r="G113" s="41"/>
      <c r="H113" s="41"/>
      <c r="I113" s="41"/>
      <c r="J113" s="166"/>
      <c r="K113" s="41"/>
      <c r="L113" s="41"/>
      <c r="M113" s="41"/>
      <c r="N113" s="166"/>
      <c r="O113" s="166"/>
      <c r="P113" s="41"/>
      <c r="Q113" s="41"/>
      <c r="R113" s="41"/>
      <c r="S113" s="41"/>
      <c r="T113" s="41"/>
      <c r="U113" s="41"/>
      <c r="V113" s="41"/>
      <c r="W113" s="41"/>
      <c r="X113" s="41"/>
      <c r="Y113" s="166"/>
      <c r="Z113" s="166"/>
      <c r="AA113" s="41"/>
      <c r="AB113" s="41"/>
      <c r="AC113" s="41"/>
      <c r="AD113" s="41"/>
      <c r="AE113" s="41"/>
      <c r="AF113" s="41"/>
      <c r="AG113" s="41"/>
      <c r="AH113" s="41"/>
      <c r="AI113" s="41"/>
    </row>
    <row r="114" spans="1:35" ht="15.75" customHeight="1" x14ac:dyDescent="0.2">
      <c r="A114" s="166"/>
      <c r="B114" s="218"/>
      <c r="C114" s="218"/>
      <c r="D114" s="41"/>
      <c r="E114" s="41"/>
      <c r="F114" s="218"/>
      <c r="G114" s="41"/>
      <c r="H114" s="41"/>
      <c r="I114" s="41"/>
      <c r="J114" s="166"/>
      <c r="K114" s="41"/>
      <c r="L114" s="41"/>
      <c r="M114" s="41"/>
      <c r="N114" s="166"/>
      <c r="O114" s="166"/>
      <c r="P114" s="41"/>
      <c r="Q114" s="41"/>
      <c r="R114" s="41"/>
      <c r="S114" s="41"/>
      <c r="T114" s="41"/>
      <c r="U114" s="41"/>
      <c r="V114" s="41"/>
      <c r="W114" s="41"/>
      <c r="X114" s="41"/>
      <c r="Y114" s="166"/>
      <c r="Z114" s="166"/>
      <c r="AA114" s="41"/>
      <c r="AB114" s="41"/>
      <c r="AC114" s="41"/>
      <c r="AD114" s="41"/>
      <c r="AE114" s="41"/>
      <c r="AF114" s="41"/>
      <c r="AG114" s="41"/>
      <c r="AH114" s="41"/>
      <c r="AI114" s="41"/>
    </row>
    <row r="115" spans="1:35" ht="15.75" customHeight="1" x14ac:dyDescent="0.2">
      <c r="A115" s="166"/>
      <c r="B115" s="218"/>
      <c r="C115" s="218"/>
      <c r="D115" s="41"/>
      <c r="E115" s="41"/>
      <c r="F115" s="218"/>
      <c r="G115" s="41"/>
      <c r="H115" s="41"/>
      <c r="I115" s="41"/>
      <c r="J115" s="166"/>
      <c r="K115" s="41"/>
      <c r="L115" s="41"/>
      <c r="M115" s="41"/>
      <c r="N115" s="166"/>
      <c r="O115" s="166"/>
      <c r="P115" s="41"/>
      <c r="Q115" s="41"/>
      <c r="R115" s="41"/>
      <c r="S115" s="41"/>
      <c r="T115" s="41"/>
      <c r="U115" s="41"/>
      <c r="V115" s="41"/>
      <c r="W115" s="41"/>
      <c r="X115" s="41"/>
      <c r="Y115" s="166"/>
      <c r="Z115" s="166"/>
      <c r="AA115" s="41"/>
      <c r="AB115" s="41"/>
      <c r="AC115" s="41"/>
      <c r="AD115" s="41"/>
      <c r="AE115" s="41"/>
      <c r="AF115" s="41"/>
      <c r="AG115" s="41"/>
      <c r="AH115" s="41"/>
      <c r="AI115" s="41"/>
    </row>
    <row r="116" spans="1:35" ht="15.75" customHeight="1" x14ac:dyDescent="0.2">
      <c r="A116" s="166"/>
      <c r="B116" s="218"/>
      <c r="C116" s="218"/>
      <c r="D116" s="41"/>
      <c r="E116" s="41"/>
      <c r="F116" s="218"/>
      <c r="G116" s="41"/>
      <c r="H116" s="41"/>
      <c r="I116" s="41"/>
      <c r="J116" s="166"/>
      <c r="K116" s="41"/>
      <c r="L116" s="41"/>
      <c r="M116" s="41"/>
      <c r="N116" s="166"/>
      <c r="O116" s="166"/>
      <c r="P116" s="41"/>
      <c r="Q116" s="41"/>
      <c r="R116" s="41"/>
      <c r="S116" s="41"/>
      <c r="T116" s="41"/>
      <c r="U116" s="41"/>
      <c r="V116" s="41"/>
      <c r="W116" s="41"/>
      <c r="X116" s="41"/>
      <c r="Y116" s="166"/>
      <c r="Z116" s="166"/>
      <c r="AA116" s="41"/>
      <c r="AB116" s="41"/>
      <c r="AC116" s="41"/>
      <c r="AD116" s="41"/>
      <c r="AE116" s="41"/>
      <c r="AF116" s="41"/>
      <c r="AG116" s="41"/>
      <c r="AH116" s="41"/>
      <c r="AI116" s="41"/>
    </row>
    <row r="117" spans="1:35" ht="15.75" customHeight="1" x14ac:dyDescent="0.2">
      <c r="A117" s="166"/>
      <c r="B117" s="218"/>
      <c r="C117" s="218"/>
      <c r="D117" s="41"/>
      <c r="E117" s="41"/>
      <c r="F117" s="218"/>
      <c r="G117" s="41"/>
      <c r="H117" s="41"/>
      <c r="I117" s="41"/>
      <c r="J117" s="166"/>
      <c r="K117" s="41"/>
      <c r="L117" s="41"/>
      <c r="M117" s="41"/>
      <c r="N117" s="166"/>
      <c r="O117" s="166"/>
      <c r="P117" s="41"/>
      <c r="Q117" s="41"/>
      <c r="R117" s="41"/>
      <c r="S117" s="41"/>
      <c r="T117" s="41"/>
      <c r="U117" s="41"/>
      <c r="V117" s="41"/>
      <c r="W117" s="41"/>
      <c r="X117" s="41"/>
      <c r="Y117" s="166"/>
      <c r="Z117" s="166"/>
      <c r="AA117" s="41"/>
      <c r="AB117" s="41"/>
      <c r="AC117" s="41"/>
      <c r="AD117" s="41"/>
      <c r="AE117" s="41"/>
      <c r="AF117" s="41"/>
      <c r="AG117" s="41"/>
      <c r="AH117" s="41"/>
      <c r="AI117" s="41"/>
    </row>
    <row r="118" spans="1:35" ht="15.75" customHeight="1" x14ac:dyDescent="0.2">
      <c r="A118" s="166"/>
      <c r="B118" s="218"/>
      <c r="C118" s="218"/>
      <c r="D118" s="41"/>
      <c r="E118" s="41"/>
      <c r="F118" s="218"/>
      <c r="G118" s="41"/>
      <c r="H118" s="41"/>
      <c r="I118" s="41"/>
      <c r="J118" s="166"/>
      <c r="K118" s="41"/>
      <c r="L118" s="41"/>
      <c r="M118" s="41"/>
      <c r="N118" s="166"/>
      <c r="O118" s="166"/>
      <c r="P118" s="41"/>
      <c r="Q118" s="41"/>
      <c r="R118" s="41"/>
      <c r="S118" s="41"/>
      <c r="T118" s="41"/>
      <c r="U118" s="41"/>
      <c r="V118" s="41"/>
      <c r="W118" s="41"/>
      <c r="X118" s="41"/>
      <c r="Y118" s="166"/>
      <c r="Z118" s="166"/>
      <c r="AA118" s="41"/>
      <c r="AB118" s="41"/>
      <c r="AC118" s="41"/>
      <c r="AD118" s="41"/>
      <c r="AE118" s="41"/>
      <c r="AF118" s="41"/>
      <c r="AG118" s="41"/>
      <c r="AH118" s="41"/>
      <c r="AI118" s="41"/>
    </row>
    <row r="119" spans="1:35" ht="15.75" customHeight="1" x14ac:dyDescent="0.2">
      <c r="A119" s="166"/>
      <c r="B119" s="218"/>
      <c r="C119" s="218"/>
      <c r="D119" s="41"/>
      <c r="E119" s="41"/>
      <c r="F119" s="218"/>
      <c r="G119" s="41"/>
      <c r="H119" s="41"/>
      <c r="I119" s="41"/>
      <c r="J119" s="166"/>
      <c r="K119" s="41"/>
      <c r="L119" s="41"/>
      <c r="M119" s="41"/>
      <c r="N119" s="166"/>
      <c r="O119" s="166"/>
      <c r="P119" s="41"/>
      <c r="Q119" s="41"/>
      <c r="R119" s="41"/>
      <c r="S119" s="41"/>
      <c r="T119" s="41"/>
      <c r="U119" s="41"/>
      <c r="V119" s="41"/>
      <c r="W119" s="41"/>
      <c r="X119" s="41"/>
      <c r="Y119" s="166"/>
      <c r="Z119" s="166"/>
      <c r="AA119" s="41"/>
      <c r="AB119" s="41"/>
      <c r="AC119" s="41"/>
      <c r="AD119" s="41"/>
      <c r="AE119" s="41"/>
      <c r="AF119" s="41"/>
      <c r="AG119" s="41"/>
      <c r="AH119" s="41"/>
      <c r="AI119" s="41"/>
    </row>
    <row r="120" spans="1:35" ht="15.75" customHeight="1" x14ac:dyDescent="0.2">
      <c r="A120" s="166"/>
      <c r="B120" s="218"/>
      <c r="C120" s="218"/>
      <c r="D120" s="41"/>
      <c r="E120" s="41"/>
      <c r="F120" s="218"/>
      <c r="G120" s="41"/>
      <c r="H120" s="41"/>
      <c r="I120" s="41"/>
      <c r="J120" s="166"/>
      <c r="K120" s="41"/>
      <c r="L120" s="41"/>
      <c r="M120" s="41"/>
      <c r="N120" s="166"/>
      <c r="O120" s="166"/>
      <c r="P120" s="41"/>
      <c r="Q120" s="41"/>
      <c r="R120" s="41"/>
      <c r="S120" s="41"/>
      <c r="T120" s="41"/>
      <c r="U120" s="41"/>
      <c r="V120" s="41"/>
      <c r="W120" s="41"/>
      <c r="X120" s="41"/>
      <c r="Y120" s="166"/>
      <c r="Z120" s="166"/>
      <c r="AA120" s="41"/>
      <c r="AB120" s="41"/>
      <c r="AC120" s="41"/>
      <c r="AD120" s="41"/>
      <c r="AE120" s="41"/>
      <c r="AF120" s="41"/>
      <c r="AG120" s="41"/>
      <c r="AH120" s="41"/>
      <c r="AI120" s="41"/>
    </row>
    <row r="121" spans="1:35" ht="15.75" customHeight="1" x14ac:dyDescent="0.2">
      <c r="A121" s="166"/>
      <c r="B121" s="218"/>
      <c r="C121" s="218"/>
      <c r="D121" s="41"/>
      <c r="E121" s="41"/>
      <c r="F121" s="218"/>
      <c r="G121" s="41"/>
      <c r="H121" s="41"/>
      <c r="I121" s="41"/>
      <c r="J121" s="166"/>
      <c r="K121" s="41"/>
      <c r="L121" s="41"/>
      <c r="M121" s="41"/>
      <c r="N121" s="166"/>
      <c r="O121" s="166"/>
      <c r="P121" s="41"/>
      <c r="Q121" s="41"/>
      <c r="R121" s="41"/>
      <c r="S121" s="41"/>
      <c r="T121" s="41"/>
      <c r="U121" s="41"/>
      <c r="V121" s="41"/>
      <c r="W121" s="41"/>
      <c r="X121" s="41"/>
      <c r="Y121" s="166"/>
      <c r="Z121" s="166"/>
      <c r="AA121" s="41"/>
      <c r="AB121" s="41"/>
      <c r="AC121" s="41"/>
      <c r="AD121" s="41"/>
      <c r="AE121" s="41"/>
      <c r="AF121" s="41"/>
      <c r="AG121" s="41"/>
      <c r="AH121" s="41"/>
      <c r="AI121" s="41"/>
    </row>
    <row r="122" spans="1:35" ht="15.75" customHeight="1" x14ac:dyDescent="0.2">
      <c r="A122" s="166"/>
      <c r="B122" s="218"/>
      <c r="C122" s="218"/>
      <c r="D122" s="41"/>
      <c r="E122" s="41"/>
      <c r="F122" s="218"/>
      <c r="G122" s="41"/>
      <c r="H122" s="41"/>
      <c r="I122" s="41"/>
      <c r="J122" s="166"/>
      <c r="K122" s="41"/>
      <c r="L122" s="41"/>
      <c r="M122" s="41"/>
      <c r="N122" s="166"/>
      <c r="O122" s="166"/>
      <c r="P122" s="41"/>
      <c r="Q122" s="41"/>
      <c r="R122" s="41"/>
      <c r="S122" s="41"/>
      <c r="T122" s="41"/>
      <c r="U122" s="41"/>
      <c r="V122" s="41"/>
      <c r="W122" s="41"/>
      <c r="X122" s="41"/>
      <c r="Y122" s="166"/>
      <c r="Z122" s="166"/>
      <c r="AA122" s="41"/>
      <c r="AB122" s="41"/>
      <c r="AC122" s="41"/>
      <c r="AD122" s="41"/>
      <c r="AE122" s="41"/>
      <c r="AF122" s="41"/>
      <c r="AG122" s="41"/>
      <c r="AH122" s="41"/>
      <c r="AI122" s="41"/>
    </row>
    <row r="123" spans="1:35" ht="15.75" customHeight="1" x14ac:dyDescent="0.2">
      <c r="A123" s="166"/>
      <c r="B123" s="218"/>
      <c r="C123" s="218"/>
      <c r="D123" s="41"/>
      <c r="E123" s="41"/>
      <c r="F123" s="218"/>
      <c r="G123" s="41"/>
      <c r="H123" s="41"/>
      <c r="I123" s="41"/>
      <c r="J123" s="166"/>
      <c r="K123" s="41"/>
      <c r="L123" s="41"/>
      <c r="M123" s="41"/>
      <c r="N123" s="166"/>
      <c r="O123" s="166"/>
      <c r="P123" s="41"/>
      <c r="Q123" s="41"/>
      <c r="R123" s="41"/>
      <c r="S123" s="41"/>
      <c r="T123" s="41"/>
      <c r="U123" s="41"/>
      <c r="V123" s="41"/>
      <c r="W123" s="41"/>
      <c r="X123" s="41"/>
      <c r="Y123" s="166"/>
      <c r="Z123" s="166"/>
      <c r="AA123" s="41"/>
      <c r="AB123" s="41"/>
      <c r="AC123" s="41"/>
      <c r="AD123" s="41"/>
      <c r="AE123" s="41"/>
      <c r="AF123" s="41"/>
      <c r="AG123" s="41"/>
      <c r="AH123" s="41"/>
      <c r="AI123" s="41"/>
    </row>
    <row r="124" spans="1:35" ht="15.75" customHeight="1" x14ac:dyDescent="0.2">
      <c r="A124" s="166"/>
      <c r="B124" s="218"/>
      <c r="C124" s="218"/>
      <c r="D124" s="41"/>
      <c r="E124" s="41"/>
      <c r="F124" s="218"/>
      <c r="G124" s="41"/>
      <c r="H124" s="41"/>
      <c r="I124" s="41"/>
      <c r="J124" s="166"/>
      <c r="K124" s="41"/>
      <c r="L124" s="41"/>
      <c r="M124" s="41"/>
      <c r="N124" s="166"/>
      <c r="O124" s="166"/>
      <c r="P124" s="41"/>
      <c r="Q124" s="41"/>
      <c r="R124" s="41"/>
      <c r="S124" s="41"/>
      <c r="T124" s="41"/>
      <c r="U124" s="41"/>
      <c r="V124" s="41"/>
      <c r="W124" s="41"/>
      <c r="X124" s="41"/>
      <c r="Y124" s="166"/>
      <c r="Z124" s="166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5.75" customHeight="1" x14ac:dyDescent="0.2">
      <c r="A125" s="166"/>
      <c r="B125" s="218"/>
      <c r="C125" s="218"/>
      <c r="D125" s="41"/>
      <c r="E125" s="41"/>
      <c r="F125" s="218"/>
      <c r="G125" s="41"/>
      <c r="H125" s="41"/>
      <c r="I125" s="41"/>
      <c r="J125" s="166"/>
      <c r="K125" s="41"/>
      <c r="L125" s="41"/>
      <c r="M125" s="41"/>
      <c r="N125" s="166"/>
      <c r="O125" s="166"/>
      <c r="P125" s="41"/>
      <c r="Q125" s="41"/>
      <c r="R125" s="41"/>
      <c r="S125" s="41"/>
      <c r="T125" s="41"/>
      <c r="U125" s="41"/>
      <c r="V125" s="41"/>
      <c r="W125" s="41"/>
      <c r="X125" s="41"/>
      <c r="Y125" s="166"/>
      <c r="Z125" s="166"/>
      <c r="AA125" s="41"/>
      <c r="AB125" s="41"/>
      <c r="AC125" s="41"/>
      <c r="AD125" s="41"/>
      <c r="AE125" s="41"/>
      <c r="AF125" s="41"/>
      <c r="AG125" s="41"/>
      <c r="AH125" s="41"/>
      <c r="AI125" s="41"/>
    </row>
    <row r="126" spans="1:35" ht="15.75" customHeight="1" x14ac:dyDescent="0.2">
      <c r="A126" s="166"/>
      <c r="B126" s="218"/>
      <c r="C126" s="218"/>
      <c r="D126" s="41"/>
      <c r="E126" s="41"/>
      <c r="F126" s="218"/>
      <c r="G126" s="41"/>
      <c r="H126" s="41"/>
      <c r="I126" s="41"/>
      <c r="J126" s="166"/>
      <c r="K126" s="41"/>
      <c r="L126" s="41"/>
      <c r="M126" s="41"/>
      <c r="N126" s="166"/>
      <c r="O126" s="166"/>
      <c r="P126" s="41"/>
      <c r="Q126" s="41"/>
      <c r="R126" s="41"/>
      <c r="S126" s="41"/>
      <c r="T126" s="41"/>
      <c r="U126" s="41"/>
      <c r="V126" s="41"/>
      <c r="W126" s="41"/>
      <c r="X126" s="41"/>
      <c r="Y126" s="166"/>
      <c r="Z126" s="166"/>
      <c r="AA126" s="41"/>
      <c r="AB126" s="41"/>
      <c r="AC126" s="41"/>
      <c r="AD126" s="41"/>
      <c r="AE126" s="41"/>
      <c r="AF126" s="41"/>
      <c r="AG126" s="41"/>
      <c r="AH126" s="41"/>
      <c r="AI126" s="41"/>
    </row>
    <row r="127" spans="1:35" ht="15.75" customHeight="1" x14ac:dyDescent="0.2">
      <c r="A127" s="166"/>
      <c r="B127" s="218"/>
      <c r="C127" s="218"/>
      <c r="D127" s="41"/>
      <c r="E127" s="41"/>
      <c r="F127" s="218"/>
      <c r="G127" s="41"/>
      <c r="H127" s="41"/>
      <c r="I127" s="41"/>
      <c r="J127" s="166"/>
      <c r="K127" s="41"/>
      <c r="L127" s="41"/>
      <c r="M127" s="41"/>
      <c r="N127" s="166"/>
      <c r="O127" s="166"/>
      <c r="P127" s="41"/>
      <c r="Q127" s="41"/>
      <c r="R127" s="41"/>
      <c r="S127" s="41"/>
      <c r="T127" s="41"/>
      <c r="U127" s="41"/>
      <c r="V127" s="41"/>
      <c r="W127" s="41"/>
      <c r="X127" s="41"/>
      <c r="Y127" s="166"/>
      <c r="Z127" s="166"/>
      <c r="AA127" s="41"/>
      <c r="AB127" s="41"/>
      <c r="AC127" s="41"/>
      <c r="AD127" s="41"/>
      <c r="AE127" s="41"/>
      <c r="AF127" s="41"/>
      <c r="AG127" s="41"/>
      <c r="AH127" s="41"/>
      <c r="AI127" s="41"/>
    </row>
    <row r="128" spans="1:35" ht="15.75" customHeight="1" x14ac:dyDescent="0.2">
      <c r="A128" s="166"/>
      <c r="B128" s="218"/>
      <c r="C128" s="218"/>
      <c r="D128" s="41"/>
      <c r="E128" s="41"/>
      <c r="F128" s="218"/>
      <c r="G128" s="41"/>
      <c r="H128" s="41"/>
      <c r="I128" s="41"/>
      <c r="J128" s="166"/>
      <c r="K128" s="41"/>
      <c r="L128" s="41"/>
      <c r="M128" s="41"/>
      <c r="N128" s="166"/>
      <c r="O128" s="166"/>
      <c r="P128" s="41"/>
      <c r="Q128" s="41"/>
      <c r="R128" s="41"/>
      <c r="S128" s="41"/>
      <c r="T128" s="41"/>
      <c r="U128" s="41"/>
      <c r="V128" s="41"/>
      <c r="W128" s="41"/>
      <c r="X128" s="41"/>
      <c r="Y128" s="166"/>
      <c r="Z128" s="166"/>
      <c r="AA128" s="41"/>
      <c r="AB128" s="41"/>
      <c r="AC128" s="41"/>
      <c r="AD128" s="41"/>
      <c r="AE128" s="41"/>
      <c r="AF128" s="41"/>
      <c r="AG128" s="41"/>
      <c r="AH128" s="41"/>
      <c r="AI128" s="41"/>
    </row>
    <row r="129" spans="1:35" ht="15.75" customHeight="1" x14ac:dyDescent="0.2">
      <c r="A129" s="166"/>
      <c r="B129" s="218"/>
      <c r="C129" s="218"/>
      <c r="D129" s="41"/>
      <c r="E129" s="41"/>
      <c r="F129" s="218"/>
      <c r="G129" s="41"/>
      <c r="H129" s="41"/>
      <c r="I129" s="41"/>
      <c r="J129" s="166"/>
      <c r="K129" s="41"/>
      <c r="L129" s="41"/>
      <c r="M129" s="41"/>
      <c r="N129" s="166"/>
      <c r="O129" s="166"/>
      <c r="P129" s="41"/>
      <c r="Q129" s="41"/>
      <c r="R129" s="41"/>
      <c r="S129" s="41"/>
      <c r="T129" s="41"/>
      <c r="U129" s="41"/>
      <c r="V129" s="41"/>
      <c r="W129" s="41"/>
      <c r="X129" s="41"/>
      <c r="Y129" s="166"/>
      <c r="Z129" s="166"/>
      <c r="AA129" s="41"/>
      <c r="AB129" s="41"/>
      <c r="AC129" s="41"/>
      <c r="AD129" s="41"/>
      <c r="AE129" s="41"/>
      <c r="AF129" s="41"/>
      <c r="AG129" s="41"/>
      <c r="AH129" s="41"/>
      <c r="AI129" s="41"/>
    </row>
    <row r="130" spans="1:35" ht="15.75" customHeight="1" x14ac:dyDescent="0.2">
      <c r="A130" s="166"/>
      <c r="B130" s="218"/>
      <c r="C130" s="218"/>
      <c r="D130" s="41"/>
      <c r="E130" s="41"/>
      <c r="F130" s="218"/>
      <c r="G130" s="41"/>
      <c r="H130" s="41"/>
      <c r="I130" s="41"/>
      <c r="J130" s="166"/>
      <c r="K130" s="41"/>
      <c r="L130" s="41"/>
      <c r="M130" s="41"/>
      <c r="N130" s="166"/>
      <c r="O130" s="166"/>
      <c r="P130" s="41"/>
      <c r="Q130" s="41"/>
      <c r="R130" s="41"/>
      <c r="S130" s="41"/>
      <c r="T130" s="41"/>
      <c r="U130" s="41"/>
      <c r="V130" s="41"/>
      <c r="W130" s="41"/>
      <c r="X130" s="41"/>
      <c r="Y130" s="166"/>
      <c r="Z130" s="166"/>
      <c r="AA130" s="41"/>
      <c r="AB130" s="41"/>
      <c r="AC130" s="41"/>
      <c r="AD130" s="41"/>
      <c r="AE130" s="41"/>
      <c r="AF130" s="41"/>
      <c r="AG130" s="41"/>
      <c r="AH130" s="41"/>
      <c r="AI130" s="41"/>
    </row>
    <row r="131" spans="1:35" ht="15.75" customHeight="1" x14ac:dyDescent="0.2">
      <c r="A131" s="166"/>
      <c r="B131" s="218"/>
      <c r="C131" s="218"/>
      <c r="D131" s="41"/>
      <c r="E131" s="41"/>
      <c r="F131" s="218"/>
      <c r="G131" s="41"/>
      <c r="H131" s="41"/>
      <c r="I131" s="41"/>
      <c r="J131" s="166"/>
      <c r="K131" s="41"/>
      <c r="L131" s="41"/>
      <c r="M131" s="41"/>
      <c r="N131" s="166"/>
      <c r="O131" s="166"/>
      <c r="P131" s="41"/>
      <c r="Q131" s="41"/>
      <c r="R131" s="41"/>
      <c r="S131" s="41"/>
      <c r="T131" s="41"/>
      <c r="U131" s="41"/>
      <c r="V131" s="41"/>
      <c r="W131" s="41"/>
      <c r="X131" s="41"/>
      <c r="Y131" s="166"/>
      <c r="Z131" s="166"/>
      <c r="AA131" s="41"/>
      <c r="AB131" s="41"/>
      <c r="AC131" s="41"/>
      <c r="AD131" s="41"/>
      <c r="AE131" s="41"/>
      <c r="AF131" s="41"/>
      <c r="AG131" s="41"/>
      <c r="AH131" s="41"/>
      <c r="AI131" s="41"/>
    </row>
    <row r="132" spans="1:35" ht="15.75" customHeight="1" x14ac:dyDescent="0.2">
      <c r="A132" s="166"/>
      <c r="B132" s="218"/>
      <c r="C132" s="218"/>
      <c r="D132" s="41"/>
      <c r="E132" s="41"/>
      <c r="F132" s="218"/>
      <c r="G132" s="41"/>
      <c r="H132" s="41"/>
      <c r="I132" s="41"/>
      <c r="J132" s="166"/>
      <c r="K132" s="41"/>
      <c r="L132" s="41"/>
      <c r="M132" s="41"/>
      <c r="N132" s="166"/>
      <c r="O132" s="166"/>
      <c r="P132" s="41"/>
      <c r="Q132" s="41"/>
      <c r="R132" s="41"/>
      <c r="S132" s="41"/>
      <c r="T132" s="41"/>
      <c r="U132" s="41"/>
      <c r="V132" s="41"/>
      <c r="W132" s="41"/>
      <c r="X132" s="41"/>
      <c r="Y132" s="166"/>
      <c r="Z132" s="166"/>
      <c r="AA132" s="41"/>
      <c r="AB132" s="41"/>
      <c r="AC132" s="41"/>
      <c r="AD132" s="41"/>
      <c r="AE132" s="41"/>
      <c r="AF132" s="41"/>
      <c r="AG132" s="41"/>
      <c r="AH132" s="41"/>
      <c r="AI132" s="41"/>
    </row>
    <row r="133" spans="1:35" ht="15.75" customHeight="1" x14ac:dyDescent="0.2">
      <c r="A133" s="166"/>
      <c r="B133" s="218"/>
      <c r="C133" s="218"/>
      <c r="D133" s="41"/>
      <c r="E133" s="41"/>
      <c r="F133" s="218"/>
      <c r="G133" s="41"/>
      <c r="H133" s="41"/>
      <c r="I133" s="41"/>
      <c r="J133" s="166"/>
      <c r="K133" s="41"/>
      <c r="L133" s="41"/>
      <c r="M133" s="41"/>
      <c r="N133" s="166"/>
      <c r="O133" s="166"/>
      <c r="P133" s="41"/>
      <c r="Q133" s="41"/>
      <c r="R133" s="41"/>
      <c r="S133" s="41"/>
      <c r="T133" s="41"/>
      <c r="U133" s="41"/>
      <c r="V133" s="41"/>
      <c r="W133" s="41"/>
      <c r="X133" s="41"/>
      <c r="Y133" s="166"/>
      <c r="Z133" s="166"/>
      <c r="AA133" s="41"/>
      <c r="AB133" s="41"/>
      <c r="AC133" s="41"/>
      <c r="AD133" s="41"/>
      <c r="AE133" s="41"/>
      <c r="AF133" s="41"/>
      <c r="AG133" s="41"/>
      <c r="AH133" s="41"/>
      <c r="AI133" s="41"/>
    </row>
    <row r="134" spans="1:35" ht="15.75" customHeight="1" x14ac:dyDescent="0.2">
      <c r="A134" s="166"/>
      <c r="B134" s="218"/>
      <c r="C134" s="218"/>
      <c r="D134" s="41"/>
      <c r="E134" s="41"/>
      <c r="F134" s="218"/>
      <c r="G134" s="41"/>
      <c r="H134" s="41"/>
      <c r="I134" s="41"/>
      <c r="J134" s="166"/>
      <c r="K134" s="41"/>
      <c r="L134" s="41"/>
      <c r="M134" s="41"/>
      <c r="N134" s="166"/>
      <c r="O134" s="166"/>
      <c r="P134" s="41"/>
      <c r="Q134" s="41"/>
      <c r="R134" s="41"/>
      <c r="S134" s="41"/>
      <c r="T134" s="41"/>
      <c r="U134" s="41"/>
      <c r="V134" s="41"/>
      <c r="W134" s="41"/>
      <c r="X134" s="41"/>
      <c r="Y134" s="166"/>
      <c r="Z134" s="166"/>
      <c r="AA134" s="41"/>
      <c r="AB134" s="41"/>
      <c r="AC134" s="41"/>
      <c r="AD134" s="41"/>
      <c r="AE134" s="41"/>
      <c r="AF134" s="41"/>
      <c r="AG134" s="41"/>
      <c r="AH134" s="41"/>
      <c r="AI134" s="41"/>
    </row>
    <row r="135" spans="1:35" ht="15.75" customHeight="1" x14ac:dyDescent="0.2">
      <c r="A135" s="166"/>
      <c r="B135" s="218"/>
      <c r="C135" s="218"/>
      <c r="D135" s="41"/>
      <c r="E135" s="41"/>
      <c r="F135" s="218"/>
      <c r="G135" s="41"/>
      <c r="H135" s="41"/>
      <c r="I135" s="41"/>
      <c r="J135" s="166"/>
      <c r="K135" s="41"/>
      <c r="L135" s="41"/>
      <c r="M135" s="41"/>
      <c r="N135" s="166"/>
      <c r="O135" s="166"/>
      <c r="P135" s="41"/>
      <c r="Q135" s="41"/>
      <c r="R135" s="41"/>
      <c r="S135" s="41"/>
      <c r="T135" s="41"/>
      <c r="U135" s="41"/>
      <c r="V135" s="41"/>
      <c r="W135" s="41"/>
      <c r="X135" s="41"/>
      <c r="Y135" s="166"/>
      <c r="Z135" s="166"/>
      <c r="AA135" s="41"/>
      <c r="AB135" s="41"/>
      <c r="AC135" s="41"/>
      <c r="AD135" s="41"/>
      <c r="AE135" s="41"/>
      <c r="AF135" s="41"/>
      <c r="AG135" s="41"/>
      <c r="AH135" s="41"/>
      <c r="AI135" s="41"/>
    </row>
    <row r="136" spans="1:35" ht="15.75" customHeight="1" x14ac:dyDescent="0.2">
      <c r="A136" s="166"/>
      <c r="B136" s="218"/>
      <c r="C136" s="218"/>
      <c r="D136" s="41"/>
      <c r="E136" s="41"/>
      <c r="F136" s="218"/>
      <c r="G136" s="41"/>
      <c r="H136" s="41"/>
      <c r="I136" s="41"/>
      <c r="J136" s="166"/>
      <c r="K136" s="41"/>
      <c r="L136" s="41"/>
      <c r="M136" s="41"/>
      <c r="N136" s="166"/>
      <c r="O136" s="166"/>
      <c r="P136" s="41"/>
      <c r="Q136" s="41"/>
      <c r="R136" s="41"/>
      <c r="S136" s="41"/>
      <c r="T136" s="41"/>
      <c r="U136" s="41"/>
      <c r="V136" s="41"/>
      <c r="W136" s="41"/>
      <c r="X136" s="41"/>
      <c r="Y136" s="166"/>
      <c r="Z136" s="166"/>
      <c r="AA136" s="41"/>
      <c r="AB136" s="41"/>
      <c r="AC136" s="41"/>
      <c r="AD136" s="41"/>
      <c r="AE136" s="41"/>
      <c r="AF136" s="41"/>
      <c r="AG136" s="41"/>
      <c r="AH136" s="41"/>
      <c r="AI136" s="41"/>
    </row>
    <row r="137" spans="1:35" ht="15.75" customHeight="1" x14ac:dyDescent="0.2">
      <c r="A137" s="166"/>
      <c r="B137" s="218"/>
      <c r="C137" s="218"/>
      <c r="D137" s="41"/>
      <c r="E137" s="41"/>
      <c r="F137" s="218"/>
      <c r="G137" s="41"/>
      <c r="H137" s="41"/>
      <c r="I137" s="41"/>
      <c r="J137" s="166"/>
      <c r="K137" s="41"/>
      <c r="L137" s="41"/>
      <c r="M137" s="41"/>
      <c r="N137" s="166"/>
      <c r="O137" s="166"/>
      <c r="P137" s="41"/>
      <c r="Q137" s="41"/>
      <c r="R137" s="41"/>
      <c r="S137" s="41"/>
      <c r="T137" s="41"/>
      <c r="U137" s="41"/>
      <c r="V137" s="41"/>
      <c r="W137" s="41"/>
      <c r="X137" s="41"/>
      <c r="Y137" s="166"/>
      <c r="Z137" s="166"/>
      <c r="AA137" s="41"/>
      <c r="AB137" s="41"/>
      <c r="AC137" s="41"/>
      <c r="AD137" s="41"/>
      <c r="AE137" s="41"/>
      <c r="AF137" s="41"/>
      <c r="AG137" s="41"/>
      <c r="AH137" s="41"/>
      <c r="AI137" s="41"/>
    </row>
    <row r="138" spans="1:35" ht="15.75" customHeight="1" x14ac:dyDescent="0.2">
      <c r="A138" s="166"/>
      <c r="B138" s="218"/>
      <c r="C138" s="218"/>
      <c r="D138" s="41"/>
      <c r="E138" s="41"/>
      <c r="F138" s="218"/>
      <c r="G138" s="41"/>
      <c r="H138" s="41"/>
      <c r="I138" s="41"/>
      <c r="J138" s="166"/>
      <c r="K138" s="41"/>
      <c r="L138" s="41"/>
      <c r="M138" s="41"/>
      <c r="N138" s="166"/>
      <c r="O138" s="166"/>
      <c r="P138" s="41"/>
      <c r="Q138" s="41"/>
      <c r="R138" s="41"/>
      <c r="S138" s="41"/>
      <c r="T138" s="41"/>
      <c r="U138" s="41"/>
      <c r="V138" s="41"/>
      <c r="W138" s="41"/>
      <c r="X138" s="41"/>
      <c r="Y138" s="166"/>
      <c r="Z138" s="166"/>
      <c r="AA138" s="41"/>
      <c r="AB138" s="41"/>
      <c r="AC138" s="41"/>
      <c r="AD138" s="41"/>
      <c r="AE138" s="41"/>
      <c r="AF138" s="41"/>
      <c r="AG138" s="41"/>
      <c r="AH138" s="41"/>
      <c r="AI138" s="41"/>
    </row>
    <row r="139" spans="1:35" ht="15.75" customHeight="1" x14ac:dyDescent="0.2">
      <c r="A139" s="166"/>
      <c r="B139" s="218"/>
      <c r="C139" s="218"/>
      <c r="D139" s="41"/>
      <c r="E139" s="41"/>
      <c r="F139" s="218"/>
      <c r="G139" s="41"/>
      <c r="H139" s="41"/>
      <c r="I139" s="41"/>
      <c r="J139" s="166"/>
      <c r="K139" s="41"/>
      <c r="L139" s="41"/>
      <c r="M139" s="41"/>
      <c r="N139" s="166"/>
      <c r="O139" s="166"/>
      <c r="P139" s="41"/>
      <c r="Q139" s="41"/>
      <c r="R139" s="41"/>
      <c r="S139" s="41"/>
      <c r="T139" s="41"/>
      <c r="U139" s="41"/>
      <c r="V139" s="41"/>
      <c r="W139" s="41"/>
      <c r="X139" s="41"/>
      <c r="Y139" s="166"/>
      <c r="Z139" s="166"/>
      <c r="AA139" s="41"/>
      <c r="AB139" s="41"/>
      <c r="AC139" s="41"/>
      <c r="AD139" s="41"/>
      <c r="AE139" s="41"/>
      <c r="AF139" s="41"/>
      <c r="AG139" s="41"/>
      <c r="AH139" s="41"/>
      <c r="AI139" s="41"/>
    </row>
    <row r="140" spans="1:35" ht="15.75" customHeight="1" x14ac:dyDescent="0.2">
      <c r="A140" s="166"/>
      <c r="B140" s="218"/>
      <c r="C140" s="218"/>
      <c r="D140" s="41"/>
      <c r="E140" s="41"/>
      <c r="F140" s="218"/>
      <c r="G140" s="41"/>
      <c r="H140" s="41"/>
      <c r="I140" s="41"/>
      <c r="J140" s="166"/>
      <c r="K140" s="41"/>
      <c r="L140" s="41"/>
      <c r="M140" s="41"/>
      <c r="N140" s="166"/>
      <c r="O140" s="166"/>
      <c r="P140" s="41"/>
      <c r="Q140" s="41"/>
      <c r="R140" s="41"/>
      <c r="S140" s="41"/>
      <c r="T140" s="41"/>
      <c r="U140" s="41"/>
      <c r="V140" s="41"/>
      <c r="W140" s="41"/>
      <c r="X140" s="41"/>
      <c r="Y140" s="166"/>
      <c r="Z140" s="166"/>
      <c r="AA140" s="41"/>
      <c r="AB140" s="41"/>
      <c r="AC140" s="41"/>
      <c r="AD140" s="41"/>
      <c r="AE140" s="41"/>
      <c r="AF140" s="41"/>
      <c r="AG140" s="41"/>
      <c r="AH140" s="41"/>
      <c r="AI140" s="41"/>
    </row>
    <row r="141" spans="1:35" ht="15.75" customHeight="1" x14ac:dyDescent="0.2">
      <c r="A141" s="166"/>
      <c r="B141" s="218"/>
      <c r="C141" s="218"/>
      <c r="D141" s="41"/>
      <c r="E141" s="41"/>
      <c r="F141" s="218"/>
      <c r="G141" s="41"/>
      <c r="H141" s="41"/>
      <c r="I141" s="41"/>
      <c r="J141" s="166"/>
      <c r="K141" s="41"/>
      <c r="L141" s="41"/>
      <c r="M141" s="41"/>
      <c r="N141" s="166"/>
      <c r="O141" s="166"/>
      <c r="P141" s="41"/>
      <c r="Q141" s="41"/>
      <c r="R141" s="41"/>
      <c r="S141" s="41"/>
      <c r="T141" s="41"/>
      <c r="U141" s="41"/>
      <c r="V141" s="41"/>
      <c r="W141" s="41"/>
      <c r="X141" s="41"/>
      <c r="Y141" s="166"/>
      <c r="Z141" s="166"/>
      <c r="AA141" s="41"/>
      <c r="AB141" s="41"/>
      <c r="AC141" s="41"/>
      <c r="AD141" s="41"/>
      <c r="AE141" s="41"/>
      <c r="AF141" s="41"/>
      <c r="AG141" s="41"/>
      <c r="AH141" s="41"/>
      <c r="AI141" s="41"/>
    </row>
    <row r="142" spans="1:35" ht="15.75" customHeight="1" x14ac:dyDescent="0.2">
      <c r="A142" s="166"/>
      <c r="B142" s="218"/>
      <c r="C142" s="218"/>
      <c r="D142" s="41"/>
      <c r="E142" s="41"/>
      <c r="F142" s="218"/>
      <c r="G142" s="41"/>
      <c r="H142" s="41"/>
      <c r="I142" s="41"/>
      <c r="J142" s="166"/>
      <c r="K142" s="41"/>
      <c r="L142" s="41"/>
      <c r="M142" s="41"/>
      <c r="N142" s="166"/>
      <c r="O142" s="166"/>
      <c r="P142" s="41"/>
      <c r="Q142" s="41"/>
      <c r="R142" s="41"/>
      <c r="S142" s="41"/>
      <c r="T142" s="41"/>
      <c r="U142" s="41"/>
      <c r="V142" s="41"/>
      <c r="W142" s="41"/>
      <c r="X142" s="41"/>
      <c r="Y142" s="166"/>
      <c r="Z142" s="166"/>
      <c r="AA142" s="41"/>
      <c r="AB142" s="41"/>
      <c r="AC142" s="41"/>
      <c r="AD142" s="41"/>
      <c r="AE142" s="41"/>
      <c r="AF142" s="41"/>
      <c r="AG142" s="41"/>
      <c r="AH142" s="41"/>
      <c r="AI142" s="41"/>
    </row>
    <row r="143" spans="1:35" ht="15.75" customHeight="1" x14ac:dyDescent="0.2">
      <c r="A143" s="166"/>
      <c r="B143" s="218"/>
      <c r="C143" s="218"/>
      <c r="D143" s="41"/>
      <c r="E143" s="41"/>
      <c r="F143" s="218"/>
      <c r="G143" s="41"/>
      <c r="H143" s="41"/>
      <c r="I143" s="41"/>
      <c r="J143" s="166"/>
      <c r="K143" s="41"/>
      <c r="L143" s="41"/>
      <c r="M143" s="41"/>
      <c r="N143" s="166"/>
      <c r="O143" s="166"/>
      <c r="P143" s="41"/>
      <c r="Q143" s="41"/>
      <c r="R143" s="41"/>
      <c r="S143" s="41"/>
      <c r="T143" s="41"/>
      <c r="U143" s="41"/>
      <c r="V143" s="41"/>
      <c r="W143" s="41"/>
      <c r="X143" s="41"/>
      <c r="Y143" s="166"/>
      <c r="Z143" s="166"/>
      <c r="AA143" s="41"/>
      <c r="AB143" s="41"/>
      <c r="AC143" s="41"/>
      <c r="AD143" s="41"/>
      <c r="AE143" s="41"/>
      <c r="AF143" s="41"/>
      <c r="AG143" s="41"/>
      <c r="AH143" s="41"/>
      <c r="AI143" s="41"/>
    </row>
    <row r="144" spans="1:35" ht="15.75" customHeight="1" x14ac:dyDescent="0.2">
      <c r="A144" s="166"/>
      <c r="B144" s="218"/>
      <c r="C144" s="218"/>
      <c r="D144" s="41"/>
      <c r="E144" s="41"/>
      <c r="F144" s="218"/>
      <c r="G144" s="41"/>
      <c r="H144" s="41"/>
      <c r="I144" s="41"/>
      <c r="J144" s="166"/>
      <c r="K144" s="41"/>
      <c r="L144" s="41"/>
      <c r="M144" s="41"/>
      <c r="N144" s="166"/>
      <c r="O144" s="166"/>
      <c r="P144" s="41"/>
      <c r="Q144" s="41"/>
      <c r="R144" s="41"/>
      <c r="S144" s="41"/>
      <c r="T144" s="41"/>
      <c r="U144" s="41"/>
      <c r="V144" s="41"/>
      <c r="W144" s="41"/>
      <c r="X144" s="41"/>
      <c r="Y144" s="166"/>
      <c r="Z144" s="166"/>
      <c r="AA144" s="41"/>
      <c r="AB144" s="41"/>
      <c r="AC144" s="41"/>
      <c r="AD144" s="41"/>
      <c r="AE144" s="41"/>
      <c r="AF144" s="41"/>
      <c r="AG144" s="41"/>
      <c r="AH144" s="41"/>
      <c r="AI144" s="41"/>
    </row>
    <row r="145" spans="1:35" ht="15.75" customHeight="1" x14ac:dyDescent="0.2">
      <c r="A145" s="166"/>
      <c r="B145" s="218"/>
      <c r="C145" s="218"/>
      <c r="D145" s="41"/>
      <c r="E145" s="41"/>
      <c r="F145" s="218"/>
      <c r="G145" s="41"/>
      <c r="H145" s="41"/>
      <c r="I145" s="41"/>
      <c r="J145" s="166"/>
      <c r="K145" s="41"/>
      <c r="L145" s="41"/>
      <c r="M145" s="41"/>
      <c r="N145" s="166"/>
      <c r="O145" s="166"/>
      <c r="P145" s="41"/>
      <c r="Q145" s="41"/>
      <c r="R145" s="41"/>
      <c r="S145" s="41"/>
      <c r="T145" s="41"/>
      <c r="U145" s="41"/>
      <c r="V145" s="41"/>
      <c r="W145" s="41"/>
      <c r="X145" s="41"/>
      <c r="Y145" s="166"/>
      <c r="Z145" s="166"/>
      <c r="AA145" s="41"/>
      <c r="AB145" s="41"/>
      <c r="AC145" s="41"/>
      <c r="AD145" s="41"/>
      <c r="AE145" s="41"/>
      <c r="AF145" s="41"/>
      <c r="AG145" s="41"/>
      <c r="AH145" s="41"/>
      <c r="AI145" s="41"/>
    </row>
    <row r="146" spans="1:35" ht="15.75" customHeight="1" x14ac:dyDescent="0.2">
      <c r="A146" s="166"/>
      <c r="B146" s="218"/>
      <c r="C146" s="218"/>
      <c r="D146" s="41"/>
      <c r="E146" s="41"/>
      <c r="F146" s="218"/>
      <c r="G146" s="41"/>
      <c r="H146" s="41"/>
      <c r="I146" s="41"/>
      <c r="J146" s="166"/>
      <c r="K146" s="41"/>
      <c r="L146" s="41"/>
      <c r="M146" s="41"/>
      <c r="N146" s="166"/>
      <c r="O146" s="166"/>
      <c r="P146" s="41"/>
      <c r="Q146" s="41"/>
      <c r="R146" s="41"/>
      <c r="S146" s="41"/>
      <c r="T146" s="41"/>
      <c r="U146" s="41"/>
      <c r="V146" s="41"/>
      <c r="W146" s="41"/>
      <c r="X146" s="41"/>
      <c r="Y146" s="166"/>
      <c r="Z146" s="166"/>
      <c r="AA146" s="41"/>
      <c r="AB146" s="41"/>
      <c r="AC146" s="41"/>
      <c r="AD146" s="41"/>
      <c r="AE146" s="41"/>
      <c r="AF146" s="41"/>
      <c r="AG146" s="41"/>
      <c r="AH146" s="41"/>
      <c r="AI146" s="41"/>
    </row>
    <row r="147" spans="1:35" ht="15.75" customHeight="1" x14ac:dyDescent="0.2">
      <c r="A147" s="166"/>
      <c r="B147" s="218"/>
      <c r="C147" s="218"/>
      <c r="D147" s="41"/>
      <c r="E147" s="41"/>
      <c r="F147" s="218"/>
      <c r="G147" s="41"/>
      <c r="H147" s="41"/>
      <c r="I147" s="41"/>
      <c r="J147" s="166"/>
      <c r="K147" s="41"/>
      <c r="L147" s="41"/>
      <c r="M147" s="41"/>
      <c r="N147" s="166"/>
      <c r="O147" s="166"/>
      <c r="P147" s="41"/>
      <c r="Q147" s="41"/>
      <c r="R147" s="41"/>
      <c r="S147" s="41"/>
      <c r="T147" s="41"/>
      <c r="U147" s="41"/>
      <c r="V147" s="41"/>
      <c r="W147" s="41"/>
      <c r="X147" s="41"/>
      <c r="Y147" s="166"/>
      <c r="Z147" s="166"/>
      <c r="AA147" s="41"/>
      <c r="AB147" s="41"/>
      <c r="AC147" s="41"/>
      <c r="AD147" s="41"/>
      <c r="AE147" s="41"/>
      <c r="AF147" s="41"/>
      <c r="AG147" s="41"/>
      <c r="AH147" s="41"/>
      <c r="AI147" s="41"/>
    </row>
    <row r="148" spans="1:35" ht="15.75" customHeight="1" x14ac:dyDescent="0.2">
      <c r="A148" s="166"/>
      <c r="B148" s="218"/>
      <c r="C148" s="218"/>
      <c r="D148" s="41"/>
      <c r="E148" s="41"/>
      <c r="F148" s="218"/>
      <c r="G148" s="41"/>
      <c r="H148" s="41"/>
      <c r="I148" s="41"/>
      <c r="J148" s="166"/>
      <c r="K148" s="41"/>
      <c r="L148" s="41"/>
      <c r="M148" s="41"/>
      <c r="N148" s="166"/>
      <c r="O148" s="166"/>
      <c r="P148" s="41"/>
      <c r="Q148" s="41"/>
      <c r="R148" s="41"/>
      <c r="S148" s="41"/>
      <c r="T148" s="41"/>
      <c r="U148" s="41"/>
      <c r="V148" s="41"/>
      <c r="W148" s="41"/>
      <c r="X148" s="41"/>
      <c r="Y148" s="166"/>
      <c r="Z148" s="166"/>
      <c r="AA148" s="41"/>
      <c r="AB148" s="41"/>
      <c r="AC148" s="41"/>
      <c r="AD148" s="41"/>
      <c r="AE148" s="41"/>
      <c r="AF148" s="41"/>
      <c r="AG148" s="41"/>
      <c r="AH148" s="41"/>
      <c r="AI148" s="41"/>
    </row>
    <row r="149" spans="1:35" ht="15.75" customHeight="1" x14ac:dyDescent="0.2">
      <c r="A149" s="166"/>
      <c r="B149" s="218"/>
      <c r="C149" s="218"/>
      <c r="D149" s="41"/>
      <c r="E149" s="41"/>
      <c r="F149" s="218"/>
      <c r="G149" s="41"/>
      <c r="H149" s="41"/>
      <c r="I149" s="41"/>
      <c r="J149" s="166"/>
      <c r="K149" s="41"/>
      <c r="L149" s="41"/>
      <c r="M149" s="41"/>
      <c r="N149" s="166"/>
      <c r="O149" s="166"/>
      <c r="P149" s="41"/>
      <c r="Q149" s="41"/>
      <c r="R149" s="41"/>
      <c r="S149" s="41"/>
      <c r="T149" s="41"/>
      <c r="U149" s="41"/>
      <c r="V149" s="41"/>
      <c r="W149" s="41"/>
      <c r="X149" s="41"/>
      <c r="Y149" s="166"/>
      <c r="Z149" s="166"/>
      <c r="AA149" s="41"/>
      <c r="AB149" s="41"/>
      <c r="AC149" s="41"/>
      <c r="AD149" s="41"/>
      <c r="AE149" s="41"/>
      <c r="AF149" s="41"/>
      <c r="AG149" s="41"/>
      <c r="AH149" s="41"/>
      <c r="AI149" s="41"/>
    </row>
    <row r="150" spans="1:35" ht="15.75" customHeight="1" x14ac:dyDescent="0.2">
      <c r="A150" s="166"/>
      <c r="B150" s="218"/>
      <c r="C150" s="218"/>
      <c r="D150" s="41"/>
      <c r="E150" s="41"/>
      <c r="F150" s="218"/>
      <c r="G150" s="41"/>
      <c r="H150" s="41"/>
      <c r="I150" s="41"/>
      <c r="J150" s="166"/>
      <c r="K150" s="41"/>
      <c r="L150" s="41"/>
      <c r="M150" s="41"/>
      <c r="N150" s="166"/>
      <c r="O150" s="166"/>
      <c r="P150" s="41"/>
      <c r="Q150" s="41"/>
      <c r="R150" s="41"/>
      <c r="S150" s="41"/>
      <c r="T150" s="41"/>
      <c r="U150" s="41"/>
      <c r="V150" s="41"/>
      <c r="W150" s="41"/>
      <c r="X150" s="41"/>
      <c r="Y150" s="166"/>
      <c r="Z150" s="166"/>
      <c r="AA150" s="41"/>
      <c r="AB150" s="41"/>
      <c r="AC150" s="41"/>
      <c r="AD150" s="41"/>
      <c r="AE150" s="41"/>
      <c r="AF150" s="41"/>
      <c r="AG150" s="41"/>
      <c r="AH150" s="41"/>
      <c r="AI150" s="41"/>
    </row>
    <row r="151" spans="1:35" ht="15.75" customHeight="1" x14ac:dyDescent="0.2">
      <c r="A151" s="166"/>
      <c r="B151" s="218"/>
      <c r="C151" s="218"/>
      <c r="D151" s="41"/>
      <c r="E151" s="41"/>
      <c r="F151" s="218"/>
      <c r="G151" s="41"/>
      <c r="H151" s="41"/>
      <c r="I151" s="41"/>
      <c r="J151" s="166"/>
      <c r="K151" s="41"/>
      <c r="L151" s="41"/>
      <c r="M151" s="41"/>
      <c r="N151" s="166"/>
      <c r="O151" s="166"/>
      <c r="P151" s="41"/>
      <c r="Q151" s="41"/>
      <c r="R151" s="41"/>
      <c r="S151" s="41"/>
      <c r="T151" s="41"/>
      <c r="U151" s="41"/>
      <c r="V151" s="41"/>
      <c r="W151" s="41"/>
      <c r="X151" s="41"/>
      <c r="Y151" s="166"/>
      <c r="Z151" s="166"/>
      <c r="AA151" s="41"/>
      <c r="AB151" s="41"/>
      <c r="AC151" s="41"/>
      <c r="AD151" s="41"/>
      <c r="AE151" s="41"/>
      <c r="AF151" s="41"/>
      <c r="AG151" s="41"/>
      <c r="AH151" s="41"/>
      <c r="AI151" s="41"/>
    </row>
    <row r="152" spans="1:35" ht="15.75" customHeight="1" x14ac:dyDescent="0.2">
      <c r="A152" s="166"/>
      <c r="B152" s="218"/>
      <c r="C152" s="218"/>
      <c r="D152" s="41"/>
      <c r="E152" s="41"/>
      <c r="F152" s="218"/>
      <c r="G152" s="41"/>
      <c r="H152" s="41"/>
      <c r="I152" s="41"/>
      <c r="J152" s="166"/>
      <c r="K152" s="41"/>
      <c r="L152" s="41"/>
      <c r="M152" s="41"/>
      <c r="N152" s="166"/>
      <c r="O152" s="166"/>
      <c r="P152" s="41"/>
      <c r="Q152" s="41"/>
      <c r="R152" s="41"/>
      <c r="S152" s="41"/>
      <c r="T152" s="41"/>
      <c r="U152" s="41"/>
      <c r="V152" s="41"/>
      <c r="W152" s="41"/>
      <c r="X152" s="41"/>
      <c r="Y152" s="166"/>
      <c r="Z152" s="166"/>
      <c r="AA152" s="41"/>
      <c r="AB152" s="41"/>
      <c r="AC152" s="41"/>
      <c r="AD152" s="41"/>
      <c r="AE152" s="41"/>
      <c r="AF152" s="41"/>
      <c r="AG152" s="41"/>
      <c r="AH152" s="41"/>
      <c r="AI152" s="41"/>
    </row>
    <row r="153" spans="1:35" ht="15.75" customHeight="1" x14ac:dyDescent="0.2">
      <c r="A153" s="166"/>
      <c r="B153" s="218"/>
      <c r="C153" s="218"/>
      <c r="D153" s="41"/>
      <c r="E153" s="41"/>
      <c r="F153" s="218"/>
      <c r="G153" s="41"/>
      <c r="H153" s="41"/>
      <c r="I153" s="41"/>
      <c r="J153" s="166"/>
      <c r="K153" s="41"/>
      <c r="L153" s="41"/>
      <c r="M153" s="41"/>
      <c r="N153" s="166"/>
      <c r="O153" s="166"/>
      <c r="P153" s="41"/>
      <c r="Q153" s="41"/>
      <c r="R153" s="41"/>
      <c r="S153" s="41"/>
      <c r="T153" s="41"/>
      <c r="U153" s="41"/>
      <c r="V153" s="41"/>
      <c r="W153" s="41"/>
      <c r="X153" s="41"/>
      <c r="Y153" s="166"/>
      <c r="Z153" s="166"/>
      <c r="AA153" s="41"/>
      <c r="AB153" s="41"/>
      <c r="AC153" s="41"/>
      <c r="AD153" s="41"/>
      <c r="AE153" s="41"/>
      <c r="AF153" s="41"/>
      <c r="AG153" s="41"/>
      <c r="AH153" s="41"/>
      <c r="AI153" s="41"/>
    </row>
    <row r="154" spans="1:35" ht="15.75" customHeight="1" x14ac:dyDescent="0.2">
      <c r="A154" s="166"/>
      <c r="B154" s="218"/>
      <c r="C154" s="218"/>
      <c r="D154" s="41"/>
      <c r="E154" s="41"/>
      <c r="F154" s="218"/>
      <c r="G154" s="41"/>
      <c r="H154" s="41"/>
      <c r="I154" s="41"/>
      <c r="J154" s="166"/>
      <c r="K154" s="41"/>
      <c r="L154" s="41"/>
      <c r="M154" s="41"/>
      <c r="N154" s="166"/>
      <c r="O154" s="166"/>
      <c r="P154" s="41"/>
      <c r="Q154" s="41"/>
      <c r="R154" s="41"/>
      <c r="S154" s="41"/>
      <c r="T154" s="41"/>
      <c r="U154" s="41"/>
      <c r="V154" s="41"/>
      <c r="W154" s="41"/>
      <c r="X154" s="41"/>
      <c r="Y154" s="166"/>
      <c r="Z154" s="166"/>
      <c r="AA154" s="41"/>
      <c r="AB154" s="41"/>
      <c r="AC154" s="41"/>
      <c r="AD154" s="41"/>
      <c r="AE154" s="41"/>
      <c r="AF154" s="41"/>
      <c r="AG154" s="41"/>
      <c r="AH154" s="41"/>
      <c r="AI154" s="41"/>
    </row>
    <row r="155" spans="1:35" ht="15.75" customHeight="1" x14ac:dyDescent="0.2">
      <c r="A155" s="166"/>
      <c r="B155" s="218"/>
      <c r="C155" s="218"/>
      <c r="D155" s="41"/>
      <c r="E155" s="41"/>
      <c r="F155" s="218"/>
      <c r="G155" s="41"/>
      <c r="H155" s="41"/>
      <c r="I155" s="41"/>
      <c r="J155" s="166"/>
      <c r="K155" s="41"/>
      <c r="L155" s="41"/>
      <c r="M155" s="41"/>
      <c r="N155" s="166"/>
      <c r="O155" s="166"/>
      <c r="P155" s="41"/>
      <c r="Q155" s="41"/>
      <c r="R155" s="41"/>
      <c r="S155" s="41"/>
      <c r="T155" s="41"/>
      <c r="U155" s="41"/>
      <c r="V155" s="41"/>
      <c r="W155" s="41"/>
      <c r="X155" s="41"/>
      <c r="Y155" s="166"/>
      <c r="Z155" s="166"/>
      <c r="AA155" s="41"/>
      <c r="AB155" s="41"/>
      <c r="AC155" s="41"/>
      <c r="AD155" s="41"/>
      <c r="AE155" s="41"/>
      <c r="AF155" s="41"/>
      <c r="AG155" s="41"/>
      <c r="AH155" s="41"/>
      <c r="AI155" s="41"/>
    </row>
    <row r="156" spans="1:35" ht="15.75" customHeight="1" x14ac:dyDescent="0.2">
      <c r="A156" s="166"/>
      <c r="B156" s="218"/>
      <c r="C156" s="218"/>
      <c r="D156" s="41"/>
      <c r="E156" s="41"/>
      <c r="F156" s="218"/>
      <c r="G156" s="41"/>
      <c r="H156" s="41"/>
      <c r="I156" s="41"/>
      <c r="J156" s="166"/>
      <c r="K156" s="41"/>
      <c r="L156" s="41"/>
      <c r="M156" s="41"/>
      <c r="N156" s="166"/>
      <c r="O156" s="166"/>
      <c r="P156" s="41"/>
      <c r="Q156" s="41"/>
      <c r="R156" s="41"/>
      <c r="S156" s="41"/>
      <c r="T156" s="41"/>
      <c r="U156" s="41"/>
      <c r="V156" s="41"/>
      <c r="W156" s="41"/>
      <c r="X156" s="41"/>
      <c r="Y156" s="166"/>
      <c r="Z156" s="166"/>
      <c r="AA156" s="41"/>
      <c r="AB156" s="41"/>
      <c r="AC156" s="41"/>
      <c r="AD156" s="41"/>
      <c r="AE156" s="41"/>
      <c r="AF156" s="41"/>
      <c r="AG156" s="41"/>
      <c r="AH156" s="41"/>
      <c r="AI156" s="41"/>
    </row>
    <row r="157" spans="1:35" ht="15.75" customHeight="1" x14ac:dyDescent="0.2">
      <c r="A157" s="166"/>
      <c r="B157" s="218"/>
      <c r="C157" s="218"/>
      <c r="D157" s="41"/>
      <c r="E157" s="41"/>
      <c r="F157" s="218"/>
      <c r="G157" s="41"/>
      <c r="H157" s="41"/>
      <c r="I157" s="41"/>
      <c r="J157" s="166"/>
      <c r="K157" s="41"/>
      <c r="L157" s="41"/>
      <c r="M157" s="41"/>
      <c r="N157" s="166"/>
      <c r="O157" s="166"/>
      <c r="P157" s="41"/>
      <c r="Q157" s="41"/>
      <c r="R157" s="41"/>
      <c r="S157" s="41"/>
      <c r="T157" s="41"/>
      <c r="U157" s="41"/>
      <c r="V157" s="41"/>
      <c r="W157" s="41"/>
      <c r="X157" s="41"/>
      <c r="Y157" s="166"/>
      <c r="Z157" s="166"/>
      <c r="AA157" s="41"/>
      <c r="AB157" s="41"/>
      <c r="AC157" s="41"/>
      <c r="AD157" s="41"/>
      <c r="AE157" s="41"/>
      <c r="AF157" s="41"/>
      <c r="AG157" s="41"/>
      <c r="AH157" s="41"/>
      <c r="AI157" s="41"/>
    </row>
    <row r="158" spans="1:35" ht="15.75" customHeight="1" x14ac:dyDescent="0.2">
      <c r="A158" s="166"/>
      <c r="B158" s="218"/>
      <c r="C158" s="218"/>
      <c r="D158" s="41"/>
      <c r="E158" s="41"/>
      <c r="F158" s="218"/>
      <c r="G158" s="41"/>
      <c r="H158" s="41"/>
      <c r="I158" s="41"/>
      <c r="J158" s="166"/>
      <c r="K158" s="41"/>
      <c r="L158" s="41"/>
      <c r="M158" s="41"/>
      <c r="N158" s="166"/>
      <c r="O158" s="166"/>
      <c r="P158" s="41"/>
      <c r="Q158" s="41"/>
      <c r="R158" s="41"/>
      <c r="S158" s="41"/>
      <c r="T158" s="41"/>
      <c r="U158" s="41"/>
      <c r="V158" s="41"/>
      <c r="W158" s="41"/>
      <c r="X158" s="41"/>
      <c r="Y158" s="166"/>
      <c r="Z158" s="166"/>
      <c r="AA158" s="41"/>
      <c r="AB158" s="41"/>
      <c r="AC158" s="41"/>
      <c r="AD158" s="41"/>
      <c r="AE158" s="41"/>
      <c r="AF158" s="41"/>
      <c r="AG158" s="41"/>
      <c r="AH158" s="41"/>
      <c r="AI158" s="41"/>
    </row>
    <row r="159" spans="1:35" ht="15.75" customHeight="1" x14ac:dyDescent="0.2">
      <c r="A159" s="166"/>
      <c r="B159" s="218"/>
      <c r="C159" s="218"/>
      <c r="D159" s="41"/>
      <c r="E159" s="41"/>
      <c r="F159" s="218"/>
      <c r="G159" s="41"/>
      <c r="H159" s="41"/>
      <c r="I159" s="41"/>
      <c r="J159" s="166"/>
      <c r="K159" s="41"/>
      <c r="L159" s="41"/>
      <c r="M159" s="41"/>
      <c r="N159" s="166"/>
      <c r="O159" s="166"/>
      <c r="P159" s="41"/>
      <c r="Q159" s="41"/>
      <c r="R159" s="41"/>
      <c r="S159" s="41"/>
      <c r="T159" s="41"/>
      <c r="U159" s="41"/>
      <c r="V159" s="41"/>
      <c r="W159" s="41"/>
      <c r="X159" s="41"/>
      <c r="Y159" s="166"/>
      <c r="Z159" s="166"/>
      <c r="AA159" s="41"/>
      <c r="AB159" s="41"/>
      <c r="AC159" s="41"/>
      <c r="AD159" s="41"/>
      <c r="AE159" s="41"/>
      <c r="AF159" s="41"/>
      <c r="AG159" s="41"/>
      <c r="AH159" s="41"/>
      <c r="AI159" s="41"/>
    </row>
    <row r="160" spans="1:35" ht="15.75" customHeight="1" x14ac:dyDescent="0.2">
      <c r="A160" s="166"/>
      <c r="B160" s="218"/>
      <c r="C160" s="218"/>
      <c r="D160" s="41"/>
      <c r="E160" s="41"/>
      <c r="F160" s="218"/>
      <c r="G160" s="41"/>
      <c r="H160" s="41"/>
      <c r="I160" s="41"/>
      <c r="J160" s="166"/>
      <c r="K160" s="41"/>
      <c r="L160" s="41"/>
      <c r="M160" s="41"/>
      <c r="N160" s="166"/>
      <c r="O160" s="166"/>
      <c r="P160" s="41"/>
      <c r="Q160" s="41"/>
      <c r="R160" s="41"/>
      <c r="S160" s="41"/>
      <c r="T160" s="41"/>
      <c r="U160" s="41"/>
      <c r="V160" s="41"/>
      <c r="W160" s="41"/>
      <c r="X160" s="41"/>
      <c r="Y160" s="166"/>
      <c r="Z160" s="166"/>
      <c r="AA160" s="41"/>
      <c r="AB160" s="41"/>
      <c r="AC160" s="41"/>
      <c r="AD160" s="41"/>
      <c r="AE160" s="41"/>
      <c r="AF160" s="41"/>
      <c r="AG160" s="41"/>
      <c r="AH160" s="41"/>
      <c r="AI160" s="41"/>
    </row>
    <row r="161" spans="1:35" ht="15.75" customHeight="1" x14ac:dyDescent="0.2">
      <c r="A161" s="166"/>
      <c r="B161" s="218"/>
      <c r="C161" s="218"/>
      <c r="D161" s="41"/>
      <c r="E161" s="41"/>
      <c r="F161" s="218"/>
      <c r="G161" s="41"/>
      <c r="H161" s="41"/>
      <c r="I161" s="41"/>
      <c r="J161" s="166"/>
      <c r="K161" s="41"/>
      <c r="L161" s="41"/>
      <c r="M161" s="41"/>
      <c r="N161" s="166"/>
      <c r="O161" s="166"/>
      <c r="P161" s="41"/>
      <c r="Q161" s="41"/>
      <c r="R161" s="41"/>
      <c r="S161" s="41"/>
      <c r="T161" s="41"/>
      <c r="U161" s="41"/>
      <c r="V161" s="41"/>
      <c r="W161" s="41"/>
      <c r="X161" s="41"/>
      <c r="Y161" s="166"/>
      <c r="Z161" s="166"/>
      <c r="AA161" s="41"/>
      <c r="AB161" s="41"/>
      <c r="AC161" s="41"/>
      <c r="AD161" s="41"/>
      <c r="AE161" s="41"/>
      <c r="AF161" s="41"/>
      <c r="AG161" s="41"/>
      <c r="AH161" s="41"/>
      <c r="AI161" s="41"/>
    </row>
    <row r="162" spans="1:35" ht="15.75" customHeight="1" x14ac:dyDescent="0.2">
      <c r="A162" s="166"/>
      <c r="B162" s="218"/>
      <c r="C162" s="218"/>
      <c r="D162" s="41"/>
      <c r="E162" s="41"/>
      <c r="F162" s="218"/>
      <c r="G162" s="41"/>
      <c r="H162" s="41"/>
      <c r="I162" s="41"/>
      <c r="J162" s="166"/>
      <c r="K162" s="41"/>
      <c r="L162" s="41"/>
      <c r="M162" s="41"/>
      <c r="N162" s="166"/>
      <c r="O162" s="166"/>
      <c r="P162" s="41"/>
      <c r="Q162" s="41"/>
      <c r="R162" s="41"/>
      <c r="S162" s="41"/>
      <c r="T162" s="41"/>
      <c r="U162" s="41"/>
      <c r="V162" s="41"/>
      <c r="W162" s="41"/>
      <c r="X162" s="41"/>
      <c r="Y162" s="166"/>
      <c r="Z162" s="166"/>
      <c r="AA162" s="41"/>
      <c r="AB162" s="41"/>
      <c r="AC162" s="41"/>
      <c r="AD162" s="41"/>
      <c r="AE162" s="41"/>
      <c r="AF162" s="41"/>
      <c r="AG162" s="41"/>
      <c r="AH162" s="41"/>
      <c r="AI162" s="41"/>
    </row>
    <row r="163" spans="1:35" ht="15.75" customHeight="1" x14ac:dyDescent="0.2">
      <c r="A163" s="166"/>
      <c r="B163" s="218"/>
      <c r="C163" s="218"/>
      <c r="D163" s="41"/>
      <c r="E163" s="41"/>
      <c r="F163" s="218"/>
      <c r="G163" s="41"/>
      <c r="H163" s="41"/>
      <c r="I163" s="41"/>
      <c r="J163" s="166"/>
      <c r="K163" s="41"/>
      <c r="L163" s="41"/>
      <c r="M163" s="41"/>
      <c r="N163" s="166"/>
      <c r="O163" s="166"/>
      <c r="P163" s="41"/>
      <c r="Q163" s="41"/>
      <c r="R163" s="41"/>
      <c r="S163" s="41"/>
      <c r="T163" s="41"/>
      <c r="U163" s="41"/>
      <c r="V163" s="41"/>
      <c r="W163" s="41"/>
      <c r="X163" s="41"/>
      <c r="Y163" s="166"/>
      <c r="Z163" s="166"/>
      <c r="AA163" s="41"/>
      <c r="AB163" s="41"/>
      <c r="AC163" s="41"/>
      <c r="AD163" s="41"/>
      <c r="AE163" s="41"/>
      <c r="AF163" s="41"/>
      <c r="AG163" s="41"/>
      <c r="AH163" s="41"/>
      <c r="AI163" s="41"/>
    </row>
    <row r="164" spans="1:35" ht="15.75" customHeight="1" x14ac:dyDescent="0.2">
      <c r="A164" s="166"/>
      <c r="B164" s="218"/>
      <c r="C164" s="218"/>
      <c r="D164" s="41"/>
      <c r="E164" s="41"/>
      <c r="F164" s="218"/>
      <c r="G164" s="41"/>
      <c r="H164" s="41"/>
      <c r="I164" s="41"/>
      <c r="J164" s="166"/>
      <c r="K164" s="41"/>
      <c r="L164" s="41"/>
      <c r="M164" s="41"/>
      <c r="N164" s="166"/>
      <c r="O164" s="166"/>
      <c r="P164" s="41"/>
      <c r="Q164" s="41"/>
      <c r="R164" s="41"/>
      <c r="S164" s="41"/>
      <c r="T164" s="41"/>
      <c r="U164" s="41"/>
      <c r="V164" s="41"/>
      <c r="W164" s="41"/>
      <c r="X164" s="41"/>
      <c r="Y164" s="166"/>
      <c r="Z164" s="166"/>
      <c r="AA164" s="41"/>
      <c r="AB164" s="41"/>
      <c r="AC164" s="41"/>
      <c r="AD164" s="41"/>
      <c r="AE164" s="41"/>
      <c r="AF164" s="41"/>
      <c r="AG164" s="41"/>
      <c r="AH164" s="41"/>
      <c r="AI164" s="41"/>
    </row>
    <row r="165" spans="1:35" ht="15.75" customHeight="1" x14ac:dyDescent="0.2">
      <c r="A165" s="166"/>
      <c r="B165" s="218"/>
      <c r="C165" s="218"/>
      <c r="D165" s="41"/>
      <c r="E165" s="41"/>
      <c r="F165" s="218"/>
      <c r="G165" s="41"/>
      <c r="H165" s="41"/>
      <c r="I165" s="41"/>
      <c r="J165" s="166"/>
      <c r="K165" s="41"/>
      <c r="L165" s="41"/>
      <c r="M165" s="41"/>
      <c r="N165" s="166"/>
      <c r="O165" s="166"/>
      <c r="P165" s="41"/>
      <c r="Q165" s="41"/>
      <c r="R165" s="41"/>
      <c r="S165" s="41"/>
      <c r="T165" s="41"/>
      <c r="U165" s="41"/>
      <c r="V165" s="41"/>
      <c r="W165" s="41"/>
      <c r="X165" s="41"/>
      <c r="Y165" s="166"/>
      <c r="Z165" s="166"/>
      <c r="AA165" s="41"/>
      <c r="AB165" s="41"/>
      <c r="AC165" s="41"/>
      <c r="AD165" s="41"/>
      <c r="AE165" s="41"/>
      <c r="AF165" s="41"/>
      <c r="AG165" s="41"/>
      <c r="AH165" s="41"/>
      <c r="AI165" s="41"/>
    </row>
    <row r="166" spans="1:35" ht="15.75" customHeight="1" x14ac:dyDescent="0.2">
      <c r="A166" s="166"/>
      <c r="B166" s="218"/>
      <c r="C166" s="218"/>
      <c r="D166" s="41"/>
      <c r="E166" s="41"/>
      <c r="F166" s="218"/>
      <c r="G166" s="41"/>
      <c r="H166" s="41"/>
      <c r="I166" s="41"/>
      <c r="J166" s="166"/>
      <c r="K166" s="41"/>
      <c r="L166" s="41"/>
      <c r="M166" s="41"/>
      <c r="N166" s="166"/>
      <c r="O166" s="166"/>
      <c r="P166" s="41"/>
      <c r="Q166" s="41"/>
      <c r="R166" s="41"/>
      <c r="S166" s="41"/>
      <c r="T166" s="41"/>
      <c r="U166" s="41"/>
      <c r="V166" s="41"/>
      <c r="W166" s="41"/>
      <c r="X166" s="41"/>
      <c r="Y166" s="166"/>
      <c r="Z166" s="166"/>
      <c r="AA166" s="41"/>
      <c r="AB166" s="41"/>
      <c r="AC166" s="41"/>
      <c r="AD166" s="41"/>
      <c r="AE166" s="41"/>
      <c r="AF166" s="41"/>
      <c r="AG166" s="41"/>
      <c r="AH166" s="41"/>
      <c r="AI166" s="41"/>
    </row>
    <row r="167" spans="1:35" ht="15.75" customHeight="1" x14ac:dyDescent="0.2">
      <c r="A167" s="166"/>
      <c r="B167" s="218"/>
      <c r="C167" s="218"/>
      <c r="D167" s="41"/>
      <c r="E167" s="41"/>
      <c r="F167" s="218"/>
      <c r="G167" s="41"/>
      <c r="H167" s="41"/>
      <c r="I167" s="41"/>
      <c r="J167" s="166"/>
      <c r="K167" s="41"/>
      <c r="L167" s="41"/>
      <c r="M167" s="41"/>
      <c r="N167" s="166"/>
      <c r="O167" s="166"/>
      <c r="P167" s="41"/>
      <c r="Q167" s="41"/>
      <c r="R167" s="41"/>
      <c r="S167" s="41"/>
      <c r="T167" s="41"/>
      <c r="U167" s="41"/>
      <c r="V167" s="41"/>
      <c r="W167" s="41"/>
      <c r="X167" s="41"/>
      <c r="Y167" s="166"/>
      <c r="Z167" s="166"/>
      <c r="AA167" s="41"/>
      <c r="AB167" s="41"/>
      <c r="AC167" s="41"/>
      <c r="AD167" s="41"/>
      <c r="AE167" s="41"/>
      <c r="AF167" s="41"/>
      <c r="AG167" s="41"/>
      <c r="AH167" s="41"/>
      <c r="AI167" s="41"/>
    </row>
    <row r="168" spans="1:35" ht="15.75" customHeight="1" x14ac:dyDescent="0.2">
      <c r="A168" s="166"/>
      <c r="B168" s="218"/>
      <c r="C168" s="218"/>
      <c r="D168" s="41"/>
      <c r="E168" s="41"/>
      <c r="F168" s="218"/>
      <c r="G168" s="41"/>
      <c r="H168" s="41"/>
      <c r="I168" s="41"/>
      <c r="J168" s="166"/>
      <c r="K168" s="41"/>
      <c r="L168" s="41"/>
      <c r="M168" s="41"/>
      <c r="N168" s="166"/>
      <c r="O168" s="166"/>
      <c r="P168" s="41"/>
      <c r="Q168" s="41"/>
      <c r="R168" s="41"/>
      <c r="S168" s="41"/>
      <c r="T168" s="41"/>
      <c r="U168" s="41"/>
      <c r="V168" s="41"/>
      <c r="W168" s="41"/>
      <c r="X168" s="41"/>
      <c r="Y168" s="166"/>
      <c r="Z168" s="166"/>
      <c r="AA168" s="41"/>
      <c r="AB168" s="41"/>
      <c r="AC168" s="41"/>
      <c r="AD168" s="41"/>
      <c r="AE168" s="41"/>
      <c r="AF168" s="41"/>
      <c r="AG168" s="41"/>
      <c r="AH168" s="41"/>
      <c r="AI168" s="41"/>
    </row>
    <row r="169" spans="1:35" ht="15.75" customHeight="1" x14ac:dyDescent="0.2">
      <c r="A169" s="166"/>
      <c r="B169" s="218"/>
      <c r="C169" s="218"/>
      <c r="D169" s="41"/>
      <c r="E169" s="41"/>
      <c r="F169" s="218"/>
      <c r="G169" s="41"/>
      <c r="H169" s="41"/>
      <c r="I169" s="41"/>
      <c r="J169" s="166"/>
      <c r="K169" s="41"/>
      <c r="L169" s="41"/>
      <c r="M169" s="41"/>
      <c r="N169" s="166"/>
      <c r="O169" s="166"/>
      <c r="P169" s="41"/>
      <c r="Q169" s="41"/>
      <c r="R169" s="41"/>
      <c r="S169" s="41"/>
      <c r="T169" s="41"/>
      <c r="U169" s="41"/>
      <c r="V169" s="41"/>
      <c r="W169" s="41"/>
      <c r="X169" s="41"/>
      <c r="Y169" s="166"/>
      <c r="Z169" s="166"/>
      <c r="AA169" s="41"/>
      <c r="AB169" s="41"/>
      <c r="AC169" s="41"/>
      <c r="AD169" s="41"/>
      <c r="AE169" s="41"/>
      <c r="AF169" s="41"/>
      <c r="AG169" s="41"/>
      <c r="AH169" s="41"/>
      <c r="AI169" s="41"/>
    </row>
    <row r="170" spans="1:35" ht="15.75" customHeight="1" x14ac:dyDescent="0.2">
      <c r="A170" s="166"/>
      <c r="B170" s="218"/>
      <c r="C170" s="218"/>
      <c r="D170" s="41"/>
      <c r="E170" s="41"/>
      <c r="F170" s="218"/>
      <c r="G170" s="41"/>
      <c r="H170" s="41"/>
      <c r="I170" s="41"/>
      <c r="J170" s="166"/>
      <c r="K170" s="41"/>
      <c r="L170" s="41"/>
      <c r="M170" s="41"/>
      <c r="N170" s="166"/>
      <c r="O170" s="166"/>
      <c r="P170" s="41"/>
      <c r="Q170" s="41"/>
      <c r="R170" s="41"/>
      <c r="S170" s="41"/>
      <c r="T170" s="41"/>
      <c r="U170" s="41"/>
      <c r="V170" s="41"/>
      <c r="W170" s="41"/>
      <c r="X170" s="41"/>
      <c r="Y170" s="166"/>
      <c r="Z170" s="166"/>
      <c r="AA170" s="41"/>
      <c r="AB170" s="41"/>
      <c r="AC170" s="41"/>
      <c r="AD170" s="41"/>
      <c r="AE170" s="41"/>
      <c r="AF170" s="41"/>
      <c r="AG170" s="41"/>
      <c r="AH170" s="41"/>
      <c r="AI170" s="41"/>
    </row>
    <row r="171" spans="1:35" ht="15.75" customHeight="1" x14ac:dyDescent="0.2">
      <c r="A171" s="166"/>
      <c r="B171" s="218"/>
      <c r="C171" s="218"/>
      <c r="D171" s="41"/>
      <c r="E171" s="41"/>
      <c r="F171" s="218"/>
      <c r="G171" s="41"/>
      <c r="H171" s="41"/>
      <c r="I171" s="41"/>
      <c r="J171" s="166"/>
      <c r="K171" s="41"/>
      <c r="L171" s="41"/>
      <c r="M171" s="41"/>
      <c r="N171" s="166"/>
      <c r="O171" s="166"/>
      <c r="P171" s="41"/>
      <c r="Q171" s="41"/>
      <c r="R171" s="41"/>
      <c r="S171" s="41"/>
      <c r="T171" s="41"/>
      <c r="U171" s="41"/>
      <c r="V171" s="41"/>
      <c r="W171" s="41"/>
      <c r="X171" s="41"/>
      <c r="Y171" s="166"/>
      <c r="Z171" s="166"/>
      <c r="AA171" s="41"/>
      <c r="AB171" s="41"/>
      <c r="AC171" s="41"/>
      <c r="AD171" s="41"/>
      <c r="AE171" s="41"/>
      <c r="AF171" s="41"/>
      <c r="AG171" s="41"/>
      <c r="AH171" s="41"/>
      <c r="AI171" s="41"/>
    </row>
    <row r="172" spans="1:35" ht="15.75" customHeight="1" x14ac:dyDescent="0.2">
      <c r="A172" s="166"/>
      <c r="B172" s="218"/>
      <c r="C172" s="218"/>
      <c r="D172" s="41"/>
      <c r="E172" s="41"/>
      <c r="F172" s="218"/>
      <c r="G172" s="41"/>
      <c r="H172" s="41"/>
      <c r="I172" s="41"/>
      <c r="J172" s="166"/>
      <c r="K172" s="41"/>
      <c r="L172" s="41"/>
      <c r="M172" s="41"/>
      <c r="N172" s="166"/>
      <c r="O172" s="166"/>
      <c r="P172" s="41"/>
      <c r="Q172" s="41"/>
      <c r="R172" s="41"/>
      <c r="S172" s="41"/>
      <c r="T172" s="41"/>
      <c r="U172" s="41"/>
      <c r="V172" s="41"/>
      <c r="W172" s="41"/>
      <c r="X172" s="41"/>
      <c r="Y172" s="166"/>
      <c r="Z172" s="166"/>
      <c r="AA172" s="41"/>
      <c r="AB172" s="41"/>
      <c r="AC172" s="41"/>
      <c r="AD172" s="41"/>
      <c r="AE172" s="41"/>
      <c r="AF172" s="41"/>
      <c r="AG172" s="41"/>
      <c r="AH172" s="41"/>
      <c r="AI172" s="41"/>
    </row>
    <row r="173" spans="1:35" ht="15.75" customHeight="1" x14ac:dyDescent="0.2">
      <c r="A173" s="166"/>
      <c r="B173" s="218"/>
      <c r="C173" s="218"/>
      <c r="D173" s="41"/>
      <c r="E173" s="41"/>
      <c r="F173" s="218"/>
      <c r="G173" s="41"/>
      <c r="H173" s="41"/>
      <c r="I173" s="41"/>
      <c r="J173" s="166"/>
      <c r="K173" s="41"/>
      <c r="L173" s="41"/>
      <c r="M173" s="41"/>
      <c r="N173" s="166"/>
      <c r="O173" s="166"/>
      <c r="P173" s="41"/>
      <c r="Q173" s="41"/>
      <c r="R173" s="41"/>
      <c r="S173" s="41"/>
      <c r="T173" s="41"/>
      <c r="U173" s="41"/>
      <c r="V173" s="41"/>
      <c r="W173" s="41"/>
      <c r="X173" s="41"/>
      <c r="Y173" s="166"/>
      <c r="Z173" s="166"/>
      <c r="AA173" s="41"/>
      <c r="AB173" s="41"/>
      <c r="AC173" s="41"/>
      <c r="AD173" s="41"/>
      <c r="AE173" s="41"/>
      <c r="AF173" s="41"/>
      <c r="AG173" s="41"/>
      <c r="AH173" s="41"/>
      <c r="AI173" s="41"/>
    </row>
    <row r="174" spans="1:35" ht="15.75" customHeight="1" x14ac:dyDescent="0.2">
      <c r="A174" s="166"/>
      <c r="B174" s="218"/>
      <c r="C174" s="218"/>
      <c r="D174" s="41"/>
      <c r="E174" s="41"/>
      <c r="F174" s="218"/>
      <c r="G174" s="41"/>
      <c r="H174" s="41"/>
      <c r="I174" s="41"/>
      <c r="J174" s="166"/>
      <c r="K174" s="41"/>
      <c r="L174" s="41"/>
      <c r="M174" s="41"/>
      <c r="N174" s="166"/>
      <c r="O174" s="166"/>
      <c r="P174" s="41"/>
      <c r="Q174" s="41"/>
      <c r="R174" s="41"/>
      <c r="S174" s="41"/>
      <c r="T174" s="41"/>
      <c r="U174" s="41"/>
      <c r="V174" s="41"/>
      <c r="W174" s="41"/>
      <c r="X174" s="41"/>
      <c r="Y174" s="166"/>
      <c r="Z174" s="166"/>
      <c r="AA174" s="41"/>
      <c r="AB174" s="41"/>
      <c r="AC174" s="41"/>
      <c r="AD174" s="41"/>
      <c r="AE174" s="41"/>
      <c r="AF174" s="41"/>
      <c r="AG174" s="41"/>
      <c r="AH174" s="41"/>
      <c r="AI174" s="41"/>
    </row>
    <row r="175" spans="1:35" ht="15.75" customHeight="1" x14ac:dyDescent="0.2">
      <c r="A175" s="166"/>
      <c r="B175" s="218"/>
      <c r="C175" s="218"/>
      <c r="D175" s="41"/>
      <c r="E175" s="41"/>
      <c r="F175" s="218"/>
      <c r="G175" s="41"/>
      <c r="H175" s="41"/>
      <c r="I175" s="41"/>
      <c r="J175" s="166"/>
      <c r="K175" s="41"/>
      <c r="L175" s="41"/>
      <c r="M175" s="41"/>
      <c r="N175" s="166"/>
      <c r="O175" s="166"/>
      <c r="P175" s="41"/>
      <c r="Q175" s="41"/>
      <c r="R175" s="41"/>
      <c r="S175" s="41"/>
      <c r="T175" s="41"/>
      <c r="U175" s="41"/>
      <c r="V175" s="41"/>
      <c r="W175" s="41"/>
      <c r="X175" s="41"/>
      <c r="Y175" s="166"/>
      <c r="Z175" s="166"/>
      <c r="AA175" s="41"/>
      <c r="AB175" s="41"/>
      <c r="AC175" s="41"/>
      <c r="AD175" s="41"/>
      <c r="AE175" s="41"/>
      <c r="AF175" s="41"/>
      <c r="AG175" s="41"/>
      <c r="AH175" s="41"/>
      <c r="AI175" s="41"/>
    </row>
    <row r="176" spans="1:35" ht="15.75" customHeight="1" x14ac:dyDescent="0.2">
      <c r="A176" s="166"/>
      <c r="B176" s="218"/>
      <c r="C176" s="218"/>
      <c r="D176" s="41"/>
      <c r="E176" s="41"/>
      <c r="F176" s="218"/>
      <c r="G176" s="41"/>
      <c r="H176" s="41"/>
      <c r="I176" s="41"/>
      <c r="J176" s="166"/>
      <c r="K176" s="41"/>
      <c r="L176" s="41"/>
      <c r="M176" s="41"/>
      <c r="N176" s="166"/>
      <c r="O176" s="166"/>
      <c r="P176" s="41"/>
      <c r="Q176" s="41"/>
      <c r="R176" s="41"/>
      <c r="S176" s="41"/>
      <c r="T176" s="41"/>
      <c r="U176" s="41"/>
      <c r="V176" s="41"/>
      <c r="W176" s="41"/>
      <c r="X176" s="41"/>
      <c r="Y176" s="166"/>
      <c r="Z176" s="166"/>
      <c r="AA176" s="41"/>
      <c r="AB176" s="41"/>
      <c r="AC176" s="41"/>
      <c r="AD176" s="41"/>
      <c r="AE176" s="41"/>
      <c r="AF176" s="41"/>
      <c r="AG176" s="41"/>
      <c r="AH176" s="41"/>
      <c r="AI176" s="41"/>
    </row>
    <row r="177" spans="1:35" ht="15.75" customHeight="1" x14ac:dyDescent="0.2">
      <c r="A177" s="166"/>
      <c r="B177" s="218"/>
      <c r="C177" s="218"/>
      <c r="D177" s="41"/>
      <c r="E177" s="41"/>
      <c r="F177" s="218"/>
      <c r="G177" s="41"/>
      <c r="H177" s="41"/>
      <c r="I177" s="41"/>
      <c r="J177" s="166"/>
      <c r="K177" s="41"/>
      <c r="L177" s="41"/>
      <c r="M177" s="41"/>
      <c r="N177" s="166"/>
      <c r="O177" s="166"/>
      <c r="P177" s="41"/>
      <c r="Q177" s="41"/>
      <c r="R177" s="41"/>
      <c r="S177" s="41"/>
      <c r="T177" s="41"/>
      <c r="U177" s="41"/>
      <c r="V177" s="41"/>
      <c r="W177" s="41"/>
      <c r="X177" s="41"/>
      <c r="Y177" s="166"/>
      <c r="Z177" s="166"/>
      <c r="AA177" s="41"/>
      <c r="AB177" s="41"/>
      <c r="AC177" s="41"/>
      <c r="AD177" s="41"/>
      <c r="AE177" s="41"/>
      <c r="AF177" s="41"/>
      <c r="AG177" s="41"/>
      <c r="AH177" s="41"/>
      <c r="AI177" s="41"/>
    </row>
    <row r="178" spans="1:35" ht="15.75" customHeight="1" x14ac:dyDescent="0.2">
      <c r="A178" s="166"/>
      <c r="B178" s="218"/>
      <c r="C178" s="218"/>
      <c r="D178" s="41"/>
      <c r="E178" s="41"/>
      <c r="F178" s="218"/>
      <c r="G178" s="41"/>
      <c r="H178" s="41"/>
      <c r="I178" s="41"/>
      <c r="J178" s="166"/>
      <c r="K178" s="41"/>
      <c r="L178" s="41"/>
      <c r="M178" s="41"/>
      <c r="N178" s="166"/>
      <c r="O178" s="166"/>
      <c r="P178" s="41"/>
      <c r="Q178" s="41"/>
      <c r="R178" s="41"/>
      <c r="S178" s="41"/>
      <c r="T178" s="41"/>
      <c r="U178" s="41"/>
      <c r="V178" s="41"/>
      <c r="W178" s="41"/>
      <c r="X178" s="41"/>
      <c r="Y178" s="166"/>
      <c r="Z178" s="166"/>
      <c r="AA178" s="41"/>
      <c r="AB178" s="41"/>
      <c r="AC178" s="41"/>
      <c r="AD178" s="41"/>
      <c r="AE178" s="41"/>
      <c r="AF178" s="41"/>
      <c r="AG178" s="41"/>
      <c r="AH178" s="41"/>
      <c r="AI178" s="41"/>
    </row>
    <row r="179" spans="1:35" ht="15.75" customHeight="1" x14ac:dyDescent="0.2">
      <c r="A179" s="166"/>
      <c r="B179" s="218"/>
      <c r="C179" s="218"/>
      <c r="D179" s="41"/>
      <c r="E179" s="41"/>
      <c r="F179" s="218"/>
      <c r="G179" s="41"/>
      <c r="H179" s="41"/>
      <c r="I179" s="41"/>
      <c r="J179" s="166"/>
      <c r="K179" s="41"/>
      <c r="L179" s="41"/>
      <c r="M179" s="41"/>
      <c r="N179" s="166"/>
      <c r="O179" s="166"/>
      <c r="P179" s="41"/>
      <c r="Q179" s="41"/>
      <c r="R179" s="41"/>
      <c r="S179" s="41"/>
      <c r="T179" s="41"/>
      <c r="U179" s="41"/>
      <c r="V179" s="41"/>
      <c r="W179" s="41"/>
      <c r="X179" s="41"/>
      <c r="Y179" s="166"/>
      <c r="Z179" s="166"/>
      <c r="AA179" s="41"/>
      <c r="AB179" s="41"/>
      <c r="AC179" s="41"/>
      <c r="AD179" s="41"/>
      <c r="AE179" s="41"/>
      <c r="AF179" s="41"/>
      <c r="AG179" s="41"/>
      <c r="AH179" s="41"/>
      <c r="AI179" s="41"/>
    </row>
    <row r="180" spans="1:35" ht="15.75" customHeight="1" x14ac:dyDescent="0.2">
      <c r="A180" s="166"/>
      <c r="B180" s="218"/>
      <c r="C180" s="218"/>
      <c r="D180" s="41"/>
      <c r="E180" s="41"/>
      <c r="F180" s="218"/>
      <c r="G180" s="41"/>
      <c r="H180" s="41"/>
      <c r="I180" s="41"/>
      <c r="J180" s="166"/>
      <c r="K180" s="41"/>
      <c r="L180" s="41"/>
      <c r="M180" s="41"/>
      <c r="N180" s="166"/>
      <c r="O180" s="166"/>
      <c r="P180" s="41"/>
      <c r="Q180" s="41"/>
      <c r="R180" s="41"/>
      <c r="S180" s="41"/>
      <c r="T180" s="41"/>
      <c r="U180" s="41"/>
      <c r="V180" s="41"/>
      <c r="W180" s="41"/>
      <c r="X180" s="41"/>
      <c r="Y180" s="166"/>
      <c r="Z180" s="166"/>
      <c r="AA180" s="41"/>
      <c r="AB180" s="41"/>
      <c r="AC180" s="41"/>
      <c r="AD180" s="41"/>
      <c r="AE180" s="41"/>
      <c r="AF180" s="41"/>
      <c r="AG180" s="41"/>
      <c r="AH180" s="41"/>
      <c r="AI180" s="41"/>
    </row>
    <row r="181" spans="1:35" ht="15.75" customHeight="1" x14ac:dyDescent="0.2">
      <c r="A181" s="166"/>
      <c r="B181" s="218"/>
      <c r="C181" s="218"/>
      <c r="D181" s="41"/>
      <c r="E181" s="41"/>
      <c r="F181" s="218"/>
      <c r="G181" s="41"/>
      <c r="H181" s="41"/>
      <c r="I181" s="41"/>
      <c r="J181" s="166"/>
      <c r="K181" s="41"/>
      <c r="L181" s="41"/>
      <c r="M181" s="41"/>
      <c r="N181" s="166"/>
      <c r="O181" s="166"/>
      <c r="P181" s="41"/>
      <c r="Q181" s="41"/>
      <c r="R181" s="41"/>
      <c r="S181" s="41"/>
      <c r="T181" s="41"/>
      <c r="U181" s="41"/>
      <c r="V181" s="41"/>
      <c r="W181" s="41"/>
      <c r="X181" s="41"/>
      <c r="Y181" s="166"/>
      <c r="Z181" s="166"/>
      <c r="AA181" s="41"/>
      <c r="AB181" s="41"/>
      <c r="AC181" s="41"/>
      <c r="AD181" s="41"/>
      <c r="AE181" s="41"/>
      <c r="AF181" s="41"/>
      <c r="AG181" s="41"/>
      <c r="AH181" s="41"/>
      <c r="AI181" s="41"/>
    </row>
    <row r="182" spans="1:35" ht="15.75" customHeight="1" x14ac:dyDescent="0.2">
      <c r="A182" s="166"/>
      <c r="B182" s="218"/>
      <c r="C182" s="218"/>
      <c r="D182" s="41"/>
      <c r="E182" s="41"/>
      <c r="F182" s="218"/>
      <c r="G182" s="41"/>
      <c r="H182" s="41"/>
      <c r="I182" s="41"/>
      <c r="J182" s="166"/>
      <c r="K182" s="41"/>
      <c r="L182" s="41"/>
      <c r="M182" s="41"/>
      <c r="N182" s="166"/>
      <c r="O182" s="166"/>
      <c r="P182" s="41"/>
      <c r="Q182" s="41"/>
      <c r="R182" s="41"/>
      <c r="S182" s="41"/>
      <c r="T182" s="41"/>
      <c r="U182" s="41"/>
      <c r="V182" s="41"/>
      <c r="W182" s="41"/>
      <c r="X182" s="41"/>
      <c r="Y182" s="166"/>
      <c r="Z182" s="166"/>
      <c r="AA182" s="41"/>
      <c r="AB182" s="41"/>
      <c r="AC182" s="41"/>
      <c r="AD182" s="41"/>
      <c r="AE182" s="41"/>
      <c r="AF182" s="41"/>
      <c r="AG182" s="41"/>
      <c r="AH182" s="41"/>
      <c r="AI182" s="41"/>
    </row>
    <row r="183" spans="1:35" ht="15.75" customHeight="1" x14ac:dyDescent="0.2">
      <c r="A183" s="166"/>
      <c r="B183" s="218"/>
      <c r="C183" s="218"/>
      <c r="D183" s="41"/>
      <c r="E183" s="41"/>
      <c r="F183" s="218"/>
      <c r="G183" s="41"/>
      <c r="H183" s="41"/>
      <c r="I183" s="41"/>
      <c r="J183" s="166"/>
      <c r="K183" s="41"/>
      <c r="L183" s="41"/>
      <c r="M183" s="41"/>
      <c r="N183" s="166"/>
      <c r="O183" s="166"/>
      <c r="P183" s="41"/>
      <c r="Q183" s="41"/>
      <c r="R183" s="41"/>
      <c r="S183" s="41"/>
      <c r="T183" s="41"/>
      <c r="U183" s="41"/>
      <c r="V183" s="41"/>
      <c r="W183" s="41"/>
      <c r="X183" s="41"/>
      <c r="Y183" s="166"/>
      <c r="Z183" s="166"/>
      <c r="AA183" s="41"/>
      <c r="AB183" s="41"/>
      <c r="AC183" s="41"/>
      <c r="AD183" s="41"/>
      <c r="AE183" s="41"/>
      <c r="AF183" s="41"/>
      <c r="AG183" s="41"/>
      <c r="AH183" s="41"/>
      <c r="AI183" s="41"/>
    </row>
    <row r="184" spans="1:35" ht="15.75" customHeight="1" x14ac:dyDescent="0.2">
      <c r="A184" s="166"/>
      <c r="B184" s="218"/>
      <c r="C184" s="218"/>
      <c r="D184" s="41"/>
      <c r="E184" s="41"/>
      <c r="F184" s="218"/>
      <c r="G184" s="41"/>
      <c r="H184" s="41"/>
      <c r="I184" s="41"/>
      <c r="J184" s="166"/>
      <c r="K184" s="41"/>
      <c r="L184" s="41"/>
      <c r="M184" s="41"/>
      <c r="N184" s="166"/>
      <c r="O184" s="166"/>
      <c r="P184" s="41"/>
      <c r="Q184" s="41"/>
      <c r="R184" s="41"/>
      <c r="S184" s="41"/>
      <c r="T184" s="41"/>
      <c r="U184" s="41"/>
      <c r="V184" s="41"/>
      <c r="W184" s="41"/>
      <c r="X184" s="41"/>
      <c r="Y184" s="166"/>
      <c r="Z184" s="166"/>
      <c r="AA184" s="41"/>
      <c r="AB184" s="41"/>
      <c r="AC184" s="41"/>
      <c r="AD184" s="41"/>
      <c r="AE184" s="41"/>
      <c r="AF184" s="41"/>
      <c r="AG184" s="41"/>
      <c r="AH184" s="41"/>
      <c r="AI184" s="41"/>
    </row>
    <row r="185" spans="1:35" ht="15.75" customHeight="1" x14ac:dyDescent="0.2">
      <c r="A185" s="166"/>
      <c r="B185" s="218"/>
      <c r="C185" s="218"/>
      <c r="D185" s="41"/>
      <c r="E185" s="41"/>
      <c r="F185" s="218"/>
      <c r="G185" s="41"/>
      <c r="H185" s="41"/>
      <c r="I185" s="41"/>
      <c r="J185" s="166"/>
      <c r="K185" s="41"/>
      <c r="L185" s="41"/>
      <c r="M185" s="41"/>
      <c r="N185" s="166"/>
      <c r="O185" s="166"/>
      <c r="P185" s="41"/>
      <c r="Q185" s="41"/>
      <c r="R185" s="41"/>
      <c r="S185" s="41"/>
      <c r="T185" s="41"/>
      <c r="U185" s="41"/>
      <c r="V185" s="41"/>
      <c r="W185" s="41"/>
      <c r="X185" s="41"/>
      <c r="Y185" s="166"/>
      <c r="Z185" s="166"/>
      <c r="AA185" s="41"/>
      <c r="AB185" s="41"/>
      <c r="AC185" s="41"/>
      <c r="AD185" s="41"/>
      <c r="AE185" s="41"/>
      <c r="AF185" s="41"/>
      <c r="AG185" s="41"/>
      <c r="AH185" s="41"/>
      <c r="AI185" s="41"/>
    </row>
    <row r="186" spans="1:35" ht="15.75" customHeight="1" x14ac:dyDescent="0.2">
      <c r="A186" s="166"/>
      <c r="B186" s="218"/>
      <c r="C186" s="218"/>
      <c r="D186" s="41"/>
      <c r="E186" s="41"/>
      <c r="F186" s="218"/>
      <c r="G186" s="41"/>
      <c r="H186" s="41"/>
      <c r="I186" s="41"/>
      <c r="J186" s="166"/>
      <c r="K186" s="41"/>
      <c r="L186" s="41"/>
      <c r="M186" s="41"/>
      <c r="N186" s="166"/>
      <c r="O186" s="166"/>
      <c r="P186" s="41"/>
      <c r="Q186" s="41"/>
      <c r="R186" s="41"/>
      <c r="S186" s="41"/>
      <c r="T186" s="41"/>
      <c r="U186" s="41"/>
      <c r="V186" s="41"/>
      <c r="W186" s="41"/>
      <c r="X186" s="41"/>
      <c r="Y186" s="166"/>
      <c r="Z186" s="166"/>
      <c r="AA186" s="41"/>
      <c r="AB186" s="41"/>
      <c r="AC186" s="41"/>
      <c r="AD186" s="41"/>
      <c r="AE186" s="41"/>
      <c r="AF186" s="41"/>
      <c r="AG186" s="41"/>
      <c r="AH186" s="41"/>
      <c r="AI186" s="41"/>
    </row>
    <row r="187" spans="1:35" ht="15.75" customHeight="1" x14ac:dyDescent="0.2">
      <c r="A187" s="166"/>
      <c r="B187" s="218"/>
      <c r="C187" s="218"/>
      <c r="D187" s="41"/>
      <c r="E187" s="41"/>
      <c r="F187" s="218"/>
      <c r="G187" s="41"/>
      <c r="H187" s="41"/>
      <c r="I187" s="41"/>
      <c r="J187" s="166"/>
      <c r="K187" s="41"/>
      <c r="L187" s="41"/>
      <c r="M187" s="41"/>
      <c r="N187" s="166"/>
      <c r="O187" s="166"/>
      <c r="P187" s="41"/>
      <c r="Q187" s="41"/>
      <c r="R187" s="41"/>
      <c r="S187" s="41"/>
      <c r="T187" s="41"/>
      <c r="U187" s="41"/>
      <c r="V187" s="41"/>
      <c r="W187" s="41"/>
      <c r="X187" s="41"/>
      <c r="Y187" s="166"/>
      <c r="Z187" s="166"/>
      <c r="AA187" s="41"/>
      <c r="AB187" s="41"/>
      <c r="AC187" s="41"/>
      <c r="AD187" s="41"/>
      <c r="AE187" s="41"/>
      <c r="AF187" s="41"/>
      <c r="AG187" s="41"/>
      <c r="AH187" s="41"/>
      <c r="AI187" s="41"/>
    </row>
    <row r="188" spans="1:35" ht="15.75" customHeight="1" x14ac:dyDescent="0.2">
      <c r="A188" s="166"/>
      <c r="B188" s="218"/>
      <c r="C188" s="218"/>
      <c r="D188" s="41"/>
      <c r="E188" s="41"/>
      <c r="F188" s="218"/>
      <c r="G188" s="41"/>
      <c r="H188" s="41"/>
      <c r="I188" s="41"/>
      <c r="J188" s="166"/>
      <c r="K188" s="41"/>
      <c r="L188" s="41"/>
      <c r="M188" s="41"/>
      <c r="N188" s="166"/>
      <c r="O188" s="166"/>
      <c r="P188" s="41"/>
      <c r="Q188" s="41"/>
      <c r="R188" s="41"/>
      <c r="S188" s="41"/>
      <c r="T188" s="41"/>
      <c r="U188" s="41"/>
      <c r="V188" s="41"/>
      <c r="W188" s="41"/>
      <c r="X188" s="41"/>
      <c r="Y188" s="166"/>
      <c r="Z188" s="166"/>
      <c r="AA188" s="41"/>
      <c r="AB188" s="41"/>
      <c r="AC188" s="41"/>
      <c r="AD188" s="41"/>
      <c r="AE188" s="41"/>
      <c r="AF188" s="41"/>
      <c r="AG188" s="41"/>
      <c r="AH188" s="41"/>
      <c r="AI188" s="41"/>
    </row>
    <row r="189" spans="1:35" ht="15.75" customHeight="1" x14ac:dyDescent="0.2">
      <c r="A189" s="166"/>
      <c r="B189" s="218"/>
      <c r="C189" s="218"/>
      <c r="D189" s="41"/>
      <c r="E189" s="41"/>
      <c r="F189" s="218"/>
      <c r="G189" s="41"/>
      <c r="H189" s="41"/>
      <c r="I189" s="41"/>
      <c r="J189" s="166"/>
      <c r="K189" s="41"/>
      <c r="L189" s="41"/>
      <c r="M189" s="41"/>
      <c r="N189" s="166"/>
      <c r="O189" s="166"/>
      <c r="P189" s="41"/>
      <c r="Q189" s="41"/>
      <c r="R189" s="41"/>
      <c r="S189" s="41"/>
      <c r="T189" s="41"/>
      <c r="U189" s="41"/>
      <c r="V189" s="41"/>
      <c r="W189" s="41"/>
      <c r="X189" s="41"/>
      <c r="Y189" s="166"/>
      <c r="Z189" s="166"/>
      <c r="AA189" s="41"/>
      <c r="AB189" s="41"/>
      <c r="AC189" s="41"/>
      <c r="AD189" s="41"/>
      <c r="AE189" s="41"/>
      <c r="AF189" s="41"/>
      <c r="AG189" s="41"/>
      <c r="AH189" s="41"/>
      <c r="AI189" s="41"/>
    </row>
    <row r="190" spans="1:35" ht="15.75" customHeight="1" x14ac:dyDescent="0.2">
      <c r="A190" s="166"/>
      <c r="B190" s="218"/>
      <c r="C190" s="218"/>
      <c r="D190" s="41"/>
      <c r="E190" s="41"/>
      <c r="F190" s="218"/>
      <c r="G190" s="41"/>
      <c r="H190" s="41"/>
      <c r="I190" s="41"/>
      <c r="J190" s="166"/>
      <c r="K190" s="41"/>
      <c r="L190" s="41"/>
      <c r="M190" s="41"/>
      <c r="N190" s="166"/>
      <c r="O190" s="166"/>
      <c r="P190" s="41"/>
      <c r="Q190" s="41"/>
      <c r="R190" s="41"/>
      <c r="S190" s="41"/>
      <c r="T190" s="41"/>
      <c r="U190" s="41"/>
      <c r="V190" s="41"/>
      <c r="W190" s="41"/>
      <c r="X190" s="41"/>
      <c r="Y190" s="166"/>
      <c r="Z190" s="166"/>
      <c r="AA190" s="41"/>
      <c r="AB190" s="41"/>
      <c r="AC190" s="41"/>
      <c r="AD190" s="41"/>
      <c r="AE190" s="41"/>
      <c r="AF190" s="41"/>
      <c r="AG190" s="41"/>
      <c r="AH190" s="41"/>
      <c r="AI190" s="41"/>
    </row>
    <row r="191" spans="1:35" ht="15.75" customHeight="1" x14ac:dyDescent="0.2">
      <c r="A191" s="166"/>
      <c r="B191" s="218"/>
      <c r="C191" s="218"/>
      <c r="D191" s="41"/>
      <c r="E191" s="41"/>
      <c r="F191" s="218"/>
      <c r="G191" s="41"/>
      <c r="H191" s="41"/>
      <c r="I191" s="41"/>
      <c r="J191" s="166"/>
      <c r="K191" s="41"/>
      <c r="L191" s="41"/>
      <c r="M191" s="41"/>
      <c r="N191" s="166"/>
      <c r="O191" s="166"/>
      <c r="P191" s="41"/>
      <c r="Q191" s="41"/>
      <c r="R191" s="41"/>
      <c r="S191" s="41"/>
      <c r="T191" s="41"/>
      <c r="U191" s="41"/>
      <c r="V191" s="41"/>
      <c r="W191" s="41"/>
      <c r="X191" s="41"/>
      <c r="Y191" s="166"/>
      <c r="Z191" s="166"/>
      <c r="AA191" s="41"/>
      <c r="AB191" s="41"/>
      <c r="AC191" s="41"/>
      <c r="AD191" s="41"/>
      <c r="AE191" s="41"/>
      <c r="AF191" s="41"/>
      <c r="AG191" s="41"/>
      <c r="AH191" s="41"/>
      <c r="AI191" s="41"/>
    </row>
    <row r="192" spans="1:35" ht="15.75" customHeight="1" x14ac:dyDescent="0.2">
      <c r="A192" s="166"/>
      <c r="B192" s="218"/>
      <c r="C192" s="218"/>
      <c r="D192" s="41"/>
      <c r="E192" s="41"/>
      <c r="F192" s="218"/>
      <c r="G192" s="41"/>
      <c r="H192" s="41"/>
      <c r="I192" s="41"/>
      <c r="J192" s="166"/>
      <c r="K192" s="41"/>
      <c r="L192" s="41"/>
      <c r="M192" s="41"/>
      <c r="N192" s="166"/>
      <c r="O192" s="166"/>
      <c r="P192" s="41"/>
      <c r="Q192" s="41"/>
      <c r="R192" s="41"/>
      <c r="S192" s="41"/>
      <c r="T192" s="41"/>
      <c r="U192" s="41"/>
      <c r="V192" s="41"/>
      <c r="W192" s="41"/>
      <c r="X192" s="41"/>
      <c r="Y192" s="166"/>
      <c r="Z192" s="166"/>
      <c r="AA192" s="41"/>
      <c r="AB192" s="41"/>
      <c r="AC192" s="41"/>
      <c r="AD192" s="41"/>
      <c r="AE192" s="41"/>
      <c r="AF192" s="41"/>
      <c r="AG192" s="41"/>
      <c r="AH192" s="41"/>
      <c r="AI192" s="41"/>
    </row>
    <row r="193" spans="1:35" ht="15.75" customHeight="1" x14ac:dyDescent="0.2">
      <c r="A193" s="166"/>
      <c r="B193" s="218"/>
      <c r="C193" s="218"/>
      <c r="D193" s="41"/>
      <c r="E193" s="41"/>
      <c r="F193" s="218"/>
      <c r="G193" s="41"/>
      <c r="H193" s="41"/>
      <c r="I193" s="41"/>
      <c r="J193" s="166"/>
      <c r="K193" s="41"/>
      <c r="L193" s="41"/>
      <c r="M193" s="41"/>
      <c r="N193" s="166"/>
      <c r="O193" s="166"/>
      <c r="P193" s="41"/>
      <c r="Q193" s="41"/>
      <c r="R193" s="41"/>
      <c r="S193" s="41"/>
      <c r="T193" s="41"/>
      <c r="U193" s="41"/>
      <c r="V193" s="41"/>
      <c r="W193" s="41"/>
      <c r="X193" s="41"/>
      <c r="Y193" s="166"/>
      <c r="Z193" s="166"/>
      <c r="AA193" s="41"/>
      <c r="AB193" s="41"/>
      <c r="AC193" s="41"/>
      <c r="AD193" s="41"/>
      <c r="AE193" s="41"/>
      <c r="AF193" s="41"/>
      <c r="AG193" s="41"/>
      <c r="AH193" s="41"/>
      <c r="AI193" s="41"/>
    </row>
    <row r="194" spans="1:35" ht="15.75" customHeight="1" x14ac:dyDescent="0.2">
      <c r="A194" s="166"/>
      <c r="B194" s="218"/>
      <c r="C194" s="218"/>
      <c r="D194" s="41"/>
      <c r="E194" s="41"/>
      <c r="F194" s="218"/>
      <c r="G194" s="41"/>
      <c r="H194" s="41"/>
      <c r="I194" s="41"/>
      <c r="J194" s="166"/>
      <c r="K194" s="41"/>
      <c r="L194" s="41"/>
      <c r="M194" s="41"/>
      <c r="N194" s="166"/>
      <c r="O194" s="166"/>
      <c r="P194" s="41"/>
      <c r="Q194" s="41"/>
      <c r="R194" s="41"/>
      <c r="S194" s="41"/>
      <c r="T194" s="41"/>
      <c r="U194" s="41"/>
      <c r="V194" s="41"/>
      <c r="W194" s="41"/>
      <c r="X194" s="41"/>
      <c r="Y194" s="166"/>
      <c r="Z194" s="166"/>
      <c r="AA194" s="41"/>
      <c r="AB194" s="41"/>
      <c r="AC194" s="41"/>
      <c r="AD194" s="41"/>
      <c r="AE194" s="41"/>
      <c r="AF194" s="41"/>
      <c r="AG194" s="41"/>
      <c r="AH194" s="41"/>
      <c r="AI194" s="41"/>
    </row>
    <row r="195" spans="1:35" ht="15.75" customHeight="1" x14ac:dyDescent="0.2">
      <c r="A195" s="166"/>
      <c r="B195" s="218"/>
      <c r="C195" s="218"/>
      <c r="D195" s="41"/>
      <c r="E195" s="41"/>
      <c r="F195" s="218"/>
      <c r="G195" s="41"/>
      <c r="H195" s="41"/>
      <c r="I195" s="41"/>
      <c r="J195" s="166"/>
      <c r="K195" s="41"/>
      <c r="L195" s="41"/>
      <c r="M195" s="41"/>
      <c r="N195" s="166"/>
      <c r="O195" s="166"/>
      <c r="P195" s="41"/>
      <c r="Q195" s="41"/>
      <c r="R195" s="41"/>
      <c r="S195" s="41"/>
      <c r="T195" s="41"/>
      <c r="U195" s="41"/>
      <c r="V195" s="41"/>
      <c r="W195" s="41"/>
      <c r="X195" s="41"/>
      <c r="Y195" s="166"/>
      <c r="Z195" s="166"/>
      <c r="AA195" s="41"/>
      <c r="AB195" s="41"/>
      <c r="AC195" s="41"/>
      <c r="AD195" s="41"/>
      <c r="AE195" s="41"/>
      <c r="AF195" s="41"/>
      <c r="AG195" s="41"/>
      <c r="AH195" s="41"/>
      <c r="AI195" s="41"/>
    </row>
    <row r="196" spans="1:35" ht="15.75" customHeight="1" x14ac:dyDescent="0.2">
      <c r="A196" s="166"/>
      <c r="B196" s="218"/>
      <c r="C196" s="218"/>
      <c r="D196" s="41"/>
      <c r="E196" s="41"/>
      <c r="F196" s="218"/>
      <c r="G196" s="41"/>
      <c r="H196" s="41"/>
      <c r="I196" s="41"/>
      <c r="J196" s="166"/>
      <c r="K196" s="41"/>
      <c r="L196" s="41"/>
      <c r="M196" s="41"/>
      <c r="N196" s="166"/>
      <c r="O196" s="166"/>
      <c r="P196" s="41"/>
      <c r="Q196" s="41"/>
      <c r="R196" s="41"/>
      <c r="S196" s="41"/>
      <c r="T196" s="41"/>
      <c r="U196" s="41"/>
      <c r="V196" s="41"/>
      <c r="W196" s="41"/>
      <c r="X196" s="41"/>
      <c r="Y196" s="166"/>
      <c r="Z196" s="166"/>
      <c r="AA196" s="41"/>
      <c r="AB196" s="41"/>
      <c r="AC196" s="41"/>
      <c r="AD196" s="41"/>
      <c r="AE196" s="41"/>
      <c r="AF196" s="41"/>
      <c r="AG196" s="41"/>
      <c r="AH196" s="41"/>
      <c r="AI196" s="41"/>
    </row>
    <row r="197" spans="1:35" ht="15.75" customHeight="1" x14ac:dyDescent="0.2">
      <c r="A197" s="166"/>
      <c r="B197" s="218"/>
      <c r="C197" s="218"/>
      <c r="D197" s="41"/>
      <c r="E197" s="41"/>
      <c r="F197" s="218"/>
      <c r="G197" s="41"/>
      <c r="H197" s="41"/>
      <c r="I197" s="41"/>
      <c r="J197" s="166"/>
      <c r="K197" s="41"/>
      <c r="L197" s="41"/>
      <c r="M197" s="41"/>
      <c r="N197" s="166"/>
      <c r="O197" s="166"/>
      <c r="P197" s="41"/>
      <c r="Q197" s="41"/>
      <c r="R197" s="41"/>
      <c r="S197" s="41"/>
      <c r="T197" s="41"/>
      <c r="U197" s="41"/>
      <c r="V197" s="41"/>
      <c r="W197" s="41"/>
      <c r="X197" s="41"/>
      <c r="Y197" s="166"/>
      <c r="Z197" s="166"/>
      <c r="AA197" s="41"/>
      <c r="AB197" s="41"/>
      <c r="AC197" s="41"/>
      <c r="AD197" s="41"/>
      <c r="AE197" s="41"/>
      <c r="AF197" s="41"/>
      <c r="AG197" s="41"/>
      <c r="AH197" s="41"/>
      <c r="AI197" s="41"/>
    </row>
    <row r="198" spans="1:35" ht="15.75" customHeight="1" x14ac:dyDescent="0.2">
      <c r="A198" s="166"/>
      <c r="B198" s="218"/>
      <c r="C198" s="218"/>
      <c r="D198" s="41"/>
      <c r="E198" s="41"/>
      <c r="F198" s="218"/>
      <c r="G198" s="41"/>
      <c r="H198" s="41"/>
      <c r="I198" s="41"/>
      <c r="J198" s="166"/>
      <c r="K198" s="41"/>
      <c r="L198" s="41"/>
      <c r="M198" s="41"/>
      <c r="N198" s="166"/>
      <c r="O198" s="166"/>
      <c r="P198" s="41"/>
      <c r="Q198" s="41"/>
      <c r="R198" s="41"/>
      <c r="S198" s="41"/>
      <c r="T198" s="41"/>
      <c r="U198" s="41"/>
      <c r="V198" s="41"/>
      <c r="W198" s="41"/>
      <c r="X198" s="41"/>
      <c r="Y198" s="166"/>
      <c r="Z198" s="166"/>
      <c r="AA198" s="41"/>
      <c r="AB198" s="41"/>
      <c r="AC198" s="41"/>
      <c r="AD198" s="41"/>
      <c r="AE198" s="41"/>
      <c r="AF198" s="41"/>
      <c r="AG198" s="41"/>
      <c r="AH198" s="41"/>
      <c r="AI198" s="41"/>
    </row>
    <row r="199" spans="1:35" ht="15.75" customHeight="1" x14ac:dyDescent="0.2">
      <c r="A199" s="166"/>
      <c r="B199" s="218"/>
      <c r="C199" s="218"/>
      <c r="D199" s="41"/>
      <c r="E199" s="41"/>
      <c r="F199" s="218"/>
      <c r="G199" s="41"/>
      <c r="H199" s="41"/>
      <c r="I199" s="41"/>
      <c r="J199" s="166"/>
      <c r="K199" s="41"/>
      <c r="L199" s="41"/>
      <c r="M199" s="41"/>
      <c r="N199" s="166"/>
      <c r="O199" s="166"/>
      <c r="P199" s="41"/>
      <c r="Q199" s="41"/>
      <c r="R199" s="41"/>
      <c r="S199" s="41"/>
      <c r="T199" s="41"/>
      <c r="U199" s="41"/>
      <c r="V199" s="41"/>
      <c r="W199" s="41"/>
      <c r="X199" s="41"/>
      <c r="Y199" s="166"/>
      <c r="Z199" s="166"/>
      <c r="AA199" s="41"/>
      <c r="AB199" s="41"/>
      <c r="AC199" s="41"/>
      <c r="AD199" s="41"/>
      <c r="AE199" s="41"/>
      <c r="AF199" s="41"/>
      <c r="AG199" s="41"/>
      <c r="AH199" s="41"/>
      <c r="AI199" s="41"/>
    </row>
    <row r="200" spans="1:35" ht="15.75" customHeight="1" x14ac:dyDescent="0.2">
      <c r="A200" s="166"/>
      <c r="B200" s="218"/>
      <c r="C200" s="218"/>
      <c r="D200" s="41"/>
      <c r="E200" s="41"/>
      <c r="F200" s="218"/>
      <c r="G200" s="41"/>
      <c r="H200" s="41"/>
      <c r="I200" s="41"/>
      <c r="J200" s="166"/>
      <c r="K200" s="41"/>
      <c r="L200" s="41"/>
      <c r="M200" s="41"/>
      <c r="N200" s="166"/>
      <c r="O200" s="166"/>
      <c r="P200" s="41"/>
      <c r="Q200" s="41"/>
      <c r="R200" s="41"/>
      <c r="S200" s="41"/>
      <c r="T200" s="41"/>
      <c r="U200" s="41"/>
      <c r="V200" s="41"/>
      <c r="W200" s="41"/>
      <c r="X200" s="41"/>
      <c r="Y200" s="166"/>
      <c r="Z200" s="166"/>
      <c r="AA200" s="41"/>
      <c r="AB200" s="41"/>
      <c r="AC200" s="41"/>
      <c r="AD200" s="41"/>
      <c r="AE200" s="41"/>
      <c r="AF200" s="41"/>
      <c r="AG200" s="41"/>
      <c r="AH200" s="41"/>
      <c r="AI200" s="41"/>
    </row>
    <row r="201" spans="1:35" ht="15.75" customHeight="1" x14ac:dyDescent="0.2">
      <c r="A201" s="166"/>
      <c r="B201" s="218"/>
      <c r="C201" s="218"/>
      <c r="D201" s="41"/>
      <c r="E201" s="41"/>
      <c r="F201" s="218"/>
      <c r="G201" s="41"/>
      <c r="H201" s="41"/>
      <c r="I201" s="41"/>
      <c r="J201" s="166"/>
      <c r="K201" s="41"/>
      <c r="L201" s="41"/>
      <c r="M201" s="41"/>
      <c r="N201" s="166"/>
      <c r="O201" s="166"/>
      <c r="P201" s="41"/>
      <c r="Q201" s="41"/>
      <c r="R201" s="41"/>
      <c r="S201" s="41"/>
      <c r="T201" s="41"/>
      <c r="U201" s="41"/>
      <c r="V201" s="41"/>
      <c r="W201" s="41"/>
      <c r="X201" s="41"/>
      <c r="Y201" s="166"/>
      <c r="Z201" s="166"/>
      <c r="AA201" s="41"/>
      <c r="AB201" s="41"/>
      <c r="AC201" s="41"/>
      <c r="AD201" s="41"/>
      <c r="AE201" s="41"/>
      <c r="AF201" s="41"/>
      <c r="AG201" s="41"/>
      <c r="AH201" s="41"/>
      <c r="AI201" s="41"/>
    </row>
    <row r="202" spans="1:35" ht="15.75" customHeight="1" x14ac:dyDescent="0.2">
      <c r="A202" s="166"/>
      <c r="B202" s="218"/>
      <c r="C202" s="218"/>
      <c r="D202" s="41"/>
      <c r="E202" s="41"/>
      <c r="F202" s="218"/>
      <c r="G202" s="41"/>
      <c r="H202" s="41"/>
      <c r="I202" s="41"/>
      <c r="J202" s="166"/>
      <c r="K202" s="41"/>
      <c r="L202" s="41"/>
      <c r="M202" s="41"/>
      <c r="N202" s="166"/>
      <c r="O202" s="166"/>
      <c r="P202" s="41"/>
      <c r="Q202" s="41"/>
      <c r="R202" s="41"/>
      <c r="S202" s="41"/>
      <c r="T202" s="41"/>
      <c r="U202" s="41"/>
      <c r="V202" s="41"/>
      <c r="W202" s="41"/>
      <c r="X202" s="41"/>
      <c r="Y202" s="166"/>
      <c r="Z202" s="166"/>
      <c r="AA202" s="41"/>
      <c r="AB202" s="41"/>
      <c r="AC202" s="41"/>
      <c r="AD202" s="41"/>
      <c r="AE202" s="41"/>
      <c r="AF202" s="41"/>
      <c r="AG202" s="41"/>
      <c r="AH202" s="41"/>
      <c r="AI202" s="41"/>
    </row>
    <row r="203" spans="1:35" ht="15.75" customHeight="1" x14ac:dyDescent="0.2">
      <c r="A203" s="166"/>
      <c r="B203" s="218"/>
      <c r="C203" s="218"/>
      <c r="D203" s="41"/>
      <c r="E203" s="41"/>
      <c r="F203" s="218"/>
      <c r="G203" s="41"/>
      <c r="H203" s="41"/>
      <c r="I203" s="41"/>
      <c r="J203" s="166"/>
      <c r="K203" s="41"/>
      <c r="L203" s="41"/>
      <c r="M203" s="41"/>
      <c r="N203" s="166"/>
      <c r="O203" s="166"/>
      <c r="P203" s="41"/>
      <c r="Q203" s="41"/>
      <c r="R203" s="41"/>
      <c r="S203" s="41"/>
      <c r="T203" s="41"/>
      <c r="U203" s="41"/>
      <c r="V203" s="41"/>
      <c r="W203" s="41"/>
      <c r="X203" s="41"/>
      <c r="Y203" s="166"/>
      <c r="Z203" s="166"/>
      <c r="AA203" s="41"/>
      <c r="AB203" s="41"/>
      <c r="AC203" s="41"/>
      <c r="AD203" s="41"/>
      <c r="AE203" s="41"/>
      <c r="AF203" s="41"/>
      <c r="AG203" s="41"/>
      <c r="AH203" s="41"/>
      <c r="AI203" s="41"/>
    </row>
    <row r="204" spans="1:35" ht="15.75" customHeight="1" x14ac:dyDescent="0.2">
      <c r="A204" s="166"/>
      <c r="B204" s="218"/>
      <c r="C204" s="218"/>
      <c r="D204" s="41"/>
      <c r="E204" s="41"/>
      <c r="F204" s="218"/>
      <c r="G204" s="41"/>
      <c r="H204" s="41"/>
      <c r="I204" s="41"/>
      <c r="J204" s="166"/>
      <c r="K204" s="41"/>
      <c r="L204" s="41"/>
      <c r="M204" s="41"/>
      <c r="N204" s="166"/>
      <c r="O204" s="166"/>
      <c r="P204" s="41"/>
      <c r="Q204" s="41"/>
      <c r="R204" s="41"/>
      <c r="S204" s="41"/>
      <c r="T204" s="41"/>
      <c r="U204" s="41"/>
      <c r="V204" s="41"/>
      <c r="W204" s="41"/>
      <c r="X204" s="41"/>
      <c r="Y204" s="166"/>
      <c r="Z204" s="166"/>
      <c r="AA204" s="41"/>
      <c r="AB204" s="41"/>
      <c r="AC204" s="41"/>
      <c r="AD204" s="41"/>
      <c r="AE204" s="41"/>
      <c r="AF204" s="41"/>
      <c r="AG204" s="41"/>
      <c r="AH204" s="41"/>
      <c r="AI204" s="41"/>
    </row>
    <row r="205" spans="1:35" ht="15.75" customHeight="1" x14ac:dyDescent="0.2">
      <c r="A205" s="166"/>
      <c r="B205" s="218"/>
      <c r="C205" s="218"/>
      <c r="D205" s="41"/>
      <c r="E205" s="41"/>
      <c r="F205" s="218"/>
      <c r="G205" s="41"/>
      <c r="H205" s="41"/>
      <c r="I205" s="41"/>
      <c r="J205" s="166"/>
      <c r="K205" s="41"/>
      <c r="L205" s="41"/>
      <c r="M205" s="41"/>
      <c r="N205" s="166"/>
      <c r="O205" s="166"/>
      <c r="P205" s="41"/>
      <c r="Q205" s="41"/>
      <c r="R205" s="41"/>
      <c r="S205" s="41"/>
      <c r="T205" s="41"/>
      <c r="U205" s="41"/>
      <c r="V205" s="41"/>
      <c r="W205" s="41"/>
      <c r="X205" s="41"/>
      <c r="Y205" s="166"/>
      <c r="Z205" s="166"/>
      <c r="AA205" s="41"/>
      <c r="AB205" s="41"/>
      <c r="AC205" s="41"/>
      <c r="AD205" s="41"/>
      <c r="AE205" s="41"/>
      <c r="AF205" s="41"/>
      <c r="AG205" s="41"/>
      <c r="AH205" s="41"/>
      <c r="AI205" s="41"/>
    </row>
    <row r="206" spans="1:35" ht="15.75" customHeight="1" x14ac:dyDescent="0.2">
      <c r="A206" s="166"/>
      <c r="B206" s="218"/>
      <c r="C206" s="218"/>
      <c r="D206" s="41"/>
      <c r="E206" s="41"/>
      <c r="F206" s="218"/>
      <c r="G206" s="41"/>
      <c r="H206" s="41"/>
      <c r="I206" s="41"/>
      <c r="J206" s="166"/>
      <c r="K206" s="41"/>
      <c r="L206" s="41"/>
      <c r="M206" s="41"/>
      <c r="N206" s="166"/>
      <c r="O206" s="166"/>
      <c r="P206" s="41"/>
      <c r="Q206" s="41"/>
      <c r="R206" s="41"/>
      <c r="S206" s="41"/>
      <c r="T206" s="41"/>
      <c r="U206" s="41"/>
      <c r="V206" s="41"/>
      <c r="W206" s="41"/>
      <c r="X206" s="41"/>
      <c r="Y206" s="166"/>
      <c r="Z206" s="166"/>
      <c r="AA206" s="41"/>
      <c r="AB206" s="41"/>
      <c r="AC206" s="41"/>
      <c r="AD206" s="41"/>
      <c r="AE206" s="41"/>
      <c r="AF206" s="41"/>
      <c r="AG206" s="41"/>
      <c r="AH206" s="41"/>
      <c r="AI206" s="41"/>
    </row>
    <row r="207" spans="1:35" ht="15.75" customHeight="1" x14ac:dyDescent="0.2">
      <c r="A207" s="166"/>
      <c r="B207" s="218"/>
      <c r="C207" s="218"/>
      <c r="D207" s="41"/>
      <c r="E207" s="41"/>
      <c r="F207" s="218"/>
      <c r="G207" s="41"/>
      <c r="H207" s="41"/>
      <c r="I207" s="41"/>
      <c r="J207" s="166"/>
      <c r="K207" s="41"/>
      <c r="L207" s="41"/>
      <c r="M207" s="41"/>
      <c r="N207" s="166"/>
      <c r="O207" s="166"/>
      <c r="P207" s="41"/>
      <c r="Q207" s="41"/>
      <c r="R207" s="41"/>
      <c r="S207" s="41"/>
      <c r="T207" s="41"/>
      <c r="U207" s="41"/>
      <c r="V207" s="41"/>
      <c r="W207" s="41"/>
      <c r="X207" s="41"/>
      <c r="Y207" s="166"/>
      <c r="Z207" s="166"/>
      <c r="AA207" s="41"/>
      <c r="AB207" s="41"/>
      <c r="AC207" s="41"/>
      <c r="AD207" s="41"/>
      <c r="AE207" s="41"/>
      <c r="AF207" s="41"/>
      <c r="AG207" s="41"/>
      <c r="AH207" s="41"/>
      <c r="AI207" s="41"/>
    </row>
    <row r="208" spans="1:35" ht="15.75" customHeight="1" x14ac:dyDescent="0.2">
      <c r="A208" s="166"/>
      <c r="B208" s="218"/>
      <c r="C208" s="218"/>
      <c r="D208" s="41"/>
      <c r="E208" s="41"/>
      <c r="F208" s="218"/>
      <c r="G208" s="41"/>
      <c r="H208" s="41"/>
      <c r="I208" s="41"/>
      <c r="J208" s="166"/>
      <c r="K208" s="41"/>
      <c r="L208" s="41"/>
      <c r="M208" s="41"/>
      <c r="N208" s="166"/>
      <c r="O208" s="166"/>
      <c r="P208" s="41"/>
      <c r="Q208" s="41"/>
      <c r="R208" s="41"/>
      <c r="S208" s="41"/>
      <c r="T208" s="41"/>
      <c r="U208" s="41"/>
      <c r="V208" s="41"/>
      <c r="W208" s="41"/>
      <c r="X208" s="41"/>
      <c r="Y208" s="166"/>
      <c r="Z208" s="166"/>
      <c r="AA208" s="41"/>
      <c r="AB208" s="41"/>
      <c r="AC208" s="41"/>
      <c r="AD208" s="41"/>
      <c r="AE208" s="41"/>
      <c r="AF208" s="41"/>
      <c r="AG208" s="41"/>
      <c r="AH208" s="41"/>
      <c r="AI208" s="41"/>
    </row>
    <row r="209" spans="1:35" ht="15.75" customHeight="1" x14ac:dyDescent="0.2">
      <c r="A209" s="166"/>
      <c r="B209" s="218"/>
      <c r="C209" s="218"/>
      <c r="D209" s="41"/>
      <c r="E209" s="41"/>
      <c r="F209" s="218"/>
      <c r="G209" s="41"/>
      <c r="H209" s="41"/>
      <c r="I209" s="41"/>
      <c r="J209" s="166"/>
      <c r="K209" s="41"/>
      <c r="L209" s="41"/>
      <c r="M209" s="41"/>
      <c r="N209" s="166"/>
      <c r="O209" s="166"/>
      <c r="P209" s="41"/>
      <c r="Q209" s="41"/>
      <c r="R209" s="41"/>
      <c r="S209" s="41"/>
      <c r="T209" s="41"/>
      <c r="U209" s="41"/>
      <c r="V209" s="41"/>
      <c r="W209" s="41"/>
      <c r="X209" s="41"/>
      <c r="Y209" s="166"/>
      <c r="Z209" s="166"/>
      <c r="AA209" s="41"/>
      <c r="AB209" s="41"/>
      <c r="AC209" s="41"/>
      <c r="AD209" s="41"/>
      <c r="AE209" s="41"/>
      <c r="AF209" s="41"/>
      <c r="AG209" s="41"/>
      <c r="AH209" s="41"/>
      <c r="AI209" s="41"/>
    </row>
    <row r="210" spans="1:35" ht="15.75" customHeight="1" x14ac:dyDescent="0.2">
      <c r="A210" s="166"/>
      <c r="B210" s="218"/>
      <c r="C210" s="218"/>
      <c r="D210" s="41"/>
      <c r="E210" s="41"/>
      <c r="F210" s="218"/>
      <c r="G210" s="41"/>
      <c r="H210" s="41"/>
      <c r="I210" s="41"/>
      <c r="J210" s="166"/>
      <c r="K210" s="41"/>
      <c r="L210" s="41"/>
      <c r="M210" s="41"/>
      <c r="N210" s="166"/>
      <c r="O210" s="166"/>
      <c r="P210" s="41"/>
      <c r="Q210" s="41"/>
      <c r="R210" s="41"/>
      <c r="S210" s="41"/>
      <c r="T210" s="41"/>
      <c r="U210" s="41"/>
      <c r="V210" s="41"/>
      <c r="W210" s="41"/>
      <c r="X210" s="41"/>
      <c r="Y210" s="166"/>
      <c r="Z210" s="166"/>
      <c r="AA210" s="41"/>
      <c r="AB210" s="41"/>
      <c r="AC210" s="41"/>
      <c r="AD210" s="41"/>
      <c r="AE210" s="41"/>
      <c r="AF210" s="41"/>
      <c r="AG210" s="41"/>
      <c r="AH210" s="41"/>
      <c r="AI210" s="41"/>
    </row>
    <row r="211" spans="1:35" ht="15.75" customHeight="1" x14ac:dyDescent="0.2">
      <c r="A211" s="166"/>
      <c r="B211" s="218"/>
      <c r="C211" s="218"/>
      <c r="D211" s="41"/>
      <c r="E211" s="41"/>
      <c r="F211" s="218"/>
      <c r="G211" s="41"/>
      <c r="H211" s="41"/>
      <c r="I211" s="41"/>
      <c r="J211" s="166"/>
      <c r="K211" s="41"/>
      <c r="L211" s="41"/>
      <c r="M211" s="41"/>
      <c r="N211" s="166"/>
      <c r="O211" s="166"/>
      <c r="P211" s="41"/>
      <c r="Q211" s="41"/>
      <c r="R211" s="41"/>
      <c r="S211" s="41"/>
      <c r="T211" s="41"/>
      <c r="U211" s="41"/>
      <c r="V211" s="41"/>
      <c r="W211" s="41"/>
      <c r="X211" s="41"/>
      <c r="Y211" s="166"/>
      <c r="Z211" s="166"/>
      <c r="AA211" s="41"/>
      <c r="AB211" s="41"/>
      <c r="AC211" s="41"/>
      <c r="AD211" s="41"/>
      <c r="AE211" s="41"/>
      <c r="AF211" s="41"/>
      <c r="AG211" s="41"/>
      <c r="AH211" s="41"/>
      <c r="AI211" s="41"/>
    </row>
    <row r="212" spans="1:35" ht="15.75" customHeight="1" x14ac:dyDescent="0.2">
      <c r="A212" s="166"/>
      <c r="B212" s="218"/>
      <c r="C212" s="218"/>
      <c r="D212" s="41"/>
      <c r="E212" s="41"/>
      <c r="F212" s="218"/>
      <c r="G212" s="41"/>
      <c r="H212" s="41"/>
      <c r="I212" s="41"/>
      <c r="J212" s="166"/>
      <c r="K212" s="41"/>
      <c r="L212" s="41"/>
      <c r="M212" s="41"/>
      <c r="N212" s="166"/>
      <c r="O212" s="166"/>
      <c r="P212" s="41"/>
      <c r="Q212" s="41"/>
      <c r="R212" s="41"/>
      <c r="S212" s="41"/>
      <c r="T212" s="41"/>
      <c r="U212" s="41"/>
      <c r="V212" s="41"/>
      <c r="W212" s="41"/>
      <c r="X212" s="41"/>
      <c r="Y212" s="166"/>
      <c r="Z212" s="166"/>
      <c r="AA212" s="41"/>
      <c r="AB212" s="41"/>
      <c r="AC212" s="41"/>
      <c r="AD212" s="41"/>
      <c r="AE212" s="41"/>
      <c r="AF212" s="41"/>
      <c r="AG212" s="41"/>
      <c r="AH212" s="41"/>
      <c r="AI212" s="41"/>
    </row>
    <row r="213" spans="1:35" ht="15.75" customHeight="1" x14ac:dyDescent="0.2">
      <c r="A213" s="166"/>
      <c r="B213" s="218"/>
      <c r="C213" s="218"/>
      <c r="D213" s="41"/>
      <c r="E213" s="41"/>
      <c r="F213" s="218"/>
      <c r="G213" s="41"/>
      <c r="H213" s="41"/>
      <c r="I213" s="41"/>
      <c r="J213" s="166"/>
      <c r="K213" s="41"/>
      <c r="L213" s="41"/>
      <c r="M213" s="41"/>
      <c r="N213" s="166"/>
      <c r="O213" s="166"/>
      <c r="P213" s="41"/>
      <c r="Q213" s="41"/>
      <c r="R213" s="41"/>
      <c r="S213" s="41"/>
      <c r="T213" s="41"/>
      <c r="U213" s="41"/>
      <c r="V213" s="41"/>
      <c r="W213" s="41"/>
      <c r="X213" s="41"/>
      <c r="Y213" s="166"/>
      <c r="Z213" s="166"/>
      <c r="AA213" s="41"/>
      <c r="AB213" s="41"/>
      <c r="AC213" s="41"/>
      <c r="AD213" s="41"/>
      <c r="AE213" s="41"/>
      <c r="AF213" s="41"/>
      <c r="AG213" s="41"/>
      <c r="AH213" s="41"/>
      <c r="AI213" s="41"/>
    </row>
    <row r="214" spans="1:35" ht="15.75" customHeight="1" x14ac:dyDescent="0.2">
      <c r="A214" s="166"/>
      <c r="B214" s="218"/>
      <c r="C214" s="218"/>
      <c r="D214" s="41"/>
      <c r="E214" s="41"/>
      <c r="F214" s="218"/>
      <c r="G214" s="41"/>
      <c r="H214" s="41"/>
      <c r="I214" s="41"/>
      <c r="J214" s="166"/>
      <c r="K214" s="41"/>
      <c r="L214" s="41"/>
      <c r="M214" s="41"/>
      <c r="N214" s="166"/>
      <c r="O214" s="166"/>
      <c r="P214" s="41"/>
      <c r="Q214" s="41"/>
      <c r="R214" s="41"/>
      <c r="S214" s="41"/>
      <c r="T214" s="41"/>
      <c r="U214" s="41"/>
      <c r="V214" s="41"/>
      <c r="W214" s="41"/>
      <c r="X214" s="41"/>
      <c r="Y214" s="166"/>
      <c r="Z214" s="166"/>
      <c r="AA214" s="41"/>
      <c r="AB214" s="41"/>
      <c r="AC214" s="41"/>
      <c r="AD214" s="41"/>
      <c r="AE214" s="41"/>
      <c r="AF214" s="41"/>
      <c r="AG214" s="41"/>
      <c r="AH214" s="41"/>
      <c r="AI214" s="41"/>
    </row>
    <row r="215" spans="1:35" ht="15.75" customHeight="1" x14ac:dyDescent="0.2">
      <c r="A215" s="166"/>
      <c r="B215" s="218"/>
      <c r="C215" s="218"/>
      <c r="D215" s="41"/>
      <c r="E215" s="41"/>
      <c r="F215" s="218"/>
      <c r="G215" s="41"/>
      <c r="H215" s="41"/>
      <c r="I215" s="41"/>
      <c r="J215" s="166"/>
      <c r="K215" s="41"/>
      <c r="L215" s="41"/>
      <c r="M215" s="41"/>
      <c r="N215" s="166"/>
      <c r="O215" s="166"/>
      <c r="P215" s="41"/>
      <c r="Q215" s="41"/>
      <c r="R215" s="41"/>
      <c r="S215" s="41"/>
      <c r="T215" s="41"/>
      <c r="U215" s="41"/>
      <c r="V215" s="41"/>
      <c r="W215" s="41"/>
      <c r="X215" s="41"/>
      <c r="Y215" s="166"/>
      <c r="Z215" s="166"/>
      <c r="AA215" s="41"/>
      <c r="AB215" s="41"/>
      <c r="AC215" s="41"/>
      <c r="AD215" s="41"/>
      <c r="AE215" s="41"/>
      <c r="AF215" s="41"/>
      <c r="AG215" s="41"/>
      <c r="AH215" s="41"/>
      <c r="AI215" s="41"/>
    </row>
    <row r="216" spans="1:35" ht="15.75" customHeight="1" x14ac:dyDescent="0.2">
      <c r="A216" s="166"/>
      <c r="B216" s="218"/>
      <c r="C216" s="218"/>
      <c r="D216" s="41"/>
      <c r="E216" s="41"/>
      <c r="F216" s="218"/>
      <c r="G216" s="41"/>
      <c r="H216" s="41"/>
      <c r="I216" s="41"/>
      <c r="J216" s="166"/>
      <c r="K216" s="41"/>
      <c r="L216" s="41"/>
      <c r="M216" s="41"/>
      <c r="N216" s="166"/>
      <c r="O216" s="166"/>
      <c r="P216" s="41"/>
      <c r="Q216" s="41"/>
      <c r="R216" s="41"/>
      <c r="S216" s="41"/>
      <c r="T216" s="41"/>
      <c r="U216" s="41"/>
      <c r="V216" s="41"/>
      <c r="W216" s="41"/>
      <c r="X216" s="41"/>
      <c r="Y216" s="166"/>
      <c r="Z216" s="166"/>
      <c r="AA216" s="41"/>
      <c r="AB216" s="41"/>
      <c r="AC216" s="41"/>
      <c r="AD216" s="41"/>
      <c r="AE216" s="41"/>
      <c r="AF216" s="41"/>
      <c r="AG216" s="41"/>
      <c r="AH216" s="41"/>
      <c r="AI216" s="41"/>
    </row>
    <row r="217" spans="1:35" ht="15.75" customHeight="1" x14ac:dyDescent="0.2">
      <c r="A217" s="166"/>
      <c r="B217" s="218"/>
      <c r="C217" s="218"/>
      <c r="D217" s="41"/>
      <c r="E217" s="41"/>
      <c r="F217" s="218"/>
      <c r="G217" s="41"/>
      <c r="H217" s="41"/>
      <c r="I217" s="41"/>
      <c r="J217" s="166"/>
      <c r="K217" s="41"/>
      <c r="L217" s="41"/>
      <c r="M217" s="41"/>
      <c r="N217" s="166"/>
      <c r="O217" s="166"/>
      <c r="P217" s="41"/>
      <c r="Q217" s="41"/>
      <c r="R217" s="41"/>
      <c r="S217" s="41"/>
      <c r="T217" s="41"/>
      <c r="U217" s="41"/>
      <c r="V217" s="41"/>
      <c r="W217" s="41"/>
      <c r="X217" s="41"/>
      <c r="Y217" s="166"/>
      <c r="Z217" s="166"/>
      <c r="AA217" s="41"/>
      <c r="AB217" s="41"/>
      <c r="AC217" s="41"/>
      <c r="AD217" s="41"/>
      <c r="AE217" s="41"/>
      <c r="AF217" s="41"/>
      <c r="AG217" s="41"/>
      <c r="AH217" s="41"/>
      <c r="AI217" s="41"/>
    </row>
    <row r="218" spans="1:35" ht="15.75" customHeight="1" x14ac:dyDescent="0.2">
      <c r="A218" s="166"/>
      <c r="B218" s="218"/>
      <c r="C218" s="218"/>
      <c r="D218" s="41"/>
      <c r="E218" s="41"/>
      <c r="F218" s="218"/>
      <c r="G218" s="41"/>
      <c r="H218" s="41"/>
      <c r="I218" s="41"/>
      <c r="J218" s="166"/>
      <c r="K218" s="41"/>
      <c r="L218" s="41"/>
      <c r="M218" s="41"/>
      <c r="N218" s="166"/>
      <c r="O218" s="166"/>
      <c r="P218" s="41"/>
      <c r="Q218" s="41"/>
      <c r="R218" s="41"/>
      <c r="S218" s="41"/>
      <c r="T218" s="41"/>
      <c r="U218" s="41"/>
      <c r="V218" s="41"/>
      <c r="W218" s="41"/>
      <c r="X218" s="41"/>
      <c r="Y218" s="166"/>
      <c r="Z218" s="166"/>
      <c r="AA218" s="41"/>
      <c r="AB218" s="41"/>
      <c r="AC218" s="41"/>
      <c r="AD218" s="41"/>
      <c r="AE218" s="41"/>
      <c r="AF218" s="41"/>
      <c r="AG218" s="41"/>
      <c r="AH218" s="41"/>
      <c r="AI218" s="41"/>
    </row>
    <row r="219" spans="1:35" ht="15.75" customHeight="1" x14ac:dyDescent="0.2">
      <c r="A219" s="166"/>
      <c r="B219" s="218"/>
      <c r="C219" s="218"/>
      <c r="D219" s="41"/>
      <c r="E219" s="41"/>
      <c r="F219" s="218"/>
      <c r="G219" s="41"/>
      <c r="H219" s="41"/>
      <c r="I219" s="41"/>
      <c r="J219" s="166"/>
      <c r="K219" s="41"/>
      <c r="L219" s="41"/>
      <c r="M219" s="41"/>
      <c r="N219" s="166"/>
      <c r="O219" s="166"/>
      <c r="P219" s="41"/>
      <c r="Q219" s="41"/>
      <c r="R219" s="41"/>
      <c r="S219" s="41"/>
      <c r="T219" s="41"/>
      <c r="U219" s="41"/>
      <c r="V219" s="41"/>
      <c r="W219" s="41"/>
      <c r="X219" s="41"/>
      <c r="Y219" s="166"/>
      <c r="Z219" s="166"/>
      <c r="AA219" s="41"/>
      <c r="AB219" s="41"/>
      <c r="AC219" s="41"/>
      <c r="AD219" s="41"/>
      <c r="AE219" s="41"/>
      <c r="AF219" s="41"/>
      <c r="AG219" s="41"/>
      <c r="AH219" s="41"/>
      <c r="AI219" s="41"/>
    </row>
    <row r="220" spans="1:35" ht="15.75" customHeight="1" x14ac:dyDescent="0.2">
      <c r="A220" s="166"/>
      <c r="B220" s="218"/>
      <c r="C220" s="218"/>
      <c r="D220" s="41"/>
      <c r="E220" s="41"/>
      <c r="F220" s="218"/>
      <c r="G220" s="41"/>
      <c r="H220" s="41"/>
      <c r="I220" s="41"/>
      <c r="J220" s="166"/>
      <c r="K220" s="41"/>
      <c r="L220" s="41"/>
      <c r="M220" s="41"/>
      <c r="N220" s="166"/>
      <c r="O220" s="166"/>
      <c r="P220" s="41"/>
      <c r="Q220" s="41"/>
      <c r="R220" s="41"/>
      <c r="S220" s="41"/>
      <c r="T220" s="41"/>
      <c r="U220" s="41"/>
      <c r="V220" s="41"/>
      <c r="W220" s="41"/>
      <c r="X220" s="41"/>
      <c r="Y220" s="166"/>
      <c r="Z220" s="166"/>
      <c r="AA220" s="41"/>
      <c r="AB220" s="41"/>
      <c r="AC220" s="41"/>
      <c r="AD220" s="41"/>
      <c r="AE220" s="41"/>
      <c r="AF220" s="41"/>
      <c r="AG220" s="41"/>
      <c r="AH220" s="41"/>
      <c r="AI220" s="41"/>
    </row>
    <row r="221" spans="1:35" ht="15.75" customHeight="1" x14ac:dyDescent="0.2">
      <c r="A221" s="166"/>
      <c r="B221" s="218"/>
      <c r="C221" s="218"/>
      <c r="D221" s="41"/>
      <c r="E221" s="41"/>
      <c r="F221" s="218"/>
      <c r="G221" s="41"/>
      <c r="H221" s="41"/>
      <c r="I221" s="41"/>
      <c r="J221" s="166"/>
      <c r="K221" s="41"/>
      <c r="L221" s="41"/>
      <c r="M221" s="41"/>
      <c r="N221" s="166"/>
      <c r="O221" s="166"/>
      <c r="P221" s="41"/>
      <c r="Q221" s="41"/>
      <c r="R221" s="41"/>
      <c r="S221" s="41"/>
      <c r="T221" s="41"/>
      <c r="U221" s="41"/>
      <c r="V221" s="41"/>
      <c r="W221" s="41"/>
      <c r="X221" s="41"/>
      <c r="Y221" s="166"/>
      <c r="Z221" s="166"/>
      <c r="AA221" s="41"/>
      <c r="AB221" s="41"/>
      <c r="AC221" s="41"/>
      <c r="AD221" s="41"/>
      <c r="AE221" s="41"/>
      <c r="AF221" s="41"/>
      <c r="AG221" s="41"/>
      <c r="AH221" s="41"/>
      <c r="AI221" s="41"/>
    </row>
    <row r="222" spans="1:35" ht="15.75" customHeight="1" x14ac:dyDescent="0.2">
      <c r="A222" s="166"/>
      <c r="B222" s="218"/>
      <c r="C222" s="218"/>
      <c r="D222" s="41"/>
      <c r="E222" s="41"/>
      <c r="F222" s="218"/>
      <c r="G222" s="41"/>
      <c r="H222" s="41"/>
      <c r="I222" s="41"/>
      <c r="J222" s="166"/>
      <c r="K222" s="41"/>
      <c r="L222" s="41"/>
      <c r="M222" s="41"/>
      <c r="N222" s="166"/>
      <c r="O222" s="166"/>
      <c r="P222" s="41"/>
      <c r="Q222" s="41"/>
      <c r="R222" s="41"/>
      <c r="S222" s="41"/>
      <c r="T222" s="41"/>
      <c r="U222" s="41"/>
      <c r="V222" s="41"/>
      <c r="W222" s="41"/>
      <c r="X222" s="41"/>
      <c r="Y222" s="166"/>
      <c r="Z222" s="166"/>
      <c r="AA222" s="41"/>
      <c r="AB222" s="41"/>
      <c r="AC222" s="41"/>
      <c r="AD222" s="41"/>
      <c r="AE222" s="41"/>
      <c r="AF222" s="41"/>
      <c r="AG222" s="41"/>
      <c r="AH222" s="41"/>
      <c r="AI222" s="41"/>
    </row>
    <row r="223" spans="1:35" ht="15.75" customHeight="1" x14ac:dyDescent="0.2">
      <c r="A223" s="166"/>
      <c r="B223" s="218"/>
      <c r="C223" s="218"/>
      <c r="D223" s="41"/>
      <c r="E223" s="41"/>
      <c r="F223" s="218"/>
      <c r="G223" s="41"/>
      <c r="H223" s="41"/>
      <c r="I223" s="41"/>
      <c r="J223" s="166"/>
      <c r="K223" s="41"/>
      <c r="L223" s="41"/>
      <c r="M223" s="41"/>
      <c r="N223" s="166"/>
      <c r="O223" s="166"/>
      <c r="P223" s="41"/>
      <c r="Q223" s="41"/>
      <c r="R223" s="41"/>
      <c r="S223" s="41"/>
      <c r="T223" s="41"/>
      <c r="U223" s="41"/>
      <c r="V223" s="41"/>
      <c r="W223" s="41"/>
      <c r="X223" s="41"/>
      <c r="Y223" s="166"/>
      <c r="Z223" s="166"/>
      <c r="AA223" s="41"/>
      <c r="AB223" s="41"/>
      <c r="AC223" s="41"/>
      <c r="AD223" s="41"/>
      <c r="AE223" s="41"/>
      <c r="AF223" s="41"/>
      <c r="AG223" s="41"/>
      <c r="AH223" s="41"/>
      <c r="AI223" s="41"/>
    </row>
    <row r="224" spans="1:35" ht="15.75" customHeight="1" x14ac:dyDescent="0.2">
      <c r="A224" s="166"/>
      <c r="B224" s="218"/>
      <c r="C224" s="218"/>
      <c r="D224" s="41"/>
      <c r="E224" s="41"/>
      <c r="F224" s="218"/>
      <c r="G224" s="41"/>
      <c r="H224" s="41"/>
      <c r="I224" s="41"/>
      <c r="J224" s="166"/>
      <c r="K224" s="41"/>
      <c r="L224" s="41"/>
      <c r="M224" s="41"/>
      <c r="N224" s="166"/>
      <c r="O224" s="166"/>
      <c r="P224" s="41"/>
      <c r="Q224" s="41"/>
      <c r="R224" s="41"/>
      <c r="S224" s="41"/>
      <c r="T224" s="41"/>
      <c r="U224" s="41"/>
      <c r="V224" s="41"/>
      <c r="W224" s="41"/>
      <c r="X224" s="41"/>
      <c r="Y224" s="166"/>
      <c r="Z224" s="166"/>
      <c r="AA224" s="41"/>
      <c r="AB224" s="41"/>
      <c r="AC224" s="41"/>
      <c r="AD224" s="41"/>
      <c r="AE224" s="41"/>
      <c r="AF224" s="41"/>
      <c r="AG224" s="41"/>
      <c r="AH224" s="41"/>
      <c r="AI224" s="41"/>
    </row>
    <row r="225" spans="1:35" ht="15.75" customHeight="1" x14ac:dyDescent="0.2">
      <c r="A225" s="166"/>
      <c r="B225" s="218"/>
      <c r="C225" s="218"/>
      <c r="D225" s="41"/>
      <c r="E225" s="41"/>
      <c r="F225" s="218"/>
      <c r="G225" s="41"/>
      <c r="H225" s="41"/>
      <c r="I225" s="41"/>
      <c r="J225" s="166"/>
      <c r="K225" s="41"/>
      <c r="L225" s="41"/>
      <c r="M225" s="41"/>
      <c r="N225" s="166"/>
      <c r="O225" s="166"/>
      <c r="P225" s="41"/>
      <c r="Q225" s="41"/>
      <c r="R225" s="41"/>
      <c r="S225" s="41"/>
      <c r="T225" s="41"/>
      <c r="U225" s="41"/>
      <c r="V225" s="41"/>
      <c r="W225" s="41"/>
      <c r="X225" s="41"/>
      <c r="Y225" s="166"/>
      <c r="Z225" s="166"/>
      <c r="AA225" s="41"/>
      <c r="AB225" s="41"/>
      <c r="AC225" s="41"/>
      <c r="AD225" s="41"/>
      <c r="AE225" s="41"/>
      <c r="AF225" s="41"/>
      <c r="AG225" s="41"/>
      <c r="AH225" s="41"/>
      <c r="AI225" s="41"/>
    </row>
    <row r="226" spans="1:35" ht="15.75" customHeight="1" x14ac:dyDescent="0.2">
      <c r="A226" s="166"/>
      <c r="B226" s="218"/>
      <c r="C226" s="218"/>
      <c r="D226" s="41"/>
      <c r="E226" s="41"/>
      <c r="F226" s="218"/>
      <c r="G226" s="41"/>
      <c r="H226" s="41"/>
      <c r="I226" s="41"/>
      <c r="J226" s="166"/>
      <c r="K226" s="41"/>
      <c r="L226" s="41"/>
      <c r="M226" s="41"/>
      <c r="N226" s="166"/>
      <c r="O226" s="166"/>
      <c r="P226" s="41"/>
      <c r="Q226" s="41"/>
      <c r="R226" s="41"/>
      <c r="S226" s="41"/>
      <c r="T226" s="41"/>
      <c r="U226" s="41"/>
      <c r="V226" s="41"/>
      <c r="W226" s="41"/>
      <c r="X226" s="41"/>
      <c r="Y226" s="166"/>
      <c r="Z226" s="166"/>
      <c r="AA226" s="41"/>
      <c r="AB226" s="41"/>
      <c r="AC226" s="41"/>
      <c r="AD226" s="41"/>
      <c r="AE226" s="41"/>
      <c r="AF226" s="41"/>
      <c r="AG226" s="41"/>
      <c r="AH226" s="41"/>
      <c r="AI226" s="41"/>
    </row>
    <row r="227" spans="1:35" ht="15.75" customHeight="1" x14ac:dyDescent="0.2">
      <c r="A227" s="166"/>
      <c r="B227" s="218"/>
      <c r="C227" s="218"/>
      <c r="D227" s="41"/>
      <c r="E227" s="41"/>
      <c r="F227" s="218"/>
      <c r="G227" s="41"/>
      <c r="H227" s="41"/>
      <c r="I227" s="41"/>
      <c r="J227" s="166"/>
      <c r="K227" s="41"/>
      <c r="L227" s="41"/>
      <c r="M227" s="41"/>
      <c r="N227" s="166"/>
      <c r="O227" s="166"/>
      <c r="P227" s="41"/>
      <c r="Q227" s="41"/>
      <c r="R227" s="41"/>
      <c r="S227" s="41"/>
      <c r="T227" s="41"/>
      <c r="U227" s="41"/>
      <c r="V227" s="41"/>
      <c r="W227" s="41"/>
      <c r="X227" s="41"/>
      <c r="Y227" s="166"/>
      <c r="Z227" s="166"/>
      <c r="AA227" s="41"/>
      <c r="AB227" s="41"/>
      <c r="AC227" s="41"/>
      <c r="AD227" s="41"/>
      <c r="AE227" s="41"/>
      <c r="AF227" s="41"/>
      <c r="AG227" s="41"/>
      <c r="AH227" s="41"/>
      <c r="AI227" s="41"/>
    </row>
    <row r="228" spans="1:35" ht="15.75" customHeight="1" x14ac:dyDescent="0.2">
      <c r="A228" s="166"/>
      <c r="B228" s="218"/>
      <c r="C228" s="218"/>
      <c r="D228" s="41"/>
      <c r="E228" s="41"/>
      <c r="F228" s="218"/>
      <c r="G228" s="41"/>
      <c r="H228" s="41"/>
      <c r="I228" s="41"/>
      <c r="J228" s="166"/>
      <c r="K228" s="41"/>
      <c r="L228" s="41"/>
      <c r="M228" s="41"/>
      <c r="N228" s="166"/>
      <c r="O228" s="166"/>
      <c r="P228" s="41"/>
      <c r="Q228" s="41"/>
      <c r="R228" s="41"/>
      <c r="S228" s="41"/>
      <c r="T228" s="41"/>
      <c r="U228" s="41"/>
      <c r="V228" s="41"/>
      <c r="W228" s="41"/>
      <c r="X228" s="41"/>
      <c r="Y228" s="166"/>
      <c r="Z228" s="166"/>
      <c r="AA228" s="41"/>
      <c r="AB228" s="41"/>
      <c r="AC228" s="41"/>
      <c r="AD228" s="41"/>
      <c r="AE228" s="41"/>
      <c r="AF228" s="41"/>
      <c r="AG228" s="41"/>
      <c r="AH228" s="41"/>
      <c r="AI228" s="41"/>
    </row>
    <row r="229" spans="1:35" ht="15.75" customHeight="1" x14ac:dyDescent="0.2">
      <c r="A229" s="166"/>
      <c r="B229" s="218"/>
      <c r="C229" s="218"/>
      <c r="D229" s="41"/>
      <c r="E229" s="41"/>
      <c r="F229" s="218"/>
      <c r="G229" s="41"/>
      <c r="H229" s="41"/>
      <c r="I229" s="41"/>
      <c r="J229" s="166"/>
      <c r="K229" s="41"/>
      <c r="L229" s="41"/>
      <c r="M229" s="41"/>
      <c r="N229" s="166"/>
      <c r="O229" s="166"/>
      <c r="P229" s="41"/>
      <c r="Q229" s="41"/>
      <c r="R229" s="41"/>
      <c r="S229" s="41"/>
      <c r="T229" s="41"/>
      <c r="U229" s="41"/>
      <c r="V229" s="41"/>
      <c r="W229" s="41"/>
      <c r="X229" s="41"/>
      <c r="Y229" s="166"/>
      <c r="Z229" s="166"/>
      <c r="AA229" s="41"/>
      <c r="AB229" s="41"/>
      <c r="AC229" s="41"/>
      <c r="AD229" s="41"/>
      <c r="AE229" s="41"/>
      <c r="AF229" s="41"/>
      <c r="AG229" s="41"/>
      <c r="AH229" s="41"/>
      <c r="AI229" s="41"/>
    </row>
    <row r="230" spans="1:35" ht="15.75" customHeight="1" x14ac:dyDescent="0.2">
      <c r="A230" s="166"/>
      <c r="B230" s="218"/>
      <c r="C230" s="218"/>
      <c r="D230" s="41"/>
      <c r="E230" s="41"/>
      <c r="F230" s="218"/>
      <c r="G230" s="41"/>
      <c r="H230" s="41"/>
      <c r="I230" s="41"/>
      <c r="J230" s="166"/>
      <c r="K230" s="41"/>
      <c r="L230" s="41"/>
      <c r="M230" s="41"/>
      <c r="N230" s="166"/>
      <c r="O230" s="166"/>
      <c r="P230" s="41"/>
      <c r="Q230" s="41"/>
      <c r="R230" s="41"/>
      <c r="S230" s="41"/>
      <c r="T230" s="41"/>
      <c r="U230" s="41"/>
      <c r="V230" s="41"/>
      <c r="W230" s="41"/>
      <c r="X230" s="41"/>
      <c r="Y230" s="166"/>
      <c r="Z230" s="166"/>
      <c r="AA230" s="41"/>
      <c r="AB230" s="41"/>
      <c r="AC230" s="41"/>
      <c r="AD230" s="41"/>
      <c r="AE230" s="41"/>
      <c r="AF230" s="41"/>
      <c r="AG230" s="41"/>
      <c r="AH230" s="41"/>
      <c r="AI230" s="41"/>
    </row>
    <row r="231" spans="1:35" ht="15.75" customHeight="1" x14ac:dyDescent="0.2">
      <c r="A231" s="166"/>
      <c r="B231" s="218"/>
      <c r="C231" s="218"/>
      <c r="D231" s="41"/>
      <c r="E231" s="41"/>
      <c r="F231" s="218"/>
      <c r="G231" s="41"/>
      <c r="H231" s="41"/>
      <c r="I231" s="41"/>
      <c r="J231" s="166"/>
      <c r="K231" s="41"/>
      <c r="L231" s="41"/>
      <c r="M231" s="41"/>
      <c r="N231" s="166"/>
      <c r="O231" s="166"/>
      <c r="P231" s="41"/>
      <c r="Q231" s="41"/>
      <c r="R231" s="41"/>
      <c r="S231" s="41"/>
      <c r="T231" s="41"/>
      <c r="U231" s="41"/>
      <c r="V231" s="41"/>
      <c r="W231" s="41"/>
      <c r="X231" s="41"/>
      <c r="Y231" s="166"/>
      <c r="Z231" s="166"/>
      <c r="AA231" s="41"/>
      <c r="AB231" s="41"/>
      <c r="AC231" s="41"/>
      <c r="AD231" s="41"/>
      <c r="AE231" s="41"/>
      <c r="AF231" s="41"/>
      <c r="AG231" s="41"/>
      <c r="AH231" s="41"/>
      <c r="AI231" s="41"/>
    </row>
    <row r="232" spans="1:35" ht="15.75" customHeight="1" x14ac:dyDescent="0.2">
      <c r="A232" s="166"/>
      <c r="B232" s="218"/>
      <c r="C232" s="218"/>
      <c r="D232" s="41"/>
      <c r="E232" s="41"/>
      <c r="F232" s="218"/>
      <c r="G232" s="41"/>
      <c r="H232" s="41"/>
      <c r="I232" s="41"/>
      <c r="J232" s="166"/>
      <c r="K232" s="41"/>
      <c r="L232" s="41"/>
      <c r="M232" s="41"/>
      <c r="N232" s="166"/>
      <c r="O232" s="166"/>
      <c r="P232" s="41"/>
      <c r="Q232" s="41"/>
      <c r="R232" s="41"/>
      <c r="S232" s="41"/>
      <c r="T232" s="41"/>
      <c r="U232" s="41"/>
      <c r="V232" s="41"/>
      <c r="W232" s="41"/>
      <c r="X232" s="41"/>
      <c r="Y232" s="166"/>
      <c r="Z232" s="166"/>
      <c r="AA232" s="41"/>
      <c r="AB232" s="41"/>
      <c r="AC232" s="41"/>
      <c r="AD232" s="41"/>
      <c r="AE232" s="41"/>
      <c r="AF232" s="41"/>
      <c r="AG232" s="41"/>
      <c r="AH232" s="41"/>
      <c r="AI232" s="41"/>
    </row>
    <row r="233" spans="1:35" ht="15.75" customHeight="1" x14ac:dyDescent="0.2">
      <c r="F233" s="220"/>
    </row>
    <row r="234" spans="1:35" ht="15.75" customHeight="1" x14ac:dyDescent="0.2">
      <c r="F234" s="220"/>
    </row>
    <row r="235" spans="1:35" ht="15.75" customHeight="1" x14ac:dyDescent="0.2">
      <c r="F235" s="220"/>
    </row>
    <row r="236" spans="1:35" ht="15.75" customHeight="1" x14ac:dyDescent="0.2">
      <c r="F236" s="220"/>
    </row>
    <row r="237" spans="1:35" ht="15.75" customHeight="1" x14ac:dyDescent="0.2">
      <c r="F237" s="220"/>
    </row>
    <row r="238" spans="1:35" ht="15.75" customHeight="1" x14ac:dyDescent="0.2">
      <c r="F238" s="220"/>
    </row>
    <row r="239" spans="1:35" ht="15.75" customHeight="1" x14ac:dyDescent="0.2">
      <c r="F239" s="220"/>
    </row>
    <row r="240" spans="1:35" ht="15.75" customHeight="1" x14ac:dyDescent="0.2">
      <c r="F240" s="220"/>
    </row>
    <row r="241" spans="6:6" ht="15.75" customHeight="1" x14ac:dyDescent="0.2">
      <c r="F241" s="220"/>
    </row>
    <row r="242" spans="6:6" ht="15.75" customHeight="1" x14ac:dyDescent="0.2">
      <c r="F242" s="220"/>
    </row>
    <row r="243" spans="6:6" ht="15.75" customHeight="1" x14ac:dyDescent="0.2">
      <c r="F243" s="220"/>
    </row>
    <row r="244" spans="6:6" ht="15.75" customHeight="1" x14ac:dyDescent="0.2">
      <c r="F244" s="220"/>
    </row>
    <row r="245" spans="6:6" ht="15.75" customHeight="1" x14ac:dyDescent="0.2">
      <c r="F245" s="220"/>
    </row>
    <row r="246" spans="6:6" ht="15.75" customHeight="1" x14ac:dyDescent="0.2">
      <c r="F246" s="220"/>
    </row>
    <row r="247" spans="6:6" ht="15.75" customHeight="1" x14ac:dyDescent="0.2">
      <c r="F247" s="220"/>
    </row>
    <row r="248" spans="6:6" ht="15.75" customHeight="1" x14ac:dyDescent="0.2">
      <c r="F248" s="220"/>
    </row>
    <row r="249" spans="6:6" ht="15.75" customHeight="1" x14ac:dyDescent="0.2">
      <c r="F249" s="220"/>
    </row>
    <row r="250" spans="6:6" ht="15.75" customHeight="1" x14ac:dyDescent="0.2">
      <c r="F250" s="220"/>
    </row>
    <row r="251" spans="6:6" ht="15.75" customHeight="1" x14ac:dyDescent="0.2">
      <c r="F251" s="220"/>
    </row>
    <row r="252" spans="6:6" ht="15.75" customHeight="1" x14ac:dyDescent="0.2">
      <c r="F252" s="220"/>
    </row>
    <row r="253" spans="6:6" ht="15.75" customHeight="1" x14ac:dyDescent="0.2">
      <c r="F253" s="220"/>
    </row>
    <row r="254" spans="6:6" ht="15.75" customHeight="1" x14ac:dyDescent="0.2">
      <c r="F254" s="220"/>
    </row>
    <row r="255" spans="6:6" ht="15.75" customHeight="1" x14ac:dyDescent="0.2">
      <c r="F255" s="220"/>
    </row>
    <row r="256" spans="6:6" ht="15.75" customHeight="1" x14ac:dyDescent="0.2">
      <c r="F256" s="220"/>
    </row>
    <row r="257" spans="6:6" ht="15.75" customHeight="1" x14ac:dyDescent="0.2">
      <c r="F257" s="220"/>
    </row>
    <row r="258" spans="6:6" ht="15.75" customHeight="1" x14ac:dyDescent="0.2">
      <c r="F258" s="220"/>
    </row>
    <row r="259" spans="6:6" ht="15.75" customHeight="1" x14ac:dyDescent="0.2">
      <c r="F259" s="220"/>
    </row>
    <row r="260" spans="6:6" ht="15.75" customHeight="1" x14ac:dyDescent="0.2">
      <c r="F260" s="220"/>
    </row>
    <row r="261" spans="6:6" ht="15.75" customHeight="1" x14ac:dyDescent="0.2">
      <c r="F261" s="220"/>
    </row>
    <row r="262" spans="6:6" ht="15.75" customHeight="1" x14ac:dyDescent="0.2">
      <c r="F262" s="220"/>
    </row>
    <row r="263" spans="6:6" ht="15.75" customHeight="1" x14ac:dyDescent="0.2">
      <c r="F263" s="220"/>
    </row>
    <row r="264" spans="6:6" ht="15.75" customHeight="1" x14ac:dyDescent="0.2">
      <c r="F264" s="220"/>
    </row>
    <row r="265" spans="6:6" ht="15.75" customHeight="1" x14ac:dyDescent="0.2">
      <c r="F265" s="220"/>
    </row>
    <row r="266" spans="6:6" ht="15.75" customHeight="1" x14ac:dyDescent="0.2">
      <c r="F266" s="220"/>
    </row>
    <row r="267" spans="6:6" ht="15.75" customHeight="1" x14ac:dyDescent="0.2">
      <c r="F267" s="220"/>
    </row>
    <row r="268" spans="6:6" ht="15.75" customHeight="1" x14ac:dyDescent="0.2">
      <c r="F268" s="220"/>
    </row>
    <row r="269" spans="6:6" ht="15.75" customHeight="1" x14ac:dyDescent="0.2">
      <c r="F269" s="220"/>
    </row>
    <row r="270" spans="6:6" ht="15.75" customHeight="1" x14ac:dyDescent="0.2">
      <c r="F270" s="220"/>
    </row>
    <row r="271" spans="6:6" ht="15.75" customHeight="1" x14ac:dyDescent="0.2">
      <c r="F271" s="220"/>
    </row>
    <row r="272" spans="6:6" ht="15.75" customHeight="1" x14ac:dyDescent="0.2">
      <c r="F272" s="220"/>
    </row>
    <row r="273" spans="6:6" ht="15.75" customHeight="1" x14ac:dyDescent="0.2">
      <c r="F273" s="220"/>
    </row>
    <row r="274" spans="6:6" ht="15.75" customHeight="1" x14ac:dyDescent="0.2">
      <c r="F274" s="220"/>
    </row>
    <row r="275" spans="6:6" ht="15.75" customHeight="1" x14ac:dyDescent="0.2">
      <c r="F275" s="220"/>
    </row>
    <row r="276" spans="6:6" ht="15.75" customHeight="1" x14ac:dyDescent="0.2">
      <c r="F276" s="220"/>
    </row>
    <row r="277" spans="6:6" ht="15.75" customHeight="1" x14ac:dyDescent="0.2">
      <c r="F277" s="220"/>
    </row>
    <row r="278" spans="6:6" ht="15.75" customHeight="1" x14ac:dyDescent="0.2">
      <c r="F278" s="220"/>
    </row>
    <row r="279" spans="6:6" ht="15.75" customHeight="1" x14ac:dyDescent="0.2">
      <c r="F279" s="220"/>
    </row>
    <row r="280" spans="6:6" ht="15.75" customHeight="1" x14ac:dyDescent="0.2">
      <c r="F280" s="220"/>
    </row>
    <row r="281" spans="6:6" ht="15.75" customHeight="1" x14ac:dyDescent="0.2">
      <c r="F281" s="220"/>
    </row>
    <row r="282" spans="6:6" ht="15.75" customHeight="1" x14ac:dyDescent="0.2">
      <c r="F282" s="220"/>
    </row>
    <row r="283" spans="6:6" ht="15.75" customHeight="1" x14ac:dyDescent="0.2">
      <c r="F283" s="220"/>
    </row>
    <row r="284" spans="6:6" ht="15.75" customHeight="1" x14ac:dyDescent="0.2">
      <c r="F284" s="220"/>
    </row>
    <row r="285" spans="6:6" ht="15.75" customHeight="1" x14ac:dyDescent="0.2">
      <c r="F285" s="220"/>
    </row>
    <row r="286" spans="6:6" ht="15.75" customHeight="1" x14ac:dyDescent="0.2">
      <c r="F286" s="220"/>
    </row>
    <row r="287" spans="6:6" ht="15.75" customHeight="1" x14ac:dyDescent="0.2">
      <c r="F287" s="220"/>
    </row>
    <row r="288" spans="6:6" ht="15.75" customHeight="1" x14ac:dyDescent="0.2">
      <c r="F288" s="220"/>
    </row>
    <row r="289" spans="6:6" ht="15.75" customHeight="1" x14ac:dyDescent="0.2">
      <c r="F289" s="220"/>
    </row>
    <row r="290" spans="6:6" ht="15.75" customHeight="1" x14ac:dyDescent="0.2">
      <c r="F290" s="220"/>
    </row>
    <row r="291" spans="6:6" ht="15.75" customHeight="1" x14ac:dyDescent="0.2">
      <c r="F291" s="220"/>
    </row>
    <row r="292" spans="6:6" ht="15.75" customHeight="1" x14ac:dyDescent="0.2">
      <c r="F292" s="220"/>
    </row>
    <row r="293" spans="6:6" ht="15.75" customHeight="1" x14ac:dyDescent="0.2">
      <c r="F293" s="220"/>
    </row>
    <row r="294" spans="6:6" ht="15.75" customHeight="1" x14ac:dyDescent="0.2">
      <c r="F294" s="220"/>
    </row>
    <row r="295" spans="6:6" ht="15.75" customHeight="1" x14ac:dyDescent="0.2">
      <c r="F295" s="220"/>
    </row>
    <row r="296" spans="6:6" ht="15.75" customHeight="1" x14ac:dyDescent="0.2">
      <c r="F296" s="220"/>
    </row>
    <row r="297" spans="6:6" ht="15.75" customHeight="1" x14ac:dyDescent="0.2">
      <c r="F297" s="220"/>
    </row>
    <row r="298" spans="6:6" ht="15.75" customHeight="1" x14ac:dyDescent="0.2">
      <c r="F298" s="220"/>
    </row>
    <row r="299" spans="6:6" ht="15.75" customHeight="1" x14ac:dyDescent="0.2">
      <c r="F299" s="220"/>
    </row>
    <row r="300" spans="6:6" ht="15.75" customHeight="1" x14ac:dyDescent="0.2">
      <c r="F300" s="220"/>
    </row>
    <row r="301" spans="6:6" ht="15.75" customHeight="1" x14ac:dyDescent="0.2">
      <c r="F301" s="220"/>
    </row>
    <row r="302" spans="6:6" ht="15.75" customHeight="1" x14ac:dyDescent="0.2">
      <c r="F302" s="220"/>
    </row>
    <row r="303" spans="6:6" ht="15.75" customHeight="1" x14ac:dyDescent="0.2">
      <c r="F303" s="220"/>
    </row>
    <row r="304" spans="6:6" ht="15.75" customHeight="1" x14ac:dyDescent="0.2">
      <c r="F304" s="220"/>
    </row>
    <row r="305" spans="6:6" ht="15.75" customHeight="1" x14ac:dyDescent="0.2">
      <c r="F305" s="220"/>
    </row>
    <row r="306" spans="6:6" ht="15.75" customHeight="1" x14ac:dyDescent="0.2">
      <c r="F306" s="220"/>
    </row>
    <row r="307" spans="6:6" ht="15.75" customHeight="1" x14ac:dyDescent="0.2">
      <c r="F307" s="220"/>
    </row>
    <row r="308" spans="6:6" ht="15.75" customHeight="1" x14ac:dyDescent="0.2">
      <c r="F308" s="220"/>
    </row>
    <row r="309" spans="6:6" ht="15.75" customHeight="1" x14ac:dyDescent="0.2">
      <c r="F309" s="220"/>
    </row>
    <row r="310" spans="6:6" ht="15.75" customHeight="1" x14ac:dyDescent="0.2">
      <c r="F310" s="220"/>
    </row>
    <row r="311" spans="6:6" ht="15.75" customHeight="1" x14ac:dyDescent="0.2">
      <c r="F311" s="220"/>
    </row>
    <row r="312" spans="6:6" ht="15.75" customHeight="1" x14ac:dyDescent="0.2">
      <c r="F312" s="220"/>
    </row>
    <row r="313" spans="6:6" ht="15.75" customHeight="1" x14ac:dyDescent="0.2">
      <c r="F313" s="220"/>
    </row>
    <row r="314" spans="6:6" ht="15.75" customHeight="1" x14ac:dyDescent="0.2">
      <c r="F314" s="220"/>
    </row>
    <row r="315" spans="6:6" ht="15.75" customHeight="1" x14ac:dyDescent="0.2">
      <c r="F315" s="220"/>
    </row>
    <row r="316" spans="6:6" ht="15.75" customHeight="1" x14ac:dyDescent="0.2">
      <c r="F316" s="220"/>
    </row>
    <row r="317" spans="6:6" ht="15.75" customHeight="1" x14ac:dyDescent="0.2">
      <c r="F317" s="220"/>
    </row>
    <row r="318" spans="6:6" ht="15.75" customHeight="1" x14ac:dyDescent="0.2">
      <c r="F318" s="220"/>
    </row>
    <row r="319" spans="6:6" ht="15.75" customHeight="1" x14ac:dyDescent="0.2">
      <c r="F319" s="220"/>
    </row>
    <row r="320" spans="6:6" ht="15.75" customHeight="1" x14ac:dyDescent="0.2">
      <c r="F320" s="220"/>
    </row>
    <row r="321" spans="6:6" ht="15.75" customHeight="1" x14ac:dyDescent="0.2">
      <c r="F321" s="220"/>
    </row>
    <row r="322" spans="6:6" ht="15.75" customHeight="1" x14ac:dyDescent="0.2">
      <c r="F322" s="220"/>
    </row>
    <row r="323" spans="6:6" ht="15.75" customHeight="1" x14ac:dyDescent="0.2">
      <c r="F323" s="220"/>
    </row>
    <row r="324" spans="6:6" ht="15.75" customHeight="1" x14ac:dyDescent="0.2">
      <c r="F324" s="220"/>
    </row>
    <row r="325" spans="6:6" ht="15.75" customHeight="1" x14ac:dyDescent="0.2">
      <c r="F325" s="220"/>
    </row>
    <row r="326" spans="6:6" ht="15.75" customHeight="1" x14ac:dyDescent="0.2">
      <c r="F326" s="220"/>
    </row>
    <row r="327" spans="6:6" ht="15.75" customHeight="1" x14ac:dyDescent="0.2">
      <c r="F327" s="220"/>
    </row>
    <row r="328" spans="6:6" ht="15.75" customHeight="1" x14ac:dyDescent="0.2">
      <c r="F328" s="220"/>
    </row>
    <row r="329" spans="6:6" ht="15.75" customHeight="1" x14ac:dyDescent="0.2">
      <c r="F329" s="220"/>
    </row>
    <row r="330" spans="6:6" ht="15.75" customHeight="1" x14ac:dyDescent="0.2">
      <c r="F330" s="220"/>
    </row>
    <row r="331" spans="6:6" ht="15.75" customHeight="1" x14ac:dyDescent="0.2">
      <c r="F331" s="220"/>
    </row>
    <row r="332" spans="6:6" ht="15.75" customHeight="1" x14ac:dyDescent="0.2">
      <c r="F332" s="220"/>
    </row>
    <row r="333" spans="6:6" ht="15.75" customHeight="1" x14ac:dyDescent="0.2">
      <c r="F333" s="220"/>
    </row>
    <row r="334" spans="6:6" ht="15.75" customHeight="1" x14ac:dyDescent="0.2">
      <c r="F334" s="220"/>
    </row>
    <row r="335" spans="6:6" ht="15.75" customHeight="1" x14ac:dyDescent="0.2">
      <c r="F335" s="220"/>
    </row>
    <row r="336" spans="6:6" ht="15.75" customHeight="1" x14ac:dyDescent="0.2">
      <c r="F336" s="220"/>
    </row>
    <row r="337" spans="6:6" ht="15.75" customHeight="1" x14ac:dyDescent="0.2">
      <c r="F337" s="220"/>
    </row>
    <row r="338" spans="6:6" ht="15.75" customHeight="1" x14ac:dyDescent="0.2">
      <c r="F338" s="220"/>
    </row>
    <row r="339" spans="6:6" ht="15.75" customHeight="1" x14ac:dyDescent="0.2">
      <c r="F339" s="220"/>
    </row>
    <row r="340" spans="6:6" ht="15.75" customHeight="1" x14ac:dyDescent="0.2">
      <c r="F340" s="220"/>
    </row>
    <row r="341" spans="6:6" ht="15.75" customHeight="1" x14ac:dyDescent="0.2">
      <c r="F341" s="220"/>
    </row>
    <row r="342" spans="6:6" ht="15.75" customHeight="1" x14ac:dyDescent="0.2">
      <c r="F342" s="220"/>
    </row>
    <row r="343" spans="6:6" ht="15.75" customHeight="1" x14ac:dyDescent="0.2">
      <c r="F343" s="220"/>
    </row>
    <row r="344" spans="6:6" ht="15.75" customHeight="1" x14ac:dyDescent="0.2">
      <c r="F344" s="220"/>
    </row>
    <row r="345" spans="6:6" ht="15.75" customHeight="1" x14ac:dyDescent="0.2">
      <c r="F345" s="220"/>
    </row>
    <row r="346" spans="6:6" ht="15.75" customHeight="1" x14ac:dyDescent="0.2">
      <c r="F346" s="220"/>
    </row>
    <row r="347" spans="6:6" ht="15.75" customHeight="1" x14ac:dyDescent="0.2">
      <c r="F347" s="220"/>
    </row>
    <row r="348" spans="6:6" ht="15.75" customHeight="1" x14ac:dyDescent="0.2">
      <c r="F348" s="220"/>
    </row>
    <row r="349" spans="6:6" ht="15.75" customHeight="1" x14ac:dyDescent="0.2">
      <c r="F349" s="220"/>
    </row>
    <row r="350" spans="6:6" ht="15.75" customHeight="1" x14ac:dyDescent="0.2">
      <c r="F350" s="220"/>
    </row>
    <row r="351" spans="6:6" ht="15.75" customHeight="1" x14ac:dyDescent="0.2">
      <c r="F351" s="220"/>
    </row>
    <row r="352" spans="6:6" ht="15.75" customHeight="1" x14ac:dyDescent="0.2">
      <c r="F352" s="220"/>
    </row>
    <row r="353" spans="6:6" ht="15.75" customHeight="1" x14ac:dyDescent="0.2">
      <c r="F353" s="220"/>
    </row>
    <row r="354" spans="6:6" ht="15.75" customHeight="1" x14ac:dyDescent="0.2">
      <c r="F354" s="220"/>
    </row>
    <row r="355" spans="6:6" ht="15.75" customHeight="1" x14ac:dyDescent="0.2">
      <c r="F355" s="220"/>
    </row>
    <row r="356" spans="6:6" ht="15.75" customHeight="1" x14ac:dyDescent="0.2">
      <c r="F356" s="220"/>
    </row>
    <row r="357" spans="6:6" ht="15.75" customHeight="1" x14ac:dyDescent="0.2">
      <c r="F357" s="220"/>
    </row>
    <row r="358" spans="6:6" ht="15.75" customHeight="1" x14ac:dyDescent="0.2">
      <c r="F358" s="220"/>
    </row>
    <row r="359" spans="6:6" ht="15.75" customHeight="1" x14ac:dyDescent="0.2">
      <c r="F359" s="220"/>
    </row>
    <row r="360" spans="6:6" ht="15.75" customHeight="1" x14ac:dyDescent="0.2">
      <c r="F360" s="220"/>
    </row>
    <row r="361" spans="6:6" ht="15.75" customHeight="1" x14ac:dyDescent="0.2">
      <c r="F361" s="220"/>
    </row>
    <row r="362" spans="6:6" ht="15.75" customHeight="1" x14ac:dyDescent="0.2">
      <c r="F362" s="220"/>
    </row>
    <row r="363" spans="6:6" ht="15.75" customHeight="1" x14ac:dyDescent="0.2">
      <c r="F363" s="220"/>
    </row>
    <row r="364" spans="6:6" ht="15.75" customHeight="1" x14ac:dyDescent="0.2">
      <c r="F364" s="220"/>
    </row>
    <row r="365" spans="6:6" ht="15.75" customHeight="1" x14ac:dyDescent="0.2">
      <c r="F365" s="220"/>
    </row>
    <row r="366" spans="6:6" ht="15.75" customHeight="1" x14ac:dyDescent="0.2">
      <c r="F366" s="220"/>
    </row>
    <row r="367" spans="6:6" ht="15.75" customHeight="1" x14ac:dyDescent="0.2">
      <c r="F367" s="220"/>
    </row>
    <row r="368" spans="6:6" ht="15.75" customHeight="1" x14ac:dyDescent="0.2">
      <c r="F368" s="220"/>
    </row>
    <row r="369" spans="6:6" ht="15.75" customHeight="1" x14ac:dyDescent="0.2">
      <c r="F369" s="220"/>
    </row>
    <row r="370" spans="6:6" ht="15.75" customHeight="1" x14ac:dyDescent="0.2">
      <c r="F370" s="220"/>
    </row>
    <row r="371" spans="6:6" ht="15.75" customHeight="1" x14ac:dyDescent="0.2">
      <c r="F371" s="220"/>
    </row>
    <row r="372" spans="6:6" ht="15.75" customHeight="1" x14ac:dyDescent="0.2">
      <c r="F372" s="220"/>
    </row>
    <row r="373" spans="6:6" ht="15.75" customHeight="1" x14ac:dyDescent="0.2">
      <c r="F373" s="220"/>
    </row>
    <row r="374" spans="6:6" ht="15.75" customHeight="1" x14ac:dyDescent="0.2">
      <c r="F374" s="220"/>
    </row>
    <row r="375" spans="6:6" ht="15.75" customHeight="1" x14ac:dyDescent="0.2">
      <c r="F375" s="220"/>
    </row>
    <row r="376" spans="6:6" ht="15.75" customHeight="1" x14ac:dyDescent="0.2">
      <c r="F376" s="220"/>
    </row>
    <row r="377" spans="6:6" ht="15.75" customHeight="1" x14ac:dyDescent="0.2">
      <c r="F377" s="220"/>
    </row>
    <row r="378" spans="6:6" ht="15.75" customHeight="1" x14ac:dyDescent="0.2">
      <c r="F378" s="220"/>
    </row>
    <row r="379" spans="6:6" ht="15.75" customHeight="1" x14ac:dyDescent="0.2">
      <c r="F379" s="220"/>
    </row>
    <row r="380" spans="6:6" ht="15.75" customHeight="1" x14ac:dyDescent="0.2">
      <c r="F380" s="220"/>
    </row>
    <row r="381" spans="6:6" ht="15.75" customHeight="1" x14ac:dyDescent="0.2">
      <c r="F381" s="220"/>
    </row>
    <row r="382" spans="6:6" ht="15.75" customHeight="1" x14ac:dyDescent="0.2">
      <c r="F382" s="220"/>
    </row>
    <row r="383" spans="6:6" ht="15.75" customHeight="1" x14ac:dyDescent="0.2">
      <c r="F383" s="220"/>
    </row>
    <row r="384" spans="6:6" ht="15.75" customHeight="1" x14ac:dyDescent="0.2">
      <c r="F384" s="220"/>
    </row>
    <row r="385" spans="6:6" ht="15.75" customHeight="1" x14ac:dyDescent="0.2">
      <c r="F385" s="220"/>
    </row>
    <row r="386" spans="6:6" ht="15.75" customHeight="1" x14ac:dyDescent="0.2">
      <c r="F386" s="220"/>
    </row>
    <row r="387" spans="6:6" ht="15.75" customHeight="1" x14ac:dyDescent="0.2">
      <c r="F387" s="220"/>
    </row>
    <row r="388" spans="6:6" ht="15.75" customHeight="1" x14ac:dyDescent="0.2">
      <c r="F388" s="220"/>
    </row>
    <row r="389" spans="6:6" ht="15.75" customHeight="1" x14ac:dyDescent="0.2">
      <c r="F389" s="220"/>
    </row>
    <row r="390" spans="6:6" ht="15.75" customHeight="1" x14ac:dyDescent="0.2">
      <c r="F390" s="220"/>
    </row>
    <row r="391" spans="6:6" ht="15.75" customHeight="1" x14ac:dyDescent="0.2">
      <c r="F391" s="220"/>
    </row>
    <row r="392" spans="6:6" ht="15.75" customHeight="1" x14ac:dyDescent="0.2">
      <c r="F392" s="220"/>
    </row>
    <row r="393" spans="6:6" ht="15.75" customHeight="1" x14ac:dyDescent="0.2">
      <c r="F393" s="220"/>
    </row>
    <row r="394" spans="6:6" ht="15.75" customHeight="1" x14ac:dyDescent="0.2">
      <c r="F394" s="220"/>
    </row>
    <row r="395" spans="6:6" ht="15.75" customHeight="1" x14ac:dyDescent="0.2">
      <c r="F395" s="220"/>
    </row>
    <row r="396" spans="6:6" ht="15.75" customHeight="1" x14ac:dyDescent="0.2">
      <c r="F396" s="220"/>
    </row>
    <row r="397" spans="6:6" ht="15.75" customHeight="1" x14ac:dyDescent="0.2">
      <c r="F397" s="220"/>
    </row>
    <row r="398" spans="6:6" ht="15.75" customHeight="1" x14ac:dyDescent="0.2">
      <c r="F398" s="220"/>
    </row>
    <row r="399" spans="6:6" ht="15.75" customHeight="1" x14ac:dyDescent="0.2">
      <c r="F399" s="220"/>
    </row>
    <row r="400" spans="6:6" ht="15.75" customHeight="1" x14ac:dyDescent="0.2">
      <c r="F400" s="220"/>
    </row>
    <row r="401" spans="6:6" ht="15.75" customHeight="1" x14ac:dyDescent="0.2">
      <c r="F401" s="220"/>
    </row>
    <row r="402" spans="6:6" ht="15.75" customHeight="1" x14ac:dyDescent="0.2">
      <c r="F402" s="220"/>
    </row>
    <row r="403" spans="6:6" ht="15.75" customHeight="1" x14ac:dyDescent="0.2">
      <c r="F403" s="220"/>
    </row>
    <row r="404" spans="6:6" ht="15.75" customHeight="1" x14ac:dyDescent="0.2">
      <c r="F404" s="220"/>
    </row>
    <row r="405" spans="6:6" ht="15.75" customHeight="1" x14ac:dyDescent="0.2">
      <c r="F405" s="220"/>
    </row>
    <row r="406" spans="6:6" ht="15.75" customHeight="1" x14ac:dyDescent="0.2">
      <c r="F406" s="220"/>
    </row>
    <row r="407" spans="6:6" ht="15.75" customHeight="1" x14ac:dyDescent="0.2">
      <c r="F407" s="220"/>
    </row>
    <row r="408" spans="6:6" ht="15.75" customHeight="1" x14ac:dyDescent="0.2">
      <c r="F408" s="220"/>
    </row>
    <row r="409" spans="6:6" ht="15.75" customHeight="1" x14ac:dyDescent="0.2">
      <c r="F409" s="220"/>
    </row>
    <row r="410" spans="6:6" ht="15.75" customHeight="1" x14ac:dyDescent="0.2">
      <c r="F410" s="220"/>
    </row>
    <row r="411" spans="6:6" ht="15.75" customHeight="1" x14ac:dyDescent="0.2">
      <c r="F411" s="220"/>
    </row>
    <row r="412" spans="6:6" ht="15.75" customHeight="1" x14ac:dyDescent="0.2">
      <c r="F412" s="220"/>
    </row>
    <row r="413" spans="6:6" ht="15.75" customHeight="1" x14ac:dyDescent="0.2">
      <c r="F413" s="220"/>
    </row>
    <row r="414" spans="6:6" ht="15.75" customHeight="1" x14ac:dyDescent="0.2">
      <c r="F414" s="220"/>
    </row>
    <row r="415" spans="6:6" ht="15.75" customHeight="1" x14ac:dyDescent="0.2">
      <c r="F415" s="220"/>
    </row>
    <row r="416" spans="6:6" ht="15.75" customHeight="1" x14ac:dyDescent="0.2">
      <c r="F416" s="220"/>
    </row>
    <row r="417" spans="6:6" ht="15.75" customHeight="1" x14ac:dyDescent="0.2">
      <c r="F417" s="220"/>
    </row>
    <row r="418" spans="6:6" ht="15.75" customHeight="1" x14ac:dyDescent="0.2">
      <c r="F418" s="220"/>
    </row>
    <row r="419" spans="6:6" ht="15.75" customHeight="1" x14ac:dyDescent="0.2">
      <c r="F419" s="220"/>
    </row>
    <row r="420" spans="6:6" ht="15.75" customHeight="1" x14ac:dyDescent="0.2">
      <c r="F420" s="220"/>
    </row>
    <row r="421" spans="6:6" ht="15.75" customHeight="1" x14ac:dyDescent="0.2">
      <c r="F421" s="220"/>
    </row>
    <row r="422" spans="6:6" ht="15.75" customHeight="1" x14ac:dyDescent="0.2">
      <c r="F422" s="220"/>
    </row>
    <row r="423" spans="6:6" ht="15.75" customHeight="1" x14ac:dyDescent="0.2">
      <c r="F423" s="220"/>
    </row>
    <row r="424" spans="6:6" ht="15.75" customHeight="1" x14ac:dyDescent="0.2">
      <c r="F424" s="220"/>
    </row>
    <row r="425" spans="6:6" ht="15.75" customHeight="1" x14ac:dyDescent="0.2">
      <c r="F425" s="220"/>
    </row>
    <row r="426" spans="6:6" ht="15.75" customHeight="1" x14ac:dyDescent="0.2">
      <c r="F426" s="220"/>
    </row>
    <row r="427" spans="6:6" ht="15.75" customHeight="1" x14ac:dyDescent="0.2">
      <c r="F427" s="220"/>
    </row>
    <row r="428" spans="6:6" ht="15.75" customHeight="1" x14ac:dyDescent="0.2">
      <c r="F428" s="220"/>
    </row>
    <row r="429" spans="6:6" ht="15.75" customHeight="1" x14ac:dyDescent="0.2">
      <c r="F429" s="220"/>
    </row>
    <row r="430" spans="6:6" ht="15.75" customHeight="1" x14ac:dyDescent="0.2">
      <c r="F430" s="220"/>
    </row>
    <row r="431" spans="6:6" ht="15.75" customHeight="1" x14ac:dyDescent="0.2">
      <c r="F431" s="220"/>
    </row>
    <row r="432" spans="6:6" ht="15.75" customHeight="1" x14ac:dyDescent="0.2">
      <c r="F432" s="220"/>
    </row>
    <row r="433" spans="6:6" ht="15.75" customHeight="1" x14ac:dyDescent="0.2">
      <c r="F433" s="220"/>
    </row>
    <row r="434" spans="6:6" ht="15.75" customHeight="1" x14ac:dyDescent="0.2">
      <c r="F434" s="220"/>
    </row>
    <row r="435" spans="6:6" ht="15.75" customHeight="1" x14ac:dyDescent="0.2">
      <c r="F435" s="220"/>
    </row>
    <row r="436" spans="6:6" ht="15.75" customHeight="1" x14ac:dyDescent="0.2">
      <c r="F436" s="220"/>
    </row>
    <row r="437" spans="6:6" ht="15.75" customHeight="1" x14ac:dyDescent="0.2">
      <c r="F437" s="220"/>
    </row>
    <row r="438" spans="6:6" ht="15.75" customHeight="1" x14ac:dyDescent="0.2">
      <c r="F438" s="220"/>
    </row>
    <row r="439" spans="6:6" ht="15.75" customHeight="1" x14ac:dyDescent="0.2">
      <c r="F439" s="220"/>
    </row>
    <row r="440" spans="6:6" ht="15.75" customHeight="1" x14ac:dyDescent="0.2">
      <c r="F440" s="220"/>
    </row>
    <row r="441" spans="6:6" ht="15.75" customHeight="1" x14ac:dyDescent="0.2">
      <c r="F441" s="220"/>
    </row>
    <row r="442" spans="6:6" ht="15.75" customHeight="1" x14ac:dyDescent="0.2">
      <c r="F442" s="220"/>
    </row>
    <row r="443" spans="6:6" ht="15.75" customHeight="1" x14ac:dyDescent="0.2">
      <c r="F443" s="220"/>
    </row>
    <row r="444" spans="6:6" ht="15.75" customHeight="1" x14ac:dyDescent="0.2">
      <c r="F444" s="220"/>
    </row>
    <row r="445" spans="6:6" ht="15.75" customHeight="1" x14ac:dyDescent="0.2">
      <c r="F445" s="220"/>
    </row>
    <row r="446" spans="6:6" ht="15.75" customHeight="1" x14ac:dyDescent="0.2">
      <c r="F446" s="220"/>
    </row>
    <row r="447" spans="6:6" ht="15.75" customHeight="1" x14ac:dyDescent="0.2">
      <c r="F447" s="220"/>
    </row>
    <row r="448" spans="6:6" ht="15.75" customHeight="1" x14ac:dyDescent="0.2">
      <c r="F448" s="220"/>
    </row>
    <row r="449" spans="6:6" ht="15.75" customHeight="1" x14ac:dyDescent="0.2">
      <c r="F449" s="220"/>
    </row>
    <row r="450" spans="6:6" ht="15.75" customHeight="1" x14ac:dyDescent="0.2">
      <c r="F450" s="220"/>
    </row>
    <row r="451" spans="6:6" ht="15.75" customHeight="1" x14ac:dyDescent="0.2">
      <c r="F451" s="220"/>
    </row>
    <row r="452" spans="6:6" ht="15.75" customHeight="1" x14ac:dyDescent="0.2">
      <c r="F452" s="220"/>
    </row>
    <row r="453" spans="6:6" ht="15.75" customHeight="1" x14ac:dyDescent="0.2">
      <c r="F453" s="220"/>
    </row>
    <row r="454" spans="6:6" ht="15.75" customHeight="1" x14ac:dyDescent="0.2">
      <c r="F454" s="220"/>
    </row>
    <row r="455" spans="6:6" ht="15.75" customHeight="1" x14ac:dyDescent="0.2">
      <c r="F455" s="220"/>
    </row>
    <row r="456" spans="6:6" ht="15.75" customHeight="1" x14ac:dyDescent="0.2">
      <c r="F456" s="220"/>
    </row>
    <row r="457" spans="6:6" ht="15.75" customHeight="1" x14ac:dyDescent="0.2">
      <c r="F457" s="220"/>
    </row>
    <row r="458" spans="6:6" ht="15.75" customHeight="1" x14ac:dyDescent="0.2">
      <c r="F458" s="220"/>
    </row>
    <row r="459" spans="6:6" ht="15.75" customHeight="1" x14ac:dyDescent="0.2">
      <c r="F459" s="220"/>
    </row>
    <row r="460" spans="6:6" ht="15.75" customHeight="1" x14ac:dyDescent="0.2">
      <c r="F460" s="220"/>
    </row>
    <row r="461" spans="6:6" ht="15.75" customHeight="1" x14ac:dyDescent="0.2">
      <c r="F461" s="220"/>
    </row>
    <row r="462" spans="6:6" ht="15.75" customHeight="1" x14ac:dyDescent="0.2">
      <c r="F462" s="220"/>
    </row>
    <row r="463" spans="6:6" ht="15.75" customHeight="1" x14ac:dyDescent="0.2">
      <c r="F463" s="220"/>
    </row>
    <row r="464" spans="6:6" ht="15.75" customHeight="1" x14ac:dyDescent="0.2">
      <c r="F464" s="220"/>
    </row>
    <row r="465" spans="6:6" ht="15.75" customHeight="1" x14ac:dyDescent="0.2">
      <c r="F465" s="220"/>
    </row>
    <row r="466" spans="6:6" ht="15.75" customHeight="1" x14ac:dyDescent="0.2">
      <c r="F466" s="220"/>
    </row>
    <row r="467" spans="6:6" ht="15.75" customHeight="1" x14ac:dyDescent="0.2">
      <c r="F467" s="220"/>
    </row>
    <row r="468" spans="6:6" ht="15.75" customHeight="1" x14ac:dyDescent="0.2">
      <c r="F468" s="220"/>
    </row>
    <row r="469" spans="6:6" ht="15.75" customHeight="1" x14ac:dyDescent="0.2">
      <c r="F469" s="220"/>
    </row>
    <row r="470" spans="6:6" ht="15.75" customHeight="1" x14ac:dyDescent="0.2">
      <c r="F470" s="220"/>
    </row>
    <row r="471" spans="6:6" ht="15.75" customHeight="1" x14ac:dyDescent="0.2">
      <c r="F471" s="220"/>
    </row>
    <row r="472" spans="6:6" ht="15.75" customHeight="1" x14ac:dyDescent="0.2">
      <c r="F472" s="220"/>
    </row>
    <row r="473" spans="6:6" ht="15.75" customHeight="1" x14ac:dyDescent="0.2">
      <c r="F473" s="220"/>
    </row>
    <row r="474" spans="6:6" ht="15.75" customHeight="1" x14ac:dyDescent="0.2">
      <c r="F474" s="220"/>
    </row>
    <row r="475" spans="6:6" ht="15.75" customHeight="1" x14ac:dyDescent="0.2">
      <c r="F475" s="220"/>
    </row>
    <row r="476" spans="6:6" ht="15.75" customHeight="1" x14ac:dyDescent="0.2">
      <c r="F476" s="220"/>
    </row>
    <row r="477" spans="6:6" ht="15.75" customHeight="1" x14ac:dyDescent="0.2">
      <c r="F477" s="220"/>
    </row>
    <row r="478" spans="6:6" ht="15.75" customHeight="1" x14ac:dyDescent="0.2">
      <c r="F478" s="220"/>
    </row>
    <row r="479" spans="6:6" ht="15.75" customHeight="1" x14ac:dyDescent="0.2">
      <c r="F479" s="220"/>
    </row>
    <row r="480" spans="6:6" ht="15.75" customHeight="1" x14ac:dyDescent="0.2">
      <c r="F480" s="220"/>
    </row>
    <row r="481" spans="6:6" ht="15.75" customHeight="1" x14ac:dyDescent="0.2">
      <c r="F481" s="220"/>
    </row>
    <row r="482" spans="6:6" ht="15.75" customHeight="1" x14ac:dyDescent="0.2">
      <c r="F482" s="220"/>
    </row>
    <row r="483" spans="6:6" ht="15.75" customHeight="1" x14ac:dyDescent="0.2">
      <c r="F483" s="220"/>
    </row>
    <row r="484" spans="6:6" ht="15.75" customHeight="1" x14ac:dyDescent="0.2">
      <c r="F484" s="220"/>
    </row>
    <row r="485" spans="6:6" ht="15.75" customHeight="1" x14ac:dyDescent="0.2">
      <c r="F485" s="220"/>
    </row>
    <row r="486" spans="6:6" ht="15.75" customHeight="1" x14ac:dyDescent="0.2">
      <c r="F486" s="220"/>
    </row>
    <row r="487" spans="6:6" ht="15.75" customHeight="1" x14ac:dyDescent="0.2">
      <c r="F487" s="220"/>
    </row>
    <row r="488" spans="6:6" ht="15.75" customHeight="1" x14ac:dyDescent="0.2">
      <c r="F488" s="220"/>
    </row>
    <row r="489" spans="6:6" ht="15.75" customHeight="1" x14ac:dyDescent="0.2">
      <c r="F489" s="220"/>
    </row>
    <row r="490" spans="6:6" ht="15.75" customHeight="1" x14ac:dyDescent="0.2">
      <c r="F490" s="220"/>
    </row>
    <row r="491" spans="6:6" ht="15.75" customHeight="1" x14ac:dyDescent="0.2">
      <c r="F491" s="220"/>
    </row>
    <row r="492" spans="6:6" ht="15.75" customHeight="1" x14ac:dyDescent="0.2">
      <c r="F492" s="220"/>
    </row>
    <row r="493" spans="6:6" ht="15.75" customHeight="1" x14ac:dyDescent="0.2">
      <c r="F493" s="220"/>
    </row>
    <row r="494" spans="6:6" ht="15.75" customHeight="1" x14ac:dyDescent="0.2">
      <c r="F494" s="220"/>
    </row>
    <row r="495" spans="6:6" ht="15.75" customHeight="1" x14ac:dyDescent="0.2">
      <c r="F495" s="220"/>
    </row>
    <row r="496" spans="6:6" ht="15.75" customHeight="1" x14ac:dyDescent="0.2">
      <c r="F496" s="220"/>
    </row>
    <row r="497" spans="6:6" ht="15.75" customHeight="1" x14ac:dyDescent="0.2">
      <c r="F497" s="220"/>
    </row>
    <row r="498" spans="6:6" ht="15.75" customHeight="1" x14ac:dyDescent="0.2">
      <c r="F498" s="220"/>
    </row>
    <row r="499" spans="6:6" ht="15.75" customHeight="1" x14ac:dyDescent="0.2">
      <c r="F499" s="220"/>
    </row>
    <row r="500" spans="6:6" ht="15.75" customHeight="1" x14ac:dyDescent="0.2">
      <c r="F500" s="220"/>
    </row>
    <row r="501" spans="6:6" ht="15.75" customHeight="1" x14ac:dyDescent="0.2">
      <c r="F501" s="220"/>
    </row>
    <row r="502" spans="6:6" ht="15.75" customHeight="1" x14ac:dyDescent="0.2">
      <c r="F502" s="220"/>
    </row>
    <row r="503" spans="6:6" ht="15.75" customHeight="1" x14ac:dyDescent="0.2">
      <c r="F503" s="220"/>
    </row>
    <row r="504" spans="6:6" ht="15.75" customHeight="1" x14ac:dyDescent="0.2">
      <c r="F504" s="220"/>
    </row>
    <row r="505" spans="6:6" ht="15.75" customHeight="1" x14ac:dyDescent="0.2">
      <c r="F505" s="220"/>
    </row>
    <row r="506" spans="6:6" ht="15.75" customHeight="1" x14ac:dyDescent="0.2">
      <c r="F506" s="220"/>
    </row>
    <row r="507" spans="6:6" ht="15.75" customHeight="1" x14ac:dyDescent="0.2">
      <c r="F507" s="220"/>
    </row>
    <row r="508" spans="6:6" ht="15.75" customHeight="1" x14ac:dyDescent="0.2">
      <c r="F508" s="220"/>
    </row>
    <row r="509" spans="6:6" ht="15.75" customHeight="1" x14ac:dyDescent="0.2">
      <c r="F509" s="220"/>
    </row>
    <row r="510" spans="6:6" ht="15.75" customHeight="1" x14ac:dyDescent="0.2">
      <c r="F510" s="220"/>
    </row>
    <row r="511" spans="6:6" ht="15.75" customHeight="1" x14ac:dyDescent="0.2">
      <c r="F511" s="220"/>
    </row>
    <row r="512" spans="6:6" ht="15.75" customHeight="1" x14ac:dyDescent="0.2">
      <c r="F512" s="220"/>
    </row>
    <row r="513" spans="6:6" ht="15.75" customHeight="1" x14ac:dyDescent="0.2">
      <c r="F513" s="220"/>
    </row>
    <row r="514" spans="6:6" ht="15.75" customHeight="1" x14ac:dyDescent="0.2">
      <c r="F514" s="220"/>
    </row>
    <row r="515" spans="6:6" ht="15.75" customHeight="1" x14ac:dyDescent="0.2">
      <c r="F515" s="220"/>
    </row>
    <row r="516" spans="6:6" ht="15.75" customHeight="1" x14ac:dyDescent="0.2">
      <c r="F516" s="220"/>
    </row>
    <row r="517" spans="6:6" ht="15.75" customHeight="1" x14ac:dyDescent="0.2">
      <c r="F517" s="220"/>
    </row>
    <row r="518" spans="6:6" ht="15.75" customHeight="1" x14ac:dyDescent="0.2">
      <c r="F518" s="220"/>
    </row>
    <row r="519" spans="6:6" ht="15.75" customHeight="1" x14ac:dyDescent="0.2">
      <c r="F519" s="220"/>
    </row>
    <row r="520" spans="6:6" ht="15.75" customHeight="1" x14ac:dyDescent="0.2">
      <c r="F520" s="220"/>
    </row>
    <row r="521" spans="6:6" ht="15.75" customHeight="1" x14ac:dyDescent="0.2">
      <c r="F521" s="220"/>
    </row>
    <row r="522" spans="6:6" ht="15.75" customHeight="1" x14ac:dyDescent="0.2">
      <c r="F522" s="220"/>
    </row>
    <row r="523" spans="6:6" ht="15.75" customHeight="1" x14ac:dyDescent="0.2">
      <c r="F523" s="220"/>
    </row>
    <row r="524" spans="6:6" ht="15.75" customHeight="1" x14ac:dyDescent="0.2">
      <c r="F524" s="220"/>
    </row>
    <row r="525" spans="6:6" ht="15.75" customHeight="1" x14ac:dyDescent="0.2">
      <c r="F525" s="220"/>
    </row>
    <row r="526" spans="6:6" ht="15.75" customHeight="1" x14ac:dyDescent="0.2">
      <c r="F526" s="220"/>
    </row>
    <row r="527" spans="6:6" ht="15.75" customHeight="1" x14ac:dyDescent="0.2">
      <c r="F527" s="220"/>
    </row>
    <row r="528" spans="6:6" ht="15.75" customHeight="1" x14ac:dyDescent="0.2">
      <c r="F528" s="220"/>
    </row>
    <row r="529" spans="6:6" ht="15.75" customHeight="1" x14ac:dyDescent="0.2">
      <c r="F529" s="220"/>
    </row>
    <row r="530" spans="6:6" ht="15.75" customHeight="1" x14ac:dyDescent="0.2">
      <c r="F530" s="220"/>
    </row>
    <row r="531" spans="6:6" ht="15.75" customHeight="1" x14ac:dyDescent="0.2">
      <c r="F531" s="220"/>
    </row>
    <row r="532" spans="6:6" ht="15.75" customHeight="1" x14ac:dyDescent="0.2">
      <c r="F532" s="220"/>
    </row>
    <row r="533" spans="6:6" ht="15.75" customHeight="1" x14ac:dyDescent="0.2">
      <c r="F533" s="220"/>
    </row>
    <row r="534" spans="6:6" ht="15.75" customHeight="1" x14ac:dyDescent="0.2">
      <c r="F534" s="220"/>
    </row>
    <row r="535" spans="6:6" ht="15.75" customHeight="1" x14ac:dyDescent="0.2">
      <c r="F535" s="220"/>
    </row>
    <row r="536" spans="6:6" ht="15.75" customHeight="1" x14ac:dyDescent="0.2">
      <c r="F536" s="220"/>
    </row>
    <row r="537" spans="6:6" ht="15.75" customHeight="1" x14ac:dyDescent="0.2">
      <c r="F537" s="220"/>
    </row>
    <row r="538" spans="6:6" ht="15.75" customHeight="1" x14ac:dyDescent="0.2">
      <c r="F538" s="220"/>
    </row>
    <row r="539" spans="6:6" ht="15.75" customHeight="1" x14ac:dyDescent="0.2">
      <c r="F539" s="220"/>
    </row>
    <row r="540" spans="6:6" ht="15.75" customHeight="1" x14ac:dyDescent="0.2">
      <c r="F540" s="220"/>
    </row>
    <row r="541" spans="6:6" ht="15.75" customHeight="1" x14ac:dyDescent="0.2">
      <c r="F541" s="220"/>
    </row>
    <row r="542" spans="6:6" ht="15.75" customHeight="1" x14ac:dyDescent="0.2">
      <c r="F542" s="220"/>
    </row>
    <row r="543" spans="6:6" ht="15.75" customHeight="1" x14ac:dyDescent="0.2">
      <c r="F543" s="220"/>
    </row>
    <row r="544" spans="6:6" ht="15.75" customHeight="1" x14ac:dyDescent="0.2">
      <c r="F544" s="220"/>
    </row>
    <row r="545" spans="6:6" ht="15.75" customHeight="1" x14ac:dyDescent="0.2">
      <c r="F545" s="220"/>
    </row>
    <row r="546" spans="6:6" ht="15.75" customHeight="1" x14ac:dyDescent="0.2">
      <c r="F546" s="220"/>
    </row>
    <row r="547" spans="6:6" ht="15.75" customHeight="1" x14ac:dyDescent="0.2">
      <c r="F547" s="220"/>
    </row>
    <row r="548" spans="6:6" ht="15.75" customHeight="1" x14ac:dyDescent="0.2">
      <c r="F548" s="220"/>
    </row>
    <row r="549" spans="6:6" ht="15.75" customHeight="1" x14ac:dyDescent="0.2">
      <c r="F549" s="220"/>
    </row>
    <row r="550" spans="6:6" ht="15.75" customHeight="1" x14ac:dyDescent="0.2">
      <c r="F550" s="220"/>
    </row>
    <row r="551" spans="6:6" ht="15.75" customHeight="1" x14ac:dyDescent="0.2">
      <c r="F551" s="220"/>
    </row>
    <row r="552" spans="6:6" ht="15.75" customHeight="1" x14ac:dyDescent="0.2">
      <c r="F552" s="220"/>
    </row>
    <row r="553" spans="6:6" ht="15.75" customHeight="1" x14ac:dyDescent="0.2">
      <c r="F553" s="220"/>
    </row>
    <row r="554" spans="6:6" ht="15.75" customHeight="1" x14ac:dyDescent="0.2">
      <c r="F554" s="220"/>
    </row>
    <row r="555" spans="6:6" ht="15.75" customHeight="1" x14ac:dyDescent="0.2">
      <c r="F555" s="220"/>
    </row>
    <row r="556" spans="6:6" ht="15.75" customHeight="1" x14ac:dyDescent="0.2">
      <c r="F556" s="220"/>
    </row>
    <row r="557" spans="6:6" ht="15.75" customHeight="1" x14ac:dyDescent="0.2">
      <c r="F557" s="220"/>
    </row>
    <row r="558" spans="6:6" ht="15.75" customHeight="1" x14ac:dyDescent="0.2">
      <c r="F558" s="220"/>
    </row>
    <row r="559" spans="6:6" ht="15.75" customHeight="1" x14ac:dyDescent="0.2">
      <c r="F559" s="220"/>
    </row>
    <row r="560" spans="6:6" ht="15.75" customHeight="1" x14ac:dyDescent="0.2">
      <c r="F560" s="220"/>
    </row>
    <row r="561" spans="6:6" ht="15.75" customHeight="1" x14ac:dyDescent="0.2">
      <c r="F561" s="220"/>
    </row>
    <row r="562" spans="6:6" ht="15.75" customHeight="1" x14ac:dyDescent="0.2">
      <c r="F562" s="220"/>
    </row>
    <row r="563" spans="6:6" ht="15.75" customHeight="1" x14ac:dyDescent="0.2">
      <c r="F563" s="220"/>
    </row>
    <row r="564" spans="6:6" ht="15.75" customHeight="1" x14ac:dyDescent="0.2">
      <c r="F564" s="220"/>
    </row>
    <row r="565" spans="6:6" ht="15.75" customHeight="1" x14ac:dyDescent="0.2">
      <c r="F565" s="220"/>
    </row>
    <row r="566" spans="6:6" ht="15.75" customHeight="1" x14ac:dyDescent="0.2">
      <c r="F566" s="220"/>
    </row>
    <row r="567" spans="6:6" ht="15.75" customHeight="1" x14ac:dyDescent="0.2">
      <c r="F567" s="220"/>
    </row>
    <row r="568" spans="6:6" ht="15.75" customHeight="1" x14ac:dyDescent="0.2">
      <c r="F568" s="220"/>
    </row>
    <row r="569" spans="6:6" ht="15.75" customHeight="1" x14ac:dyDescent="0.2">
      <c r="F569" s="220"/>
    </row>
    <row r="570" spans="6:6" ht="15.75" customHeight="1" x14ac:dyDescent="0.2">
      <c r="F570" s="220"/>
    </row>
    <row r="571" spans="6:6" ht="15.75" customHeight="1" x14ac:dyDescent="0.2">
      <c r="F571" s="220"/>
    </row>
    <row r="572" spans="6:6" ht="15.75" customHeight="1" x14ac:dyDescent="0.2">
      <c r="F572" s="220"/>
    </row>
    <row r="573" spans="6:6" ht="15.75" customHeight="1" x14ac:dyDescent="0.2">
      <c r="F573" s="220"/>
    </row>
    <row r="574" spans="6:6" ht="15.75" customHeight="1" x14ac:dyDescent="0.2">
      <c r="F574" s="220"/>
    </row>
    <row r="575" spans="6:6" ht="15.75" customHeight="1" x14ac:dyDescent="0.2">
      <c r="F575" s="220"/>
    </row>
    <row r="576" spans="6:6" ht="15.75" customHeight="1" x14ac:dyDescent="0.2">
      <c r="F576" s="220"/>
    </row>
    <row r="577" spans="6:6" ht="15.75" customHeight="1" x14ac:dyDescent="0.2">
      <c r="F577" s="220"/>
    </row>
    <row r="578" spans="6:6" ht="15.75" customHeight="1" x14ac:dyDescent="0.2">
      <c r="F578" s="220"/>
    </row>
    <row r="579" spans="6:6" ht="15.75" customHeight="1" x14ac:dyDescent="0.2">
      <c r="F579" s="220"/>
    </row>
    <row r="580" spans="6:6" ht="15.75" customHeight="1" x14ac:dyDescent="0.2">
      <c r="F580" s="220"/>
    </row>
    <row r="581" spans="6:6" ht="15.75" customHeight="1" x14ac:dyDescent="0.2">
      <c r="F581" s="220"/>
    </row>
    <row r="582" spans="6:6" ht="15.75" customHeight="1" x14ac:dyDescent="0.2">
      <c r="F582" s="220"/>
    </row>
    <row r="583" spans="6:6" ht="15.75" customHeight="1" x14ac:dyDescent="0.2">
      <c r="F583" s="220"/>
    </row>
    <row r="584" spans="6:6" ht="15.75" customHeight="1" x14ac:dyDescent="0.2">
      <c r="F584" s="220"/>
    </row>
    <row r="585" spans="6:6" ht="15.75" customHeight="1" x14ac:dyDescent="0.2">
      <c r="F585" s="220"/>
    </row>
    <row r="586" spans="6:6" ht="15.75" customHeight="1" x14ac:dyDescent="0.2">
      <c r="F586" s="220"/>
    </row>
    <row r="587" spans="6:6" ht="15.75" customHeight="1" x14ac:dyDescent="0.2">
      <c r="F587" s="220"/>
    </row>
    <row r="588" spans="6:6" ht="15.75" customHeight="1" x14ac:dyDescent="0.2">
      <c r="F588" s="220"/>
    </row>
    <row r="589" spans="6:6" ht="15.75" customHeight="1" x14ac:dyDescent="0.2">
      <c r="F589" s="220"/>
    </row>
    <row r="590" spans="6:6" ht="15.75" customHeight="1" x14ac:dyDescent="0.2">
      <c r="F590" s="220"/>
    </row>
    <row r="591" spans="6:6" ht="15.75" customHeight="1" x14ac:dyDescent="0.2">
      <c r="F591" s="220"/>
    </row>
    <row r="592" spans="6:6" ht="15.75" customHeight="1" x14ac:dyDescent="0.2">
      <c r="F592" s="220"/>
    </row>
    <row r="593" spans="6:6" ht="15.75" customHeight="1" x14ac:dyDescent="0.2">
      <c r="F593" s="220"/>
    </row>
    <row r="594" spans="6:6" ht="15.75" customHeight="1" x14ac:dyDescent="0.2">
      <c r="F594" s="220"/>
    </row>
    <row r="595" spans="6:6" ht="15.75" customHeight="1" x14ac:dyDescent="0.2">
      <c r="F595" s="220"/>
    </row>
    <row r="596" spans="6:6" ht="15.75" customHeight="1" x14ac:dyDescent="0.2">
      <c r="F596" s="220"/>
    </row>
    <row r="597" spans="6:6" ht="15.75" customHeight="1" x14ac:dyDescent="0.2">
      <c r="F597" s="220"/>
    </row>
    <row r="598" spans="6:6" ht="15.75" customHeight="1" x14ac:dyDescent="0.2">
      <c r="F598" s="220"/>
    </row>
    <row r="599" spans="6:6" ht="15.75" customHeight="1" x14ac:dyDescent="0.2">
      <c r="F599" s="220"/>
    </row>
    <row r="600" spans="6:6" ht="15.75" customHeight="1" x14ac:dyDescent="0.2">
      <c r="F600" s="220"/>
    </row>
    <row r="601" spans="6:6" ht="15.75" customHeight="1" x14ac:dyDescent="0.2">
      <c r="F601" s="220"/>
    </row>
    <row r="602" spans="6:6" ht="15.75" customHeight="1" x14ac:dyDescent="0.2">
      <c r="F602" s="220"/>
    </row>
    <row r="603" spans="6:6" ht="15.75" customHeight="1" x14ac:dyDescent="0.2">
      <c r="F603" s="220"/>
    </row>
    <row r="604" spans="6:6" ht="15.75" customHeight="1" x14ac:dyDescent="0.2">
      <c r="F604" s="220"/>
    </row>
    <row r="605" spans="6:6" ht="15.75" customHeight="1" x14ac:dyDescent="0.2">
      <c r="F605" s="220"/>
    </row>
    <row r="606" spans="6:6" ht="15.75" customHeight="1" x14ac:dyDescent="0.2">
      <c r="F606" s="220"/>
    </row>
    <row r="607" spans="6:6" ht="15.75" customHeight="1" x14ac:dyDescent="0.2">
      <c r="F607" s="220"/>
    </row>
    <row r="608" spans="6:6" ht="15.75" customHeight="1" x14ac:dyDescent="0.2">
      <c r="F608" s="220"/>
    </row>
    <row r="609" spans="6:6" ht="15.75" customHeight="1" x14ac:dyDescent="0.2">
      <c r="F609" s="220"/>
    </row>
    <row r="610" spans="6:6" ht="15.75" customHeight="1" x14ac:dyDescent="0.2">
      <c r="F610" s="220"/>
    </row>
    <row r="611" spans="6:6" ht="15.75" customHeight="1" x14ac:dyDescent="0.2">
      <c r="F611" s="220"/>
    </row>
    <row r="612" spans="6:6" ht="15.75" customHeight="1" x14ac:dyDescent="0.2">
      <c r="F612" s="220"/>
    </row>
    <row r="613" spans="6:6" ht="15.75" customHeight="1" x14ac:dyDescent="0.2">
      <c r="F613" s="220"/>
    </row>
    <row r="614" spans="6:6" ht="15.75" customHeight="1" x14ac:dyDescent="0.2">
      <c r="F614" s="220"/>
    </row>
    <row r="615" spans="6:6" ht="15.75" customHeight="1" x14ac:dyDescent="0.2">
      <c r="F615" s="220"/>
    </row>
    <row r="616" spans="6:6" ht="15.75" customHeight="1" x14ac:dyDescent="0.2">
      <c r="F616" s="220"/>
    </row>
    <row r="617" spans="6:6" ht="15.75" customHeight="1" x14ac:dyDescent="0.2">
      <c r="F617" s="220"/>
    </row>
    <row r="618" spans="6:6" ht="15.75" customHeight="1" x14ac:dyDescent="0.2">
      <c r="F618" s="220"/>
    </row>
    <row r="619" spans="6:6" ht="15.75" customHeight="1" x14ac:dyDescent="0.2">
      <c r="F619" s="220"/>
    </row>
    <row r="620" spans="6:6" ht="15.75" customHeight="1" x14ac:dyDescent="0.2">
      <c r="F620" s="220"/>
    </row>
    <row r="621" spans="6:6" ht="15.75" customHeight="1" x14ac:dyDescent="0.2">
      <c r="F621" s="220"/>
    </row>
    <row r="622" spans="6:6" ht="15.75" customHeight="1" x14ac:dyDescent="0.2">
      <c r="F622" s="220"/>
    </row>
    <row r="623" spans="6:6" ht="15.75" customHeight="1" x14ac:dyDescent="0.2">
      <c r="F623" s="220"/>
    </row>
    <row r="624" spans="6:6" ht="15.75" customHeight="1" x14ac:dyDescent="0.2">
      <c r="F624" s="220"/>
    </row>
    <row r="625" spans="6:6" ht="15.75" customHeight="1" x14ac:dyDescent="0.2">
      <c r="F625" s="220"/>
    </row>
    <row r="626" spans="6:6" ht="15.75" customHeight="1" x14ac:dyDescent="0.2">
      <c r="F626" s="220"/>
    </row>
    <row r="627" spans="6:6" ht="15.75" customHeight="1" x14ac:dyDescent="0.2">
      <c r="F627" s="220"/>
    </row>
    <row r="628" spans="6:6" ht="15.75" customHeight="1" x14ac:dyDescent="0.2">
      <c r="F628" s="220"/>
    </row>
    <row r="629" spans="6:6" ht="15.75" customHeight="1" x14ac:dyDescent="0.2">
      <c r="F629" s="220"/>
    </row>
    <row r="630" spans="6:6" ht="15.75" customHeight="1" x14ac:dyDescent="0.2">
      <c r="F630" s="220"/>
    </row>
    <row r="631" spans="6:6" ht="15.75" customHeight="1" x14ac:dyDescent="0.2">
      <c r="F631" s="220"/>
    </row>
    <row r="632" spans="6:6" ht="15.75" customHeight="1" x14ac:dyDescent="0.2">
      <c r="F632" s="220"/>
    </row>
    <row r="633" spans="6:6" ht="15.75" customHeight="1" x14ac:dyDescent="0.2">
      <c r="F633" s="220"/>
    </row>
    <row r="634" spans="6:6" ht="15.75" customHeight="1" x14ac:dyDescent="0.2">
      <c r="F634" s="220"/>
    </row>
    <row r="635" spans="6:6" ht="15.75" customHeight="1" x14ac:dyDescent="0.2">
      <c r="F635" s="220"/>
    </row>
    <row r="636" spans="6:6" ht="15.75" customHeight="1" x14ac:dyDescent="0.2">
      <c r="F636" s="220"/>
    </row>
    <row r="637" spans="6:6" ht="15.75" customHeight="1" x14ac:dyDescent="0.2">
      <c r="F637" s="220"/>
    </row>
    <row r="638" spans="6:6" ht="15.75" customHeight="1" x14ac:dyDescent="0.2">
      <c r="F638" s="220"/>
    </row>
    <row r="639" spans="6:6" ht="15.75" customHeight="1" x14ac:dyDescent="0.2">
      <c r="F639" s="220"/>
    </row>
    <row r="640" spans="6:6" ht="15.75" customHeight="1" x14ac:dyDescent="0.2">
      <c r="F640" s="220"/>
    </row>
    <row r="641" spans="6:6" ht="15.75" customHeight="1" x14ac:dyDescent="0.2">
      <c r="F641" s="220"/>
    </row>
    <row r="642" spans="6:6" ht="15.75" customHeight="1" x14ac:dyDescent="0.2">
      <c r="F642" s="220"/>
    </row>
    <row r="643" spans="6:6" ht="15.75" customHeight="1" x14ac:dyDescent="0.2">
      <c r="F643" s="220"/>
    </row>
    <row r="644" spans="6:6" ht="15.75" customHeight="1" x14ac:dyDescent="0.2">
      <c r="F644" s="220"/>
    </row>
    <row r="645" spans="6:6" ht="15.75" customHeight="1" x14ac:dyDescent="0.2">
      <c r="F645" s="220"/>
    </row>
    <row r="646" spans="6:6" ht="15.75" customHeight="1" x14ac:dyDescent="0.2">
      <c r="F646" s="220"/>
    </row>
    <row r="647" spans="6:6" ht="15.75" customHeight="1" x14ac:dyDescent="0.2">
      <c r="F647" s="220"/>
    </row>
    <row r="648" spans="6:6" ht="15.75" customHeight="1" x14ac:dyDescent="0.2">
      <c r="F648" s="220"/>
    </row>
    <row r="649" spans="6:6" ht="15.75" customHeight="1" x14ac:dyDescent="0.2">
      <c r="F649" s="220"/>
    </row>
    <row r="650" spans="6:6" ht="15.75" customHeight="1" x14ac:dyDescent="0.2">
      <c r="F650" s="220"/>
    </row>
    <row r="651" spans="6:6" ht="15.75" customHeight="1" x14ac:dyDescent="0.2">
      <c r="F651" s="220"/>
    </row>
    <row r="652" spans="6:6" ht="15.75" customHeight="1" x14ac:dyDescent="0.2">
      <c r="F652" s="220"/>
    </row>
    <row r="653" spans="6:6" ht="15.75" customHeight="1" x14ac:dyDescent="0.2">
      <c r="F653" s="220"/>
    </row>
    <row r="654" spans="6:6" ht="15.75" customHeight="1" x14ac:dyDescent="0.2">
      <c r="F654" s="220"/>
    </row>
    <row r="655" spans="6:6" ht="15.75" customHeight="1" x14ac:dyDescent="0.2">
      <c r="F655" s="220"/>
    </row>
    <row r="656" spans="6:6" ht="15.75" customHeight="1" x14ac:dyDescent="0.2">
      <c r="F656" s="220"/>
    </row>
    <row r="657" spans="6:6" ht="15.75" customHeight="1" x14ac:dyDescent="0.2">
      <c r="F657" s="220"/>
    </row>
    <row r="658" spans="6:6" ht="15.75" customHeight="1" x14ac:dyDescent="0.2">
      <c r="F658" s="220"/>
    </row>
    <row r="659" spans="6:6" ht="15.75" customHeight="1" x14ac:dyDescent="0.2">
      <c r="F659" s="220"/>
    </row>
    <row r="660" spans="6:6" ht="15.75" customHeight="1" x14ac:dyDescent="0.2">
      <c r="F660" s="220"/>
    </row>
    <row r="661" spans="6:6" ht="15.75" customHeight="1" x14ac:dyDescent="0.2">
      <c r="F661" s="220"/>
    </row>
    <row r="662" spans="6:6" ht="15.75" customHeight="1" x14ac:dyDescent="0.2">
      <c r="F662" s="220"/>
    </row>
    <row r="663" spans="6:6" ht="15.75" customHeight="1" x14ac:dyDescent="0.2">
      <c r="F663" s="220"/>
    </row>
    <row r="664" spans="6:6" ht="15.75" customHeight="1" x14ac:dyDescent="0.2">
      <c r="F664" s="220"/>
    </row>
    <row r="665" spans="6:6" ht="15.75" customHeight="1" x14ac:dyDescent="0.2">
      <c r="F665" s="220"/>
    </row>
    <row r="666" spans="6:6" ht="15.75" customHeight="1" x14ac:dyDescent="0.2">
      <c r="F666" s="220"/>
    </row>
    <row r="667" spans="6:6" ht="15.75" customHeight="1" x14ac:dyDescent="0.2">
      <c r="F667" s="220"/>
    </row>
    <row r="668" spans="6:6" ht="15.75" customHeight="1" x14ac:dyDescent="0.2">
      <c r="F668" s="220"/>
    </row>
    <row r="669" spans="6:6" ht="15.75" customHeight="1" x14ac:dyDescent="0.2">
      <c r="F669" s="220"/>
    </row>
    <row r="670" spans="6:6" ht="15.75" customHeight="1" x14ac:dyDescent="0.2">
      <c r="F670" s="220"/>
    </row>
    <row r="671" spans="6:6" ht="15.75" customHeight="1" x14ac:dyDescent="0.2">
      <c r="F671" s="220"/>
    </row>
    <row r="672" spans="6:6" ht="15.75" customHeight="1" x14ac:dyDescent="0.2">
      <c r="F672" s="220"/>
    </row>
    <row r="673" spans="6:6" ht="15.75" customHeight="1" x14ac:dyDescent="0.2">
      <c r="F673" s="220"/>
    </row>
    <row r="674" spans="6:6" ht="15.75" customHeight="1" x14ac:dyDescent="0.2">
      <c r="F674" s="220"/>
    </row>
    <row r="675" spans="6:6" ht="15.75" customHeight="1" x14ac:dyDescent="0.2">
      <c r="F675" s="220"/>
    </row>
    <row r="676" spans="6:6" ht="15.75" customHeight="1" x14ac:dyDescent="0.2">
      <c r="F676" s="220"/>
    </row>
    <row r="677" spans="6:6" ht="15.75" customHeight="1" x14ac:dyDescent="0.2">
      <c r="F677" s="220"/>
    </row>
    <row r="678" spans="6:6" ht="15.75" customHeight="1" x14ac:dyDescent="0.2">
      <c r="F678" s="220"/>
    </row>
    <row r="679" spans="6:6" ht="15.75" customHeight="1" x14ac:dyDescent="0.2">
      <c r="F679" s="220"/>
    </row>
    <row r="680" spans="6:6" ht="15.75" customHeight="1" x14ac:dyDescent="0.2">
      <c r="F680" s="220"/>
    </row>
    <row r="681" spans="6:6" ht="15.75" customHeight="1" x14ac:dyDescent="0.2">
      <c r="F681" s="220"/>
    </row>
    <row r="682" spans="6:6" ht="15.75" customHeight="1" x14ac:dyDescent="0.2">
      <c r="F682" s="220"/>
    </row>
    <row r="683" spans="6:6" ht="15.75" customHeight="1" x14ac:dyDescent="0.2">
      <c r="F683" s="220"/>
    </row>
    <row r="684" spans="6:6" ht="15.75" customHeight="1" x14ac:dyDescent="0.2">
      <c r="F684" s="220"/>
    </row>
    <row r="685" spans="6:6" ht="15.75" customHeight="1" x14ac:dyDescent="0.2">
      <c r="F685" s="220"/>
    </row>
    <row r="686" spans="6:6" ht="15.75" customHeight="1" x14ac:dyDescent="0.2">
      <c r="F686" s="220"/>
    </row>
    <row r="687" spans="6:6" ht="15.75" customHeight="1" x14ac:dyDescent="0.2">
      <c r="F687" s="220"/>
    </row>
    <row r="688" spans="6:6" ht="15.75" customHeight="1" x14ac:dyDescent="0.2">
      <c r="F688" s="220"/>
    </row>
    <row r="689" spans="6:6" ht="15.75" customHeight="1" x14ac:dyDescent="0.2">
      <c r="F689" s="220"/>
    </row>
    <row r="690" spans="6:6" ht="15.75" customHeight="1" x14ac:dyDescent="0.2">
      <c r="F690" s="220"/>
    </row>
    <row r="691" spans="6:6" ht="15.75" customHeight="1" x14ac:dyDescent="0.2">
      <c r="F691" s="220"/>
    </row>
    <row r="692" spans="6:6" ht="15.75" customHeight="1" x14ac:dyDescent="0.2">
      <c r="F692" s="220"/>
    </row>
    <row r="693" spans="6:6" ht="15.75" customHeight="1" x14ac:dyDescent="0.2">
      <c r="F693" s="220"/>
    </row>
    <row r="694" spans="6:6" ht="15.75" customHeight="1" x14ac:dyDescent="0.2">
      <c r="F694" s="220"/>
    </row>
    <row r="695" spans="6:6" ht="15.75" customHeight="1" x14ac:dyDescent="0.2">
      <c r="F695" s="220"/>
    </row>
    <row r="696" spans="6:6" ht="15.75" customHeight="1" x14ac:dyDescent="0.2">
      <c r="F696" s="220"/>
    </row>
    <row r="697" spans="6:6" ht="15.75" customHeight="1" x14ac:dyDescent="0.2">
      <c r="F697" s="220"/>
    </row>
    <row r="698" spans="6:6" ht="15.75" customHeight="1" x14ac:dyDescent="0.2">
      <c r="F698" s="220"/>
    </row>
    <row r="699" spans="6:6" ht="15.75" customHeight="1" x14ac:dyDescent="0.2">
      <c r="F699" s="220"/>
    </row>
    <row r="700" spans="6:6" ht="15.75" customHeight="1" x14ac:dyDescent="0.2">
      <c r="F700" s="220"/>
    </row>
    <row r="701" spans="6:6" ht="15.75" customHeight="1" x14ac:dyDescent="0.2">
      <c r="F701" s="220"/>
    </row>
    <row r="702" spans="6:6" ht="15.75" customHeight="1" x14ac:dyDescent="0.2">
      <c r="F702" s="220"/>
    </row>
    <row r="703" spans="6:6" ht="15.75" customHeight="1" x14ac:dyDescent="0.2">
      <c r="F703" s="220"/>
    </row>
    <row r="704" spans="6:6" ht="15.75" customHeight="1" x14ac:dyDescent="0.2">
      <c r="F704" s="220"/>
    </row>
    <row r="705" spans="6:6" ht="15.75" customHeight="1" x14ac:dyDescent="0.2">
      <c r="F705" s="220"/>
    </row>
    <row r="706" spans="6:6" ht="15.75" customHeight="1" x14ac:dyDescent="0.2">
      <c r="F706" s="220"/>
    </row>
    <row r="707" spans="6:6" ht="15.75" customHeight="1" x14ac:dyDescent="0.2">
      <c r="F707" s="220"/>
    </row>
    <row r="708" spans="6:6" ht="15.75" customHeight="1" x14ac:dyDescent="0.2">
      <c r="F708" s="220"/>
    </row>
    <row r="709" spans="6:6" ht="15.75" customHeight="1" x14ac:dyDescent="0.2">
      <c r="F709" s="220"/>
    </row>
    <row r="710" spans="6:6" ht="15.75" customHeight="1" x14ac:dyDescent="0.2">
      <c r="F710" s="220"/>
    </row>
    <row r="711" spans="6:6" ht="15.75" customHeight="1" x14ac:dyDescent="0.2">
      <c r="F711" s="220"/>
    </row>
    <row r="712" spans="6:6" ht="15.75" customHeight="1" x14ac:dyDescent="0.2">
      <c r="F712" s="220"/>
    </row>
    <row r="713" spans="6:6" ht="15.75" customHeight="1" x14ac:dyDescent="0.2">
      <c r="F713" s="220"/>
    </row>
    <row r="714" spans="6:6" ht="15.75" customHeight="1" x14ac:dyDescent="0.2">
      <c r="F714" s="220"/>
    </row>
    <row r="715" spans="6:6" ht="15.75" customHeight="1" x14ac:dyDescent="0.2">
      <c r="F715" s="220"/>
    </row>
    <row r="716" spans="6:6" ht="15.75" customHeight="1" x14ac:dyDescent="0.2">
      <c r="F716" s="220"/>
    </row>
    <row r="717" spans="6:6" ht="15.75" customHeight="1" x14ac:dyDescent="0.2">
      <c r="F717" s="220"/>
    </row>
    <row r="718" spans="6:6" ht="15.75" customHeight="1" x14ac:dyDescent="0.2">
      <c r="F718" s="220"/>
    </row>
    <row r="719" spans="6:6" ht="15.75" customHeight="1" x14ac:dyDescent="0.2">
      <c r="F719" s="220"/>
    </row>
    <row r="720" spans="6:6" ht="15.75" customHeight="1" x14ac:dyDescent="0.2">
      <c r="F720" s="220"/>
    </row>
    <row r="721" spans="6:6" ht="15.75" customHeight="1" x14ac:dyDescent="0.2">
      <c r="F721" s="220"/>
    </row>
    <row r="722" spans="6:6" ht="15.75" customHeight="1" x14ac:dyDescent="0.2">
      <c r="F722" s="220"/>
    </row>
    <row r="723" spans="6:6" ht="15.75" customHeight="1" x14ac:dyDescent="0.2">
      <c r="F723" s="220"/>
    </row>
    <row r="724" spans="6:6" ht="15.75" customHeight="1" x14ac:dyDescent="0.2">
      <c r="F724" s="220"/>
    </row>
    <row r="725" spans="6:6" ht="15.75" customHeight="1" x14ac:dyDescent="0.2">
      <c r="F725" s="220"/>
    </row>
    <row r="726" spans="6:6" ht="15.75" customHeight="1" x14ac:dyDescent="0.2">
      <c r="F726" s="220"/>
    </row>
    <row r="727" spans="6:6" ht="15.75" customHeight="1" x14ac:dyDescent="0.2">
      <c r="F727" s="220"/>
    </row>
    <row r="728" spans="6:6" ht="15.75" customHeight="1" x14ac:dyDescent="0.2">
      <c r="F728" s="220"/>
    </row>
    <row r="729" spans="6:6" ht="15.75" customHeight="1" x14ac:dyDescent="0.2">
      <c r="F729" s="220"/>
    </row>
    <row r="730" spans="6:6" ht="15.75" customHeight="1" x14ac:dyDescent="0.2">
      <c r="F730" s="220"/>
    </row>
    <row r="731" spans="6:6" ht="15.75" customHeight="1" x14ac:dyDescent="0.2">
      <c r="F731" s="220"/>
    </row>
    <row r="732" spans="6:6" ht="15.75" customHeight="1" x14ac:dyDescent="0.2">
      <c r="F732" s="220"/>
    </row>
    <row r="733" spans="6:6" ht="15.75" customHeight="1" x14ac:dyDescent="0.2">
      <c r="F733" s="220"/>
    </row>
    <row r="734" spans="6:6" ht="15.75" customHeight="1" x14ac:dyDescent="0.2">
      <c r="F734" s="220"/>
    </row>
    <row r="735" spans="6:6" ht="15.75" customHeight="1" x14ac:dyDescent="0.2">
      <c r="F735" s="220"/>
    </row>
    <row r="736" spans="6:6" ht="15.75" customHeight="1" x14ac:dyDescent="0.2">
      <c r="F736" s="220"/>
    </row>
    <row r="737" spans="6:6" ht="15.75" customHeight="1" x14ac:dyDescent="0.2">
      <c r="F737" s="220"/>
    </row>
    <row r="738" spans="6:6" ht="15.75" customHeight="1" x14ac:dyDescent="0.2">
      <c r="F738" s="220"/>
    </row>
    <row r="739" spans="6:6" ht="15.75" customHeight="1" x14ac:dyDescent="0.2">
      <c r="F739" s="220"/>
    </row>
    <row r="740" spans="6:6" ht="15.75" customHeight="1" x14ac:dyDescent="0.2">
      <c r="F740" s="220"/>
    </row>
    <row r="741" spans="6:6" ht="15.75" customHeight="1" x14ac:dyDescent="0.2">
      <c r="F741" s="220"/>
    </row>
    <row r="742" spans="6:6" ht="15.75" customHeight="1" x14ac:dyDescent="0.2">
      <c r="F742" s="220"/>
    </row>
    <row r="743" spans="6:6" ht="15.75" customHeight="1" x14ac:dyDescent="0.2">
      <c r="F743" s="220"/>
    </row>
    <row r="744" spans="6:6" ht="15.75" customHeight="1" x14ac:dyDescent="0.2">
      <c r="F744" s="220"/>
    </row>
    <row r="745" spans="6:6" ht="15.75" customHeight="1" x14ac:dyDescent="0.2">
      <c r="F745" s="220"/>
    </row>
    <row r="746" spans="6:6" ht="15.75" customHeight="1" x14ac:dyDescent="0.2">
      <c r="F746" s="220"/>
    </row>
    <row r="747" spans="6:6" ht="15.75" customHeight="1" x14ac:dyDescent="0.2">
      <c r="F747" s="220"/>
    </row>
    <row r="748" spans="6:6" ht="15.75" customHeight="1" x14ac:dyDescent="0.2">
      <c r="F748" s="220"/>
    </row>
    <row r="749" spans="6:6" ht="15.75" customHeight="1" x14ac:dyDescent="0.2">
      <c r="F749" s="220"/>
    </row>
    <row r="750" spans="6:6" ht="15.75" customHeight="1" x14ac:dyDescent="0.2">
      <c r="F750" s="220"/>
    </row>
    <row r="751" spans="6:6" ht="15.75" customHeight="1" x14ac:dyDescent="0.2">
      <c r="F751" s="220"/>
    </row>
    <row r="752" spans="6:6" ht="15.75" customHeight="1" x14ac:dyDescent="0.2">
      <c r="F752" s="220"/>
    </row>
    <row r="753" spans="6:6" ht="15.75" customHeight="1" x14ac:dyDescent="0.2">
      <c r="F753" s="220"/>
    </row>
    <row r="754" spans="6:6" ht="15.75" customHeight="1" x14ac:dyDescent="0.2">
      <c r="F754" s="220"/>
    </row>
    <row r="755" spans="6:6" ht="15.75" customHeight="1" x14ac:dyDescent="0.2">
      <c r="F755" s="220"/>
    </row>
    <row r="756" spans="6:6" ht="15.75" customHeight="1" x14ac:dyDescent="0.2">
      <c r="F756" s="220"/>
    </row>
    <row r="757" spans="6:6" ht="15.75" customHeight="1" x14ac:dyDescent="0.2">
      <c r="F757" s="220"/>
    </row>
    <row r="758" spans="6:6" ht="15.75" customHeight="1" x14ac:dyDescent="0.2">
      <c r="F758" s="220"/>
    </row>
    <row r="759" spans="6:6" ht="15.75" customHeight="1" x14ac:dyDescent="0.2">
      <c r="F759" s="220"/>
    </row>
    <row r="760" spans="6:6" ht="15.75" customHeight="1" x14ac:dyDescent="0.2">
      <c r="F760" s="220"/>
    </row>
    <row r="761" spans="6:6" ht="15.75" customHeight="1" x14ac:dyDescent="0.2">
      <c r="F761" s="220"/>
    </row>
    <row r="762" spans="6:6" ht="15.75" customHeight="1" x14ac:dyDescent="0.2">
      <c r="F762" s="220"/>
    </row>
    <row r="763" spans="6:6" ht="15.75" customHeight="1" x14ac:dyDescent="0.2">
      <c r="F763" s="220"/>
    </row>
    <row r="764" spans="6:6" ht="15.75" customHeight="1" x14ac:dyDescent="0.2">
      <c r="F764" s="220"/>
    </row>
    <row r="765" spans="6:6" ht="15.75" customHeight="1" x14ac:dyDescent="0.2">
      <c r="F765" s="220"/>
    </row>
    <row r="766" spans="6:6" ht="15.75" customHeight="1" x14ac:dyDescent="0.2">
      <c r="F766" s="220"/>
    </row>
    <row r="767" spans="6:6" ht="15.75" customHeight="1" x14ac:dyDescent="0.2">
      <c r="F767" s="220"/>
    </row>
    <row r="768" spans="6:6" ht="15.75" customHeight="1" x14ac:dyDescent="0.2">
      <c r="F768" s="220"/>
    </row>
    <row r="769" spans="6:6" ht="15.75" customHeight="1" x14ac:dyDescent="0.2">
      <c r="F769" s="220"/>
    </row>
    <row r="770" spans="6:6" ht="15.75" customHeight="1" x14ac:dyDescent="0.2">
      <c r="F770" s="220"/>
    </row>
    <row r="771" spans="6:6" ht="15.75" customHeight="1" x14ac:dyDescent="0.2">
      <c r="F771" s="220"/>
    </row>
    <row r="772" spans="6:6" ht="15.75" customHeight="1" x14ac:dyDescent="0.2">
      <c r="F772" s="220"/>
    </row>
    <row r="773" spans="6:6" ht="15.75" customHeight="1" x14ac:dyDescent="0.2">
      <c r="F773" s="220"/>
    </row>
    <row r="774" spans="6:6" ht="15.75" customHeight="1" x14ac:dyDescent="0.2">
      <c r="F774" s="220"/>
    </row>
    <row r="775" spans="6:6" ht="15.75" customHeight="1" x14ac:dyDescent="0.2">
      <c r="F775" s="220"/>
    </row>
    <row r="776" spans="6:6" ht="15.75" customHeight="1" x14ac:dyDescent="0.2">
      <c r="F776" s="220"/>
    </row>
    <row r="777" spans="6:6" ht="15.75" customHeight="1" x14ac:dyDescent="0.2">
      <c r="F777" s="220"/>
    </row>
    <row r="778" spans="6:6" ht="15.75" customHeight="1" x14ac:dyDescent="0.2">
      <c r="F778" s="220"/>
    </row>
    <row r="779" spans="6:6" ht="15.75" customHeight="1" x14ac:dyDescent="0.2">
      <c r="F779" s="220"/>
    </row>
    <row r="780" spans="6:6" ht="15.75" customHeight="1" x14ac:dyDescent="0.2">
      <c r="F780" s="220"/>
    </row>
    <row r="781" spans="6:6" ht="15.75" customHeight="1" x14ac:dyDescent="0.2">
      <c r="F781" s="220"/>
    </row>
    <row r="782" spans="6:6" ht="15.75" customHeight="1" x14ac:dyDescent="0.2">
      <c r="F782" s="220"/>
    </row>
    <row r="783" spans="6:6" ht="15.75" customHeight="1" x14ac:dyDescent="0.2">
      <c r="F783" s="220"/>
    </row>
    <row r="784" spans="6:6" ht="15.75" customHeight="1" x14ac:dyDescent="0.2">
      <c r="F784" s="220"/>
    </row>
    <row r="785" spans="6:6" ht="15.75" customHeight="1" x14ac:dyDescent="0.2">
      <c r="F785" s="220"/>
    </row>
    <row r="786" spans="6:6" ht="15.75" customHeight="1" x14ac:dyDescent="0.2">
      <c r="F786" s="220"/>
    </row>
    <row r="787" spans="6:6" ht="15.75" customHeight="1" x14ac:dyDescent="0.2">
      <c r="F787" s="220"/>
    </row>
    <row r="788" spans="6:6" ht="15.75" customHeight="1" x14ac:dyDescent="0.2">
      <c r="F788" s="220"/>
    </row>
    <row r="789" spans="6:6" ht="15.75" customHeight="1" x14ac:dyDescent="0.2">
      <c r="F789" s="220"/>
    </row>
    <row r="790" spans="6:6" ht="15.75" customHeight="1" x14ac:dyDescent="0.2">
      <c r="F790" s="220"/>
    </row>
    <row r="791" spans="6:6" ht="15.75" customHeight="1" x14ac:dyDescent="0.2">
      <c r="F791" s="220"/>
    </row>
    <row r="792" spans="6:6" ht="15.75" customHeight="1" x14ac:dyDescent="0.2">
      <c r="F792" s="220"/>
    </row>
    <row r="793" spans="6:6" ht="15.75" customHeight="1" x14ac:dyDescent="0.2">
      <c r="F793" s="220"/>
    </row>
    <row r="794" spans="6:6" ht="15.75" customHeight="1" x14ac:dyDescent="0.2">
      <c r="F794" s="220"/>
    </row>
    <row r="795" spans="6:6" ht="15.75" customHeight="1" x14ac:dyDescent="0.2">
      <c r="F795" s="220"/>
    </row>
    <row r="796" spans="6:6" ht="15.75" customHeight="1" x14ac:dyDescent="0.2">
      <c r="F796" s="220"/>
    </row>
    <row r="797" spans="6:6" ht="15.75" customHeight="1" x14ac:dyDescent="0.2">
      <c r="F797" s="220"/>
    </row>
    <row r="798" spans="6:6" ht="15.75" customHeight="1" x14ac:dyDescent="0.2">
      <c r="F798" s="220"/>
    </row>
    <row r="799" spans="6:6" ht="15.75" customHeight="1" x14ac:dyDescent="0.2">
      <c r="F799" s="220"/>
    </row>
    <row r="800" spans="6:6" ht="15.75" customHeight="1" x14ac:dyDescent="0.2">
      <c r="F800" s="220"/>
    </row>
    <row r="801" spans="6:6" ht="15.75" customHeight="1" x14ac:dyDescent="0.2">
      <c r="F801" s="220"/>
    </row>
    <row r="802" spans="6:6" ht="15.75" customHeight="1" x14ac:dyDescent="0.2">
      <c r="F802" s="220"/>
    </row>
    <row r="803" spans="6:6" ht="15.75" customHeight="1" x14ac:dyDescent="0.2">
      <c r="F803" s="220"/>
    </row>
    <row r="804" spans="6:6" ht="15.75" customHeight="1" x14ac:dyDescent="0.2">
      <c r="F804" s="220"/>
    </row>
    <row r="805" spans="6:6" ht="15.75" customHeight="1" x14ac:dyDescent="0.2">
      <c r="F805" s="220"/>
    </row>
    <row r="806" spans="6:6" ht="15.75" customHeight="1" x14ac:dyDescent="0.2">
      <c r="F806" s="220"/>
    </row>
    <row r="807" spans="6:6" ht="15.75" customHeight="1" x14ac:dyDescent="0.2">
      <c r="F807" s="220"/>
    </row>
    <row r="808" spans="6:6" ht="15.75" customHeight="1" x14ac:dyDescent="0.2">
      <c r="F808" s="220"/>
    </row>
    <row r="809" spans="6:6" ht="15.75" customHeight="1" x14ac:dyDescent="0.2">
      <c r="F809" s="220"/>
    </row>
    <row r="810" spans="6:6" ht="15.75" customHeight="1" x14ac:dyDescent="0.2">
      <c r="F810" s="220"/>
    </row>
    <row r="811" spans="6:6" ht="15.75" customHeight="1" x14ac:dyDescent="0.2">
      <c r="F811" s="220"/>
    </row>
    <row r="812" spans="6:6" ht="15.75" customHeight="1" x14ac:dyDescent="0.2">
      <c r="F812" s="220"/>
    </row>
    <row r="813" spans="6:6" ht="15.75" customHeight="1" x14ac:dyDescent="0.2">
      <c r="F813" s="220"/>
    </row>
    <row r="814" spans="6:6" ht="15.75" customHeight="1" x14ac:dyDescent="0.2">
      <c r="F814" s="220"/>
    </row>
    <row r="815" spans="6:6" ht="15.75" customHeight="1" x14ac:dyDescent="0.2">
      <c r="F815" s="220"/>
    </row>
    <row r="816" spans="6:6" ht="15.75" customHeight="1" x14ac:dyDescent="0.2">
      <c r="F816" s="220"/>
    </row>
    <row r="817" spans="6:6" ht="15.75" customHeight="1" x14ac:dyDescent="0.2">
      <c r="F817" s="220"/>
    </row>
    <row r="818" spans="6:6" ht="15.75" customHeight="1" x14ac:dyDescent="0.2">
      <c r="F818" s="220"/>
    </row>
    <row r="819" spans="6:6" ht="15.75" customHeight="1" x14ac:dyDescent="0.2">
      <c r="F819" s="220"/>
    </row>
    <row r="820" spans="6:6" ht="15.75" customHeight="1" x14ac:dyDescent="0.2">
      <c r="F820" s="220"/>
    </row>
    <row r="821" spans="6:6" ht="15.75" customHeight="1" x14ac:dyDescent="0.2">
      <c r="F821" s="220"/>
    </row>
    <row r="822" spans="6:6" ht="15.75" customHeight="1" x14ac:dyDescent="0.2">
      <c r="F822" s="220"/>
    </row>
    <row r="823" spans="6:6" ht="15.75" customHeight="1" x14ac:dyDescent="0.2">
      <c r="F823" s="220"/>
    </row>
    <row r="824" spans="6:6" ht="15.75" customHeight="1" x14ac:dyDescent="0.2">
      <c r="F824" s="220"/>
    </row>
    <row r="825" spans="6:6" ht="15.75" customHeight="1" x14ac:dyDescent="0.2">
      <c r="F825" s="220"/>
    </row>
    <row r="826" spans="6:6" ht="15.75" customHeight="1" x14ac:dyDescent="0.2">
      <c r="F826" s="220"/>
    </row>
    <row r="827" spans="6:6" ht="15.75" customHeight="1" x14ac:dyDescent="0.2">
      <c r="F827" s="220"/>
    </row>
    <row r="828" spans="6:6" ht="15.75" customHeight="1" x14ac:dyDescent="0.2">
      <c r="F828" s="220"/>
    </row>
    <row r="829" spans="6:6" ht="15.75" customHeight="1" x14ac:dyDescent="0.2">
      <c r="F829" s="220"/>
    </row>
    <row r="830" spans="6:6" ht="15.75" customHeight="1" x14ac:dyDescent="0.2">
      <c r="F830" s="220"/>
    </row>
    <row r="831" spans="6:6" ht="15.75" customHeight="1" x14ac:dyDescent="0.2">
      <c r="F831" s="220"/>
    </row>
    <row r="832" spans="6:6" ht="15.75" customHeight="1" x14ac:dyDescent="0.2">
      <c r="F832" s="220"/>
    </row>
    <row r="833" spans="6:6" ht="15.75" customHeight="1" x14ac:dyDescent="0.2">
      <c r="F833" s="220"/>
    </row>
    <row r="834" spans="6:6" ht="15.75" customHeight="1" x14ac:dyDescent="0.2">
      <c r="F834" s="220"/>
    </row>
    <row r="835" spans="6:6" ht="15.75" customHeight="1" x14ac:dyDescent="0.2">
      <c r="F835" s="220"/>
    </row>
    <row r="836" spans="6:6" ht="15.75" customHeight="1" x14ac:dyDescent="0.2">
      <c r="F836" s="220"/>
    </row>
    <row r="837" spans="6:6" ht="15.75" customHeight="1" x14ac:dyDescent="0.2">
      <c r="F837" s="220"/>
    </row>
    <row r="838" spans="6:6" ht="15.75" customHeight="1" x14ac:dyDescent="0.2">
      <c r="F838" s="220"/>
    </row>
    <row r="839" spans="6:6" ht="15.75" customHeight="1" x14ac:dyDescent="0.2">
      <c r="F839" s="220"/>
    </row>
    <row r="840" spans="6:6" ht="15.75" customHeight="1" x14ac:dyDescent="0.2">
      <c r="F840" s="220"/>
    </row>
    <row r="841" spans="6:6" ht="15.75" customHeight="1" x14ac:dyDescent="0.2">
      <c r="F841" s="220"/>
    </row>
    <row r="842" spans="6:6" ht="15.75" customHeight="1" x14ac:dyDescent="0.2">
      <c r="F842" s="220"/>
    </row>
    <row r="843" spans="6:6" ht="15.75" customHeight="1" x14ac:dyDescent="0.2">
      <c r="F843" s="220"/>
    </row>
    <row r="844" spans="6:6" ht="15.75" customHeight="1" x14ac:dyDescent="0.2">
      <c r="F844" s="220"/>
    </row>
    <row r="845" spans="6:6" ht="15.75" customHeight="1" x14ac:dyDescent="0.2">
      <c r="F845" s="220"/>
    </row>
    <row r="846" spans="6:6" ht="15.75" customHeight="1" x14ac:dyDescent="0.2">
      <c r="F846" s="220"/>
    </row>
    <row r="847" spans="6:6" ht="15.75" customHeight="1" x14ac:dyDescent="0.2">
      <c r="F847" s="220"/>
    </row>
    <row r="848" spans="6:6" ht="15.75" customHeight="1" x14ac:dyDescent="0.2">
      <c r="F848" s="220"/>
    </row>
    <row r="849" spans="6:6" ht="15.75" customHeight="1" x14ac:dyDescent="0.2">
      <c r="F849" s="220"/>
    </row>
    <row r="850" spans="6:6" ht="15.75" customHeight="1" x14ac:dyDescent="0.2">
      <c r="F850" s="220"/>
    </row>
    <row r="851" spans="6:6" ht="15.75" customHeight="1" x14ac:dyDescent="0.2">
      <c r="F851" s="220"/>
    </row>
    <row r="852" spans="6:6" ht="15.75" customHeight="1" x14ac:dyDescent="0.2">
      <c r="F852" s="220"/>
    </row>
    <row r="853" spans="6:6" ht="15.75" customHeight="1" x14ac:dyDescent="0.2">
      <c r="F853" s="220"/>
    </row>
    <row r="854" spans="6:6" ht="15.75" customHeight="1" x14ac:dyDescent="0.2">
      <c r="F854" s="220"/>
    </row>
    <row r="855" spans="6:6" ht="15.75" customHeight="1" x14ac:dyDescent="0.2">
      <c r="F855" s="220"/>
    </row>
    <row r="856" spans="6:6" ht="15.75" customHeight="1" x14ac:dyDescent="0.2">
      <c r="F856" s="220"/>
    </row>
    <row r="857" spans="6:6" ht="15.75" customHeight="1" x14ac:dyDescent="0.2">
      <c r="F857" s="220"/>
    </row>
    <row r="858" spans="6:6" ht="15.75" customHeight="1" x14ac:dyDescent="0.2">
      <c r="F858" s="220"/>
    </row>
    <row r="859" spans="6:6" ht="15.75" customHeight="1" x14ac:dyDescent="0.2">
      <c r="F859" s="220"/>
    </row>
    <row r="860" spans="6:6" ht="15.75" customHeight="1" x14ac:dyDescent="0.2">
      <c r="F860" s="220"/>
    </row>
    <row r="861" spans="6:6" ht="15.75" customHeight="1" x14ac:dyDescent="0.2">
      <c r="F861" s="220"/>
    </row>
    <row r="862" spans="6:6" ht="15.75" customHeight="1" x14ac:dyDescent="0.2">
      <c r="F862" s="220"/>
    </row>
    <row r="863" spans="6:6" ht="15.75" customHeight="1" x14ac:dyDescent="0.2">
      <c r="F863" s="220"/>
    </row>
    <row r="864" spans="6:6" ht="15.75" customHeight="1" x14ac:dyDescent="0.2">
      <c r="F864" s="220"/>
    </row>
    <row r="865" spans="6:6" ht="15.75" customHeight="1" x14ac:dyDescent="0.2">
      <c r="F865" s="220"/>
    </row>
    <row r="866" spans="6:6" ht="15.75" customHeight="1" x14ac:dyDescent="0.2">
      <c r="F866" s="220"/>
    </row>
    <row r="867" spans="6:6" ht="15.75" customHeight="1" x14ac:dyDescent="0.2">
      <c r="F867" s="220"/>
    </row>
    <row r="868" spans="6:6" ht="15.75" customHeight="1" x14ac:dyDescent="0.2">
      <c r="F868" s="220"/>
    </row>
    <row r="869" spans="6:6" ht="15.75" customHeight="1" x14ac:dyDescent="0.2">
      <c r="F869" s="220"/>
    </row>
    <row r="870" spans="6:6" ht="15.75" customHeight="1" x14ac:dyDescent="0.2">
      <c r="F870" s="220"/>
    </row>
    <row r="871" spans="6:6" ht="15.75" customHeight="1" x14ac:dyDescent="0.2">
      <c r="F871" s="220"/>
    </row>
    <row r="872" spans="6:6" ht="15.75" customHeight="1" x14ac:dyDescent="0.2">
      <c r="F872" s="220"/>
    </row>
    <row r="873" spans="6:6" ht="15.75" customHeight="1" x14ac:dyDescent="0.2">
      <c r="F873" s="220"/>
    </row>
    <row r="874" spans="6:6" ht="15.75" customHeight="1" x14ac:dyDescent="0.2">
      <c r="F874" s="220"/>
    </row>
    <row r="875" spans="6:6" ht="15.75" customHeight="1" x14ac:dyDescent="0.2">
      <c r="F875" s="220"/>
    </row>
    <row r="876" spans="6:6" ht="15.75" customHeight="1" x14ac:dyDescent="0.2">
      <c r="F876" s="220"/>
    </row>
    <row r="877" spans="6:6" ht="15.75" customHeight="1" x14ac:dyDescent="0.2">
      <c r="F877" s="220"/>
    </row>
    <row r="878" spans="6:6" ht="15.75" customHeight="1" x14ac:dyDescent="0.2">
      <c r="F878" s="220"/>
    </row>
    <row r="879" spans="6:6" ht="15.75" customHeight="1" x14ac:dyDescent="0.2">
      <c r="F879" s="220"/>
    </row>
    <row r="880" spans="6:6" ht="15.75" customHeight="1" x14ac:dyDescent="0.2">
      <c r="F880" s="220"/>
    </row>
    <row r="881" spans="6:6" ht="15.75" customHeight="1" x14ac:dyDescent="0.2">
      <c r="F881" s="220"/>
    </row>
    <row r="882" spans="6:6" ht="15.75" customHeight="1" x14ac:dyDescent="0.2">
      <c r="F882" s="220"/>
    </row>
    <row r="883" spans="6:6" ht="15.75" customHeight="1" x14ac:dyDescent="0.2">
      <c r="F883" s="220"/>
    </row>
    <row r="884" spans="6:6" ht="15.75" customHeight="1" x14ac:dyDescent="0.2">
      <c r="F884" s="220"/>
    </row>
    <row r="885" spans="6:6" ht="15.75" customHeight="1" x14ac:dyDescent="0.2">
      <c r="F885" s="220"/>
    </row>
    <row r="886" spans="6:6" ht="15.75" customHeight="1" x14ac:dyDescent="0.2">
      <c r="F886" s="220"/>
    </row>
    <row r="887" spans="6:6" ht="15.75" customHeight="1" x14ac:dyDescent="0.2">
      <c r="F887" s="220"/>
    </row>
    <row r="888" spans="6:6" ht="15.75" customHeight="1" x14ac:dyDescent="0.2">
      <c r="F888" s="220"/>
    </row>
    <row r="889" spans="6:6" ht="15.75" customHeight="1" x14ac:dyDescent="0.2">
      <c r="F889" s="220"/>
    </row>
    <row r="890" spans="6:6" ht="15.75" customHeight="1" x14ac:dyDescent="0.2">
      <c r="F890" s="220"/>
    </row>
    <row r="891" spans="6:6" ht="15.75" customHeight="1" x14ac:dyDescent="0.2">
      <c r="F891" s="220"/>
    </row>
    <row r="892" spans="6:6" ht="15.75" customHeight="1" x14ac:dyDescent="0.2">
      <c r="F892" s="220"/>
    </row>
    <row r="893" spans="6:6" ht="15.75" customHeight="1" x14ac:dyDescent="0.2">
      <c r="F893" s="220"/>
    </row>
    <row r="894" spans="6:6" ht="15.75" customHeight="1" x14ac:dyDescent="0.2">
      <c r="F894" s="220"/>
    </row>
    <row r="895" spans="6:6" ht="15.75" customHeight="1" x14ac:dyDescent="0.2">
      <c r="F895" s="220"/>
    </row>
    <row r="896" spans="6:6" ht="15.75" customHeight="1" x14ac:dyDescent="0.2">
      <c r="F896" s="220"/>
    </row>
    <row r="897" spans="6:6" ht="15.75" customHeight="1" x14ac:dyDescent="0.2">
      <c r="F897" s="220"/>
    </row>
    <row r="898" spans="6:6" ht="15.75" customHeight="1" x14ac:dyDescent="0.2">
      <c r="F898" s="220"/>
    </row>
    <row r="899" spans="6:6" ht="15.75" customHeight="1" x14ac:dyDescent="0.2">
      <c r="F899" s="220"/>
    </row>
    <row r="900" spans="6:6" ht="15.75" customHeight="1" x14ac:dyDescent="0.2">
      <c r="F900" s="220"/>
    </row>
    <row r="901" spans="6:6" ht="15.75" customHeight="1" x14ac:dyDescent="0.2">
      <c r="F901" s="220"/>
    </row>
    <row r="902" spans="6:6" ht="15.75" customHeight="1" x14ac:dyDescent="0.2">
      <c r="F902" s="220"/>
    </row>
    <row r="903" spans="6:6" ht="15.75" customHeight="1" x14ac:dyDescent="0.2">
      <c r="F903" s="220"/>
    </row>
    <row r="904" spans="6:6" ht="15.75" customHeight="1" x14ac:dyDescent="0.2">
      <c r="F904" s="220"/>
    </row>
    <row r="905" spans="6:6" ht="15.75" customHeight="1" x14ac:dyDescent="0.2">
      <c r="F905" s="220"/>
    </row>
    <row r="906" spans="6:6" ht="15.75" customHeight="1" x14ac:dyDescent="0.2">
      <c r="F906" s="220"/>
    </row>
    <row r="907" spans="6:6" ht="15.75" customHeight="1" x14ac:dyDescent="0.2">
      <c r="F907" s="220"/>
    </row>
    <row r="908" spans="6:6" ht="15.75" customHeight="1" x14ac:dyDescent="0.2">
      <c r="F908" s="220"/>
    </row>
    <row r="909" spans="6:6" ht="15.75" customHeight="1" x14ac:dyDescent="0.2">
      <c r="F909" s="220"/>
    </row>
    <row r="910" spans="6:6" ht="15.75" customHeight="1" x14ac:dyDescent="0.2">
      <c r="F910" s="220"/>
    </row>
    <row r="911" spans="6:6" ht="15.75" customHeight="1" x14ac:dyDescent="0.2">
      <c r="F911" s="220"/>
    </row>
    <row r="912" spans="6:6" ht="15.75" customHeight="1" x14ac:dyDescent="0.2">
      <c r="F912" s="220"/>
    </row>
    <row r="913" spans="6:6" ht="15.75" customHeight="1" x14ac:dyDescent="0.2">
      <c r="F913" s="220"/>
    </row>
    <row r="914" spans="6:6" ht="15.75" customHeight="1" x14ac:dyDescent="0.2">
      <c r="F914" s="220"/>
    </row>
    <row r="915" spans="6:6" ht="15.75" customHeight="1" x14ac:dyDescent="0.2">
      <c r="F915" s="220"/>
    </row>
    <row r="916" spans="6:6" ht="15.75" customHeight="1" x14ac:dyDescent="0.2">
      <c r="F916" s="220"/>
    </row>
    <row r="917" spans="6:6" ht="15.75" customHeight="1" x14ac:dyDescent="0.2">
      <c r="F917" s="220"/>
    </row>
    <row r="918" spans="6:6" ht="15.75" customHeight="1" x14ac:dyDescent="0.2">
      <c r="F918" s="220"/>
    </row>
    <row r="919" spans="6:6" ht="15.75" customHeight="1" x14ac:dyDescent="0.2">
      <c r="F919" s="220"/>
    </row>
    <row r="920" spans="6:6" ht="15.75" customHeight="1" x14ac:dyDescent="0.2">
      <c r="F920" s="220"/>
    </row>
    <row r="921" spans="6:6" ht="15.75" customHeight="1" x14ac:dyDescent="0.2">
      <c r="F921" s="220"/>
    </row>
    <row r="922" spans="6:6" ht="15.75" customHeight="1" x14ac:dyDescent="0.2">
      <c r="F922" s="220"/>
    </row>
    <row r="923" spans="6:6" ht="15.75" customHeight="1" x14ac:dyDescent="0.2">
      <c r="F923" s="220"/>
    </row>
    <row r="924" spans="6:6" ht="15.75" customHeight="1" x14ac:dyDescent="0.2">
      <c r="F924" s="220"/>
    </row>
    <row r="925" spans="6:6" ht="15.75" customHeight="1" x14ac:dyDescent="0.2">
      <c r="F925" s="220"/>
    </row>
    <row r="926" spans="6:6" ht="15.75" customHeight="1" x14ac:dyDescent="0.2">
      <c r="F926" s="220"/>
    </row>
    <row r="927" spans="6:6" ht="15.75" customHeight="1" x14ac:dyDescent="0.2">
      <c r="F927" s="220"/>
    </row>
    <row r="928" spans="6:6" ht="15.75" customHeight="1" x14ac:dyDescent="0.2">
      <c r="F928" s="220"/>
    </row>
    <row r="929" spans="6:6" ht="15.75" customHeight="1" x14ac:dyDescent="0.2">
      <c r="F929" s="220"/>
    </row>
    <row r="930" spans="6:6" ht="15.75" customHeight="1" x14ac:dyDescent="0.2">
      <c r="F930" s="220"/>
    </row>
    <row r="931" spans="6:6" ht="15.75" customHeight="1" x14ac:dyDescent="0.2">
      <c r="F931" s="220"/>
    </row>
    <row r="932" spans="6:6" ht="15.75" customHeight="1" x14ac:dyDescent="0.2">
      <c r="F932" s="220"/>
    </row>
    <row r="933" spans="6:6" ht="15.75" customHeight="1" x14ac:dyDescent="0.2">
      <c r="F933" s="220"/>
    </row>
    <row r="934" spans="6:6" ht="15.75" customHeight="1" x14ac:dyDescent="0.2">
      <c r="F934" s="220"/>
    </row>
    <row r="935" spans="6:6" ht="15.75" customHeight="1" x14ac:dyDescent="0.2">
      <c r="F935" s="220"/>
    </row>
    <row r="936" spans="6:6" ht="15.75" customHeight="1" x14ac:dyDescent="0.2">
      <c r="F936" s="220"/>
    </row>
    <row r="937" spans="6:6" ht="15.75" customHeight="1" x14ac:dyDescent="0.2">
      <c r="F937" s="220"/>
    </row>
    <row r="938" spans="6:6" ht="15.75" customHeight="1" x14ac:dyDescent="0.2">
      <c r="F938" s="220"/>
    </row>
    <row r="939" spans="6:6" ht="15.75" customHeight="1" x14ac:dyDescent="0.2">
      <c r="F939" s="220"/>
    </row>
    <row r="940" spans="6:6" ht="15.75" customHeight="1" x14ac:dyDescent="0.2">
      <c r="F940" s="220"/>
    </row>
    <row r="941" spans="6:6" ht="15.75" customHeight="1" x14ac:dyDescent="0.2">
      <c r="F941" s="220"/>
    </row>
    <row r="942" spans="6:6" ht="15.75" customHeight="1" x14ac:dyDescent="0.2">
      <c r="F942" s="220"/>
    </row>
    <row r="943" spans="6:6" ht="15.75" customHeight="1" x14ac:dyDescent="0.2">
      <c r="F943" s="220"/>
    </row>
    <row r="944" spans="6:6" ht="15.75" customHeight="1" x14ac:dyDescent="0.2">
      <c r="F944" s="220"/>
    </row>
    <row r="945" spans="6:6" ht="15.75" customHeight="1" x14ac:dyDescent="0.2">
      <c r="F945" s="220"/>
    </row>
    <row r="946" spans="6:6" ht="15.75" customHeight="1" x14ac:dyDescent="0.2">
      <c r="F946" s="220"/>
    </row>
    <row r="947" spans="6:6" ht="15.75" customHeight="1" x14ac:dyDescent="0.2">
      <c r="F947" s="220"/>
    </row>
    <row r="948" spans="6:6" ht="15.75" customHeight="1" x14ac:dyDescent="0.2">
      <c r="F948" s="220"/>
    </row>
    <row r="949" spans="6:6" ht="15.75" customHeight="1" x14ac:dyDescent="0.2">
      <c r="F949" s="220"/>
    </row>
    <row r="950" spans="6:6" ht="15.75" customHeight="1" x14ac:dyDescent="0.2">
      <c r="F950" s="220"/>
    </row>
    <row r="951" spans="6:6" ht="15.75" customHeight="1" x14ac:dyDescent="0.2">
      <c r="F951" s="220"/>
    </row>
    <row r="952" spans="6:6" ht="15.75" customHeight="1" x14ac:dyDescent="0.2">
      <c r="F952" s="220"/>
    </row>
    <row r="953" spans="6:6" ht="15.75" customHeight="1" x14ac:dyDescent="0.2">
      <c r="F953" s="220"/>
    </row>
    <row r="954" spans="6:6" ht="15.75" customHeight="1" x14ac:dyDescent="0.2">
      <c r="F954" s="220"/>
    </row>
    <row r="955" spans="6:6" ht="15.75" customHeight="1" x14ac:dyDescent="0.2">
      <c r="F955" s="220"/>
    </row>
    <row r="956" spans="6:6" ht="15.75" customHeight="1" x14ac:dyDescent="0.2">
      <c r="F956" s="220"/>
    </row>
    <row r="957" spans="6:6" ht="15.75" customHeight="1" x14ac:dyDescent="0.2">
      <c r="F957" s="220"/>
    </row>
    <row r="958" spans="6:6" ht="15.75" customHeight="1" x14ac:dyDescent="0.2">
      <c r="F958" s="220"/>
    </row>
    <row r="959" spans="6:6" ht="15.75" customHeight="1" x14ac:dyDescent="0.2">
      <c r="F959" s="220"/>
    </row>
    <row r="960" spans="6:6" ht="15.75" customHeight="1" x14ac:dyDescent="0.2">
      <c r="F960" s="220"/>
    </row>
    <row r="961" spans="6:6" ht="15.75" customHeight="1" x14ac:dyDescent="0.2">
      <c r="F961" s="220"/>
    </row>
    <row r="962" spans="6:6" ht="15.75" customHeight="1" x14ac:dyDescent="0.2">
      <c r="F962" s="220"/>
    </row>
    <row r="963" spans="6:6" ht="15.75" customHeight="1" x14ac:dyDescent="0.2">
      <c r="F963" s="220"/>
    </row>
    <row r="964" spans="6:6" ht="15.75" customHeight="1" x14ac:dyDescent="0.2">
      <c r="F964" s="220"/>
    </row>
    <row r="965" spans="6:6" ht="15.75" customHeight="1" x14ac:dyDescent="0.2">
      <c r="F965" s="220"/>
    </row>
    <row r="966" spans="6:6" ht="15.75" customHeight="1" x14ac:dyDescent="0.2">
      <c r="F966" s="220"/>
    </row>
    <row r="967" spans="6:6" ht="15.75" customHeight="1" x14ac:dyDescent="0.2">
      <c r="F967" s="220"/>
    </row>
    <row r="968" spans="6:6" ht="15.75" customHeight="1" x14ac:dyDescent="0.2">
      <c r="F968" s="220"/>
    </row>
    <row r="969" spans="6:6" ht="15.75" customHeight="1" x14ac:dyDescent="0.2">
      <c r="F969" s="220"/>
    </row>
    <row r="970" spans="6:6" ht="15.75" customHeight="1" x14ac:dyDescent="0.2">
      <c r="F970" s="220"/>
    </row>
    <row r="971" spans="6:6" ht="15.75" customHeight="1" x14ac:dyDescent="0.2">
      <c r="F971" s="220"/>
    </row>
    <row r="972" spans="6:6" ht="15.75" customHeight="1" x14ac:dyDescent="0.2">
      <c r="F972" s="220"/>
    </row>
    <row r="973" spans="6:6" ht="15.75" customHeight="1" x14ac:dyDescent="0.2">
      <c r="F973" s="220"/>
    </row>
    <row r="974" spans="6:6" ht="15.75" customHeight="1" x14ac:dyDescent="0.2">
      <c r="F974" s="220"/>
    </row>
    <row r="975" spans="6:6" ht="15.75" customHeight="1" x14ac:dyDescent="0.2">
      <c r="F975" s="220"/>
    </row>
    <row r="976" spans="6:6" ht="15.75" customHeight="1" x14ac:dyDescent="0.2">
      <c r="F976" s="220"/>
    </row>
    <row r="977" spans="6:6" ht="15.75" customHeight="1" x14ac:dyDescent="0.2">
      <c r="F977" s="220"/>
    </row>
    <row r="978" spans="6:6" ht="15.75" customHeight="1" x14ac:dyDescent="0.2">
      <c r="F978" s="220"/>
    </row>
    <row r="979" spans="6:6" ht="15.75" customHeight="1" x14ac:dyDescent="0.2">
      <c r="F979" s="220"/>
    </row>
    <row r="980" spans="6:6" ht="15.75" customHeight="1" x14ac:dyDescent="0.2">
      <c r="F980" s="220"/>
    </row>
    <row r="981" spans="6:6" ht="15.75" customHeight="1" x14ac:dyDescent="0.2">
      <c r="F981" s="220"/>
    </row>
    <row r="982" spans="6:6" ht="15.75" customHeight="1" x14ac:dyDescent="0.2">
      <c r="F982" s="220"/>
    </row>
    <row r="983" spans="6:6" ht="15.75" customHeight="1" x14ac:dyDescent="0.2">
      <c r="F983" s="220"/>
    </row>
    <row r="984" spans="6:6" ht="15.75" customHeight="1" x14ac:dyDescent="0.2">
      <c r="F984" s="220"/>
    </row>
    <row r="985" spans="6:6" ht="15.75" customHeight="1" x14ac:dyDescent="0.2">
      <c r="F985" s="220"/>
    </row>
    <row r="986" spans="6:6" ht="15.75" customHeight="1" x14ac:dyDescent="0.2">
      <c r="F986" s="220"/>
    </row>
    <row r="987" spans="6:6" ht="15.75" customHeight="1" x14ac:dyDescent="0.2">
      <c r="F987" s="220"/>
    </row>
    <row r="988" spans="6:6" ht="15.75" customHeight="1" x14ac:dyDescent="0.2">
      <c r="F988" s="220"/>
    </row>
    <row r="989" spans="6:6" ht="15.75" customHeight="1" x14ac:dyDescent="0.2">
      <c r="F989" s="220"/>
    </row>
    <row r="990" spans="6:6" ht="15.75" customHeight="1" x14ac:dyDescent="0.2">
      <c r="F990" s="220"/>
    </row>
    <row r="991" spans="6:6" ht="15.75" customHeight="1" x14ac:dyDescent="0.2">
      <c r="F991" s="220"/>
    </row>
    <row r="992" spans="6:6" ht="15.75" customHeight="1" x14ac:dyDescent="0.2">
      <c r="F992" s="220"/>
    </row>
    <row r="993" spans="6:6" ht="15.75" customHeight="1" x14ac:dyDescent="0.2">
      <c r="F993" s="220"/>
    </row>
    <row r="994" spans="6:6" ht="15.75" customHeight="1" x14ac:dyDescent="0.2">
      <c r="F994" s="220"/>
    </row>
    <row r="995" spans="6:6" ht="15.75" customHeight="1" x14ac:dyDescent="0.2">
      <c r="F995" s="220"/>
    </row>
    <row r="996" spans="6:6" ht="15.75" customHeight="1" x14ac:dyDescent="0.2">
      <c r="F996" s="220"/>
    </row>
    <row r="997" spans="6:6" ht="15.75" customHeight="1" x14ac:dyDescent="0.2">
      <c r="F997" s="220"/>
    </row>
    <row r="998" spans="6:6" ht="15.75" customHeight="1" x14ac:dyDescent="0.2">
      <c r="F998" s="220"/>
    </row>
    <row r="999" spans="6:6" ht="15.75" customHeight="1" x14ac:dyDescent="0.2">
      <c r="F999" s="220"/>
    </row>
    <row r="1000" spans="6:6" ht="15.75" customHeight="1" x14ac:dyDescent="0.2">
      <c r="F1000" s="220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J1000"/>
  <sheetViews>
    <sheetView workbookViewId="0">
      <pane xSplit="1" topLeftCell="G1" activePane="topRight" state="frozen"/>
      <selection pane="topRight" activeCell="X3" sqref="X3"/>
    </sheetView>
  </sheetViews>
  <sheetFormatPr defaultColWidth="12.5703125" defaultRowHeight="15" customHeight="1" x14ac:dyDescent="0.2"/>
  <cols>
    <col min="1" max="1" width="18.42578125" customWidth="1"/>
    <col min="2" max="2" width="10.42578125" customWidth="1"/>
    <col min="3" max="3" width="8.28515625" customWidth="1"/>
    <col min="4" max="4" width="8.7109375" customWidth="1"/>
    <col min="5" max="5" width="10.28515625" customWidth="1"/>
    <col min="6" max="6" width="7.5703125" customWidth="1"/>
    <col min="7" max="8" width="9.7109375" customWidth="1"/>
    <col min="9" max="9" width="7.7109375" customWidth="1"/>
    <col min="10" max="10" width="9.140625" customWidth="1"/>
    <col min="11" max="11" width="8.42578125" customWidth="1"/>
    <col min="12" max="12" width="9.42578125" customWidth="1"/>
    <col min="13" max="13" width="9" customWidth="1"/>
    <col min="14" max="14" width="8.42578125" customWidth="1"/>
    <col min="15" max="15" width="10.7109375" hidden="1" customWidth="1"/>
    <col min="16" max="16" width="11.42578125" customWidth="1"/>
    <col min="17" max="19" width="6.42578125" customWidth="1"/>
    <col min="20" max="20" width="9.42578125" customWidth="1"/>
    <col min="21" max="21" width="8.28515625" customWidth="1"/>
    <col min="22" max="22" width="7.7109375" customWidth="1"/>
    <col min="23" max="23" width="8.85546875" customWidth="1"/>
    <col min="24" max="24" width="8.140625" customWidth="1"/>
    <col min="25" max="26" width="12.28515625" customWidth="1"/>
    <col min="27" max="27" width="14" customWidth="1"/>
    <col min="28" max="28" width="12.7109375" customWidth="1"/>
    <col min="29" max="29" width="10" customWidth="1"/>
    <col min="30" max="30" width="12.42578125" customWidth="1"/>
    <col min="31" max="31" width="7" customWidth="1"/>
  </cols>
  <sheetData>
    <row r="1" spans="1:36" ht="21.75" customHeight="1" x14ac:dyDescent="0.2">
      <c r="A1" s="129"/>
      <c r="B1" s="168"/>
      <c r="C1" s="168"/>
      <c r="D1" s="130"/>
      <c r="E1" s="130"/>
      <c r="F1" s="130"/>
      <c r="G1" s="130"/>
      <c r="H1" s="130"/>
      <c r="I1" s="130"/>
      <c r="J1" s="129"/>
      <c r="K1" s="129"/>
      <c r="L1" s="129"/>
      <c r="M1" s="88" t="s">
        <v>1</v>
      </c>
      <c r="N1" s="129"/>
      <c r="O1" s="129"/>
      <c r="P1" s="130"/>
      <c r="Q1" s="130"/>
      <c r="R1" s="130"/>
      <c r="S1" s="130"/>
      <c r="T1" s="130"/>
      <c r="U1" s="130"/>
      <c r="V1" s="130"/>
      <c r="W1" s="130"/>
      <c r="X1" s="130"/>
      <c r="Y1" s="129"/>
      <c r="Z1" s="129"/>
      <c r="AA1" s="130"/>
      <c r="AB1" s="130"/>
      <c r="AC1" s="130"/>
      <c r="AD1" s="130"/>
      <c r="AE1" s="130"/>
      <c r="AF1" s="130"/>
      <c r="AG1" s="130"/>
      <c r="AH1" s="130"/>
      <c r="AI1" s="130"/>
    </row>
    <row r="2" spans="1:36" ht="15.75" customHeight="1" x14ac:dyDescent="0.2">
      <c r="A2" s="129"/>
      <c r="B2" s="168"/>
      <c r="C2" s="168"/>
      <c r="D2" s="130"/>
      <c r="E2" s="130"/>
      <c r="F2" s="130"/>
      <c r="G2" s="130"/>
      <c r="H2" s="130"/>
      <c r="I2" s="130"/>
      <c r="J2" s="133" t="s">
        <v>2</v>
      </c>
      <c r="K2" s="133">
        <v>8000</v>
      </c>
      <c r="L2" s="41"/>
      <c r="M2" s="135">
        <v>200000</v>
      </c>
      <c r="N2" s="129"/>
      <c r="O2" s="8">
        <v>0</v>
      </c>
      <c r="P2" s="130"/>
      <c r="Q2" s="130">
        <v>250</v>
      </c>
      <c r="R2" s="130">
        <v>200</v>
      </c>
      <c r="S2" s="130">
        <v>150</v>
      </c>
      <c r="T2" s="130"/>
      <c r="U2" s="130"/>
      <c r="V2" s="9">
        <v>0.12</v>
      </c>
      <c r="W2" s="130"/>
      <c r="X2" s="9">
        <v>7.0000000000000007E-2</v>
      </c>
      <c r="Y2" s="129"/>
      <c r="Z2" s="129"/>
      <c r="AA2" s="130"/>
      <c r="AB2" s="130"/>
      <c r="AC2" s="130"/>
      <c r="AD2" s="130"/>
      <c r="AE2" s="130"/>
      <c r="AF2" s="130"/>
      <c r="AG2" s="130"/>
      <c r="AH2" s="130"/>
      <c r="AI2" s="130"/>
    </row>
    <row r="3" spans="1:36" ht="23.25" customHeight="1" x14ac:dyDescent="0.2">
      <c r="A3" s="136" t="s">
        <v>336</v>
      </c>
      <c r="B3" s="171" t="s">
        <v>4</v>
      </c>
      <c r="C3" s="171" t="s">
        <v>337</v>
      </c>
      <c r="D3" s="136" t="s">
        <v>338</v>
      </c>
      <c r="E3" s="221" t="s">
        <v>481</v>
      </c>
      <c r="F3" s="136" t="s">
        <v>340</v>
      </c>
      <c r="G3" s="136" t="s">
        <v>341</v>
      </c>
      <c r="H3" s="136" t="s">
        <v>342</v>
      </c>
      <c r="I3" s="136" t="s">
        <v>9</v>
      </c>
      <c r="J3" s="136" t="s">
        <v>10</v>
      </c>
      <c r="K3" s="136" t="s">
        <v>11</v>
      </c>
      <c r="L3" s="10" t="s">
        <v>12</v>
      </c>
      <c r="M3" s="136" t="s">
        <v>13</v>
      </c>
      <c r="N3" s="136" t="s">
        <v>14</v>
      </c>
      <c r="O3" s="136"/>
      <c r="P3" s="136" t="s">
        <v>15</v>
      </c>
      <c r="Q3" s="136" t="s">
        <v>16</v>
      </c>
      <c r="R3" s="136" t="s">
        <v>17</v>
      </c>
      <c r="S3" s="10" t="s">
        <v>18</v>
      </c>
      <c r="T3" s="136" t="s">
        <v>19</v>
      </c>
      <c r="U3" s="136" t="s">
        <v>20</v>
      </c>
      <c r="V3" s="136" t="s">
        <v>21</v>
      </c>
      <c r="W3" s="136" t="s">
        <v>22</v>
      </c>
      <c r="X3" s="136" t="s">
        <v>23</v>
      </c>
      <c r="Y3" s="136" t="s">
        <v>24</v>
      </c>
      <c r="Z3" s="136" t="s">
        <v>25</v>
      </c>
      <c r="AA3" s="136"/>
      <c r="AB3" s="136" t="s">
        <v>26</v>
      </c>
      <c r="AC3" s="136" t="s">
        <v>27</v>
      </c>
      <c r="AD3" s="136" t="s">
        <v>28</v>
      </c>
      <c r="AE3" s="136" t="s">
        <v>29</v>
      </c>
      <c r="AF3" s="10" t="s">
        <v>30</v>
      </c>
      <c r="AG3" s="45" t="s">
        <v>31</v>
      </c>
      <c r="AH3" s="45" t="s">
        <v>32</v>
      </c>
      <c r="AI3" s="45" t="s">
        <v>33</v>
      </c>
      <c r="AJ3" s="45" t="s">
        <v>34</v>
      </c>
    </row>
    <row r="4" spans="1:36" ht="15.75" customHeight="1" x14ac:dyDescent="0.2">
      <c r="A4" s="257" t="s">
        <v>343</v>
      </c>
      <c r="B4" s="264">
        <f t="shared" ref="B4:B13" si="0">C4+E4+G4</f>
        <v>175.25</v>
      </c>
      <c r="C4" s="257">
        <v>157.41</v>
      </c>
      <c r="D4" s="264">
        <f t="shared" ref="D4:D28" si="1">C4*10.764</f>
        <v>1694.36124</v>
      </c>
      <c r="E4" s="257">
        <v>17.84</v>
      </c>
      <c r="F4" s="264">
        <f t="shared" ref="F4:F28" si="2">E4*10.764</f>
        <v>192.02975999999998</v>
      </c>
      <c r="G4" s="257">
        <v>0</v>
      </c>
      <c r="H4" s="257">
        <f t="shared" ref="H4:H28" si="3">G4*10.764</f>
        <v>0</v>
      </c>
      <c r="I4" s="264">
        <f t="shared" ref="I4:I28" si="4">D4+F4+H4</f>
        <v>1886.3909999999998</v>
      </c>
      <c r="J4" s="264">
        <f t="shared" ref="J4:J28" si="5">(D4+F4+(H4/2))*1.45</f>
        <v>2735.2669499999997</v>
      </c>
      <c r="K4" s="257">
        <f t="shared" ref="K4:K28" si="6">J4*$K$2</f>
        <v>21882135.599999998</v>
      </c>
      <c r="L4" s="257">
        <v>500000</v>
      </c>
      <c r="M4" s="265">
        <v>400000</v>
      </c>
      <c r="N4" s="257">
        <f t="shared" ref="N4:N28" si="7">SUM(K4:M4)</f>
        <v>22782135.599999998</v>
      </c>
      <c r="O4" s="257">
        <f t="shared" ref="O4:O28" si="8">($O$2*N4)</f>
        <v>0</v>
      </c>
      <c r="P4" s="257">
        <f t="shared" ref="P4:P28" si="9">N4-O4</f>
        <v>22782135.599999998</v>
      </c>
      <c r="Q4" s="257">
        <f t="shared" ref="Q4:Q28" si="10">J4*$Q$2</f>
        <v>683816.73749999993</v>
      </c>
      <c r="R4" s="257">
        <f t="shared" ref="R4:R28" si="11">J4*$R$2</f>
        <v>547053.3899999999</v>
      </c>
      <c r="S4" s="257">
        <f t="shared" ref="S4:S28" si="12">J4*$S$2</f>
        <v>410290.04249999998</v>
      </c>
      <c r="T4" s="257">
        <f t="shared" ref="T4:T28" si="13">SUM(P4:S4)</f>
        <v>24423295.77</v>
      </c>
      <c r="U4" s="257">
        <v>30000</v>
      </c>
      <c r="V4" s="257">
        <f t="shared" ref="V4:V28" si="14">$V$2*P4</f>
        <v>2733856.2719999994</v>
      </c>
      <c r="W4" s="257">
        <f t="shared" ref="W4:W28" si="15">(12%*Q4)+(12%*R4)</f>
        <v>147704.41529999996</v>
      </c>
      <c r="X4" s="257">
        <f t="shared" ref="X4:X28" si="16">CEILING(($X$2*P4),100)</f>
        <v>1594800</v>
      </c>
      <c r="Y4" s="257">
        <v>6000</v>
      </c>
      <c r="Z4" s="257">
        <f t="shared" ref="Z4:Z28" si="17">SUM(T4:Y4)</f>
        <v>28935656.4573</v>
      </c>
      <c r="AA4" s="257"/>
      <c r="AB4" s="257"/>
      <c r="AC4" s="257"/>
      <c r="AD4" s="257"/>
      <c r="AE4" s="257"/>
      <c r="AF4" s="240" t="s">
        <v>550</v>
      </c>
      <c r="AG4" s="241" t="s">
        <v>551</v>
      </c>
      <c r="AH4" s="240" t="s">
        <v>45</v>
      </c>
      <c r="AI4" s="185" t="s">
        <v>45</v>
      </c>
      <c r="AJ4" s="188" t="s">
        <v>484</v>
      </c>
    </row>
    <row r="5" spans="1:36" ht="15.75" customHeight="1" x14ac:dyDescent="0.2">
      <c r="A5" s="244" t="s">
        <v>350</v>
      </c>
      <c r="B5" s="245">
        <f t="shared" si="0"/>
        <v>162.51</v>
      </c>
      <c r="C5" s="245">
        <v>141.72</v>
      </c>
      <c r="D5" s="245">
        <f t="shared" si="1"/>
        <v>1525.47408</v>
      </c>
      <c r="E5" s="245">
        <v>20.79</v>
      </c>
      <c r="F5" s="245">
        <f t="shared" si="2"/>
        <v>223.78355999999997</v>
      </c>
      <c r="G5" s="245">
        <v>0</v>
      </c>
      <c r="H5" s="245">
        <f t="shared" si="3"/>
        <v>0</v>
      </c>
      <c r="I5" s="245">
        <f t="shared" si="4"/>
        <v>1749.2576399999998</v>
      </c>
      <c r="J5" s="245">
        <f t="shared" si="5"/>
        <v>2536.4235779999995</v>
      </c>
      <c r="K5" s="246">
        <f t="shared" si="6"/>
        <v>20291388.623999994</v>
      </c>
      <c r="L5" s="246">
        <v>500000</v>
      </c>
      <c r="M5" s="247">
        <v>400000</v>
      </c>
      <c r="N5" s="248">
        <f t="shared" si="7"/>
        <v>21191388.623999994</v>
      </c>
      <c r="O5" s="248">
        <f t="shared" si="8"/>
        <v>0</v>
      </c>
      <c r="P5" s="246">
        <f t="shared" si="9"/>
        <v>21191388.623999994</v>
      </c>
      <c r="Q5" s="246">
        <f t="shared" si="10"/>
        <v>634105.89449999982</v>
      </c>
      <c r="R5" s="246">
        <f t="shared" si="11"/>
        <v>507284.71559999988</v>
      </c>
      <c r="S5" s="246">
        <f t="shared" si="12"/>
        <v>380463.53669999994</v>
      </c>
      <c r="T5" s="246">
        <f t="shared" si="13"/>
        <v>22713242.770799991</v>
      </c>
      <c r="U5" s="246">
        <v>30000</v>
      </c>
      <c r="V5" s="246">
        <f t="shared" si="14"/>
        <v>2542966.6348799993</v>
      </c>
      <c r="W5" s="246">
        <f t="shared" si="15"/>
        <v>136966.87321199995</v>
      </c>
      <c r="X5" s="246">
        <f t="shared" si="16"/>
        <v>1483400</v>
      </c>
      <c r="Y5" s="248">
        <v>6000</v>
      </c>
      <c r="Z5" s="248">
        <f t="shared" si="17"/>
        <v>26912576.278891988</v>
      </c>
      <c r="AA5" s="249" t="s">
        <v>487</v>
      </c>
      <c r="AB5" s="250"/>
      <c r="AC5" s="250"/>
      <c r="AD5" s="250"/>
      <c r="AE5" s="250"/>
      <c r="AF5" s="251" t="s">
        <v>552</v>
      </c>
      <c r="AG5" s="252" t="s">
        <v>553</v>
      </c>
      <c r="AH5" s="251" t="s">
        <v>45</v>
      </c>
      <c r="AI5" s="250" t="s">
        <v>45</v>
      </c>
      <c r="AJ5" s="253" t="s">
        <v>484</v>
      </c>
    </row>
    <row r="6" spans="1:36" ht="15.75" customHeight="1" x14ac:dyDescent="0.2">
      <c r="A6" s="244" t="s">
        <v>355</v>
      </c>
      <c r="B6" s="245">
        <f t="shared" si="0"/>
        <v>102.72</v>
      </c>
      <c r="C6" s="245">
        <v>86.13</v>
      </c>
      <c r="D6" s="245">
        <f t="shared" si="1"/>
        <v>927.10331999999994</v>
      </c>
      <c r="E6" s="245">
        <v>16.59</v>
      </c>
      <c r="F6" s="245">
        <f t="shared" si="2"/>
        <v>178.57476</v>
      </c>
      <c r="G6" s="245">
        <v>0</v>
      </c>
      <c r="H6" s="245">
        <f t="shared" si="3"/>
        <v>0</v>
      </c>
      <c r="I6" s="245">
        <f t="shared" si="4"/>
        <v>1105.6780799999999</v>
      </c>
      <c r="J6" s="245">
        <f t="shared" si="5"/>
        <v>1603.2332159999999</v>
      </c>
      <c r="K6" s="246">
        <f t="shared" si="6"/>
        <v>12825865.727999998</v>
      </c>
      <c r="L6" s="246">
        <v>500000</v>
      </c>
      <c r="M6" s="247">
        <v>400000</v>
      </c>
      <c r="N6" s="248">
        <f t="shared" si="7"/>
        <v>13725865.727999998</v>
      </c>
      <c r="O6" s="248">
        <f t="shared" si="8"/>
        <v>0</v>
      </c>
      <c r="P6" s="246">
        <f t="shared" si="9"/>
        <v>13725865.727999998</v>
      </c>
      <c r="Q6" s="246">
        <f t="shared" si="10"/>
        <v>400808.30399999995</v>
      </c>
      <c r="R6" s="246">
        <f t="shared" si="11"/>
        <v>320646.64319999999</v>
      </c>
      <c r="S6" s="246">
        <f t="shared" si="12"/>
        <v>240484.98239999998</v>
      </c>
      <c r="T6" s="246">
        <f t="shared" si="13"/>
        <v>14687805.657599999</v>
      </c>
      <c r="U6" s="246">
        <v>30000</v>
      </c>
      <c r="V6" s="246">
        <f t="shared" si="14"/>
        <v>1647103.8873599998</v>
      </c>
      <c r="W6" s="246">
        <f t="shared" si="15"/>
        <v>86574.593663999985</v>
      </c>
      <c r="X6" s="246">
        <f t="shared" si="16"/>
        <v>960900</v>
      </c>
      <c r="Y6" s="248">
        <v>6000</v>
      </c>
      <c r="Z6" s="248">
        <f t="shared" si="17"/>
        <v>17418384.138623998</v>
      </c>
      <c r="AA6" s="249" t="s">
        <v>487</v>
      </c>
      <c r="AB6" s="250"/>
      <c r="AC6" s="250"/>
      <c r="AD6" s="250"/>
      <c r="AE6" s="250"/>
      <c r="AF6" s="251" t="s">
        <v>554</v>
      </c>
      <c r="AG6" s="252" t="s">
        <v>555</v>
      </c>
      <c r="AH6" s="251" t="s">
        <v>45</v>
      </c>
      <c r="AI6" s="250" t="s">
        <v>45</v>
      </c>
      <c r="AJ6" s="253" t="s">
        <v>484</v>
      </c>
    </row>
    <row r="7" spans="1:36" ht="15.75" customHeight="1" x14ac:dyDescent="0.2">
      <c r="A7" s="244" t="s">
        <v>359</v>
      </c>
      <c r="B7" s="245">
        <f t="shared" si="0"/>
        <v>117.42999999999999</v>
      </c>
      <c r="C7" s="245">
        <v>100.69</v>
      </c>
      <c r="D7" s="245">
        <f t="shared" si="1"/>
        <v>1083.8271599999998</v>
      </c>
      <c r="E7" s="245">
        <v>16.739999999999998</v>
      </c>
      <c r="F7" s="245">
        <f t="shared" si="2"/>
        <v>180.18935999999997</v>
      </c>
      <c r="G7" s="245">
        <v>0</v>
      </c>
      <c r="H7" s="245">
        <f t="shared" si="3"/>
        <v>0</v>
      </c>
      <c r="I7" s="245">
        <f t="shared" si="4"/>
        <v>1264.0165199999997</v>
      </c>
      <c r="J7" s="245">
        <f t="shared" si="5"/>
        <v>1832.8239539999995</v>
      </c>
      <c r="K7" s="246">
        <f t="shared" si="6"/>
        <v>14662591.631999996</v>
      </c>
      <c r="L7" s="246">
        <v>500000</v>
      </c>
      <c r="M7" s="247">
        <v>400000</v>
      </c>
      <c r="N7" s="248">
        <f t="shared" si="7"/>
        <v>15562591.631999996</v>
      </c>
      <c r="O7" s="248">
        <f t="shared" si="8"/>
        <v>0</v>
      </c>
      <c r="P7" s="246">
        <f t="shared" si="9"/>
        <v>15562591.631999996</v>
      </c>
      <c r="Q7" s="246">
        <f t="shared" si="10"/>
        <v>458205.98849999986</v>
      </c>
      <c r="R7" s="246">
        <f t="shared" si="11"/>
        <v>366564.7907999999</v>
      </c>
      <c r="S7" s="246">
        <f t="shared" si="12"/>
        <v>274923.59309999994</v>
      </c>
      <c r="T7" s="246">
        <f t="shared" si="13"/>
        <v>16662286.004399994</v>
      </c>
      <c r="U7" s="246">
        <v>30000</v>
      </c>
      <c r="V7" s="246">
        <f t="shared" si="14"/>
        <v>1867510.9958399993</v>
      </c>
      <c r="W7" s="246">
        <f t="shared" si="15"/>
        <v>98972.493515999959</v>
      </c>
      <c r="X7" s="246">
        <f t="shared" si="16"/>
        <v>1089400</v>
      </c>
      <c r="Y7" s="248">
        <v>6000</v>
      </c>
      <c r="Z7" s="248">
        <f t="shared" si="17"/>
        <v>19754169.493755993</v>
      </c>
      <c r="AA7" s="249" t="s">
        <v>487</v>
      </c>
      <c r="AB7" s="250"/>
      <c r="AC7" s="250"/>
      <c r="AD7" s="250"/>
      <c r="AE7" s="250"/>
      <c r="AF7" s="251" t="s">
        <v>556</v>
      </c>
      <c r="AG7" s="252" t="s">
        <v>557</v>
      </c>
      <c r="AH7" s="251" t="s">
        <v>45</v>
      </c>
      <c r="AI7" s="250" t="s">
        <v>45</v>
      </c>
      <c r="AJ7" s="253" t="s">
        <v>484</v>
      </c>
    </row>
    <row r="8" spans="1:36" ht="15.75" customHeight="1" x14ac:dyDescent="0.2">
      <c r="A8" s="244" t="s">
        <v>363</v>
      </c>
      <c r="B8" s="245">
        <f t="shared" si="0"/>
        <v>51.209999999999994</v>
      </c>
      <c r="C8" s="245">
        <v>44.12</v>
      </c>
      <c r="D8" s="245">
        <f t="shared" si="1"/>
        <v>474.90767999999997</v>
      </c>
      <c r="E8" s="245">
        <v>7.09</v>
      </c>
      <c r="F8" s="245">
        <f t="shared" si="2"/>
        <v>76.316759999999988</v>
      </c>
      <c r="G8" s="245">
        <v>0</v>
      </c>
      <c r="H8" s="245">
        <f t="shared" si="3"/>
        <v>0</v>
      </c>
      <c r="I8" s="245">
        <f t="shared" si="4"/>
        <v>551.22443999999996</v>
      </c>
      <c r="J8" s="245">
        <f t="shared" si="5"/>
        <v>799.27543799999989</v>
      </c>
      <c r="K8" s="246">
        <f t="shared" si="6"/>
        <v>6394203.5039999988</v>
      </c>
      <c r="L8" s="246">
        <v>300000</v>
      </c>
      <c r="M8" s="247">
        <v>200000</v>
      </c>
      <c r="N8" s="248">
        <f t="shared" si="7"/>
        <v>6894203.5039999988</v>
      </c>
      <c r="O8" s="248">
        <f t="shared" si="8"/>
        <v>0</v>
      </c>
      <c r="P8" s="246">
        <f t="shared" si="9"/>
        <v>6894203.5039999988</v>
      </c>
      <c r="Q8" s="246">
        <f t="shared" si="10"/>
        <v>199818.85949999996</v>
      </c>
      <c r="R8" s="246">
        <f t="shared" si="11"/>
        <v>159855.08759999997</v>
      </c>
      <c r="S8" s="246">
        <f t="shared" si="12"/>
        <v>119891.31569999998</v>
      </c>
      <c r="T8" s="246">
        <f t="shared" si="13"/>
        <v>7373768.7667999994</v>
      </c>
      <c r="U8" s="246">
        <v>30000</v>
      </c>
      <c r="V8" s="246">
        <f t="shared" si="14"/>
        <v>827304.42047999986</v>
      </c>
      <c r="W8" s="246">
        <f t="shared" si="15"/>
        <v>43160.873651999995</v>
      </c>
      <c r="X8" s="246">
        <f t="shared" si="16"/>
        <v>482600</v>
      </c>
      <c r="Y8" s="248">
        <v>6000</v>
      </c>
      <c r="Z8" s="248">
        <f t="shared" si="17"/>
        <v>8762834.0609319992</v>
      </c>
      <c r="AA8" s="249" t="s">
        <v>487</v>
      </c>
      <c r="AB8" s="250"/>
      <c r="AC8" s="250"/>
      <c r="AD8" s="250"/>
      <c r="AE8" s="250"/>
      <c r="AF8" s="251">
        <v>229</v>
      </c>
      <c r="AG8" s="252" t="s">
        <v>558</v>
      </c>
      <c r="AH8" s="251" t="s">
        <v>65</v>
      </c>
      <c r="AI8" s="250" t="s">
        <v>45</v>
      </c>
      <c r="AJ8" s="253" t="s">
        <v>462</v>
      </c>
    </row>
    <row r="9" spans="1:36" ht="15.75" customHeight="1" x14ac:dyDescent="0.2">
      <c r="A9" s="244" t="s">
        <v>367</v>
      </c>
      <c r="B9" s="245">
        <f t="shared" si="0"/>
        <v>51.209999999999994</v>
      </c>
      <c r="C9" s="245">
        <v>44.12</v>
      </c>
      <c r="D9" s="245">
        <f t="shared" si="1"/>
        <v>474.90767999999997</v>
      </c>
      <c r="E9" s="245">
        <v>7.09</v>
      </c>
      <c r="F9" s="245">
        <f t="shared" si="2"/>
        <v>76.316759999999988</v>
      </c>
      <c r="G9" s="245">
        <v>0</v>
      </c>
      <c r="H9" s="245">
        <f t="shared" si="3"/>
        <v>0</v>
      </c>
      <c r="I9" s="245">
        <f t="shared" si="4"/>
        <v>551.22443999999996</v>
      </c>
      <c r="J9" s="245">
        <f t="shared" si="5"/>
        <v>799.27543799999989</v>
      </c>
      <c r="K9" s="246">
        <f t="shared" si="6"/>
        <v>6394203.5039999988</v>
      </c>
      <c r="L9" s="246">
        <v>300000</v>
      </c>
      <c r="M9" s="247">
        <v>200000</v>
      </c>
      <c r="N9" s="248">
        <f t="shared" si="7"/>
        <v>6894203.5039999988</v>
      </c>
      <c r="O9" s="248">
        <f t="shared" si="8"/>
        <v>0</v>
      </c>
      <c r="P9" s="246">
        <f t="shared" si="9"/>
        <v>6894203.5039999988</v>
      </c>
      <c r="Q9" s="246">
        <f t="shared" si="10"/>
        <v>199818.85949999996</v>
      </c>
      <c r="R9" s="246">
        <f t="shared" si="11"/>
        <v>159855.08759999997</v>
      </c>
      <c r="S9" s="246">
        <f t="shared" si="12"/>
        <v>119891.31569999998</v>
      </c>
      <c r="T9" s="246">
        <f t="shared" si="13"/>
        <v>7373768.7667999994</v>
      </c>
      <c r="U9" s="246">
        <v>30000</v>
      </c>
      <c r="V9" s="246">
        <f t="shared" si="14"/>
        <v>827304.42047999986</v>
      </c>
      <c r="W9" s="246">
        <f t="shared" si="15"/>
        <v>43160.873651999995</v>
      </c>
      <c r="X9" s="246">
        <f t="shared" si="16"/>
        <v>482600</v>
      </c>
      <c r="Y9" s="248">
        <v>6000</v>
      </c>
      <c r="Z9" s="248">
        <f t="shared" si="17"/>
        <v>8762834.0609319992</v>
      </c>
      <c r="AA9" s="249" t="s">
        <v>487</v>
      </c>
      <c r="AB9" s="250"/>
      <c r="AC9" s="250"/>
      <c r="AD9" s="250"/>
      <c r="AE9" s="250"/>
      <c r="AF9" s="251">
        <v>230</v>
      </c>
      <c r="AG9" s="252" t="s">
        <v>559</v>
      </c>
      <c r="AH9" s="251" t="s">
        <v>65</v>
      </c>
      <c r="AI9" s="250" t="s">
        <v>45</v>
      </c>
      <c r="AJ9" s="253" t="s">
        <v>462</v>
      </c>
    </row>
    <row r="10" spans="1:36" ht="15.75" customHeight="1" x14ac:dyDescent="0.2">
      <c r="A10" s="244" t="s">
        <v>370</v>
      </c>
      <c r="B10" s="245">
        <f t="shared" si="0"/>
        <v>51.209999999999994</v>
      </c>
      <c r="C10" s="245">
        <v>44.12</v>
      </c>
      <c r="D10" s="245">
        <f t="shared" si="1"/>
        <v>474.90767999999997</v>
      </c>
      <c r="E10" s="245">
        <v>7.09</v>
      </c>
      <c r="F10" s="245">
        <f t="shared" si="2"/>
        <v>76.316759999999988</v>
      </c>
      <c r="G10" s="245">
        <v>0</v>
      </c>
      <c r="H10" s="245">
        <f t="shared" si="3"/>
        <v>0</v>
      </c>
      <c r="I10" s="245">
        <f t="shared" si="4"/>
        <v>551.22443999999996</v>
      </c>
      <c r="J10" s="245">
        <f t="shared" si="5"/>
        <v>799.27543799999989</v>
      </c>
      <c r="K10" s="246">
        <f t="shared" si="6"/>
        <v>6394203.5039999988</v>
      </c>
      <c r="L10" s="246">
        <v>300000</v>
      </c>
      <c r="M10" s="247">
        <v>200000</v>
      </c>
      <c r="N10" s="248">
        <f t="shared" si="7"/>
        <v>6894203.5039999988</v>
      </c>
      <c r="O10" s="248">
        <f t="shared" si="8"/>
        <v>0</v>
      </c>
      <c r="P10" s="246">
        <f t="shared" si="9"/>
        <v>6894203.5039999988</v>
      </c>
      <c r="Q10" s="246">
        <f t="shared" si="10"/>
        <v>199818.85949999996</v>
      </c>
      <c r="R10" s="246">
        <f t="shared" si="11"/>
        <v>159855.08759999997</v>
      </c>
      <c r="S10" s="246">
        <f t="shared" si="12"/>
        <v>119891.31569999998</v>
      </c>
      <c r="T10" s="246">
        <f t="shared" si="13"/>
        <v>7373768.7667999994</v>
      </c>
      <c r="U10" s="246">
        <v>30000</v>
      </c>
      <c r="V10" s="246">
        <f t="shared" si="14"/>
        <v>827304.42047999986</v>
      </c>
      <c r="W10" s="246">
        <f t="shared" si="15"/>
        <v>43160.873651999995</v>
      </c>
      <c r="X10" s="246">
        <f t="shared" si="16"/>
        <v>482600</v>
      </c>
      <c r="Y10" s="248">
        <v>6000</v>
      </c>
      <c r="Z10" s="248">
        <f t="shared" si="17"/>
        <v>8762834.0609319992</v>
      </c>
      <c r="AA10" s="249" t="s">
        <v>487</v>
      </c>
      <c r="AB10" s="250"/>
      <c r="AC10" s="250"/>
      <c r="AD10" s="250"/>
      <c r="AE10" s="250"/>
      <c r="AF10" s="251">
        <v>231</v>
      </c>
      <c r="AG10" s="252" t="s">
        <v>560</v>
      </c>
      <c r="AH10" s="251" t="s">
        <v>65</v>
      </c>
      <c r="AI10" s="250" t="s">
        <v>45</v>
      </c>
      <c r="AJ10" s="253" t="s">
        <v>462</v>
      </c>
    </row>
    <row r="11" spans="1:36" ht="15.75" customHeight="1" x14ac:dyDescent="0.2">
      <c r="A11" s="244" t="s">
        <v>372</v>
      </c>
      <c r="B11" s="245">
        <f t="shared" si="0"/>
        <v>62.88</v>
      </c>
      <c r="C11" s="245">
        <v>54.09</v>
      </c>
      <c r="D11" s="245">
        <f t="shared" si="1"/>
        <v>582.22475999999995</v>
      </c>
      <c r="E11" s="245">
        <v>8.7899999999999991</v>
      </c>
      <c r="F11" s="245">
        <f t="shared" si="2"/>
        <v>94.615559999999988</v>
      </c>
      <c r="G11" s="245">
        <v>0</v>
      </c>
      <c r="H11" s="245">
        <f t="shared" si="3"/>
        <v>0</v>
      </c>
      <c r="I11" s="245">
        <f t="shared" si="4"/>
        <v>676.84031999999991</v>
      </c>
      <c r="J11" s="245">
        <f t="shared" si="5"/>
        <v>981.41846399999986</v>
      </c>
      <c r="K11" s="246">
        <f t="shared" si="6"/>
        <v>7851347.7119999984</v>
      </c>
      <c r="L11" s="246">
        <v>400000</v>
      </c>
      <c r="M11" s="247">
        <v>200000</v>
      </c>
      <c r="N11" s="248">
        <f t="shared" si="7"/>
        <v>8451347.7119999975</v>
      </c>
      <c r="O11" s="248">
        <f t="shared" si="8"/>
        <v>0</v>
      </c>
      <c r="P11" s="246">
        <f t="shared" si="9"/>
        <v>8451347.7119999975</v>
      </c>
      <c r="Q11" s="246">
        <f t="shared" si="10"/>
        <v>245354.61599999995</v>
      </c>
      <c r="R11" s="246">
        <f t="shared" si="11"/>
        <v>196283.69279999996</v>
      </c>
      <c r="S11" s="246">
        <f t="shared" si="12"/>
        <v>147212.76959999997</v>
      </c>
      <c r="T11" s="246">
        <f t="shared" si="13"/>
        <v>9040198.7903999984</v>
      </c>
      <c r="U11" s="246">
        <v>30000</v>
      </c>
      <c r="V11" s="246">
        <f t="shared" si="14"/>
        <v>1014161.7254399997</v>
      </c>
      <c r="W11" s="246">
        <f t="shared" si="15"/>
        <v>52996.597055999984</v>
      </c>
      <c r="X11" s="246">
        <f t="shared" si="16"/>
        <v>591600</v>
      </c>
      <c r="Y11" s="248">
        <v>6000</v>
      </c>
      <c r="Z11" s="248">
        <f t="shared" si="17"/>
        <v>10734957.112895997</v>
      </c>
      <c r="AA11" s="249" t="s">
        <v>487</v>
      </c>
      <c r="AB11" s="250"/>
      <c r="AC11" s="250"/>
      <c r="AD11" s="250"/>
      <c r="AE11" s="250"/>
      <c r="AF11" s="251">
        <v>178</v>
      </c>
      <c r="AG11" s="252" t="s">
        <v>561</v>
      </c>
      <c r="AH11" s="251" t="s">
        <v>40</v>
      </c>
      <c r="AI11" s="250" t="s">
        <v>45</v>
      </c>
      <c r="AJ11" s="253" t="s">
        <v>453</v>
      </c>
    </row>
    <row r="12" spans="1:36" ht="15.75" customHeight="1" x14ac:dyDescent="0.2">
      <c r="A12" s="244" t="s">
        <v>374</v>
      </c>
      <c r="B12" s="245">
        <f t="shared" si="0"/>
        <v>62.88</v>
      </c>
      <c r="C12" s="245">
        <v>54.09</v>
      </c>
      <c r="D12" s="245">
        <f t="shared" si="1"/>
        <v>582.22475999999995</v>
      </c>
      <c r="E12" s="245">
        <v>8.7899999999999991</v>
      </c>
      <c r="F12" s="245">
        <f t="shared" si="2"/>
        <v>94.615559999999988</v>
      </c>
      <c r="G12" s="245">
        <v>0</v>
      </c>
      <c r="H12" s="245">
        <f t="shared" si="3"/>
        <v>0</v>
      </c>
      <c r="I12" s="245">
        <f t="shared" si="4"/>
        <v>676.84031999999991</v>
      </c>
      <c r="J12" s="245">
        <f t="shared" si="5"/>
        <v>981.41846399999986</v>
      </c>
      <c r="K12" s="246">
        <f t="shared" si="6"/>
        <v>7851347.7119999984</v>
      </c>
      <c r="L12" s="246">
        <v>400000</v>
      </c>
      <c r="M12" s="247">
        <v>200000</v>
      </c>
      <c r="N12" s="248">
        <f t="shared" si="7"/>
        <v>8451347.7119999975</v>
      </c>
      <c r="O12" s="248">
        <f t="shared" si="8"/>
        <v>0</v>
      </c>
      <c r="P12" s="246">
        <f t="shared" si="9"/>
        <v>8451347.7119999975</v>
      </c>
      <c r="Q12" s="246">
        <f t="shared" si="10"/>
        <v>245354.61599999995</v>
      </c>
      <c r="R12" s="246">
        <f t="shared" si="11"/>
        <v>196283.69279999996</v>
      </c>
      <c r="S12" s="246">
        <f t="shared" si="12"/>
        <v>147212.76959999997</v>
      </c>
      <c r="T12" s="246">
        <f t="shared" si="13"/>
        <v>9040198.7903999984</v>
      </c>
      <c r="U12" s="246">
        <v>30000</v>
      </c>
      <c r="V12" s="246">
        <f t="shared" si="14"/>
        <v>1014161.7254399997</v>
      </c>
      <c r="W12" s="246">
        <f t="shared" si="15"/>
        <v>52996.597055999984</v>
      </c>
      <c r="X12" s="246">
        <f t="shared" si="16"/>
        <v>591600</v>
      </c>
      <c r="Y12" s="248">
        <v>6000</v>
      </c>
      <c r="Z12" s="248">
        <f t="shared" si="17"/>
        <v>10734957.112895997</v>
      </c>
      <c r="AA12" s="249" t="s">
        <v>487</v>
      </c>
      <c r="AB12" s="250"/>
      <c r="AC12" s="250"/>
      <c r="AD12" s="250"/>
      <c r="AE12" s="250"/>
      <c r="AF12" s="251">
        <v>179</v>
      </c>
      <c r="AG12" s="252" t="s">
        <v>562</v>
      </c>
      <c r="AH12" s="251" t="s">
        <v>40</v>
      </c>
      <c r="AI12" s="250" t="s">
        <v>45</v>
      </c>
      <c r="AJ12" s="253" t="s">
        <v>453</v>
      </c>
    </row>
    <row r="13" spans="1:36" ht="15.75" customHeight="1" x14ac:dyDescent="0.2">
      <c r="A13" s="244" t="s">
        <v>377</v>
      </c>
      <c r="B13" s="245">
        <f t="shared" si="0"/>
        <v>64.25</v>
      </c>
      <c r="C13" s="245">
        <v>55.26</v>
      </c>
      <c r="D13" s="245">
        <f t="shared" si="1"/>
        <v>594.81863999999996</v>
      </c>
      <c r="E13" s="245">
        <v>8.99</v>
      </c>
      <c r="F13" s="245">
        <f t="shared" si="2"/>
        <v>96.768360000000001</v>
      </c>
      <c r="G13" s="245">
        <v>0</v>
      </c>
      <c r="H13" s="245">
        <f t="shared" si="3"/>
        <v>0</v>
      </c>
      <c r="I13" s="245">
        <f t="shared" si="4"/>
        <v>691.58699999999999</v>
      </c>
      <c r="J13" s="245">
        <f t="shared" si="5"/>
        <v>1002.80115</v>
      </c>
      <c r="K13" s="246">
        <f t="shared" si="6"/>
        <v>8022409.2000000002</v>
      </c>
      <c r="L13" s="246">
        <v>400000</v>
      </c>
      <c r="M13" s="247">
        <v>200000</v>
      </c>
      <c r="N13" s="248">
        <f t="shared" si="7"/>
        <v>8622409.1999999993</v>
      </c>
      <c r="O13" s="248">
        <f t="shared" si="8"/>
        <v>0</v>
      </c>
      <c r="P13" s="246">
        <f t="shared" si="9"/>
        <v>8622409.1999999993</v>
      </c>
      <c r="Q13" s="246">
        <f t="shared" si="10"/>
        <v>250700.28750000001</v>
      </c>
      <c r="R13" s="246">
        <f t="shared" si="11"/>
        <v>200560.23</v>
      </c>
      <c r="S13" s="246">
        <f t="shared" si="12"/>
        <v>150420.17250000002</v>
      </c>
      <c r="T13" s="246">
        <f t="shared" si="13"/>
        <v>9224089.8899999987</v>
      </c>
      <c r="U13" s="246">
        <v>30000</v>
      </c>
      <c r="V13" s="246">
        <f t="shared" si="14"/>
        <v>1034689.1039999998</v>
      </c>
      <c r="W13" s="246">
        <f t="shared" si="15"/>
        <v>54151.2621</v>
      </c>
      <c r="X13" s="246">
        <f t="shared" si="16"/>
        <v>603600</v>
      </c>
      <c r="Y13" s="248">
        <v>6000</v>
      </c>
      <c r="Z13" s="248">
        <f t="shared" si="17"/>
        <v>10952530.256099999</v>
      </c>
      <c r="AA13" s="249" t="s">
        <v>487</v>
      </c>
      <c r="AB13" s="250"/>
      <c r="AC13" s="250"/>
      <c r="AD13" s="250"/>
      <c r="AE13" s="250"/>
      <c r="AF13" s="251">
        <v>180</v>
      </c>
      <c r="AG13" s="252" t="s">
        <v>563</v>
      </c>
      <c r="AH13" s="251" t="s">
        <v>40</v>
      </c>
      <c r="AI13" s="250" t="s">
        <v>45</v>
      </c>
      <c r="AJ13" s="253" t="s">
        <v>453</v>
      </c>
    </row>
    <row r="14" spans="1:36" ht="15.75" customHeight="1" x14ac:dyDescent="0.2">
      <c r="A14" s="254" t="s">
        <v>532</v>
      </c>
      <c r="B14" s="155">
        <v>79.180000000000007</v>
      </c>
      <c r="C14" s="155">
        <v>53.16</v>
      </c>
      <c r="D14" s="156">
        <f t="shared" si="1"/>
        <v>572.2142399999999</v>
      </c>
      <c r="E14" s="155">
        <v>26.02</v>
      </c>
      <c r="F14" s="156">
        <f t="shared" si="2"/>
        <v>280.07927999999998</v>
      </c>
      <c r="G14" s="156">
        <v>0</v>
      </c>
      <c r="H14" s="156">
        <f t="shared" si="3"/>
        <v>0</v>
      </c>
      <c r="I14" s="156">
        <f t="shared" si="4"/>
        <v>852.29351999999994</v>
      </c>
      <c r="J14" s="156">
        <f t="shared" si="5"/>
        <v>1235.8256039999999</v>
      </c>
      <c r="K14" s="158">
        <f t="shared" si="6"/>
        <v>9886604.8319999985</v>
      </c>
      <c r="L14" s="158">
        <v>400000</v>
      </c>
      <c r="M14" s="159">
        <v>400000</v>
      </c>
      <c r="N14" s="160">
        <f t="shared" si="7"/>
        <v>10686604.831999999</v>
      </c>
      <c r="O14" s="160">
        <f t="shared" si="8"/>
        <v>0</v>
      </c>
      <c r="P14" s="158">
        <f t="shared" si="9"/>
        <v>10686604.831999999</v>
      </c>
      <c r="Q14" s="158">
        <f t="shared" si="10"/>
        <v>308956.40099999995</v>
      </c>
      <c r="R14" s="158">
        <f t="shared" si="11"/>
        <v>247165.12079999998</v>
      </c>
      <c r="S14" s="158">
        <f t="shared" si="12"/>
        <v>185373.8406</v>
      </c>
      <c r="T14" s="158">
        <f t="shared" si="13"/>
        <v>11428100.194399999</v>
      </c>
      <c r="U14" s="158">
        <v>30000</v>
      </c>
      <c r="V14" s="158">
        <f t="shared" si="14"/>
        <v>1282392.5798399998</v>
      </c>
      <c r="W14" s="158">
        <f t="shared" si="15"/>
        <v>66734.582615999985</v>
      </c>
      <c r="X14" s="158">
        <f t="shared" si="16"/>
        <v>748100</v>
      </c>
      <c r="Y14" s="160">
        <v>6000</v>
      </c>
      <c r="Z14" s="160">
        <f t="shared" si="17"/>
        <v>13561327.356855998</v>
      </c>
      <c r="AA14" s="154" t="s">
        <v>487</v>
      </c>
      <c r="AB14" s="161"/>
      <c r="AC14" s="161"/>
      <c r="AD14" s="161"/>
      <c r="AE14" s="161"/>
      <c r="AF14" s="255">
        <v>181</v>
      </c>
      <c r="AG14" s="256" t="s">
        <v>564</v>
      </c>
      <c r="AH14" s="255" t="s">
        <v>40</v>
      </c>
      <c r="AI14" s="161" t="s">
        <v>45</v>
      </c>
      <c r="AJ14" s="162" t="s">
        <v>453</v>
      </c>
    </row>
    <row r="15" spans="1:36" ht="15.75" customHeight="1" x14ac:dyDescent="0.2">
      <c r="A15" s="254" t="s">
        <v>500</v>
      </c>
      <c r="B15" s="155">
        <v>87.91</v>
      </c>
      <c r="C15" s="156">
        <v>74.92</v>
      </c>
      <c r="D15" s="156">
        <f t="shared" si="1"/>
        <v>806.43887999999993</v>
      </c>
      <c r="E15" s="155">
        <v>12.99</v>
      </c>
      <c r="F15" s="156">
        <f t="shared" si="2"/>
        <v>139.82435999999998</v>
      </c>
      <c r="G15" s="156">
        <v>0</v>
      </c>
      <c r="H15" s="156">
        <f t="shared" si="3"/>
        <v>0</v>
      </c>
      <c r="I15" s="156">
        <f t="shared" si="4"/>
        <v>946.26323999999988</v>
      </c>
      <c r="J15" s="156">
        <f t="shared" si="5"/>
        <v>1372.0816979999997</v>
      </c>
      <c r="K15" s="158">
        <f t="shared" si="6"/>
        <v>10976653.583999997</v>
      </c>
      <c r="L15" s="159">
        <v>500000</v>
      </c>
      <c r="M15" s="159">
        <v>400000</v>
      </c>
      <c r="N15" s="160">
        <f t="shared" si="7"/>
        <v>11876653.583999997</v>
      </c>
      <c r="O15" s="160">
        <f t="shared" si="8"/>
        <v>0</v>
      </c>
      <c r="P15" s="158">
        <f t="shared" si="9"/>
        <v>11876653.583999997</v>
      </c>
      <c r="Q15" s="158">
        <f t="shared" si="10"/>
        <v>343020.42449999991</v>
      </c>
      <c r="R15" s="158">
        <f t="shared" si="11"/>
        <v>274416.33959999995</v>
      </c>
      <c r="S15" s="158">
        <f t="shared" si="12"/>
        <v>205812.25469999996</v>
      </c>
      <c r="T15" s="158">
        <f t="shared" si="13"/>
        <v>12699902.602799997</v>
      </c>
      <c r="U15" s="158">
        <v>30000</v>
      </c>
      <c r="V15" s="158">
        <f t="shared" si="14"/>
        <v>1425198.4300799996</v>
      </c>
      <c r="W15" s="158">
        <f t="shared" si="15"/>
        <v>74092.41169199998</v>
      </c>
      <c r="X15" s="158">
        <f t="shared" si="16"/>
        <v>831400</v>
      </c>
      <c r="Y15" s="160">
        <v>6000</v>
      </c>
      <c r="Z15" s="160">
        <f t="shared" si="17"/>
        <v>15066593.444571996</v>
      </c>
      <c r="AA15" s="154" t="s">
        <v>487</v>
      </c>
      <c r="AB15" s="161"/>
      <c r="AC15" s="161"/>
      <c r="AD15" s="161"/>
      <c r="AE15" s="161"/>
      <c r="AF15" s="255" t="s">
        <v>565</v>
      </c>
      <c r="AG15" s="256" t="s">
        <v>566</v>
      </c>
      <c r="AH15" s="255" t="s">
        <v>45</v>
      </c>
      <c r="AI15" s="161" t="s">
        <v>45</v>
      </c>
      <c r="AJ15" s="162" t="s">
        <v>484</v>
      </c>
    </row>
    <row r="16" spans="1:36" ht="15.75" customHeight="1" x14ac:dyDescent="0.2">
      <c r="A16" s="244" t="s">
        <v>387</v>
      </c>
      <c r="B16" s="245">
        <f t="shared" ref="B16:B28" si="18">C16+E16+G16</f>
        <v>65.930000000000007</v>
      </c>
      <c r="C16" s="245">
        <v>56.78</v>
      </c>
      <c r="D16" s="245">
        <f t="shared" si="1"/>
        <v>611.17991999999992</v>
      </c>
      <c r="E16" s="245">
        <v>9.15</v>
      </c>
      <c r="F16" s="245">
        <f t="shared" si="2"/>
        <v>98.490600000000001</v>
      </c>
      <c r="G16" s="245">
        <v>0</v>
      </c>
      <c r="H16" s="245">
        <f t="shared" si="3"/>
        <v>0</v>
      </c>
      <c r="I16" s="245">
        <f t="shared" si="4"/>
        <v>709.6705199999999</v>
      </c>
      <c r="J16" s="245">
        <f t="shared" si="5"/>
        <v>1029.0222539999997</v>
      </c>
      <c r="K16" s="246">
        <f t="shared" si="6"/>
        <v>8232178.0319999978</v>
      </c>
      <c r="L16" s="246">
        <v>400000</v>
      </c>
      <c r="M16" s="247">
        <v>200000</v>
      </c>
      <c r="N16" s="248">
        <f t="shared" si="7"/>
        <v>8832178.0319999978</v>
      </c>
      <c r="O16" s="248">
        <f t="shared" si="8"/>
        <v>0</v>
      </c>
      <c r="P16" s="246">
        <f t="shared" si="9"/>
        <v>8832178.0319999978</v>
      </c>
      <c r="Q16" s="246">
        <f t="shared" si="10"/>
        <v>257255.56349999993</v>
      </c>
      <c r="R16" s="246">
        <f t="shared" si="11"/>
        <v>205804.45079999996</v>
      </c>
      <c r="S16" s="246">
        <f t="shared" si="12"/>
        <v>154353.33809999996</v>
      </c>
      <c r="T16" s="246">
        <f t="shared" si="13"/>
        <v>9449591.3843999971</v>
      </c>
      <c r="U16" s="246">
        <v>30000</v>
      </c>
      <c r="V16" s="246">
        <f t="shared" si="14"/>
        <v>1059861.3638399998</v>
      </c>
      <c r="W16" s="246">
        <f t="shared" si="15"/>
        <v>55567.201715999981</v>
      </c>
      <c r="X16" s="246">
        <f t="shared" si="16"/>
        <v>618300</v>
      </c>
      <c r="Y16" s="248">
        <v>6000</v>
      </c>
      <c r="Z16" s="248">
        <f t="shared" si="17"/>
        <v>11219319.949955998</v>
      </c>
      <c r="AA16" s="249" t="s">
        <v>487</v>
      </c>
      <c r="AB16" s="250"/>
      <c r="AC16" s="250"/>
      <c r="AD16" s="250"/>
      <c r="AE16" s="250"/>
      <c r="AF16" s="251">
        <v>182</v>
      </c>
      <c r="AG16" s="252" t="s">
        <v>567</v>
      </c>
      <c r="AH16" s="251" t="s">
        <v>40</v>
      </c>
      <c r="AI16" s="250" t="s">
        <v>45</v>
      </c>
      <c r="AJ16" s="253" t="s">
        <v>453</v>
      </c>
    </row>
    <row r="17" spans="1:36" ht="15.75" customHeight="1" x14ac:dyDescent="0.2">
      <c r="A17" s="244" t="s">
        <v>389</v>
      </c>
      <c r="B17" s="245">
        <f t="shared" si="18"/>
        <v>51.07</v>
      </c>
      <c r="C17" s="245">
        <v>44.52</v>
      </c>
      <c r="D17" s="245">
        <f t="shared" si="1"/>
        <v>479.21328</v>
      </c>
      <c r="E17" s="245">
        <v>6.55</v>
      </c>
      <c r="F17" s="245">
        <f t="shared" si="2"/>
        <v>70.504199999999997</v>
      </c>
      <c r="G17" s="245">
        <v>0</v>
      </c>
      <c r="H17" s="245">
        <f t="shared" si="3"/>
        <v>0</v>
      </c>
      <c r="I17" s="245">
        <f t="shared" si="4"/>
        <v>549.71748000000002</v>
      </c>
      <c r="J17" s="245">
        <f t="shared" si="5"/>
        <v>797.09034599999995</v>
      </c>
      <c r="K17" s="246">
        <f t="shared" si="6"/>
        <v>6376722.7679999992</v>
      </c>
      <c r="L17" s="246">
        <v>300000</v>
      </c>
      <c r="M17" s="247">
        <v>200000</v>
      </c>
      <c r="N17" s="248">
        <f t="shared" si="7"/>
        <v>6876722.7679999992</v>
      </c>
      <c r="O17" s="248">
        <f t="shared" si="8"/>
        <v>0</v>
      </c>
      <c r="P17" s="246">
        <f t="shared" si="9"/>
        <v>6876722.7679999992</v>
      </c>
      <c r="Q17" s="246">
        <f t="shared" si="10"/>
        <v>199272.58649999998</v>
      </c>
      <c r="R17" s="246">
        <f t="shared" si="11"/>
        <v>159418.0692</v>
      </c>
      <c r="S17" s="246">
        <f t="shared" si="12"/>
        <v>119563.55189999999</v>
      </c>
      <c r="T17" s="246">
        <f t="shared" si="13"/>
        <v>7354976.9755999995</v>
      </c>
      <c r="U17" s="246">
        <v>30000</v>
      </c>
      <c r="V17" s="246">
        <f t="shared" si="14"/>
        <v>825206.7321599999</v>
      </c>
      <c r="W17" s="246">
        <f t="shared" si="15"/>
        <v>43042.878683999996</v>
      </c>
      <c r="X17" s="246">
        <f t="shared" si="16"/>
        <v>481400</v>
      </c>
      <c r="Y17" s="248">
        <v>6000</v>
      </c>
      <c r="Z17" s="248">
        <f t="shared" si="17"/>
        <v>8740626.5864439998</v>
      </c>
      <c r="AA17" s="249" t="s">
        <v>487</v>
      </c>
      <c r="AB17" s="250"/>
      <c r="AC17" s="250"/>
      <c r="AD17" s="250"/>
      <c r="AE17" s="250"/>
      <c r="AF17" s="251">
        <v>232</v>
      </c>
      <c r="AG17" s="252" t="s">
        <v>568</v>
      </c>
      <c r="AH17" s="251" t="s">
        <v>65</v>
      </c>
      <c r="AI17" s="250" t="s">
        <v>45</v>
      </c>
      <c r="AJ17" s="253" t="s">
        <v>462</v>
      </c>
    </row>
    <row r="18" spans="1:36" ht="15.75" customHeight="1" x14ac:dyDescent="0.2">
      <c r="A18" s="244" t="s">
        <v>394</v>
      </c>
      <c r="B18" s="245">
        <f t="shared" si="18"/>
        <v>51.07</v>
      </c>
      <c r="C18" s="245">
        <v>44.52</v>
      </c>
      <c r="D18" s="245">
        <f t="shared" si="1"/>
        <v>479.21328</v>
      </c>
      <c r="E18" s="245">
        <v>6.55</v>
      </c>
      <c r="F18" s="245">
        <f t="shared" si="2"/>
        <v>70.504199999999997</v>
      </c>
      <c r="G18" s="245">
        <v>0</v>
      </c>
      <c r="H18" s="245">
        <f t="shared" si="3"/>
        <v>0</v>
      </c>
      <c r="I18" s="245">
        <f t="shared" si="4"/>
        <v>549.71748000000002</v>
      </c>
      <c r="J18" s="245">
        <f t="shared" si="5"/>
        <v>797.09034599999995</v>
      </c>
      <c r="K18" s="246">
        <f t="shared" si="6"/>
        <v>6376722.7679999992</v>
      </c>
      <c r="L18" s="246">
        <v>300000</v>
      </c>
      <c r="M18" s="247">
        <v>200000</v>
      </c>
      <c r="N18" s="248">
        <f t="shared" si="7"/>
        <v>6876722.7679999992</v>
      </c>
      <c r="O18" s="248">
        <f t="shared" si="8"/>
        <v>0</v>
      </c>
      <c r="P18" s="246">
        <f t="shared" si="9"/>
        <v>6876722.7679999992</v>
      </c>
      <c r="Q18" s="246">
        <f t="shared" si="10"/>
        <v>199272.58649999998</v>
      </c>
      <c r="R18" s="246">
        <f t="shared" si="11"/>
        <v>159418.0692</v>
      </c>
      <c r="S18" s="246">
        <f t="shared" si="12"/>
        <v>119563.55189999999</v>
      </c>
      <c r="T18" s="246">
        <f t="shared" si="13"/>
        <v>7354976.9755999995</v>
      </c>
      <c r="U18" s="246">
        <v>30000</v>
      </c>
      <c r="V18" s="246">
        <f t="shared" si="14"/>
        <v>825206.7321599999</v>
      </c>
      <c r="W18" s="246">
        <f t="shared" si="15"/>
        <v>43042.878683999996</v>
      </c>
      <c r="X18" s="246">
        <f t="shared" si="16"/>
        <v>481400</v>
      </c>
      <c r="Y18" s="248">
        <v>6000</v>
      </c>
      <c r="Z18" s="248">
        <f t="shared" si="17"/>
        <v>8740626.5864439998</v>
      </c>
      <c r="AA18" s="249" t="s">
        <v>487</v>
      </c>
      <c r="AB18" s="250"/>
      <c r="AC18" s="250"/>
      <c r="AD18" s="250"/>
      <c r="AE18" s="250"/>
      <c r="AF18" s="251">
        <v>233</v>
      </c>
      <c r="AG18" s="252" t="s">
        <v>569</v>
      </c>
      <c r="AH18" s="251" t="s">
        <v>65</v>
      </c>
      <c r="AI18" s="250" t="s">
        <v>45</v>
      </c>
      <c r="AJ18" s="253" t="s">
        <v>462</v>
      </c>
    </row>
    <row r="19" spans="1:36" ht="15.75" customHeight="1" x14ac:dyDescent="0.2">
      <c r="A19" s="244" t="s">
        <v>395</v>
      </c>
      <c r="B19" s="245">
        <f t="shared" si="18"/>
        <v>40.78</v>
      </c>
      <c r="C19" s="245">
        <v>36.04</v>
      </c>
      <c r="D19" s="245">
        <f t="shared" si="1"/>
        <v>387.93455999999998</v>
      </c>
      <c r="E19" s="245">
        <v>4.74</v>
      </c>
      <c r="F19" s="245">
        <f t="shared" si="2"/>
        <v>51.021360000000001</v>
      </c>
      <c r="G19" s="245">
        <v>0</v>
      </c>
      <c r="H19" s="245">
        <f t="shared" si="3"/>
        <v>0</v>
      </c>
      <c r="I19" s="245">
        <f t="shared" si="4"/>
        <v>438.95591999999999</v>
      </c>
      <c r="J19" s="245">
        <f t="shared" si="5"/>
        <v>636.48608400000001</v>
      </c>
      <c r="K19" s="246">
        <f t="shared" si="6"/>
        <v>5091888.6720000003</v>
      </c>
      <c r="L19" s="246">
        <v>300000</v>
      </c>
      <c r="M19" s="247">
        <v>200000</v>
      </c>
      <c r="N19" s="248">
        <f t="shared" si="7"/>
        <v>5591888.6720000003</v>
      </c>
      <c r="O19" s="248">
        <f t="shared" si="8"/>
        <v>0</v>
      </c>
      <c r="P19" s="246">
        <f t="shared" si="9"/>
        <v>5591888.6720000003</v>
      </c>
      <c r="Q19" s="246">
        <f t="shared" si="10"/>
        <v>159121.52100000001</v>
      </c>
      <c r="R19" s="246">
        <f t="shared" si="11"/>
        <v>127297.21679999999</v>
      </c>
      <c r="S19" s="246">
        <f t="shared" si="12"/>
        <v>95472.912599999996</v>
      </c>
      <c r="T19" s="246">
        <f t="shared" si="13"/>
        <v>5973780.3223999999</v>
      </c>
      <c r="U19" s="246">
        <v>30000</v>
      </c>
      <c r="V19" s="246">
        <f t="shared" si="14"/>
        <v>671026.64064</v>
      </c>
      <c r="W19" s="246">
        <f t="shared" si="15"/>
        <v>34370.248535999999</v>
      </c>
      <c r="X19" s="246">
        <f t="shared" si="16"/>
        <v>391500</v>
      </c>
      <c r="Y19" s="248">
        <v>6000</v>
      </c>
      <c r="Z19" s="248">
        <f t="shared" si="17"/>
        <v>7106677.2115759999</v>
      </c>
      <c r="AA19" s="249" t="s">
        <v>487</v>
      </c>
      <c r="AB19" s="250"/>
      <c r="AC19" s="250"/>
      <c r="AD19" s="250"/>
      <c r="AE19" s="250"/>
      <c r="AF19" s="251">
        <v>234</v>
      </c>
      <c r="AG19" s="252" t="s">
        <v>570</v>
      </c>
      <c r="AH19" s="251" t="s">
        <v>65</v>
      </c>
      <c r="AI19" s="250" t="s">
        <v>45</v>
      </c>
      <c r="AJ19" s="253" t="s">
        <v>462</v>
      </c>
    </row>
    <row r="20" spans="1:36" ht="15.75" customHeight="1" x14ac:dyDescent="0.2">
      <c r="A20" s="244" t="s">
        <v>401</v>
      </c>
      <c r="B20" s="245">
        <f t="shared" si="18"/>
        <v>71.070000000000007</v>
      </c>
      <c r="C20" s="245">
        <v>61.02</v>
      </c>
      <c r="D20" s="245">
        <f t="shared" si="1"/>
        <v>656.81928000000005</v>
      </c>
      <c r="E20" s="245">
        <v>10.050000000000001</v>
      </c>
      <c r="F20" s="245">
        <f t="shared" si="2"/>
        <v>108.1782</v>
      </c>
      <c r="G20" s="245">
        <v>0</v>
      </c>
      <c r="H20" s="245">
        <f t="shared" si="3"/>
        <v>0</v>
      </c>
      <c r="I20" s="245">
        <f t="shared" si="4"/>
        <v>764.99748</v>
      </c>
      <c r="J20" s="245">
        <f t="shared" si="5"/>
        <v>1109.2463459999999</v>
      </c>
      <c r="K20" s="246">
        <f t="shared" si="6"/>
        <v>8873970.7679999992</v>
      </c>
      <c r="L20" s="246">
        <v>400000</v>
      </c>
      <c r="M20" s="247">
        <v>200000</v>
      </c>
      <c r="N20" s="248">
        <f t="shared" si="7"/>
        <v>9473970.7679999992</v>
      </c>
      <c r="O20" s="248">
        <f t="shared" si="8"/>
        <v>0</v>
      </c>
      <c r="P20" s="246">
        <f t="shared" si="9"/>
        <v>9473970.7679999992</v>
      </c>
      <c r="Q20" s="246">
        <f t="shared" si="10"/>
        <v>277311.58649999998</v>
      </c>
      <c r="R20" s="246">
        <f t="shared" si="11"/>
        <v>221849.26919999998</v>
      </c>
      <c r="S20" s="246">
        <f t="shared" si="12"/>
        <v>166386.95189999999</v>
      </c>
      <c r="T20" s="246">
        <f t="shared" si="13"/>
        <v>10139518.5756</v>
      </c>
      <c r="U20" s="246">
        <v>30000</v>
      </c>
      <c r="V20" s="246">
        <f t="shared" si="14"/>
        <v>1136876.4921599999</v>
      </c>
      <c r="W20" s="246">
        <f t="shared" si="15"/>
        <v>59899.302683999995</v>
      </c>
      <c r="X20" s="246">
        <f t="shared" si="16"/>
        <v>663200</v>
      </c>
      <c r="Y20" s="248">
        <v>6000</v>
      </c>
      <c r="Z20" s="248">
        <f t="shared" si="17"/>
        <v>12035494.370444</v>
      </c>
      <c r="AA20" s="249" t="s">
        <v>487</v>
      </c>
      <c r="AB20" s="250"/>
      <c r="AC20" s="250"/>
      <c r="AD20" s="250"/>
      <c r="AE20" s="250"/>
      <c r="AF20" s="251">
        <v>183</v>
      </c>
      <c r="AG20" s="252" t="s">
        <v>571</v>
      </c>
      <c r="AH20" s="251" t="s">
        <v>40</v>
      </c>
      <c r="AI20" s="250" t="s">
        <v>45</v>
      </c>
      <c r="AJ20" s="253" t="s">
        <v>453</v>
      </c>
    </row>
    <row r="21" spans="1:36" ht="15.75" customHeight="1" x14ac:dyDescent="0.2">
      <c r="A21" s="244" t="s">
        <v>402</v>
      </c>
      <c r="B21" s="245">
        <f t="shared" si="18"/>
        <v>81.63000000000001</v>
      </c>
      <c r="C21" s="245">
        <v>69.73</v>
      </c>
      <c r="D21" s="245">
        <f t="shared" si="1"/>
        <v>750.57371999999998</v>
      </c>
      <c r="E21" s="245">
        <v>11.9</v>
      </c>
      <c r="F21" s="245">
        <f t="shared" si="2"/>
        <v>128.0916</v>
      </c>
      <c r="G21" s="245">
        <v>0</v>
      </c>
      <c r="H21" s="245">
        <f t="shared" si="3"/>
        <v>0</v>
      </c>
      <c r="I21" s="245">
        <f t="shared" si="4"/>
        <v>878.66531999999995</v>
      </c>
      <c r="J21" s="245">
        <f t="shared" si="5"/>
        <v>1274.0647139999999</v>
      </c>
      <c r="K21" s="246">
        <f t="shared" si="6"/>
        <v>10192517.711999999</v>
      </c>
      <c r="L21" s="246">
        <v>400000</v>
      </c>
      <c r="M21" s="247">
        <v>400000</v>
      </c>
      <c r="N21" s="248">
        <f t="shared" si="7"/>
        <v>10992517.711999999</v>
      </c>
      <c r="O21" s="248">
        <f t="shared" si="8"/>
        <v>0</v>
      </c>
      <c r="P21" s="246">
        <f t="shared" si="9"/>
        <v>10992517.711999999</v>
      </c>
      <c r="Q21" s="246">
        <f t="shared" si="10"/>
        <v>318516.17849999998</v>
      </c>
      <c r="R21" s="246">
        <f t="shared" si="11"/>
        <v>254812.94279999996</v>
      </c>
      <c r="S21" s="246">
        <f t="shared" si="12"/>
        <v>191109.70709999997</v>
      </c>
      <c r="T21" s="246">
        <f t="shared" si="13"/>
        <v>11756956.5404</v>
      </c>
      <c r="U21" s="246">
        <v>30000</v>
      </c>
      <c r="V21" s="246">
        <f t="shared" si="14"/>
        <v>1319102.1254399999</v>
      </c>
      <c r="W21" s="246">
        <f t="shared" si="15"/>
        <v>68799.494555999991</v>
      </c>
      <c r="X21" s="246">
        <f t="shared" si="16"/>
        <v>769500</v>
      </c>
      <c r="Y21" s="248">
        <v>6000</v>
      </c>
      <c r="Z21" s="248">
        <f t="shared" si="17"/>
        <v>13950358.160396</v>
      </c>
      <c r="AA21" s="249" t="s">
        <v>487</v>
      </c>
      <c r="AB21" s="250"/>
      <c r="AC21" s="250"/>
      <c r="AD21" s="250"/>
      <c r="AE21" s="250"/>
      <c r="AF21" s="251">
        <v>184</v>
      </c>
      <c r="AG21" s="252" t="s">
        <v>572</v>
      </c>
      <c r="AH21" s="251" t="s">
        <v>40</v>
      </c>
      <c r="AI21" s="250" t="s">
        <v>45</v>
      </c>
      <c r="AJ21" s="253" t="s">
        <v>453</v>
      </c>
    </row>
    <row r="22" spans="1:36" ht="15.75" customHeight="1" x14ac:dyDescent="0.2">
      <c r="A22" s="244" t="s">
        <v>408</v>
      </c>
      <c r="B22" s="245">
        <f t="shared" si="18"/>
        <v>50.22</v>
      </c>
      <c r="C22" s="245">
        <v>43.82</v>
      </c>
      <c r="D22" s="245">
        <f t="shared" si="1"/>
        <v>471.67847999999998</v>
      </c>
      <c r="E22" s="245">
        <v>6.4</v>
      </c>
      <c r="F22" s="245">
        <f t="shared" si="2"/>
        <v>68.889600000000002</v>
      </c>
      <c r="G22" s="245">
        <v>0</v>
      </c>
      <c r="H22" s="245">
        <f t="shared" si="3"/>
        <v>0</v>
      </c>
      <c r="I22" s="245">
        <f t="shared" si="4"/>
        <v>540.56808000000001</v>
      </c>
      <c r="J22" s="245">
        <f t="shared" si="5"/>
        <v>783.82371599999999</v>
      </c>
      <c r="K22" s="246">
        <f t="shared" si="6"/>
        <v>6270589.7280000001</v>
      </c>
      <c r="L22" s="246">
        <v>300000</v>
      </c>
      <c r="M22" s="247">
        <v>200000</v>
      </c>
      <c r="N22" s="248">
        <f t="shared" si="7"/>
        <v>6770589.7280000001</v>
      </c>
      <c r="O22" s="248">
        <f t="shared" si="8"/>
        <v>0</v>
      </c>
      <c r="P22" s="246">
        <f t="shared" si="9"/>
        <v>6770589.7280000001</v>
      </c>
      <c r="Q22" s="246">
        <f t="shared" si="10"/>
        <v>195955.929</v>
      </c>
      <c r="R22" s="246">
        <f t="shared" si="11"/>
        <v>156764.7432</v>
      </c>
      <c r="S22" s="246">
        <f t="shared" si="12"/>
        <v>117573.55740000001</v>
      </c>
      <c r="T22" s="246">
        <f t="shared" si="13"/>
        <v>7240883.9576000003</v>
      </c>
      <c r="U22" s="246">
        <v>30000</v>
      </c>
      <c r="V22" s="246">
        <f t="shared" si="14"/>
        <v>812470.76735999994</v>
      </c>
      <c r="W22" s="246">
        <f t="shared" si="15"/>
        <v>42326.480664000002</v>
      </c>
      <c r="X22" s="246">
        <f t="shared" si="16"/>
        <v>474000</v>
      </c>
      <c r="Y22" s="248">
        <v>6000</v>
      </c>
      <c r="Z22" s="248">
        <f t="shared" si="17"/>
        <v>8605681.2056239992</v>
      </c>
      <c r="AA22" s="249" t="s">
        <v>487</v>
      </c>
      <c r="AB22" s="250"/>
      <c r="AC22" s="250"/>
      <c r="AD22" s="250"/>
      <c r="AE22" s="250"/>
      <c r="AF22" s="251">
        <v>235</v>
      </c>
      <c r="AG22" s="252" t="s">
        <v>573</v>
      </c>
      <c r="AH22" s="251" t="s">
        <v>65</v>
      </c>
      <c r="AI22" s="250" t="s">
        <v>45</v>
      </c>
      <c r="AJ22" s="253" t="s">
        <v>462</v>
      </c>
    </row>
    <row r="23" spans="1:36" ht="15.75" customHeight="1" x14ac:dyDescent="0.2">
      <c r="A23" s="244" t="s">
        <v>411</v>
      </c>
      <c r="B23" s="245">
        <f t="shared" si="18"/>
        <v>41.21</v>
      </c>
      <c r="C23" s="245">
        <v>36.39</v>
      </c>
      <c r="D23" s="245">
        <f t="shared" si="1"/>
        <v>391.70195999999999</v>
      </c>
      <c r="E23" s="245">
        <v>4.82</v>
      </c>
      <c r="F23" s="245">
        <f t="shared" si="2"/>
        <v>51.882480000000001</v>
      </c>
      <c r="G23" s="245">
        <v>0</v>
      </c>
      <c r="H23" s="245">
        <f t="shared" si="3"/>
        <v>0</v>
      </c>
      <c r="I23" s="245">
        <f t="shared" si="4"/>
        <v>443.58443999999997</v>
      </c>
      <c r="J23" s="245">
        <f t="shared" si="5"/>
        <v>643.19743799999992</v>
      </c>
      <c r="K23" s="246">
        <f t="shared" si="6"/>
        <v>5145579.5039999997</v>
      </c>
      <c r="L23" s="246">
        <v>300000</v>
      </c>
      <c r="M23" s="247">
        <v>200000</v>
      </c>
      <c r="N23" s="248">
        <f t="shared" si="7"/>
        <v>5645579.5039999997</v>
      </c>
      <c r="O23" s="248">
        <f t="shared" si="8"/>
        <v>0</v>
      </c>
      <c r="P23" s="246">
        <f t="shared" si="9"/>
        <v>5645579.5039999997</v>
      </c>
      <c r="Q23" s="246">
        <f t="shared" si="10"/>
        <v>160799.35949999999</v>
      </c>
      <c r="R23" s="246">
        <f t="shared" si="11"/>
        <v>128639.48759999998</v>
      </c>
      <c r="S23" s="246">
        <f t="shared" si="12"/>
        <v>96479.615699999995</v>
      </c>
      <c r="T23" s="246">
        <f t="shared" si="13"/>
        <v>6031497.9667999996</v>
      </c>
      <c r="U23" s="246">
        <v>30000</v>
      </c>
      <c r="V23" s="246">
        <f t="shared" si="14"/>
        <v>677469.54047999997</v>
      </c>
      <c r="W23" s="246">
        <f t="shared" si="15"/>
        <v>34732.661651999995</v>
      </c>
      <c r="X23" s="246">
        <f t="shared" si="16"/>
        <v>395200</v>
      </c>
      <c r="Y23" s="248">
        <v>6000</v>
      </c>
      <c r="Z23" s="248">
        <f t="shared" si="17"/>
        <v>7174900.1689319992</v>
      </c>
      <c r="AA23" s="249" t="s">
        <v>487</v>
      </c>
      <c r="AB23" s="250"/>
      <c r="AC23" s="250"/>
      <c r="AD23" s="250"/>
      <c r="AE23" s="250"/>
      <c r="AF23" s="251">
        <v>236</v>
      </c>
      <c r="AG23" s="252" t="s">
        <v>574</v>
      </c>
      <c r="AH23" s="251" t="s">
        <v>65</v>
      </c>
      <c r="AI23" s="250" t="s">
        <v>45</v>
      </c>
      <c r="AJ23" s="253" t="s">
        <v>462</v>
      </c>
    </row>
    <row r="24" spans="1:36" ht="15.75" customHeight="1" x14ac:dyDescent="0.2">
      <c r="A24" s="244" t="s">
        <v>413</v>
      </c>
      <c r="B24" s="245">
        <f t="shared" si="18"/>
        <v>41.21</v>
      </c>
      <c r="C24" s="245">
        <v>36.39</v>
      </c>
      <c r="D24" s="245">
        <f t="shared" si="1"/>
        <v>391.70195999999999</v>
      </c>
      <c r="E24" s="245">
        <v>4.82</v>
      </c>
      <c r="F24" s="245">
        <f t="shared" si="2"/>
        <v>51.882480000000001</v>
      </c>
      <c r="G24" s="245">
        <v>0</v>
      </c>
      <c r="H24" s="245">
        <f t="shared" si="3"/>
        <v>0</v>
      </c>
      <c r="I24" s="245">
        <f t="shared" si="4"/>
        <v>443.58443999999997</v>
      </c>
      <c r="J24" s="245">
        <f t="shared" si="5"/>
        <v>643.19743799999992</v>
      </c>
      <c r="K24" s="246">
        <f t="shared" si="6"/>
        <v>5145579.5039999997</v>
      </c>
      <c r="L24" s="246">
        <v>300000</v>
      </c>
      <c r="M24" s="247">
        <v>200000</v>
      </c>
      <c r="N24" s="248">
        <f t="shared" si="7"/>
        <v>5645579.5039999997</v>
      </c>
      <c r="O24" s="248">
        <f t="shared" si="8"/>
        <v>0</v>
      </c>
      <c r="P24" s="246">
        <f t="shared" si="9"/>
        <v>5645579.5039999997</v>
      </c>
      <c r="Q24" s="246">
        <f t="shared" si="10"/>
        <v>160799.35949999999</v>
      </c>
      <c r="R24" s="246">
        <f t="shared" si="11"/>
        <v>128639.48759999998</v>
      </c>
      <c r="S24" s="246">
        <f t="shared" si="12"/>
        <v>96479.615699999995</v>
      </c>
      <c r="T24" s="246">
        <f t="shared" si="13"/>
        <v>6031497.9667999996</v>
      </c>
      <c r="U24" s="246">
        <v>30000</v>
      </c>
      <c r="V24" s="246">
        <f t="shared" si="14"/>
        <v>677469.54047999997</v>
      </c>
      <c r="W24" s="246">
        <f t="shared" si="15"/>
        <v>34732.661651999995</v>
      </c>
      <c r="X24" s="246">
        <f t="shared" si="16"/>
        <v>395200</v>
      </c>
      <c r="Y24" s="248">
        <v>6000</v>
      </c>
      <c r="Z24" s="248">
        <f t="shared" si="17"/>
        <v>7174900.1689319992</v>
      </c>
      <c r="AA24" s="249" t="s">
        <v>487</v>
      </c>
      <c r="AB24" s="250"/>
      <c r="AC24" s="250"/>
      <c r="AD24" s="250"/>
      <c r="AE24" s="250"/>
      <c r="AF24" s="251">
        <v>237</v>
      </c>
      <c r="AG24" s="252" t="s">
        <v>575</v>
      </c>
      <c r="AH24" s="251" t="s">
        <v>65</v>
      </c>
      <c r="AI24" s="250" t="s">
        <v>45</v>
      </c>
      <c r="AJ24" s="253" t="s">
        <v>462</v>
      </c>
    </row>
    <row r="25" spans="1:36" ht="15.75" customHeight="1" x14ac:dyDescent="0.2">
      <c r="A25" s="244" t="s">
        <v>415</v>
      </c>
      <c r="B25" s="245">
        <f t="shared" si="18"/>
        <v>42.36</v>
      </c>
      <c r="C25" s="245">
        <v>37.340000000000003</v>
      </c>
      <c r="D25" s="245">
        <f t="shared" si="1"/>
        <v>401.92776000000003</v>
      </c>
      <c r="E25" s="245">
        <v>5.0199999999999996</v>
      </c>
      <c r="F25" s="245">
        <f t="shared" si="2"/>
        <v>54.035279999999993</v>
      </c>
      <c r="G25" s="245">
        <v>0</v>
      </c>
      <c r="H25" s="245">
        <f t="shared" si="3"/>
        <v>0</v>
      </c>
      <c r="I25" s="245">
        <f t="shared" si="4"/>
        <v>455.96304000000003</v>
      </c>
      <c r="J25" s="245">
        <f t="shared" si="5"/>
        <v>661.14640800000006</v>
      </c>
      <c r="K25" s="246">
        <f t="shared" si="6"/>
        <v>5289171.2640000004</v>
      </c>
      <c r="L25" s="246">
        <v>300000</v>
      </c>
      <c r="M25" s="247">
        <v>200000</v>
      </c>
      <c r="N25" s="248">
        <f t="shared" si="7"/>
        <v>5789171.2640000004</v>
      </c>
      <c r="O25" s="248">
        <f t="shared" si="8"/>
        <v>0</v>
      </c>
      <c r="P25" s="246">
        <f t="shared" si="9"/>
        <v>5789171.2640000004</v>
      </c>
      <c r="Q25" s="246">
        <f t="shared" si="10"/>
        <v>165286.60200000001</v>
      </c>
      <c r="R25" s="246">
        <f t="shared" si="11"/>
        <v>132229.28160000002</v>
      </c>
      <c r="S25" s="246">
        <f t="shared" si="12"/>
        <v>99171.961200000005</v>
      </c>
      <c r="T25" s="246">
        <f t="shared" si="13"/>
        <v>6185859.1088000005</v>
      </c>
      <c r="U25" s="246">
        <v>30000</v>
      </c>
      <c r="V25" s="246">
        <f t="shared" si="14"/>
        <v>694700.55168000003</v>
      </c>
      <c r="W25" s="246">
        <f t="shared" si="15"/>
        <v>35701.906031999999</v>
      </c>
      <c r="X25" s="246">
        <f t="shared" si="16"/>
        <v>405300</v>
      </c>
      <c r="Y25" s="248">
        <v>6000</v>
      </c>
      <c r="Z25" s="248">
        <f t="shared" si="17"/>
        <v>7357561.5665119998</v>
      </c>
      <c r="AA25" s="249" t="s">
        <v>487</v>
      </c>
      <c r="AB25" s="250"/>
      <c r="AC25" s="250"/>
      <c r="AD25" s="250"/>
      <c r="AE25" s="250"/>
      <c r="AF25" s="251">
        <v>238</v>
      </c>
      <c r="AG25" s="252" t="s">
        <v>576</v>
      </c>
      <c r="AH25" s="251" t="s">
        <v>65</v>
      </c>
      <c r="AI25" s="250" t="s">
        <v>45</v>
      </c>
      <c r="AJ25" s="253" t="s">
        <v>462</v>
      </c>
    </row>
    <row r="26" spans="1:36" ht="15.75" customHeight="1" x14ac:dyDescent="0.2">
      <c r="A26" s="257" t="s">
        <v>417</v>
      </c>
      <c r="B26" s="259">
        <f t="shared" si="18"/>
        <v>42.36</v>
      </c>
      <c r="C26" s="258">
        <v>37.340000000000003</v>
      </c>
      <c r="D26" s="259">
        <f t="shared" si="1"/>
        <v>401.92776000000003</v>
      </c>
      <c r="E26" s="258">
        <v>5.0199999999999996</v>
      </c>
      <c r="F26" s="259">
        <f t="shared" si="2"/>
        <v>54.035279999999993</v>
      </c>
      <c r="G26" s="258">
        <v>0</v>
      </c>
      <c r="H26" s="258">
        <f t="shared" si="3"/>
        <v>0</v>
      </c>
      <c r="I26" s="259">
        <f t="shared" si="4"/>
        <v>455.96304000000003</v>
      </c>
      <c r="J26" s="259">
        <f t="shared" si="5"/>
        <v>661.14640800000006</v>
      </c>
      <c r="K26" s="258">
        <f t="shared" si="6"/>
        <v>5289171.2640000004</v>
      </c>
      <c r="L26" s="182">
        <v>300000</v>
      </c>
      <c r="M26" s="260">
        <v>200000</v>
      </c>
      <c r="N26" s="258">
        <f t="shared" si="7"/>
        <v>5789171.2640000004</v>
      </c>
      <c r="O26" s="258">
        <f t="shared" si="8"/>
        <v>0</v>
      </c>
      <c r="P26" s="258">
        <f t="shared" si="9"/>
        <v>5789171.2640000004</v>
      </c>
      <c r="Q26" s="258">
        <f t="shared" si="10"/>
        <v>165286.60200000001</v>
      </c>
      <c r="R26" s="258">
        <f t="shared" si="11"/>
        <v>132229.28160000002</v>
      </c>
      <c r="S26" s="258">
        <f t="shared" si="12"/>
        <v>99171.961200000005</v>
      </c>
      <c r="T26" s="258">
        <f t="shared" si="13"/>
        <v>6185859.1088000005</v>
      </c>
      <c r="U26" s="258">
        <v>30000</v>
      </c>
      <c r="V26" s="258">
        <f t="shared" si="14"/>
        <v>694700.55168000003</v>
      </c>
      <c r="W26" s="258">
        <f t="shared" si="15"/>
        <v>35701.906031999999</v>
      </c>
      <c r="X26" s="258">
        <f t="shared" si="16"/>
        <v>405300</v>
      </c>
      <c r="Y26" s="258">
        <v>6000</v>
      </c>
      <c r="Z26" s="258">
        <f t="shared" si="17"/>
        <v>7357561.5665119998</v>
      </c>
      <c r="AA26" s="258"/>
      <c r="AB26" s="258"/>
      <c r="AC26" s="258"/>
      <c r="AD26" s="258"/>
      <c r="AE26" s="258"/>
      <c r="AF26" s="242">
        <v>239</v>
      </c>
      <c r="AG26" s="243" t="s">
        <v>577</v>
      </c>
      <c r="AH26" s="242" t="s">
        <v>65</v>
      </c>
      <c r="AI26" s="185" t="s">
        <v>45</v>
      </c>
      <c r="AJ26" s="188" t="s">
        <v>462</v>
      </c>
    </row>
    <row r="27" spans="1:36" ht="15.75" customHeight="1" x14ac:dyDescent="0.2">
      <c r="A27" s="257" t="s">
        <v>419</v>
      </c>
      <c r="B27" s="259">
        <f t="shared" si="18"/>
        <v>43.93</v>
      </c>
      <c r="C27" s="258">
        <v>38.630000000000003</v>
      </c>
      <c r="D27" s="259">
        <f t="shared" si="1"/>
        <v>415.81331999999998</v>
      </c>
      <c r="E27" s="258">
        <v>5.3</v>
      </c>
      <c r="F27" s="259">
        <f t="shared" si="2"/>
        <v>57.049199999999992</v>
      </c>
      <c r="G27" s="258">
        <v>0</v>
      </c>
      <c r="H27" s="258">
        <f t="shared" si="3"/>
        <v>0</v>
      </c>
      <c r="I27" s="259">
        <f t="shared" si="4"/>
        <v>472.86251999999996</v>
      </c>
      <c r="J27" s="259">
        <f t="shared" si="5"/>
        <v>685.65065399999992</v>
      </c>
      <c r="K27" s="258">
        <f t="shared" si="6"/>
        <v>5485205.2319999989</v>
      </c>
      <c r="L27" s="182">
        <v>300000</v>
      </c>
      <c r="M27" s="260">
        <v>200000</v>
      </c>
      <c r="N27" s="258">
        <f t="shared" si="7"/>
        <v>5985205.2319999989</v>
      </c>
      <c r="O27" s="258">
        <f t="shared" si="8"/>
        <v>0</v>
      </c>
      <c r="P27" s="258">
        <f t="shared" si="9"/>
        <v>5985205.2319999989</v>
      </c>
      <c r="Q27" s="258">
        <f t="shared" si="10"/>
        <v>171412.66349999997</v>
      </c>
      <c r="R27" s="258">
        <f t="shared" si="11"/>
        <v>137130.13079999998</v>
      </c>
      <c r="S27" s="258">
        <f t="shared" si="12"/>
        <v>102847.59809999999</v>
      </c>
      <c r="T27" s="258">
        <f t="shared" si="13"/>
        <v>6396595.6243999992</v>
      </c>
      <c r="U27" s="258">
        <v>30000</v>
      </c>
      <c r="V27" s="258">
        <f t="shared" si="14"/>
        <v>718224.62783999986</v>
      </c>
      <c r="W27" s="258">
        <f t="shared" si="15"/>
        <v>37025.135315999993</v>
      </c>
      <c r="X27" s="258">
        <f t="shared" si="16"/>
        <v>419000</v>
      </c>
      <c r="Y27" s="258">
        <v>6000</v>
      </c>
      <c r="Z27" s="258">
        <f t="shared" si="17"/>
        <v>7606845.3875559997</v>
      </c>
      <c r="AA27" s="258"/>
      <c r="AB27" s="258"/>
      <c r="AC27" s="258"/>
      <c r="AD27" s="258"/>
      <c r="AE27" s="258"/>
      <c r="AF27" s="242">
        <v>240</v>
      </c>
      <c r="AG27" s="243" t="s">
        <v>578</v>
      </c>
      <c r="AH27" s="242" t="s">
        <v>65</v>
      </c>
      <c r="AI27" s="185" t="s">
        <v>45</v>
      </c>
      <c r="AJ27" s="188" t="s">
        <v>462</v>
      </c>
    </row>
    <row r="28" spans="1:36" ht="15.75" customHeight="1" x14ac:dyDescent="0.2">
      <c r="A28" s="257" t="s">
        <v>421</v>
      </c>
      <c r="B28" s="259">
        <f t="shared" si="18"/>
        <v>68.28</v>
      </c>
      <c r="C28" s="258">
        <v>60.88</v>
      </c>
      <c r="D28" s="259">
        <f t="shared" si="1"/>
        <v>655.31232</v>
      </c>
      <c r="E28" s="258">
        <v>7.4</v>
      </c>
      <c r="F28" s="259">
        <f t="shared" si="2"/>
        <v>79.653599999999997</v>
      </c>
      <c r="G28" s="258">
        <v>0</v>
      </c>
      <c r="H28" s="258">
        <f t="shared" si="3"/>
        <v>0</v>
      </c>
      <c r="I28" s="259">
        <f t="shared" si="4"/>
        <v>734.96591999999998</v>
      </c>
      <c r="J28" s="259">
        <f t="shared" si="5"/>
        <v>1065.7005839999999</v>
      </c>
      <c r="K28" s="258">
        <f t="shared" si="6"/>
        <v>8525604.6720000003</v>
      </c>
      <c r="L28" s="183">
        <v>400000</v>
      </c>
      <c r="M28" s="260">
        <v>200000</v>
      </c>
      <c r="N28" s="258">
        <f t="shared" si="7"/>
        <v>9125604.6720000003</v>
      </c>
      <c r="O28" s="258">
        <f t="shared" si="8"/>
        <v>0</v>
      </c>
      <c r="P28" s="258">
        <f t="shared" si="9"/>
        <v>9125604.6720000003</v>
      </c>
      <c r="Q28" s="258">
        <f t="shared" si="10"/>
        <v>266425.14600000001</v>
      </c>
      <c r="R28" s="258">
        <f t="shared" si="11"/>
        <v>213140.11679999999</v>
      </c>
      <c r="S28" s="258">
        <f t="shared" si="12"/>
        <v>159855.0876</v>
      </c>
      <c r="T28" s="258">
        <f t="shared" si="13"/>
        <v>9765025.0224000011</v>
      </c>
      <c r="U28" s="258">
        <v>30000</v>
      </c>
      <c r="V28" s="258">
        <f t="shared" si="14"/>
        <v>1095072.56064</v>
      </c>
      <c r="W28" s="258">
        <f t="shared" si="15"/>
        <v>57547.831535999998</v>
      </c>
      <c r="X28" s="258">
        <f t="shared" si="16"/>
        <v>638800</v>
      </c>
      <c r="Y28" s="258">
        <v>6000</v>
      </c>
      <c r="Z28" s="258">
        <f t="shared" si="17"/>
        <v>11592445.414576001</v>
      </c>
      <c r="AA28" s="258"/>
      <c r="AB28" s="258"/>
      <c r="AC28" s="258"/>
      <c r="AD28" s="258"/>
      <c r="AE28" s="258"/>
      <c r="AF28" s="242">
        <v>187</v>
      </c>
      <c r="AG28" s="243" t="s">
        <v>579</v>
      </c>
      <c r="AH28" s="242" t="s">
        <v>40</v>
      </c>
      <c r="AI28" s="185" t="s">
        <v>45</v>
      </c>
      <c r="AJ28" s="188" t="s">
        <v>453</v>
      </c>
    </row>
    <row r="29" spans="1:36" ht="15.75" customHeight="1" x14ac:dyDescent="0.2">
      <c r="A29" s="261"/>
      <c r="B29" s="261">
        <f t="shared" ref="B29:J29" si="19">SUM(B4:B28)</f>
        <v>1759.76</v>
      </c>
      <c r="C29" s="261">
        <f t="shared" si="19"/>
        <v>1513.23</v>
      </c>
      <c r="D29" s="261">
        <f t="shared" si="19"/>
        <v>16288.407720000003</v>
      </c>
      <c r="E29" s="261">
        <f t="shared" si="19"/>
        <v>246.53000000000009</v>
      </c>
      <c r="F29" s="261">
        <f t="shared" si="19"/>
        <v>2653.6489200000005</v>
      </c>
      <c r="G29" s="261">
        <f t="shared" si="19"/>
        <v>0</v>
      </c>
      <c r="H29" s="261">
        <f t="shared" si="19"/>
        <v>0</v>
      </c>
      <c r="I29" s="261">
        <f t="shared" si="19"/>
        <v>18942.056639999992</v>
      </c>
      <c r="J29" s="261">
        <f t="shared" si="19"/>
        <v>27465.982128</v>
      </c>
      <c r="K29" s="261"/>
      <c r="L29" s="261"/>
      <c r="M29" s="261"/>
      <c r="N29" s="261"/>
      <c r="O29" s="261"/>
      <c r="P29" s="261">
        <f>SUM(P4:P26)</f>
        <v>220317047.12</v>
      </c>
      <c r="Q29" s="261"/>
      <c r="R29" s="261"/>
      <c r="S29" s="261"/>
      <c r="T29" s="261"/>
      <c r="U29" s="261"/>
      <c r="V29" s="261"/>
      <c r="W29" s="261"/>
      <c r="X29" s="261"/>
      <c r="Y29" s="261"/>
      <c r="Z29" s="261">
        <f>SUM(Z4:Z26)</f>
        <v>279823361.3764599</v>
      </c>
      <c r="AA29" s="261"/>
      <c r="AB29" s="261"/>
      <c r="AC29" s="261"/>
      <c r="AD29" s="261"/>
      <c r="AE29" s="261"/>
      <c r="AF29" s="261"/>
      <c r="AG29" s="261"/>
      <c r="AH29" s="261"/>
      <c r="AI29" s="261"/>
      <c r="AJ29" s="281"/>
    </row>
    <row r="30" spans="1:36" ht="15.75" customHeight="1" x14ac:dyDescent="0.2">
      <c r="A30" s="166"/>
      <c r="B30" s="218"/>
      <c r="C30" s="218"/>
      <c r="D30" s="41"/>
      <c r="E30" s="41"/>
      <c r="F30" s="41"/>
      <c r="G30" s="41"/>
      <c r="H30" s="41"/>
      <c r="I30" s="41"/>
      <c r="J30" s="166"/>
      <c r="K30" s="41"/>
      <c r="L30" s="41"/>
      <c r="M30" s="41"/>
      <c r="N30" s="166"/>
      <c r="O30" s="166"/>
      <c r="P30" s="41"/>
      <c r="Q30" s="41"/>
      <c r="R30" s="41"/>
      <c r="S30" s="41"/>
      <c r="T30" s="41"/>
      <c r="U30" s="41"/>
      <c r="V30" s="41"/>
      <c r="W30" s="41"/>
      <c r="X30" s="41"/>
      <c r="Y30" s="166"/>
      <c r="Z30" s="166"/>
      <c r="AA30" s="41"/>
      <c r="AB30" s="41"/>
      <c r="AC30" s="41"/>
      <c r="AD30" s="41"/>
      <c r="AE30" s="41"/>
      <c r="AF30" s="41"/>
      <c r="AG30" s="41"/>
      <c r="AH30" s="41"/>
      <c r="AI30" s="41"/>
    </row>
    <row r="31" spans="1:36" ht="15.75" customHeight="1" x14ac:dyDescent="0.2">
      <c r="A31" s="166"/>
      <c r="B31" s="218"/>
      <c r="C31" s="218"/>
      <c r="D31" s="41"/>
      <c r="E31" s="41"/>
      <c r="F31" s="41"/>
      <c r="G31" s="41"/>
      <c r="H31" s="41"/>
      <c r="I31" s="41"/>
      <c r="J31" s="166"/>
      <c r="K31" s="41"/>
      <c r="L31" s="41"/>
      <c r="M31" s="41" t="s">
        <v>0</v>
      </c>
      <c r="N31" s="166"/>
      <c r="O31" s="166"/>
      <c r="P31" s="41"/>
      <c r="Q31" s="41"/>
      <c r="R31" s="41"/>
      <c r="S31" s="41"/>
      <c r="T31" s="41"/>
      <c r="U31" s="41"/>
      <c r="V31" s="41"/>
      <c r="W31" s="41"/>
      <c r="X31" s="41"/>
      <c r="Y31" s="166"/>
      <c r="Z31" s="166"/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6" ht="15.75" customHeight="1" x14ac:dyDescent="0.2">
      <c r="A32" s="166"/>
      <c r="B32" s="218"/>
      <c r="C32" s="218"/>
      <c r="D32" s="41"/>
      <c r="E32" s="41"/>
      <c r="F32" s="41"/>
      <c r="G32" s="41"/>
      <c r="H32" s="41"/>
      <c r="I32" s="41" t="s">
        <v>516</v>
      </c>
      <c r="J32" s="166">
        <f>SUM(J26:J28)+SUM(J4)</f>
        <v>5147.7645959999991</v>
      </c>
      <c r="K32" s="41"/>
      <c r="L32" s="41"/>
      <c r="M32" s="41"/>
      <c r="N32" s="166"/>
      <c r="O32" s="166"/>
      <c r="P32" s="41"/>
      <c r="Q32" s="41"/>
      <c r="R32" s="41"/>
      <c r="S32" s="41"/>
      <c r="T32" s="41"/>
      <c r="U32" s="41"/>
      <c r="V32" s="41"/>
      <c r="W32" s="41"/>
      <c r="X32" s="41"/>
      <c r="Y32" s="166"/>
      <c r="Z32" s="166"/>
      <c r="AA32" s="41"/>
      <c r="AB32" s="41"/>
      <c r="AC32" s="41"/>
      <c r="AD32" s="41"/>
      <c r="AE32" s="41"/>
      <c r="AF32" s="41"/>
      <c r="AG32" s="41"/>
      <c r="AH32" s="41"/>
      <c r="AI32" s="41"/>
    </row>
    <row r="33" spans="1:35" ht="15.75" customHeight="1" x14ac:dyDescent="0.2">
      <c r="A33" s="166"/>
      <c r="B33" s="218"/>
      <c r="C33" s="218"/>
      <c r="D33" s="41"/>
      <c r="E33" s="41"/>
      <c r="F33" s="41"/>
      <c r="G33" s="41"/>
      <c r="H33" s="41"/>
      <c r="I33" s="41" t="s">
        <v>517</v>
      </c>
      <c r="J33" s="166">
        <f>J29-J32</f>
        <v>22318.217532000002</v>
      </c>
      <c r="K33" s="41"/>
      <c r="L33" s="41"/>
      <c r="M33" s="41"/>
      <c r="N33" s="166"/>
      <c r="O33" s="166"/>
      <c r="P33" s="41"/>
      <c r="Q33" s="41"/>
      <c r="R33" s="41"/>
      <c r="S33" s="41"/>
      <c r="T33" s="41"/>
      <c r="U33" s="41"/>
      <c r="V33" s="41"/>
      <c r="W33" s="41"/>
      <c r="X33" s="41"/>
      <c r="Y33" s="166"/>
      <c r="Z33" s="166"/>
      <c r="AA33" s="41"/>
      <c r="AB33" s="41"/>
      <c r="AC33" s="41"/>
      <c r="AD33" s="41"/>
      <c r="AE33" s="41"/>
      <c r="AF33" s="41"/>
      <c r="AG33" s="41"/>
      <c r="AH33" s="41"/>
      <c r="AI33" s="41"/>
    </row>
    <row r="34" spans="1:35" ht="15.75" customHeight="1" x14ac:dyDescent="0.2">
      <c r="A34" s="166"/>
      <c r="B34" s="218"/>
      <c r="C34" s="218"/>
      <c r="D34" s="41"/>
      <c r="E34" s="41"/>
      <c r="F34" s="41"/>
      <c r="G34" s="41"/>
      <c r="H34" s="41"/>
      <c r="I34" s="41"/>
      <c r="J34" s="166"/>
      <c r="K34" s="41"/>
      <c r="L34" s="41"/>
      <c r="M34" s="41"/>
      <c r="N34" s="166"/>
      <c r="O34" s="166"/>
      <c r="P34" s="41"/>
      <c r="Q34" s="41"/>
      <c r="R34" s="41"/>
      <c r="S34" s="41"/>
      <c r="T34" s="41"/>
      <c r="U34" s="41"/>
      <c r="V34" s="41"/>
      <c r="W34" s="41"/>
      <c r="X34" s="41"/>
      <c r="Y34" s="166"/>
      <c r="Z34" s="166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ht="15.75" customHeight="1" x14ac:dyDescent="0.2">
      <c r="A35" s="166"/>
      <c r="B35" s="218"/>
      <c r="C35" s="218"/>
      <c r="D35" s="41"/>
      <c r="E35" s="41"/>
      <c r="F35" s="41"/>
      <c r="G35" s="41"/>
      <c r="H35" s="41"/>
      <c r="I35" s="41"/>
      <c r="J35" s="166"/>
      <c r="K35" s="41"/>
      <c r="L35" s="41"/>
      <c r="M35" s="41"/>
      <c r="N35" s="166"/>
      <c r="O35" s="166"/>
      <c r="P35" s="41"/>
      <c r="Q35" s="41"/>
      <c r="R35" s="41"/>
      <c r="S35" s="41"/>
      <c r="T35" s="41"/>
      <c r="U35" s="41"/>
      <c r="V35" s="41"/>
      <c r="W35" s="41"/>
      <c r="X35" s="41"/>
      <c r="Y35" s="166"/>
      <c r="Z35" s="166"/>
      <c r="AA35" s="41"/>
      <c r="AB35" s="41"/>
      <c r="AC35" s="41"/>
      <c r="AD35" s="41"/>
      <c r="AE35" s="41"/>
      <c r="AF35" s="41"/>
      <c r="AG35" s="41"/>
      <c r="AH35" s="41"/>
      <c r="AI35" s="41"/>
    </row>
    <row r="36" spans="1:35" ht="15.75" customHeight="1" x14ac:dyDescent="0.2">
      <c r="A36" s="166"/>
      <c r="B36" s="218"/>
      <c r="C36" s="218"/>
      <c r="D36" s="41"/>
      <c r="E36" s="41"/>
      <c r="F36" s="41"/>
      <c r="G36" s="41"/>
      <c r="H36" s="41"/>
      <c r="I36" s="41"/>
      <c r="J36" s="166"/>
      <c r="K36" s="41"/>
      <c r="L36" s="41"/>
      <c r="M36" s="41"/>
      <c r="N36" s="166"/>
      <c r="O36" s="166"/>
      <c r="P36" s="41"/>
      <c r="Q36" s="41"/>
      <c r="R36" s="41"/>
      <c r="S36" s="41"/>
      <c r="T36" s="41"/>
      <c r="U36" s="41"/>
      <c r="V36" s="41"/>
      <c r="W36" s="41"/>
      <c r="X36" s="41"/>
      <c r="Y36" s="166"/>
      <c r="Z36" s="166"/>
      <c r="AA36" s="41"/>
      <c r="AB36" s="41"/>
      <c r="AC36" s="41"/>
      <c r="AD36" s="41"/>
      <c r="AE36" s="41"/>
      <c r="AF36" s="41"/>
      <c r="AG36" s="41"/>
      <c r="AH36" s="41"/>
      <c r="AI36" s="41"/>
    </row>
    <row r="37" spans="1:35" ht="15.75" customHeight="1" x14ac:dyDescent="0.2">
      <c r="A37" s="166"/>
      <c r="B37" s="218"/>
      <c r="C37" s="218"/>
      <c r="D37" s="41"/>
      <c r="E37" s="41"/>
      <c r="F37" s="41"/>
      <c r="G37" s="41"/>
      <c r="H37" s="41"/>
      <c r="I37" s="41"/>
      <c r="J37" s="166"/>
      <c r="K37" s="41"/>
      <c r="L37" s="41"/>
      <c r="M37" s="41"/>
      <c r="N37" s="166"/>
      <c r="O37" s="166"/>
      <c r="P37" s="41"/>
      <c r="Q37" s="41"/>
      <c r="R37" s="41"/>
      <c r="S37" s="41"/>
      <c r="T37" s="41"/>
      <c r="U37" s="41"/>
      <c r="V37" s="41"/>
      <c r="W37" s="41"/>
      <c r="X37" s="41"/>
      <c r="Y37" s="166"/>
      <c r="Z37" s="166"/>
      <c r="AA37" s="41"/>
      <c r="AB37" s="41"/>
      <c r="AC37" s="41"/>
      <c r="AD37" s="41"/>
      <c r="AE37" s="41"/>
      <c r="AF37" s="41"/>
      <c r="AG37" s="41"/>
      <c r="AH37" s="41"/>
      <c r="AI37" s="41"/>
    </row>
    <row r="38" spans="1:35" ht="15.75" customHeight="1" x14ac:dyDescent="0.2">
      <c r="A38" s="166"/>
      <c r="B38" s="218"/>
      <c r="C38" s="218"/>
      <c r="D38" s="41"/>
      <c r="E38" s="41"/>
      <c r="F38" s="41"/>
      <c r="G38" s="41"/>
      <c r="H38" s="41"/>
      <c r="I38" s="41"/>
      <c r="J38" s="166"/>
      <c r="K38" s="41"/>
      <c r="L38" s="41"/>
      <c r="M38" s="41"/>
      <c r="N38" s="166"/>
      <c r="O38" s="166"/>
      <c r="P38" s="41"/>
      <c r="Q38" s="41"/>
      <c r="R38" s="41"/>
      <c r="S38" s="41"/>
      <c r="T38" s="41"/>
      <c r="U38" s="41"/>
      <c r="V38" s="41"/>
      <c r="W38" s="41"/>
      <c r="X38" s="41"/>
      <c r="Y38" s="166"/>
      <c r="Z38" s="166"/>
      <c r="AA38" s="41"/>
      <c r="AB38" s="41"/>
      <c r="AC38" s="41"/>
      <c r="AD38" s="41"/>
      <c r="AE38" s="41"/>
      <c r="AF38" s="41"/>
      <c r="AG38" s="41"/>
      <c r="AH38" s="41"/>
      <c r="AI38" s="41"/>
    </row>
    <row r="39" spans="1:35" ht="15.75" customHeight="1" x14ac:dyDescent="0.2">
      <c r="A39" s="166"/>
      <c r="B39" s="218"/>
      <c r="C39" s="218"/>
      <c r="D39" s="41"/>
      <c r="E39" s="41"/>
      <c r="F39" s="41"/>
      <c r="G39" s="41"/>
      <c r="H39" s="41"/>
      <c r="I39" s="41"/>
      <c r="J39" s="166"/>
      <c r="K39" s="41"/>
      <c r="L39" s="41"/>
      <c r="M39" s="41"/>
      <c r="N39" s="166"/>
      <c r="O39" s="166"/>
      <c r="P39" s="41"/>
      <c r="Q39" s="41"/>
      <c r="R39" s="41"/>
      <c r="S39" s="41"/>
      <c r="T39" s="41"/>
      <c r="U39" s="41"/>
      <c r="V39" s="41"/>
      <c r="W39" s="41"/>
      <c r="X39" s="41"/>
      <c r="Y39" s="166"/>
      <c r="Z39" s="166"/>
      <c r="AA39" s="41"/>
      <c r="AB39" s="41"/>
      <c r="AC39" s="41"/>
      <c r="AD39" s="41"/>
      <c r="AE39" s="41"/>
      <c r="AF39" s="41"/>
      <c r="AG39" s="41"/>
      <c r="AH39" s="41"/>
      <c r="AI39" s="41"/>
    </row>
    <row r="40" spans="1:35" ht="15.75" customHeight="1" x14ac:dyDescent="0.2">
      <c r="A40" s="166"/>
      <c r="B40" s="218"/>
      <c r="C40" s="218"/>
      <c r="D40" s="41"/>
      <c r="E40" s="41"/>
      <c r="F40" s="41"/>
      <c r="G40" s="41"/>
      <c r="H40" s="41"/>
      <c r="I40" s="41"/>
      <c r="J40" s="166"/>
      <c r="K40" s="41"/>
      <c r="L40" s="41"/>
      <c r="M40" s="41"/>
      <c r="N40" s="166"/>
      <c r="O40" s="166"/>
      <c r="P40" s="41"/>
      <c r="Q40" s="41"/>
      <c r="R40" s="41"/>
      <c r="S40" s="41"/>
      <c r="T40" s="41"/>
      <c r="U40" s="41"/>
      <c r="V40" s="41"/>
      <c r="W40" s="41"/>
      <c r="X40" s="41"/>
      <c r="Y40" s="166"/>
      <c r="Z40" s="166"/>
      <c r="AA40" s="41"/>
      <c r="AB40" s="41"/>
      <c r="AC40" s="41"/>
      <c r="AD40" s="41"/>
      <c r="AE40" s="41"/>
      <c r="AF40" s="41"/>
      <c r="AG40" s="41"/>
      <c r="AH40" s="41"/>
      <c r="AI40" s="41"/>
    </row>
    <row r="41" spans="1:35" ht="15.75" customHeight="1" x14ac:dyDescent="0.2">
      <c r="A41" s="166"/>
      <c r="B41" s="218"/>
      <c r="C41" s="218"/>
      <c r="D41" s="41"/>
      <c r="E41" s="41"/>
      <c r="F41" s="41"/>
      <c r="G41" s="41"/>
      <c r="H41" s="41"/>
      <c r="I41" s="41"/>
      <c r="J41" s="166"/>
      <c r="K41" s="41"/>
      <c r="L41" s="41"/>
      <c r="M41" s="41"/>
      <c r="N41" s="166"/>
      <c r="O41" s="166"/>
      <c r="P41" s="41"/>
      <c r="Q41" s="41"/>
      <c r="R41" s="41"/>
      <c r="S41" s="41"/>
      <c r="T41" s="41"/>
      <c r="U41" s="41"/>
      <c r="V41" s="41"/>
      <c r="W41" s="41"/>
      <c r="X41" s="41"/>
      <c r="Y41" s="166"/>
      <c r="Z41" s="166"/>
      <c r="AA41" s="41"/>
      <c r="AB41" s="41"/>
      <c r="AC41" s="41"/>
      <c r="AD41" s="41"/>
      <c r="AE41" s="41"/>
      <c r="AF41" s="41"/>
      <c r="AG41" s="41"/>
      <c r="AH41" s="41"/>
      <c r="AI41" s="41"/>
    </row>
    <row r="42" spans="1:35" ht="15.75" customHeight="1" x14ac:dyDescent="0.2">
      <c r="A42" s="166"/>
      <c r="B42" s="218"/>
      <c r="C42" s="218"/>
      <c r="D42" s="41"/>
      <c r="E42" s="41"/>
      <c r="F42" s="41"/>
      <c r="G42" s="41"/>
      <c r="H42" s="41"/>
      <c r="I42" s="41"/>
      <c r="J42" s="166"/>
      <c r="K42" s="41"/>
      <c r="L42" s="41"/>
      <c r="M42" s="41"/>
      <c r="N42" s="166"/>
      <c r="O42" s="166"/>
      <c r="P42" s="41"/>
      <c r="Q42" s="41"/>
      <c r="R42" s="41"/>
      <c r="S42" s="41"/>
      <c r="T42" s="41"/>
      <c r="U42" s="41"/>
      <c r="V42" s="41"/>
      <c r="W42" s="41"/>
      <c r="X42" s="41"/>
      <c r="Y42" s="166"/>
      <c r="Z42" s="166"/>
      <c r="AA42" s="41"/>
      <c r="AB42" s="41"/>
      <c r="AC42" s="41"/>
      <c r="AD42" s="41"/>
      <c r="AE42" s="41"/>
      <c r="AF42" s="41"/>
      <c r="AG42" s="41"/>
      <c r="AH42" s="41"/>
      <c r="AI42" s="41"/>
    </row>
    <row r="43" spans="1:35" ht="15.75" customHeight="1" x14ac:dyDescent="0.2">
      <c r="A43" s="166"/>
      <c r="B43" s="218"/>
      <c r="C43" s="218"/>
      <c r="D43" s="41"/>
      <c r="E43" s="41"/>
      <c r="F43" s="41"/>
      <c r="G43" s="41"/>
      <c r="H43" s="41"/>
      <c r="I43" s="41"/>
      <c r="J43" s="166"/>
      <c r="K43" s="41"/>
      <c r="L43" s="41"/>
      <c r="M43" s="41"/>
      <c r="N43" s="166"/>
      <c r="O43" s="166"/>
      <c r="P43" s="41"/>
      <c r="Q43" s="41"/>
      <c r="R43" s="41"/>
      <c r="S43" s="41"/>
      <c r="T43" s="41"/>
      <c r="U43" s="41"/>
      <c r="V43" s="41"/>
      <c r="W43" s="41"/>
      <c r="X43" s="41"/>
      <c r="Y43" s="166"/>
      <c r="Z43" s="166"/>
      <c r="AA43" s="41"/>
      <c r="AB43" s="41"/>
      <c r="AC43" s="41"/>
      <c r="AD43" s="41"/>
      <c r="AE43" s="41"/>
      <c r="AF43" s="41"/>
      <c r="AG43" s="41"/>
      <c r="AH43" s="41"/>
      <c r="AI43" s="41"/>
    </row>
    <row r="44" spans="1:35" ht="15.75" customHeight="1" x14ac:dyDescent="0.2">
      <c r="A44" s="166"/>
      <c r="B44" s="218"/>
      <c r="C44" s="218"/>
      <c r="D44" s="41"/>
      <c r="E44" s="41"/>
      <c r="F44" s="41"/>
      <c r="G44" s="41"/>
      <c r="H44" s="41"/>
      <c r="I44" s="41"/>
      <c r="J44" s="166"/>
      <c r="K44" s="41"/>
      <c r="L44" s="41"/>
      <c r="M44" s="41"/>
      <c r="N44" s="166"/>
      <c r="O44" s="166"/>
      <c r="P44" s="41"/>
      <c r="Q44" s="41"/>
      <c r="R44" s="41"/>
      <c r="S44" s="41"/>
      <c r="T44" s="41"/>
      <c r="U44" s="41"/>
      <c r="V44" s="41"/>
      <c r="W44" s="41"/>
      <c r="X44" s="41"/>
      <c r="Y44" s="166"/>
      <c r="Z44" s="166"/>
      <c r="AA44" s="41"/>
      <c r="AB44" s="41"/>
      <c r="AC44" s="41"/>
      <c r="AD44" s="41"/>
      <c r="AE44" s="41"/>
      <c r="AF44" s="41"/>
      <c r="AG44" s="41"/>
      <c r="AH44" s="41"/>
      <c r="AI44" s="41"/>
    </row>
    <row r="45" spans="1:35" ht="15.75" customHeight="1" x14ac:dyDescent="0.2">
      <c r="A45" s="166"/>
      <c r="B45" s="218"/>
      <c r="C45" s="218"/>
      <c r="D45" s="41"/>
      <c r="E45" s="41"/>
      <c r="F45" s="41"/>
      <c r="G45" s="41"/>
      <c r="H45" s="41"/>
      <c r="I45" s="41"/>
      <c r="J45" s="166"/>
      <c r="K45" s="41"/>
      <c r="L45" s="41"/>
      <c r="M45" s="41"/>
      <c r="N45" s="166"/>
      <c r="O45" s="166"/>
      <c r="P45" s="41"/>
      <c r="Q45" s="41"/>
      <c r="R45" s="41"/>
      <c r="S45" s="41"/>
      <c r="T45" s="41"/>
      <c r="U45" s="41"/>
      <c r="V45" s="41"/>
      <c r="W45" s="41"/>
      <c r="X45" s="41"/>
      <c r="Y45" s="166"/>
      <c r="Z45" s="166"/>
      <c r="AA45" s="41"/>
      <c r="AB45" s="41"/>
      <c r="AC45" s="41"/>
      <c r="AD45" s="41"/>
      <c r="AE45" s="41"/>
      <c r="AF45" s="41"/>
      <c r="AG45" s="41"/>
      <c r="AH45" s="41"/>
      <c r="AI45" s="41"/>
    </row>
    <row r="46" spans="1:35" ht="15.75" customHeight="1" x14ac:dyDescent="0.2">
      <c r="A46" s="166"/>
      <c r="B46" s="218"/>
      <c r="C46" s="218"/>
      <c r="D46" s="41"/>
      <c r="E46" s="41"/>
      <c r="F46" s="41"/>
      <c r="G46" s="41"/>
      <c r="H46" s="41"/>
      <c r="I46" s="41"/>
      <c r="J46" s="166"/>
      <c r="K46" s="41"/>
      <c r="L46" s="41"/>
      <c r="M46" s="41"/>
      <c r="N46" s="166"/>
      <c r="O46" s="166"/>
      <c r="P46" s="41"/>
      <c r="Q46" s="41"/>
      <c r="R46" s="41"/>
      <c r="S46" s="41"/>
      <c r="T46" s="41"/>
      <c r="U46" s="41"/>
      <c r="V46" s="41"/>
      <c r="W46" s="41"/>
      <c r="X46" s="41"/>
      <c r="Y46" s="166"/>
      <c r="Z46" s="166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5.75" customHeight="1" x14ac:dyDescent="0.2">
      <c r="A47" s="166"/>
      <c r="B47" s="218"/>
      <c r="C47" s="218"/>
      <c r="D47" s="41"/>
      <c r="E47" s="41"/>
      <c r="F47" s="41"/>
      <c r="G47" s="41"/>
      <c r="H47" s="41"/>
      <c r="I47" s="41"/>
      <c r="J47" s="166"/>
      <c r="K47" s="41"/>
      <c r="L47" s="41"/>
      <c r="M47" s="41"/>
      <c r="N47" s="166"/>
      <c r="O47" s="166"/>
      <c r="P47" s="41"/>
      <c r="Q47" s="41"/>
      <c r="R47" s="41"/>
      <c r="S47" s="41"/>
      <c r="T47" s="41"/>
      <c r="U47" s="41"/>
      <c r="V47" s="41"/>
      <c r="W47" s="41"/>
      <c r="X47" s="41"/>
      <c r="Y47" s="166"/>
      <c r="Z47" s="166"/>
      <c r="AA47" s="41"/>
      <c r="AB47" s="41"/>
      <c r="AC47" s="41"/>
      <c r="AD47" s="41"/>
      <c r="AE47" s="41"/>
      <c r="AF47" s="41"/>
      <c r="AG47" s="41"/>
      <c r="AH47" s="41"/>
      <c r="AI47" s="41"/>
    </row>
    <row r="48" spans="1:35" ht="15.75" customHeight="1" x14ac:dyDescent="0.2">
      <c r="A48" s="166"/>
      <c r="B48" s="218"/>
      <c r="C48" s="218"/>
      <c r="D48" s="41"/>
      <c r="E48" s="41"/>
      <c r="F48" s="41"/>
      <c r="G48" s="41"/>
      <c r="H48" s="41"/>
      <c r="I48" s="41"/>
      <c r="J48" s="166"/>
      <c r="K48" s="41"/>
      <c r="L48" s="41"/>
      <c r="M48" s="41"/>
      <c r="N48" s="166"/>
      <c r="O48" s="166"/>
      <c r="P48" s="41"/>
      <c r="Q48" s="41"/>
      <c r="R48" s="41"/>
      <c r="S48" s="41"/>
      <c r="T48" s="41"/>
      <c r="U48" s="41"/>
      <c r="V48" s="41"/>
      <c r="W48" s="41"/>
      <c r="X48" s="41"/>
      <c r="Y48" s="166"/>
      <c r="Z48" s="166"/>
      <c r="AA48" s="41"/>
      <c r="AB48" s="41"/>
      <c r="AC48" s="41"/>
      <c r="AD48" s="41"/>
      <c r="AE48" s="41"/>
      <c r="AF48" s="41"/>
      <c r="AG48" s="41"/>
      <c r="AH48" s="41"/>
      <c r="AI48" s="41"/>
    </row>
    <row r="49" spans="1:35" ht="15.75" customHeight="1" x14ac:dyDescent="0.2">
      <c r="A49" s="166"/>
      <c r="B49" s="218"/>
      <c r="C49" s="218"/>
      <c r="D49" s="41"/>
      <c r="E49" s="41"/>
      <c r="F49" s="41"/>
      <c r="G49" s="41"/>
      <c r="H49" s="41"/>
      <c r="I49" s="41"/>
      <c r="J49" s="166"/>
      <c r="K49" s="41"/>
      <c r="L49" s="41"/>
      <c r="M49" s="41"/>
      <c r="N49" s="166"/>
      <c r="O49" s="166"/>
      <c r="P49" s="41"/>
      <c r="Q49" s="41"/>
      <c r="R49" s="41"/>
      <c r="S49" s="41"/>
      <c r="T49" s="41"/>
      <c r="U49" s="41"/>
      <c r="V49" s="41"/>
      <c r="W49" s="41"/>
      <c r="X49" s="41"/>
      <c r="Y49" s="166"/>
      <c r="Z49" s="166"/>
      <c r="AA49" s="41"/>
      <c r="AB49" s="41"/>
      <c r="AC49" s="41"/>
      <c r="AD49" s="41"/>
      <c r="AE49" s="41"/>
      <c r="AF49" s="41"/>
      <c r="AG49" s="41"/>
      <c r="AH49" s="41"/>
      <c r="AI49" s="41"/>
    </row>
    <row r="50" spans="1:35" ht="15.75" customHeight="1" x14ac:dyDescent="0.2">
      <c r="A50" s="166"/>
      <c r="B50" s="218"/>
      <c r="C50" s="218"/>
      <c r="D50" s="41"/>
      <c r="E50" s="41"/>
      <c r="F50" s="41"/>
      <c r="G50" s="41"/>
      <c r="H50" s="41"/>
      <c r="I50" s="41"/>
      <c r="J50" s="166"/>
      <c r="K50" s="41"/>
      <c r="L50" s="41"/>
      <c r="M50" s="41"/>
      <c r="N50" s="166"/>
      <c r="O50" s="166"/>
      <c r="P50" s="41"/>
      <c r="Q50" s="41"/>
      <c r="R50" s="41"/>
      <c r="S50" s="41"/>
      <c r="T50" s="41"/>
      <c r="U50" s="41"/>
      <c r="V50" s="41"/>
      <c r="W50" s="41"/>
      <c r="X50" s="41"/>
      <c r="Y50" s="166"/>
      <c r="Z50" s="166"/>
      <c r="AA50" s="41"/>
      <c r="AB50" s="41"/>
      <c r="AC50" s="41"/>
      <c r="AD50" s="41"/>
      <c r="AE50" s="41"/>
      <c r="AF50" s="41"/>
      <c r="AG50" s="41"/>
      <c r="AH50" s="41"/>
      <c r="AI50" s="41"/>
    </row>
    <row r="51" spans="1:35" ht="15.75" customHeight="1" x14ac:dyDescent="0.2">
      <c r="A51" s="166"/>
      <c r="B51" s="218"/>
      <c r="C51" s="218"/>
      <c r="D51" s="41"/>
      <c r="E51" s="41"/>
      <c r="F51" s="41"/>
      <c r="G51" s="41"/>
      <c r="H51" s="41"/>
      <c r="I51" s="41"/>
      <c r="J51" s="166"/>
      <c r="K51" s="41"/>
      <c r="L51" s="41"/>
      <c r="M51" s="41"/>
      <c r="N51" s="166"/>
      <c r="O51" s="166"/>
      <c r="P51" s="41"/>
      <c r="Q51" s="41"/>
      <c r="R51" s="41"/>
      <c r="S51" s="41"/>
      <c r="T51" s="41"/>
      <c r="U51" s="41"/>
      <c r="V51" s="41"/>
      <c r="W51" s="41"/>
      <c r="X51" s="41"/>
      <c r="Y51" s="166"/>
      <c r="Z51" s="166"/>
      <c r="AA51" s="41"/>
      <c r="AB51" s="41"/>
      <c r="AC51" s="41"/>
      <c r="AD51" s="41"/>
      <c r="AE51" s="41"/>
      <c r="AF51" s="41"/>
      <c r="AG51" s="41"/>
      <c r="AH51" s="41"/>
      <c r="AI51" s="41"/>
    </row>
    <row r="52" spans="1:35" ht="15.75" customHeight="1" x14ac:dyDescent="0.2">
      <c r="A52" s="166"/>
      <c r="B52" s="218"/>
      <c r="C52" s="218"/>
      <c r="D52" s="41"/>
      <c r="E52" s="41"/>
      <c r="F52" s="41"/>
      <c r="G52" s="41"/>
      <c r="H52" s="41"/>
      <c r="I52" s="41"/>
      <c r="J52" s="166"/>
      <c r="K52" s="41"/>
      <c r="L52" s="41"/>
      <c r="M52" s="41"/>
      <c r="N52" s="166"/>
      <c r="O52" s="166"/>
      <c r="P52" s="41"/>
      <c r="Q52" s="41"/>
      <c r="R52" s="41"/>
      <c r="S52" s="41"/>
      <c r="T52" s="41"/>
      <c r="U52" s="41"/>
      <c r="V52" s="41"/>
      <c r="W52" s="41"/>
      <c r="X52" s="41"/>
      <c r="Y52" s="166"/>
      <c r="Z52" s="166"/>
      <c r="AA52" s="41"/>
      <c r="AB52" s="41"/>
      <c r="AC52" s="41"/>
      <c r="AD52" s="41"/>
      <c r="AE52" s="41"/>
      <c r="AF52" s="41"/>
      <c r="AG52" s="41"/>
      <c r="AH52" s="41"/>
      <c r="AI52" s="41"/>
    </row>
    <row r="53" spans="1:35" ht="15.75" customHeight="1" x14ac:dyDescent="0.2">
      <c r="A53" s="166"/>
      <c r="B53" s="218"/>
      <c r="C53" s="218"/>
      <c r="D53" s="41"/>
      <c r="E53" s="41"/>
      <c r="F53" s="41"/>
      <c r="G53" s="41"/>
      <c r="H53" s="41"/>
      <c r="I53" s="41"/>
      <c r="J53" s="166"/>
      <c r="K53" s="41"/>
      <c r="L53" s="41"/>
      <c r="M53" s="41"/>
      <c r="N53" s="166"/>
      <c r="O53" s="166"/>
      <c r="P53" s="41"/>
      <c r="Q53" s="41"/>
      <c r="R53" s="41"/>
      <c r="S53" s="41"/>
      <c r="T53" s="41"/>
      <c r="U53" s="41"/>
      <c r="V53" s="41"/>
      <c r="W53" s="41"/>
      <c r="X53" s="41"/>
      <c r="Y53" s="166"/>
      <c r="Z53" s="166"/>
      <c r="AA53" s="41"/>
      <c r="AB53" s="41"/>
      <c r="AC53" s="41"/>
      <c r="AD53" s="41"/>
      <c r="AE53" s="41"/>
      <c r="AF53" s="41"/>
      <c r="AG53" s="41"/>
      <c r="AH53" s="41"/>
      <c r="AI53" s="41"/>
    </row>
    <row r="54" spans="1:35" ht="15.75" customHeight="1" x14ac:dyDescent="0.2">
      <c r="A54" s="166"/>
      <c r="B54" s="218"/>
      <c r="C54" s="218"/>
      <c r="D54" s="41"/>
      <c r="E54" s="41"/>
      <c r="F54" s="41"/>
      <c r="G54" s="41"/>
      <c r="H54" s="41"/>
      <c r="I54" s="41"/>
      <c r="J54" s="166"/>
      <c r="K54" s="41"/>
      <c r="L54" s="41"/>
      <c r="M54" s="41"/>
      <c r="N54" s="166"/>
      <c r="O54" s="166"/>
      <c r="P54" s="41"/>
      <c r="Q54" s="41"/>
      <c r="R54" s="41"/>
      <c r="S54" s="41"/>
      <c r="T54" s="41"/>
      <c r="U54" s="41"/>
      <c r="V54" s="41"/>
      <c r="W54" s="41"/>
      <c r="X54" s="41"/>
      <c r="Y54" s="166"/>
      <c r="Z54" s="166"/>
      <c r="AA54" s="41"/>
      <c r="AB54" s="41"/>
      <c r="AC54" s="41"/>
      <c r="AD54" s="41"/>
      <c r="AE54" s="41"/>
      <c r="AF54" s="41"/>
      <c r="AG54" s="41"/>
      <c r="AH54" s="41"/>
      <c r="AI54" s="41"/>
    </row>
    <row r="55" spans="1:35" ht="15.75" customHeight="1" x14ac:dyDescent="0.2">
      <c r="A55" s="166"/>
      <c r="B55" s="218"/>
      <c r="C55" s="218"/>
      <c r="D55" s="41"/>
      <c r="E55" s="41"/>
      <c r="F55" s="41"/>
      <c r="G55" s="41"/>
      <c r="H55" s="41"/>
      <c r="I55" s="41"/>
      <c r="J55" s="166"/>
      <c r="K55" s="41"/>
      <c r="L55" s="41"/>
      <c r="M55" s="41"/>
      <c r="N55" s="166"/>
      <c r="O55" s="166"/>
      <c r="P55" s="41"/>
      <c r="Q55" s="41"/>
      <c r="R55" s="41"/>
      <c r="S55" s="41"/>
      <c r="T55" s="41"/>
      <c r="U55" s="41"/>
      <c r="V55" s="41"/>
      <c r="W55" s="41"/>
      <c r="X55" s="41"/>
      <c r="Y55" s="166"/>
      <c r="Z55" s="166"/>
      <c r="AA55" s="41"/>
      <c r="AB55" s="41"/>
      <c r="AC55" s="41"/>
      <c r="AD55" s="41"/>
      <c r="AE55" s="41"/>
      <c r="AF55" s="41"/>
      <c r="AG55" s="41"/>
      <c r="AH55" s="41"/>
      <c r="AI55" s="41"/>
    </row>
    <row r="56" spans="1:35" ht="15.75" customHeight="1" x14ac:dyDescent="0.2">
      <c r="A56" s="166"/>
      <c r="B56" s="218"/>
      <c r="C56" s="218"/>
      <c r="D56" s="41"/>
      <c r="E56" s="41"/>
      <c r="F56" s="41"/>
      <c r="G56" s="41"/>
      <c r="H56" s="41"/>
      <c r="I56" s="41"/>
      <c r="J56" s="166"/>
      <c r="K56" s="41"/>
      <c r="L56" s="41"/>
      <c r="M56" s="41"/>
      <c r="N56" s="166"/>
      <c r="O56" s="166"/>
      <c r="P56" s="41"/>
      <c r="Q56" s="41"/>
      <c r="R56" s="41"/>
      <c r="S56" s="41"/>
      <c r="T56" s="41"/>
      <c r="U56" s="41"/>
      <c r="V56" s="41"/>
      <c r="W56" s="41"/>
      <c r="X56" s="41"/>
      <c r="Y56" s="166"/>
      <c r="Z56" s="166"/>
      <c r="AA56" s="41"/>
      <c r="AB56" s="41"/>
      <c r="AC56" s="41"/>
      <c r="AD56" s="41"/>
      <c r="AE56" s="41"/>
      <c r="AF56" s="41"/>
      <c r="AG56" s="41"/>
      <c r="AH56" s="41"/>
      <c r="AI56" s="41"/>
    </row>
    <row r="57" spans="1:35" ht="15.75" customHeight="1" x14ac:dyDescent="0.2">
      <c r="A57" s="166"/>
      <c r="B57" s="218"/>
      <c r="C57" s="218"/>
      <c r="D57" s="41"/>
      <c r="E57" s="41"/>
      <c r="F57" s="41"/>
      <c r="G57" s="41"/>
      <c r="H57" s="41"/>
      <c r="I57" s="41"/>
      <c r="J57" s="166"/>
      <c r="K57" s="41"/>
      <c r="L57" s="41"/>
      <c r="M57" s="41"/>
      <c r="N57" s="166"/>
      <c r="O57" s="166"/>
      <c r="P57" s="41"/>
      <c r="Q57" s="41"/>
      <c r="R57" s="41"/>
      <c r="S57" s="41"/>
      <c r="T57" s="41"/>
      <c r="U57" s="41"/>
      <c r="V57" s="41"/>
      <c r="W57" s="41"/>
      <c r="X57" s="41"/>
      <c r="Y57" s="166"/>
      <c r="Z57" s="166"/>
      <c r="AA57" s="41"/>
      <c r="AB57" s="41"/>
      <c r="AC57" s="41"/>
      <c r="AD57" s="41"/>
      <c r="AE57" s="41"/>
      <c r="AF57" s="41"/>
      <c r="AG57" s="41"/>
      <c r="AH57" s="41"/>
      <c r="AI57" s="41"/>
    </row>
    <row r="58" spans="1:35" ht="15.75" customHeight="1" x14ac:dyDescent="0.2">
      <c r="A58" s="166"/>
      <c r="B58" s="218"/>
      <c r="C58" s="218"/>
      <c r="D58" s="41"/>
      <c r="E58" s="41"/>
      <c r="F58" s="41"/>
      <c r="G58" s="41"/>
      <c r="H58" s="41"/>
      <c r="I58" s="41"/>
      <c r="J58" s="166"/>
      <c r="K58" s="41"/>
      <c r="L58" s="41"/>
      <c r="M58" s="41"/>
      <c r="N58" s="166"/>
      <c r="O58" s="166"/>
      <c r="P58" s="41"/>
      <c r="Q58" s="41"/>
      <c r="R58" s="41"/>
      <c r="S58" s="41"/>
      <c r="T58" s="41"/>
      <c r="U58" s="41"/>
      <c r="V58" s="41"/>
      <c r="W58" s="41"/>
      <c r="X58" s="41"/>
      <c r="Y58" s="166"/>
      <c r="Z58" s="166"/>
      <c r="AA58" s="41"/>
      <c r="AB58" s="41"/>
      <c r="AC58" s="41"/>
      <c r="AD58" s="41"/>
      <c r="AE58" s="41"/>
      <c r="AF58" s="41"/>
      <c r="AG58" s="41"/>
      <c r="AH58" s="41"/>
      <c r="AI58" s="41"/>
    </row>
    <row r="59" spans="1:35" ht="15.75" customHeight="1" x14ac:dyDescent="0.2">
      <c r="A59" s="166"/>
      <c r="B59" s="218"/>
      <c r="C59" s="218"/>
      <c r="D59" s="41"/>
      <c r="E59" s="41"/>
      <c r="F59" s="41"/>
      <c r="G59" s="41"/>
      <c r="H59" s="41"/>
      <c r="I59" s="41"/>
      <c r="J59" s="166"/>
      <c r="K59" s="41"/>
      <c r="L59" s="41"/>
      <c r="M59" s="41"/>
      <c r="N59" s="166"/>
      <c r="O59" s="166"/>
      <c r="P59" s="41"/>
      <c r="Q59" s="41"/>
      <c r="R59" s="41"/>
      <c r="S59" s="41"/>
      <c r="T59" s="41"/>
      <c r="U59" s="41"/>
      <c r="V59" s="41"/>
      <c r="W59" s="41"/>
      <c r="X59" s="41"/>
      <c r="Y59" s="166"/>
      <c r="Z59" s="166"/>
      <c r="AA59" s="41"/>
      <c r="AB59" s="41"/>
      <c r="AC59" s="41"/>
      <c r="AD59" s="41"/>
      <c r="AE59" s="41"/>
      <c r="AF59" s="41"/>
      <c r="AG59" s="41"/>
      <c r="AH59" s="41"/>
      <c r="AI59" s="41"/>
    </row>
    <row r="60" spans="1:35" ht="15.75" customHeight="1" x14ac:dyDescent="0.2">
      <c r="A60" s="166"/>
      <c r="B60" s="218"/>
      <c r="C60" s="218"/>
      <c r="D60" s="41"/>
      <c r="E60" s="41"/>
      <c r="F60" s="41"/>
      <c r="G60" s="41"/>
      <c r="H60" s="41"/>
      <c r="I60" s="41"/>
      <c r="J60" s="166"/>
      <c r="K60" s="41"/>
      <c r="L60" s="41"/>
      <c r="M60" s="41"/>
      <c r="N60" s="166"/>
      <c r="O60" s="166"/>
      <c r="P60" s="41"/>
      <c r="Q60" s="41"/>
      <c r="R60" s="41"/>
      <c r="S60" s="41"/>
      <c r="T60" s="41"/>
      <c r="U60" s="41"/>
      <c r="V60" s="41"/>
      <c r="W60" s="41"/>
      <c r="X60" s="41"/>
      <c r="Y60" s="166"/>
      <c r="Z60" s="166"/>
      <c r="AA60" s="41"/>
      <c r="AB60" s="41"/>
      <c r="AC60" s="41"/>
      <c r="AD60" s="41"/>
      <c r="AE60" s="41"/>
      <c r="AF60" s="41"/>
      <c r="AG60" s="41"/>
      <c r="AH60" s="41"/>
      <c r="AI60" s="41"/>
    </row>
    <row r="61" spans="1:35" ht="15.75" customHeight="1" x14ac:dyDescent="0.2">
      <c r="A61" s="166"/>
      <c r="B61" s="218"/>
      <c r="C61" s="218"/>
      <c r="D61" s="41"/>
      <c r="E61" s="41"/>
      <c r="F61" s="41"/>
      <c r="G61" s="41"/>
      <c r="H61" s="41"/>
      <c r="I61" s="41"/>
      <c r="J61" s="166"/>
      <c r="K61" s="41"/>
      <c r="L61" s="41"/>
      <c r="M61" s="41"/>
      <c r="N61" s="166"/>
      <c r="O61" s="166"/>
      <c r="P61" s="41"/>
      <c r="Q61" s="41"/>
      <c r="R61" s="41"/>
      <c r="S61" s="41"/>
      <c r="T61" s="41"/>
      <c r="U61" s="41"/>
      <c r="V61" s="41"/>
      <c r="W61" s="41"/>
      <c r="X61" s="41"/>
      <c r="Y61" s="166"/>
      <c r="Z61" s="166"/>
      <c r="AA61" s="41"/>
      <c r="AB61" s="41"/>
      <c r="AC61" s="41"/>
      <c r="AD61" s="41"/>
      <c r="AE61" s="41"/>
      <c r="AF61" s="41"/>
      <c r="AG61" s="41"/>
      <c r="AH61" s="41"/>
      <c r="AI61" s="41"/>
    </row>
    <row r="62" spans="1:35" ht="15.75" customHeight="1" x14ac:dyDescent="0.2">
      <c r="A62" s="166"/>
      <c r="B62" s="218"/>
      <c r="C62" s="218"/>
      <c r="D62" s="41"/>
      <c r="E62" s="41"/>
      <c r="F62" s="41"/>
      <c r="G62" s="41"/>
      <c r="H62" s="41"/>
      <c r="I62" s="41"/>
      <c r="J62" s="166"/>
      <c r="K62" s="41"/>
      <c r="L62" s="41"/>
      <c r="M62" s="41"/>
      <c r="N62" s="166"/>
      <c r="O62" s="166"/>
      <c r="P62" s="41"/>
      <c r="Q62" s="41"/>
      <c r="R62" s="41"/>
      <c r="S62" s="41"/>
      <c r="T62" s="41"/>
      <c r="U62" s="41"/>
      <c r="V62" s="41"/>
      <c r="W62" s="41"/>
      <c r="X62" s="41"/>
      <c r="Y62" s="166"/>
      <c r="Z62" s="166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5.75" customHeight="1" x14ac:dyDescent="0.2">
      <c r="A63" s="166"/>
      <c r="B63" s="218"/>
      <c r="C63" s="218"/>
      <c r="D63" s="41"/>
      <c r="E63" s="41"/>
      <c r="F63" s="41"/>
      <c r="G63" s="41"/>
      <c r="H63" s="41"/>
      <c r="I63" s="41"/>
      <c r="J63" s="166"/>
      <c r="K63" s="41"/>
      <c r="L63" s="41"/>
      <c r="M63" s="41"/>
      <c r="N63" s="166"/>
      <c r="O63" s="166"/>
      <c r="P63" s="41"/>
      <c r="Q63" s="41"/>
      <c r="R63" s="41"/>
      <c r="S63" s="41"/>
      <c r="T63" s="41"/>
      <c r="U63" s="41"/>
      <c r="V63" s="41"/>
      <c r="W63" s="41"/>
      <c r="X63" s="41"/>
      <c r="Y63" s="166"/>
      <c r="Z63" s="166"/>
      <c r="AA63" s="41"/>
      <c r="AB63" s="41"/>
      <c r="AC63" s="41"/>
      <c r="AD63" s="41"/>
      <c r="AE63" s="41"/>
      <c r="AF63" s="41"/>
      <c r="AG63" s="41"/>
      <c r="AH63" s="41"/>
      <c r="AI63" s="41"/>
    </row>
    <row r="64" spans="1:35" ht="15.75" customHeight="1" x14ac:dyDescent="0.2">
      <c r="A64" s="166"/>
      <c r="B64" s="218"/>
      <c r="C64" s="218"/>
      <c r="D64" s="41"/>
      <c r="E64" s="41"/>
      <c r="F64" s="41"/>
      <c r="G64" s="41"/>
      <c r="H64" s="41"/>
      <c r="I64" s="41"/>
      <c r="J64" s="166"/>
      <c r="K64" s="41"/>
      <c r="L64" s="41"/>
      <c r="M64" s="41"/>
      <c r="N64" s="166"/>
      <c r="O64" s="166"/>
      <c r="P64" s="41"/>
      <c r="Q64" s="41"/>
      <c r="R64" s="41"/>
      <c r="S64" s="41"/>
      <c r="T64" s="41"/>
      <c r="U64" s="41"/>
      <c r="V64" s="41"/>
      <c r="W64" s="41"/>
      <c r="X64" s="41"/>
      <c r="Y64" s="166"/>
      <c r="Z64" s="166"/>
      <c r="AA64" s="41"/>
      <c r="AB64" s="41"/>
      <c r="AC64" s="41"/>
      <c r="AD64" s="41"/>
      <c r="AE64" s="41"/>
      <c r="AF64" s="41"/>
      <c r="AG64" s="41"/>
      <c r="AH64" s="41"/>
      <c r="AI64" s="41"/>
    </row>
    <row r="65" spans="1:35" ht="15.75" customHeight="1" x14ac:dyDescent="0.2">
      <c r="A65" s="166"/>
      <c r="B65" s="218"/>
      <c r="C65" s="218"/>
      <c r="D65" s="41"/>
      <c r="E65" s="41"/>
      <c r="F65" s="41"/>
      <c r="G65" s="41"/>
      <c r="H65" s="41"/>
      <c r="I65" s="41"/>
      <c r="J65" s="166"/>
      <c r="K65" s="41"/>
      <c r="L65" s="41"/>
      <c r="M65" s="41"/>
      <c r="N65" s="166"/>
      <c r="O65" s="166"/>
      <c r="P65" s="41"/>
      <c r="Q65" s="41"/>
      <c r="R65" s="41"/>
      <c r="S65" s="41"/>
      <c r="T65" s="41"/>
      <c r="U65" s="41"/>
      <c r="V65" s="41"/>
      <c r="W65" s="41"/>
      <c r="X65" s="41"/>
      <c r="Y65" s="166"/>
      <c r="Z65" s="166"/>
      <c r="AA65" s="41"/>
      <c r="AB65" s="41"/>
      <c r="AC65" s="41"/>
      <c r="AD65" s="41"/>
      <c r="AE65" s="41"/>
      <c r="AF65" s="41"/>
      <c r="AG65" s="41"/>
      <c r="AH65" s="41"/>
      <c r="AI65" s="41"/>
    </row>
    <row r="66" spans="1:35" ht="15.75" customHeight="1" x14ac:dyDescent="0.2">
      <c r="A66" s="166"/>
      <c r="B66" s="218"/>
      <c r="C66" s="218"/>
      <c r="D66" s="41"/>
      <c r="E66" s="41"/>
      <c r="F66" s="41"/>
      <c r="G66" s="41"/>
      <c r="H66" s="41"/>
      <c r="I66" s="41"/>
      <c r="J66" s="166"/>
      <c r="K66" s="41"/>
      <c r="L66" s="41"/>
      <c r="M66" s="41"/>
      <c r="N66" s="166"/>
      <c r="O66" s="166"/>
      <c r="P66" s="41"/>
      <c r="Q66" s="41"/>
      <c r="R66" s="41"/>
      <c r="S66" s="41"/>
      <c r="T66" s="41"/>
      <c r="U66" s="41"/>
      <c r="V66" s="41"/>
      <c r="W66" s="41"/>
      <c r="X66" s="41"/>
      <c r="Y66" s="166"/>
      <c r="Z66" s="166"/>
      <c r="AA66" s="41"/>
      <c r="AB66" s="41"/>
      <c r="AC66" s="41"/>
      <c r="AD66" s="41"/>
      <c r="AE66" s="41"/>
      <c r="AF66" s="41"/>
      <c r="AG66" s="41"/>
      <c r="AH66" s="41"/>
      <c r="AI66" s="41"/>
    </row>
    <row r="67" spans="1:35" ht="15.75" customHeight="1" x14ac:dyDescent="0.2">
      <c r="A67" s="166"/>
      <c r="B67" s="218"/>
      <c r="C67" s="218"/>
      <c r="D67" s="41"/>
      <c r="E67" s="41"/>
      <c r="F67" s="41"/>
      <c r="G67" s="41"/>
      <c r="H67" s="41"/>
      <c r="I67" s="41"/>
      <c r="J67" s="166"/>
      <c r="K67" s="41"/>
      <c r="L67" s="41"/>
      <c r="M67" s="41"/>
      <c r="N67" s="166"/>
      <c r="O67" s="166"/>
      <c r="P67" s="41"/>
      <c r="Q67" s="41"/>
      <c r="R67" s="41"/>
      <c r="S67" s="41"/>
      <c r="T67" s="41"/>
      <c r="U67" s="41"/>
      <c r="V67" s="41"/>
      <c r="W67" s="41"/>
      <c r="X67" s="41"/>
      <c r="Y67" s="166"/>
      <c r="Z67" s="166"/>
      <c r="AA67" s="41"/>
      <c r="AB67" s="41"/>
      <c r="AC67" s="41"/>
      <c r="AD67" s="41"/>
      <c r="AE67" s="41"/>
      <c r="AF67" s="41"/>
      <c r="AG67" s="41"/>
      <c r="AH67" s="41"/>
      <c r="AI67" s="41"/>
    </row>
    <row r="68" spans="1:35" ht="15.75" customHeight="1" x14ac:dyDescent="0.2">
      <c r="A68" s="166"/>
      <c r="B68" s="218"/>
      <c r="C68" s="218"/>
      <c r="D68" s="41"/>
      <c r="E68" s="41"/>
      <c r="F68" s="41"/>
      <c r="G68" s="41"/>
      <c r="H68" s="41"/>
      <c r="I68" s="41"/>
      <c r="J68" s="166"/>
      <c r="K68" s="41"/>
      <c r="L68" s="41"/>
      <c r="M68" s="41"/>
      <c r="N68" s="166"/>
      <c r="O68" s="166"/>
      <c r="P68" s="41"/>
      <c r="Q68" s="41"/>
      <c r="R68" s="41"/>
      <c r="S68" s="41"/>
      <c r="T68" s="41"/>
      <c r="U68" s="41"/>
      <c r="V68" s="41"/>
      <c r="W68" s="41"/>
      <c r="X68" s="41"/>
      <c r="Y68" s="166"/>
      <c r="Z68" s="166"/>
      <c r="AA68" s="41"/>
      <c r="AB68" s="41"/>
      <c r="AC68" s="41"/>
      <c r="AD68" s="41"/>
      <c r="AE68" s="41"/>
      <c r="AF68" s="41"/>
      <c r="AG68" s="41"/>
      <c r="AH68" s="41"/>
      <c r="AI68" s="41"/>
    </row>
    <row r="69" spans="1:35" ht="15.75" customHeight="1" x14ac:dyDescent="0.2">
      <c r="A69" s="166"/>
      <c r="B69" s="218"/>
      <c r="C69" s="218"/>
      <c r="D69" s="41"/>
      <c r="E69" s="41"/>
      <c r="F69" s="41"/>
      <c r="G69" s="41"/>
      <c r="H69" s="41"/>
      <c r="I69" s="41"/>
      <c r="J69" s="166"/>
      <c r="K69" s="41"/>
      <c r="L69" s="41"/>
      <c r="M69" s="41"/>
      <c r="N69" s="166"/>
      <c r="O69" s="166"/>
      <c r="P69" s="41"/>
      <c r="Q69" s="41"/>
      <c r="R69" s="41"/>
      <c r="S69" s="41"/>
      <c r="T69" s="41"/>
      <c r="U69" s="41"/>
      <c r="V69" s="41"/>
      <c r="W69" s="41"/>
      <c r="X69" s="41"/>
      <c r="Y69" s="166"/>
      <c r="Z69" s="166"/>
      <c r="AA69" s="41"/>
      <c r="AB69" s="41"/>
      <c r="AC69" s="41"/>
      <c r="AD69" s="41"/>
      <c r="AE69" s="41"/>
      <c r="AF69" s="41"/>
      <c r="AG69" s="41"/>
      <c r="AH69" s="41"/>
      <c r="AI69" s="41"/>
    </row>
    <row r="70" spans="1:35" ht="15.75" customHeight="1" x14ac:dyDescent="0.2">
      <c r="A70" s="166"/>
      <c r="B70" s="218"/>
      <c r="C70" s="218"/>
      <c r="D70" s="41"/>
      <c r="E70" s="41"/>
      <c r="F70" s="41"/>
      <c r="G70" s="41"/>
      <c r="H70" s="41"/>
      <c r="I70" s="41"/>
      <c r="J70" s="166"/>
      <c r="K70" s="41"/>
      <c r="L70" s="41"/>
      <c r="M70" s="41"/>
      <c r="N70" s="166"/>
      <c r="O70" s="166"/>
      <c r="P70" s="41"/>
      <c r="Q70" s="41"/>
      <c r="R70" s="41"/>
      <c r="S70" s="41"/>
      <c r="T70" s="41"/>
      <c r="U70" s="41"/>
      <c r="V70" s="41"/>
      <c r="W70" s="41"/>
      <c r="X70" s="41"/>
      <c r="Y70" s="166"/>
      <c r="Z70" s="166"/>
      <c r="AA70" s="41"/>
      <c r="AB70" s="41"/>
      <c r="AC70" s="41"/>
      <c r="AD70" s="41"/>
      <c r="AE70" s="41"/>
      <c r="AF70" s="41"/>
      <c r="AG70" s="41"/>
      <c r="AH70" s="41"/>
      <c r="AI70" s="41"/>
    </row>
    <row r="71" spans="1:35" ht="15.75" customHeight="1" x14ac:dyDescent="0.2">
      <c r="A71" s="166"/>
      <c r="B71" s="218"/>
      <c r="C71" s="218"/>
      <c r="D71" s="41"/>
      <c r="E71" s="41"/>
      <c r="F71" s="41"/>
      <c r="G71" s="41"/>
      <c r="H71" s="41"/>
      <c r="I71" s="41"/>
      <c r="J71" s="166"/>
      <c r="K71" s="41"/>
      <c r="L71" s="41"/>
      <c r="M71" s="41"/>
      <c r="N71" s="166"/>
      <c r="O71" s="166"/>
      <c r="P71" s="41"/>
      <c r="Q71" s="41"/>
      <c r="R71" s="41"/>
      <c r="S71" s="41"/>
      <c r="T71" s="41"/>
      <c r="U71" s="41"/>
      <c r="V71" s="41"/>
      <c r="W71" s="41"/>
      <c r="X71" s="41"/>
      <c r="Y71" s="166"/>
      <c r="Z71" s="166"/>
      <c r="AA71" s="41"/>
      <c r="AB71" s="41"/>
      <c r="AC71" s="41"/>
      <c r="AD71" s="41"/>
      <c r="AE71" s="41"/>
      <c r="AF71" s="41"/>
      <c r="AG71" s="41"/>
      <c r="AH71" s="41"/>
      <c r="AI71" s="41"/>
    </row>
    <row r="72" spans="1:35" ht="15.75" customHeight="1" x14ac:dyDescent="0.2">
      <c r="A72" s="166"/>
      <c r="B72" s="218"/>
      <c r="C72" s="218"/>
      <c r="D72" s="41"/>
      <c r="E72" s="41"/>
      <c r="F72" s="41"/>
      <c r="G72" s="41"/>
      <c r="H72" s="41"/>
      <c r="I72" s="41"/>
      <c r="J72" s="166"/>
      <c r="K72" s="41"/>
      <c r="L72" s="41"/>
      <c r="M72" s="41"/>
      <c r="N72" s="166"/>
      <c r="O72" s="166"/>
      <c r="P72" s="41"/>
      <c r="Q72" s="41"/>
      <c r="R72" s="41"/>
      <c r="S72" s="41"/>
      <c r="T72" s="41"/>
      <c r="U72" s="41"/>
      <c r="V72" s="41"/>
      <c r="W72" s="41"/>
      <c r="X72" s="41"/>
      <c r="Y72" s="166"/>
      <c r="Z72" s="166"/>
      <c r="AA72" s="41"/>
      <c r="AB72" s="41"/>
      <c r="AC72" s="41"/>
      <c r="AD72" s="41"/>
      <c r="AE72" s="41"/>
      <c r="AF72" s="41"/>
      <c r="AG72" s="41"/>
      <c r="AH72" s="41"/>
      <c r="AI72" s="41"/>
    </row>
    <row r="73" spans="1:35" ht="15.75" customHeight="1" x14ac:dyDescent="0.2">
      <c r="A73" s="166"/>
      <c r="B73" s="218"/>
      <c r="C73" s="218"/>
      <c r="D73" s="41"/>
      <c r="E73" s="41"/>
      <c r="F73" s="41"/>
      <c r="G73" s="41"/>
      <c r="H73" s="41"/>
      <c r="I73" s="41"/>
      <c r="J73" s="166"/>
      <c r="K73" s="41"/>
      <c r="L73" s="41"/>
      <c r="M73" s="41"/>
      <c r="N73" s="166"/>
      <c r="O73" s="166"/>
      <c r="P73" s="41"/>
      <c r="Q73" s="41"/>
      <c r="R73" s="41"/>
      <c r="S73" s="41"/>
      <c r="T73" s="41"/>
      <c r="U73" s="41"/>
      <c r="V73" s="41"/>
      <c r="W73" s="41"/>
      <c r="X73" s="41"/>
      <c r="Y73" s="166"/>
      <c r="Z73" s="166"/>
      <c r="AA73" s="41"/>
      <c r="AB73" s="41"/>
      <c r="AC73" s="41"/>
      <c r="AD73" s="41"/>
      <c r="AE73" s="41"/>
      <c r="AF73" s="41"/>
      <c r="AG73" s="41"/>
      <c r="AH73" s="41"/>
      <c r="AI73" s="41"/>
    </row>
    <row r="74" spans="1:35" ht="15.75" customHeight="1" x14ac:dyDescent="0.2">
      <c r="A74" s="166"/>
      <c r="B74" s="218"/>
      <c r="C74" s="218"/>
      <c r="D74" s="41"/>
      <c r="E74" s="41"/>
      <c r="F74" s="41"/>
      <c r="G74" s="41"/>
      <c r="H74" s="41"/>
      <c r="I74" s="41"/>
      <c r="J74" s="166"/>
      <c r="K74" s="41"/>
      <c r="L74" s="41"/>
      <c r="M74" s="41"/>
      <c r="N74" s="166"/>
      <c r="O74" s="166"/>
      <c r="P74" s="41"/>
      <c r="Q74" s="41"/>
      <c r="R74" s="41"/>
      <c r="S74" s="41"/>
      <c r="T74" s="41"/>
      <c r="U74" s="41"/>
      <c r="V74" s="41"/>
      <c r="W74" s="41"/>
      <c r="X74" s="41"/>
      <c r="Y74" s="166"/>
      <c r="Z74" s="166"/>
      <c r="AA74" s="41"/>
      <c r="AB74" s="41"/>
      <c r="AC74" s="41"/>
      <c r="AD74" s="41"/>
      <c r="AE74" s="41"/>
      <c r="AF74" s="41"/>
      <c r="AG74" s="41"/>
      <c r="AH74" s="41"/>
      <c r="AI74" s="41"/>
    </row>
    <row r="75" spans="1:35" ht="15.75" customHeight="1" x14ac:dyDescent="0.2">
      <c r="A75" s="166"/>
      <c r="B75" s="218"/>
      <c r="C75" s="218"/>
      <c r="D75" s="41"/>
      <c r="E75" s="41"/>
      <c r="F75" s="41"/>
      <c r="G75" s="41"/>
      <c r="H75" s="41"/>
      <c r="I75" s="41"/>
      <c r="J75" s="166"/>
      <c r="K75" s="41"/>
      <c r="L75" s="41"/>
      <c r="M75" s="41"/>
      <c r="N75" s="166"/>
      <c r="O75" s="166"/>
      <c r="P75" s="41"/>
      <c r="Q75" s="41"/>
      <c r="R75" s="41"/>
      <c r="S75" s="41"/>
      <c r="T75" s="41"/>
      <c r="U75" s="41"/>
      <c r="V75" s="41"/>
      <c r="W75" s="41"/>
      <c r="X75" s="41"/>
      <c r="Y75" s="166"/>
      <c r="Z75" s="166"/>
      <c r="AA75" s="41"/>
      <c r="AB75" s="41"/>
      <c r="AC75" s="41"/>
      <c r="AD75" s="41"/>
      <c r="AE75" s="41"/>
      <c r="AF75" s="41"/>
      <c r="AG75" s="41"/>
      <c r="AH75" s="41"/>
      <c r="AI75" s="41"/>
    </row>
    <row r="76" spans="1:35" ht="15.75" customHeight="1" x14ac:dyDescent="0.2">
      <c r="A76" s="166"/>
      <c r="B76" s="218"/>
      <c r="C76" s="218"/>
      <c r="D76" s="41"/>
      <c r="E76" s="41"/>
      <c r="F76" s="41"/>
      <c r="G76" s="41"/>
      <c r="H76" s="41"/>
      <c r="I76" s="41"/>
      <c r="J76" s="166"/>
      <c r="K76" s="41"/>
      <c r="L76" s="41"/>
      <c r="M76" s="41"/>
      <c r="N76" s="166"/>
      <c r="O76" s="166"/>
      <c r="P76" s="41"/>
      <c r="Q76" s="41"/>
      <c r="R76" s="41"/>
      <c r="S76" s="41"/>
      <c r="T76" s="41"/>
      <c r="U76" s="41"/>
      <c r="V76" s="41"/>
      <c r="W76" s="41"/>
      <c r="X76" s="41"/>
      <c r="Y76" s="166"/>
      <c r="Z76" s="166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5.75" customHeight="1" x14ac:dyDescent="0.2">
      <c r="A77" s="166"/>
      <c r="B77" s="218"/>
      <c r="C77" s="218"/>
      <c r="D77" s="41"/>
      <c r="E77" s="41"/>
      <c r="F77" s="41"/>
      <c r="G77" s="41"/>
      <c r="H77" s="41"/>
      <c r="I77" s="41"/>
      <c r="J77" s="166"/>
      <c r="K77" s="41"/>
      <c r="L77" s="41"/>
      <c r="M77" s="41"/>
      <c r="N77" s="166"/>
      <c r="O77" s="166"/>
      <c r="P77" s="41"/>
      <c r="Q77" s="41"/>
      <c r="R77" s="41"/>
      <c r="S77" s="41"/>
      <c r="T77" s="41"/>
      <c r="U77" s="41"/>
      <c r="V77" s="41"/>
      <c r="W77" s="41"/>
      <c r="X77" s="41"/>
      <c r="Y77" s="166"/>
      <c r="Z77" s="166"/>
      <c r="AA77" s="41"/>
      <c r="AB77" s="41"/>
      <c r="AC77" s="41"/>
      <c r="AD77" s="41"/>
      <c r="AE77" s="41"/>
      <c r="AF77" s="41"/>
      <c r="AG77" s="41"/>
      <c r="AH77" s="41"/>
      <c r="AI77" s="41"/>
    </row>
    <row r="78" spans="1:35" ht="15.75" customHeight="1" x14ac:dyDescent="0.2">
      <c r="A78" s="166"/>
      <c r="B78" s="218"/>
      <c r="C78" s="218"/>
      <c r="D78" s="41"/>
      <c r="E78" s="41"/>
      <c r="F78" s="41"/>
      <c r="G78" s="41"/>
      <c r="H78" s="41"/>
      <c r="I78" s="41"/>
      <c r="J78" s="166"/>
      <c r="K78" s="41"/>
      <c r="L78" s="41"/>
      <c r="M78" s="41"/>
      <c r="N78" s="166"/>
      <c r="O78" s="166"/>
      <c r="P78" s="41"/>
      <c r="Q78" s="41"/>
      <c r="R78" s="41"/>
      <c r="S78" s="41"/>
      <c r="T78" s="41"/>
      <c r="U78" s="41"/>
      <c r="V78" s="41"/>
      <c r="W78" s="41"/>
      <c r="X78" s="41"/>
      <c r="Y78" s="166"/>
      <c r="Z78" s="166"/>
      <c r="AA78" s="41"/>
      <c r="AB78" s="41"/>
      <c r="AC78" s="41"/>
      <c r="AD78" s="41"/>
      <c r="AE78" s="41"/>
      <c r="AF78" s="41"/>
      <c r="AG78" s="41"/>
      <c r="AH78" s="41"/>
      <c r="AI78" s="41"/>
    </row>
    <row r="79" spans="1:35" ht="15.75" customHeight="1" x14ac:dyDescent="0.2">
      <c r="A79" s="166"/>
      <c r="B79" s="218"/>
      <c r="C79" s="218"/>
      <c r="D79" s="41"/>
      <c r="E79" s="41"/>
      <c r="F79" s="41"/>
      <c r="G79" s="41"/>
      <c r="H79" s="41"/>
      <c r="I79" s="41"/>
      <c r="J79" s="166"/>
      <c r="K79" s="41"/>
      <c r="L79" s="41"/>
      <c r="M79" s="41"/>
      <c r="N79" s="166"/>
      <c r="O79" s="166"/>
      <c r="P79" s="41"/>
      <c r="Q79" s="41"/>
      <c r="R79" s="41"/>
      <c r="S79" s="41"/>
      <c r="T79" s="41"/>
      <c r="U79" s="41"/>
      <c r="V79" s="41"/>
      <c r="W79" s="41"/>
      <c r="X79" s="41"/>
      <c r="Y79" s="166"/>
      <c r="Z79" s="166"/>
      <c r="AA79" s="41"/>
      <c r="AB79" s="41"/>
      <c r="AC79" s="41"/>
      <c r="AD79" s="41"/>
      <c r="AE79" s="41"/>
      <c r="AF79" s="41"/>
      <c r="AG79" s="41"/>
      <c r="AH79" s="41"/>
      <c r="AI79" s="41"/>
    </row>
    <row r="80" spans="1:35" ht="15.75" customHeight="1" x14ac:dyDescent="0.2">
      <c r="A80" s="166"/>
      <c r="B80" s="218"/>
      <c r="C80" s="218"/>
      <c r="D80" s="41"/>
      <c r="E80" s="41"/>
      <c r="F80" s="41"/>
      <c r="G80" s="41"/>
      <c r="H80" s="41"/>
      <c r="I80" s="41"/>
      <c r="J80" s="166"/>
      <c r="K80" s="41"/>
      <c r="L80" s="41"/>
      <c r="M80" s="41"/>
      <c r="N80" s="166"/>
      <c r="O80" s="166"/>
      <c r="P80" s="41"/>
      <c r="Q80" s="41"/>
      <c r="R80" s="41"/>
      <c r="S80" s="41"/>
      <c r="T80" s="41"/>
      <c r="U80" s="41"/>
      <c r="V80" s="41"/>
      <c r="W80" s="41"/>
      <c r="X80" s="41"/>
      <c r="Y80" s="166"/>
      <c r="Z80" s="166"/>
      <c r="AA80" s="41"/>
      <c r="AB80" s="41"/>
      <c r="AC80" s="41"/>
      <c r="AD80" s="41"/>
      <c r="AE80" s="41"/>
      <c r="AF80" s="41"/>
      <c r="AG80" s="41"/>
      <c r="AH80" s="41"/>
      <c r="AI80" s="41"/>
    </row>
    <row r="81" spans="1:35" ht="15.75" customHeight="1" x14ac:dyDescent="0.2">
      <c r="A81" s="166"/>
      <c r="B81" s="218"/>
      <c r="C81" s="218"/>
      <c r="D81" s="41"/>
      <c r="E81" s="41"/>
      <c r="F81" s="41"/>
      <c r="G81" s="41"/>
      <c r="H81" s="41"/>
      <c r="I81" s="41"/>
      <c r="J81" s="166"/>
      <c r="K81" s="41"/>
      <c r="L81" s="41"/>
      <c r="M81" s="41"/>
      <c r="N81" s="166"/>
      <c r="O81" s="166"/>
      <c r="P81" s="41"/>
      <c r="Q81" s="41"/>
      <c r="R81" s="41"/>
      <c r="S81" s="41"/>
      <c r="T81" s="41"/>
      <c r="U81" s="41"/>
      <c r="V81" s="41"/>
      <c r="W81" s="41"/>
      <c r="X81" s="41"/>
      <c r="Y81" s="166"/>
      <c r="Z81" s="166"/>
      <c r="AA81" s="41"/>
      <c r="AB81" s="41"/>
      <c r="AC81" s="41"/>
      <c r="AD81" s="41"/>
      <c r="AE81" s="41"/>
      <c r="AF81" s="41"/>
      <c r="AG81" s="41"/>
      <c r="AH81" s="41"/>
      <c r="AI81" s="41"/>
    </row>
    <row r="82" spans="1:35" ht="15.75" customHeight="1" x14ac:dyDescent="0.2">
      <c r="A82" s="166"/>
      <c r="B82" s="218"/>
      <c r="C82" s="218"/>
      <c r="D82" s="41"/>
      <c r="E82" s="41"/>
      <c r="F82" s="41"/>
      <c r="G82" s="41"/>
      <c r="H82" s="41"/>
      <c r="I82" s="41"/>
      <c r="J82" s="166"/>
      <c r="K82" s="41"/>
      <c r="L82" s="41"/>
      <c r="M82" s="41"/>
      <c r="N82" s="166"/>
      <c r="O82" s="166"/>
      <c r="P82" s="41"/>
      <c r="Q82" s="41"/>
      <c r="R82" s="41"/>
      <c r="S82" s="41"/>
      <c r="T82" s="41"/>
      <c r="U82" s="41"/>
      <c r="V82" s="41"/>
      <c r="W82" s="41"/>
      <c r="X82" s="41"/>
      <c r="Y82" s="166"/>
      <c r="Z82" s="166"/>
      <c r="AA82" s="41"/>
      <c r="AB82" s="41"/>
      <c r="AC82" s="41"/>
      <c r="AD82" s="41"/>
      <c r="AE82" s="41"/>
      <c r="AF82" s="41"/>
      <c r="AG82" s="41"/>
      <c r="AH82" s="41"/>
      <c r="AI82" s="41"/>
    </row>
    <row r="83" spans="1:35" ht="15.75" customHeight="1" x14ac:dyDescent="0.2">
      <c r="A83" s="166"/>
      <c r="B83" s="218"/>
      <c r="C83" s="218"/>
      <c r="D83" s="41"/>
      <c r="E83" s="41"/>
      <c r="F83" s="41"/>
      <c r="G83" s="41"/>
      <c r="H83" s="41"/>
      <c r="I83" s="41"/>
      <c r="J83" s="166"/>
      <c r="K83" s="41"/>
      <c r="L83" s="41"/>
      <c r="M83" s="41"/>
      <c r="N83" s="166"/>
      <c r="O83" s="166"/>
      <c r="P83" s="41"/>
      <c r="Q83" s="41"/>
      <c r="R83" s="41"/>
      <c r="S83" s="41"/>
      <c r="T83" s="41"/>
      <c r="U83" s="41"/>
      <c r="V83" s="41"/>
      <c r="W83" s="41"/>
      <c r="X83" s="41"/>
      <c r="Y83" s="166"/>
      <c r="Z83" s="166"/>
      <c r="AA83" s="41"/>
      <c r="AB83" s="41"/>
      <c r="AC83" s="41"/>
      <c r="AD83" s="41"/>
      <c r="AE83" s="41"/>
      <c r="AF83" s="41"/>
      <c r="AG83" s="41"/>
      <c r="AH83" s="41"/>
      <c r="AI83" s="41"/>
    </row>
    <row r="84" spans="1:35" ht="15.75" customHeight="1" x14ac:dyDescent="0.2">
      <c r="A84" s="166"/>
      <c r="B84" s="218"/>
      <c r="C84" s="218"/>
      <c r="D84" s="41"/>
      <c r="E84" s="41"/>
      <c r="F84" s="41"/>
      <c r="G84" s="41"/>
      <c r="H84" s="41"/>
      <c r="I84" s="41"/>
      <c r="J84" s="166"/>
      <c r="K84" s="41"/>
      <c r="L84" s="41"/>
      <c r="M84" s="41"/>
      <c r="N84" s="166"/>
      <c r="O84" s="166"/>
      <c r="P84" s="41"/>
      <c r="Q84" s="41"/>
      <c r="R84" s="41"/>
      <c r="S84" s="41"/>
      <c r="T84" s="41"/>
      <c r="U84" s="41"/>
      <c r="V84" s="41"/>
      <c r="W84" s="41"/>
      <c r="X84" s="41"/>
      <c r="Y84" s="166"/>
      <c r="Z84" s="166"/>
      <c r="AA84" s="41"/>
      <c r="AB84" s="41"/>
      <c r="AC84" s="41"/>
      <c r="AD84" s="41"/>
      <c r="AE84" s="41"/>
      <c r="AF84" s="41"/>
      <c r="AG84" s="41"/>
      <c r="AH84" s="41"/>
      <c r="AI84" s="41"/>
    </row>
    <row r="85" spans="1:35" ht="15.75" customHeight="1" x14ac:dyDescent="0.2">
      <c r="A85" s="166"/>
      <c r="B85" s="218"/>
      <c r="C85" s="218"/>
      <c r="D85" s="41"/>
      <c r="E85" s="41"/>
      <c r="F85" s="41"/>
      <c r="G85" s="41"/>
      <c r="H85" s="41"/>
      <c r="I85" s="41"/>
      <c r="J85" s="166"/>
      <c r="K85" s="41"/>
      <c r="L85" s="41"/>
      <c r="M85" s="41"/>
      <c r="N85" s="166"/>
      <c r="O85" s="166"/>
      <c r="P85" s="41"/>
      <c r="Q85" s="41"/>
      <c r="R85" s="41"/>
      <c r="S85" s="41"/>
      <c r="T85" s="41"/>
      <c r="U85" s="41"/>
      <c r="V85" s="41"/>
      <c r="W85" s="41"/>
      <c r="X85" s="41"/>
      <c r="Y85" s="166"/>
      <c r="Z85" s="166"/>
      <c r="AA85" s="41"/>
      <c r="AB85" s="41"/>
      <c r="AC85" s="41"/>
      <c r="AD85" s="41"/>
      <c r="AE85" s="41"/>
      <c r="AF85" s="41"/>
      <c r="AG85" s="41"/>
      <c r="AH85" s="41"/>
      <c r="AI85" s="41"/>
    </row>
    <row r="86" spans="1:35" ht="15.75" customHeight="1" x14ac:dyDescent="0.2">
      <c r="A86" s="166"/>
      <c r="B86" s="218"/>
      <c r="C86" s="218"/>
      <c r="D86" s="41"/>
      <c r="E86" s="41"/>
      <c r="F86" s="41"/>
      <c r="G86" s="41"/>
      <c r="H86" s="41"/>
      <c r="I86" s="41"/>
      <c r="J86" s="166"/>
      <c r="K86" s="41"/>
      <c r="L86" s="41"/>
      <c r="M86" s="41"/>
      <c r="N86" s="166"/>
      <c r="O86" s="166"/>
      <c r="P86" s="41"/>
      <c r="Q86" s="41"/>
      <c r="R86" s="41"/>
      <c r="S86" s="41"/>
      <c r="T86" s="41"/>
      <c r="U86" s="41"/>
      <c r="V86" s="41"/>
      <c r="W86" s="41"/>
      <c r="X86" s="41"/>
      <c r="Y86" s="166"/>
      <c r="Z86" s="166"/>
      <c r="AA86" s="41"/>
      <c r="AB86" s="41"/>
      <c r="AC86" s="41"/>
      <c r="AD86" s="41"/>
      <c r="AE86" s="41"/>
      <c r="AF86" s="41"/>
      <c r="AG86" s="41"/>
      <c r="AH86" s="41"/>
      <c r="AI86" s="41"/>
    </row>
    <row r="87" spans="1:35" ht="15.75" customHeight="1" x14ac:dyDescent="0.2">
      <c r="A87" s="166"/>
      <c r="B87" s="218"/>
      <c r="C87" s="218"/>
      <c r="D87" s="41"/>
      <c r="E87" s="41"/>
      <c r="F87" s="41"/>
      <c r="G87" s="41"/>
      <c r="H87" s="41"/>
      <c r="I87" s="41"/>
      <c r="J87" s="166"/>
      <c r="K87" s="41"/>
      <c r="L87" s="41"/>
      <c r="M87" s="41"/>
      <c r="N87" s="166"/>
      <c r="O87" s="166"/>
      <c r="P87" s="41"/>
      <c r="Q87" s="41"/>
      <c r="R87" s="41"/>
      <c r="S87" s="41"/>
      <c r="T87" s="41"/>
      <c r="U87" s="41"/>
      <c r="V87" s="41"/>
      <c r="W87" s="41"/>
      <c r="X87" s="41"/>
      <c r="Y87" s="166"/>
      <c r="Z87" s="166"/>
      <c r="AA87" s="41"/>
      <c r="AB87" s="41"/>
      <c r="AC87" s="41"/>
      <c r="AD87" s="41"/>
      <c r="AE87" s="41"/>
      <c r="AF87" s="41"/>
      <c r="AG87" s="41"/>
      <c r="AH87" s="41"/>
      <c r="AI87" s="41"/>
    </row>
    <row r="88" spans="1:35" ht="15.75" customHeight="1" x14ac:dyDescent="0.2">
      <c r="A88" s="166"/>
      <c r="B88" s="218"/>
      <c r="C88" s="218"/>
      <c r="D88" s="41"/>
      <c r="E88" s="41"/>
      <c r="F88" s="41"/>
      <c r="G88" s="41"/>
      <c r="H88" s="41"/>
      <c r="I88" s="41"/>
      <c r="J88" s="166"/>
      <c r="K88" s="41"/>
      <c r="L88" s="41"/>
      <c r="M88" s="41"/>
      <c r="N88" s="166"/>
      <c r="O88" s="166"/>
      <c r="P88" s="41"/>
      <c r="Q88" s="41"/>
      <c r="R88" s="41"/>
      <c r="S88" s="41"/>
      <c r="T88" s="41"/>
      <c r="U88" s="41"/>
      <c r="V88" s="41"/>
      <c r="W88" s="41"/>
      <c r="X88" s="41"/>
      <c r="Y88" s="166"/>
      <c r="Z88" s="166"/>
      <c r="AA88" s="41"/>
      <c r="AB88" s="41"/>
      <c r="AC88" s="41"/>
      <c r="AD88" s="41"/>
      <c r="AE88" s="41"/>
      <c r="AF88" s="41"/>
      <c r="AG88" s="41"/>
      <c r="AH88" s="41"/>
      <c r="AI88" s="41"/>
    </row>
    <row r="89" spans="1:35" ht="15.75" customHeight="1" x14ac:dyDescent="0.2">
      <c r="A89" s="166"/>
      <c r="B89" s="218"/>
      <c r="C89" s="218"/>
      <c r="D89" s="41"/>
      <c r="E89" s="41"/>
      <c r="F89" s="41"/>
      <c r="G89" s="41"/>
      <c r="H89" s="41"/>
      <c r="I89" s="41"/>
      <c r="J89" s="166"/>
      <c r="K89" s="41"/>
      <c r="L89" s="41"/>
      <c r="M89" s="41"/>
      <c r="N89" s="166"/>
      <c r="O89" s="166"/>
      <c r="P89" s="41"/>
      <c r="Q89" s="41"/>
      <c r="R89" s="41"/>
      <c r="S89" s="41"/>
      <c r="T89" s="41"/>
      <c r="U89" s="41"/>
      <c r="V89" s="41"/>
      <c r="W89" s="41"/>
      <c r="X89" s="41"/>
      <c r="Y89" s="166"/>
      <c r="Z89" s="166"/>
      <c r="AA89" s="41"/>
      <c r="AB89" s="41"/>
      <c r="AC89" s="41"/>
      <c r="AD89" s="41"/>
      <c r="AE89" s="41"/>
      <c r="AF89" s="41"/>
      <c r="AG89" s="41"/>
      <c r="AH89" s="41"/>
      <c r="AI89" s="41"/>
    </row>
    <row r="90" spans="1:35" ht="15.75" customHeight="1" x14ac:dyDescent="0.2">
      <c r="A90" s="166"/>
      <c r="B90" s="218"/>
      <c r="C90" s="218"/>
      <c r="D90" s="41"/>
      <c r="E90" s="41"/>
      <c r="F90" s="41"/>
      <c r="G90" s="41"/>
      <c r="H90" s="41"/>
      <c r="I90" s="41"/>
      <c r="J90" s="166"/>
      <c r="K90" s="41"/>
      <c r="L90" s="41"/>
      <c r="M90" s="41"/>
      <c r="N90" s="166"/>
      <c r="O90" s="166"/>
      <c r="P90" s="41"/>
      <c r="Q90" s="41"/>
      <c r="R90" s="41"/>
      <c r="S90" s="41"/>
      <c r="T90" s="41"/>
      <c r="U90" s="41"/>
      <c r="V90" s="41"/>
      <c r="W90" s="41"/>
      <c r="X90" s="41"/>
      <c r="Y90" s="166"/>
      <c r="Z90" s="166"/>
      <c r="AA90" s="41"/>
      <c r="AB90" s="41"/>
      <c r="AC90" s="41"/>
      <c r="AD90" s="41"/>
      <c r="AE90" s="41"/>
      <c r="AF90" s="41"/>
      <c r="AG90" s="41"/>
      <c r="AH90" s="41"/>
      <c r="AI90" s="41"/>
    </row>
    <row r="91" spans="1:35" ht="15.75" customHeight="1" x14ac:dyDescent="0.2">
      <c r="A91" s="166"/>
      <c r="B91" s="218"/>
      <c r="C91" s="218"/>
      <c r="D91" s="41"/>
      <c r="E91" s="41"/>
      <c r="F91" s="41"/>
      <c r="G91" s="41"/>
      <c r="H91" s="41"/>
      <c r="I91" s="41"/>
      <c r="J91" s="166"/>
      <c r="K91" s="41"/>
      <c r="L91" s="41"/>
      <c r="M91" s="41"/>
      <c r="N91" s="166"/>
      <c r="O91" s="166"/>
      <c r="P91" s="41"/>
      <c r="Q91" s="41"/>
      <c r="R91" s="41"/>
      <c r="S91" s="41"/>
      <c r="T91" s="41"/>
      <c r="U91" s="41"/>
      <c r="V91" s="41"/>
      <c r="W91" s="41"/>
      <c r="X91" s="41"/>
      <c r="Y91" s="166"/>
      <c r="Z91" s="166"/>
      <c r="AA91" s="41"/>
      <c r="AB91" s="41"/>
      <c r="AC91" s="41"/>
      <c r="AD91" s="41"/>
      <c r="AE91" s="41"/>
      <c r="AF91" s="41"/>
      <c r="AG91" s="41"/>
      <c r="AH91" s="41"/>
      <c r="AI91" s="41"/>
    </row>
    <row r="92" spans="1:35" ht="15.75" customHeight="1" x14ac:dyDescent="0.2">
      <c r="A92" s="166"/>
      <c r="B92" s="218"/>
      <c r="C92" s="218"/>
      <c r="D92" s="41"/>
      <c r="E92" s="41"/>
      <c r="F92" s="41"/>
      <c r="G92" s="41"/>
      <c r="H92" s="41"/>
      <c r="I92" s="41"/>
      <c r="J92" s="166"/>
      <c r="K92" s="41"/>
      <c r="L92" s="41"/>
      <c r="M92" s="41"/>
      <c r="N92" s="166"/>
      <c r="O92" s="166"/>
      <c r="P92" s="41"/>
      <c r="Q92" s="41"/>
      <c r="R92" s="41"/>
      <c r="S92" s="41"/>
      <c r="T92" s="41"/>
      <c r="U92" s="41"/>
      <c r="V92" s="41"/>
      <c r="W92" s="41"/>
      <c r="X92" s="41"/>
      <c r="Y92" s="166"/>
      <c r="Z92" s="166"/>
      <c r="AA92" s="41"/>
      <c r="AB92" s="41"/>
      <c r="AC92" s="41"/>
      <c r="AD92" s="41"/>
      <c r="AE92" s="41"/>
      <c r="AF92" s="41"/>
      <c r="AG92" s="41"/>
      <c r="AH92" s="41"/>
      <c r="AI92" s="41"/>
    </row>
    <row r="93" spans="1:35" ht="15.75" customHeight="1" x14ac:dyDescent="0.2">
      <c r="A93" s="166"/>
      <c r="B93" s="218"/>
      <c r="C93" s="218"/>
      <c r="D93" s="41"/>
      <c r="E93" s="41"/>
      <c r="F93" s="41"/>
      <c r="G93" s="41"/>
      <c r="H93" s="41"/>
      <c r="I93" s="41"/>
      <c r="J93" s="166"/>
      <c r="K93" s="41"/>
      <c r="L93" s="41"/>
      <c r="M93" s="41"/>
      <c r="N93" s="166"/>
      <c r="O93" s="166"/>
      <c r="P93" s="41"/>
      <c r="Q93" s="41"/>
      <c r="R93" s="41"/>
      <c r="S93" s="41"/>
      <c r="T93" s="41"/>
      <c r="U93" s="41"/>
      <c r="V93" s="41"/>
      <c r="W93" s="41"/>
      <c r="X93" s="41"/>
      <c r="Y93" s="166"/>
      <c r="Z93" s="166"/>
      <c r="AA93" s="41"/>
      <c r="AB93" s="41"/>
      <c r="AC93" s="41"/>
      <c r="AD93" s="41"/>
      <c r="AE93" s="41"/>
      <c r="AF93" s="41"/>
      <c r="AG93" s="41"/>
      <c r="AH93" s="41"/>
      <c r="AI93" s="41"/>
    </row>
    <row r="94" spans="1:35" ht="15.75" customHeight="1" x14ac:dyDescent="0.2">
      <c r="A94" s="166"/>
      <c r="B94" s="218"/>
      <c r="C94" s="218"/>
      <c r="D94" s="41"/>
      <c r="E94" s="41"/>
      <c r="F94" s="41"/>
      <c r="G94" s="41"/>
      <c r="H94" s="41"/>
      <c r="I94" s="41"/>
      <c r="J94" s="166"/>
      <c r="K94" s="41"/>
      <c r="L94" s="41"/>
      <c r="M94" s="41"/>
      <c r="N94" s="166"/>
      <c r="O94" s="166"/>
      <c r="P94" s="41"/>
      <c r="Q94" s="41"/>
      <c r="R94" s="41"/>
      <c r="S94" s="41"/>
      <c r="T94" s="41"/>
      <c r="U94" s="41"/>
      <c r="V94" s="41"/>
      <c r="W94" s="41"/>
      <c r="X94" s="41"/>
      <c r="Y94" s="166"/>
      <c r="Z94" s="166"/>
      <c r="AA94" s="41"/>
      <c r="AB94" s="41"/>
      <c r="AC94" s="41"/>
      <c r="AD94" s="41"/>
      <c r="AE94" s="41"/>
      <c r="AF94" s="41"/>
      <c r="AG94" s="41"/>
      <c r="AH94" s="41"/>
      <c r="AI94" s="41"/>
    </row>
    <row r="95" spans="1:35" ht="15.75" customHeight="1" x14ac:dyDescent="0.2">
      <c r="A95" s="166"/>
      <c r="B95" s="218"/>
      <c r="C95" s="218"/>
      <c r="D95" s="41"/>
      <c r="E95" s="41"/>
      <c r="F95" s="41"/>
      <c r="G95" s="41"/>
      <c r="H95" s="41"/>
      <c r="I95" s="41"/>
      <c r="J95" s="166"/>
      <c r="K95" s="41"/>
      <c r="L95" s="41"/>
      <c r="M95" s="41"/>
      <c r="N95" s="166"/>
      <c r="O95" s="166"/>
      <c r="P95" s="41"/>
      <c r="Q95" s="41"/>
      <c r="R95" s="41"/>
      <c r="S95" s="41"/>
      <c r="T95" s="41"/>
      <c r="U95" s="41"/>
      <c r="V95" s="41"/>
      <c r="W95" s="41"/>
      <c r="X95" s="41"/>
      <c r="Y95" s="166"/>
      <c r="Z95" s="166"/>
      <c r="AA95" s="41"/>
      <c r="AB95" s="41"/>
      <c r="AC95" s="41"/>
      <c r="AD95" s="41"/>
      <c r="AE95" s="41"/>
      <c r="AF95" s="41"/>
      <c r="AG95" s="41"/>
      <c r="AH95" s="41"/>
      <c r="AI95" s="41"/>
    </row>
    <row r="96" spans="1:35" ht="15.75" customHeight="1" x14ac:dyDescent="0.2">
      <c r="A96" s="166"/>
      <c r="B96" s="218"/>
      <c r="C96" s="218"/>
      <c r="D96" s="41"/>
      <c r="E96" s="41"/>
      <c r="F96" s="41"/>
      <c r="G96" s="41"/>
      <c r="H96" s="41"/>
      <c r="I96" s="41"/>
      <c r="J96" s="166"/>
      <c r="K96" s="41"/>
      <c r="L96" s="41"/>
      <c r="M96" s="41"/>
      <c r="N96" s="166"/>
      <c r="O96" s="166"/>
      <c r="P96" s="41"/>
      <c r="Q96" s="41"/>
      <c r="R96" s="41"/>
      <c r="S96" s="41"/>
      <c r="T96" s="41"/>
      <c r="U96" s="41"/>
      <c r="V96" s="41"/>
      <c r="W96" s="41"/>
      <c r="X96" s="41"/>
      <c r="Y96" s="166"/>
      <c r="Z96" s="166"/>
      <c r="AA96" s="41"/>
      <c r="AB96" s="41"/>
      <c r="AC96" s="41"/>
      <c r="AD96" s="41"/>
      <c r="AE96" s="41"/>
      <c r="AF96" s="41"/>
      <c r="AG96" s="41"/>
      <c r="AH96" s="41"/>
      <c r="AI96" s="41"/>
    </row>
    <row r="97" spans="1:35" ht="15.75" customHeight="1" x14ac:dyDescent="0.2">
      <c r="A97" s="166"/>
      <c r="B97" s="218"/>
      <c r="C97" s="218"/>
      <c r="D97" s="41"/>
      <c r="E97" s="41"/>
      <c r="F97" s="41"/>
      <c r="G97" s="41"/>
      <c r="H97" s="41"/>
      <c r="I97" s="41"/>
      <c r="J97" s="166"/>
      <c r="K97" s="41"/>
      <c r="L97" s="41"/>
      <c r="M97" s="41"/>
      <c r="N97" s="166"/>
      <c r="O97" s="166"/>
      <c r="P97" s="41"/>
      <c r="Q97" s="41"/>
      <c r="R97" s="41"/>
      <c r="S97" s="41"/>
      <c r="T97" s="41"/>
      <c r="U97" s="41"/>
      <c r="V97" s="41"/>
      <c r="W97" s="41"/>
      <c r="X97" s="41"/>
      <c r="Y97" s="166"/>
      <c r="Z97" s="166"/>
      <c r="AA97" s="41"/>
      <c r="AB97" s="41"/>
      <c r="AC97" s="41"/>
      <c r="AD97" s="41"/>
      <c r="AE97" s="41"/>
      <c r="AF97" s="41"/>
      <c r="AG97" s="41"/>
      <c r="AH97" s="41"/>
      <c r="AI97" s="41"/>
    </row>
    <row r="98" spans="1:35" ht="15.75" customHeight="1" x14ac:dyDescent="0.2">
      <c r="A98" s="166"/>
      <c r="B98" s="218"/>
      <c r="C98" s="218"/>
      <c r="D98" s="41"/>
      <c r="E98" s="41"/>
      <c r="F98" s="41"/>
      <c r="G98" s="41"/>
      <c r="H98" s="41"/>
      <c r="I98" s="41"/>
      <c r="J98" s="166"/>
      <c r="K98" s="41"/>
      <c r="L98" s="41"/>
      <c r="M98" s="41"/>
      <c r="N98" s="166"/>
      <c r="O98" s="166"/>
      <c r="P98" s="41"/>
      <c r="Q98" s="41"/>
      <c r="R98" s="41"/>
      <c r="S98" s="41"/>
      <c r="T98" s="41"/>
      <c r="U98" s="41"/>
      <c r="V98" s="41"/>
      <c r="W98" s="41"/>
      <c r="X98" s="41"/>
      <c r="Y98" s="166"/>
      <c r="Z98" s="166"/>
      <c r="AA98" s="41"/>
      <c r="AB98" s="41"/>
      <c r="AC98" s="41"/>
      <c r="AD98" s="41"/>
      <c r="AE98" s="41"/>
      <c r="AF98" s="41"/>
      <c r="AG98" s="41"/>
      <c r="AH98" s="41"/>
      <c r="AI98" s="41"/>
    </row>
    <row r="99" spans="1:35" ht="15.75" customHeight="1" x14ac:dyDescent="0.2">
      <c r="A99" s="166"/>
      <c r="B99" s="218"/>
      <c r="C99" s="218"/>
      <c r="D99" s="41"/>
      <c r="E99" s="41"/>
      <c r="F99" s="41"/>
      <c r="G99" s="41"/>
      <c r="H99" s="41"/>
      <c r="I99" s="41"/>
      <c r="J99" s="166"/>
      <c r="K99" s="41"/>
      <c r="L99" s="41"/>
      <c r="M99" s="41"/>
      <c r="N99" s="166"/>
      <c r="O99" s="166"/>
      <c r="P99" s="41"/>
      <c r="Q99" s="41"/>
      <c r="R99" s="41"/>
      <c r="S99" s="41"/>
      <c r="T99" s="41"/>
      <c r="U99" s="41"/>
      <c r="V99" s="41"/>
      <c r="W99" s="41"/>
      <c r="X99" s="41"/>
      <c r="Y99" s="166"/>
      <c r="Z99" s="166"/>
      <c r="AA99" s="41"/>
      <c r="AB99" s="41"/>
      <c r="AC99" s="41"/>
      <c r="AD99" s="41"/>
      <c r="AE99" s="41"/>
      <c r="AF99" s="41"/>
      <c r="AG99" s="41"/>
      <c r="AH99" s="41"/>
      <c r="AI99" s="41"/>
    </row>
    <row r="100" spans="1:35" ht="15.75" customHeight="1" x14ac:dyDescent="0.2">
      <c r="A100" s="166"/>
      <c r="B100" s="218"/>
      <c r="C100" s="218"/>
      <c r="D100" s="41"/>
      <c r="E100" s="41"/>
      <c r="F100" s="41"/>
      <c r="G100" s="41"/>
      <c r="H100" s="41"/>
      <c r="I100" s="41"/>
      <c r="J100" s="166"/>
      <c r="K100" s="41"/>
      <c r="L100" s="41"/>
      <c r="M100" s="41"/>
      <c r="N100" s="166"/>
      <c r="O100" s="166"/>
      <c r="P100" s="41"/>
      <c r="Q100" s="41"/>
      <c r="R100" s="41"/>
      <c r="S100" s="41"/>
      <c r="T100" s="41"/>
      <c r="U100" s="41"/>
      <c r="V100" s="41"/>
      <c r="W100" s="41"/>
      <c r="X100" s="41"/>
      <c r="Y100" s="166"/>
      <c r="Z100" s="166"/>
      <c r="AA100" s="41"/>
      <c r="AB100" s="41"/>
      <c r="AC100" s="41"/>
      <c r="AD100" s="41"/>
      <c r="AE100" s="41"/>
      <c r="AF100" s="41"/>
      <c r="AG100" s="41"/>
      <c r="AH100" s="41"/>
      <c r="AI100" s="41"/>
    </row>
    <row r="101" spans="1:35" ht="15.75" customHeight="1" x14ac:dyDescent="0.2">
      <c r="A101" s="166"/>
      <c r="B101" s="218"/>
      <c r="C101" s="218"/>
      <c r="D101" s="41"/>
      <c r="E101" s="41"/>
      <c r="F101" s="41"/>
      <c r="G101" s="41"/>
      <c r="H101" s="41"/>
      <c r="I101" s="41"/>
      <c r="J101" s="166"/>
      <c r="K101" s="41"/>
      <c r="L101" s="41"/>
      <c r="M101" s="41"/>
      <c r="N101" s="166"/>
      <c r="O101" s="166"/>
      <c r="P101" s="41"/>
      <c r="Q101" s="41"/>
      <c r="R101" s="41"/>
      <c r="S101" s="41"/>
      <c r="T101" s="41"/>
      <c r="U101" s="41"/>
      <c r="V101" s="41"/>
      <c r="W101" s="41"/>
      <c r="X101" s="41"/>
      <c r="Y101" s="166"/>
      <c r="Z101" s="166"/>
      <c r="AA101" s="41"/>
      <c r="AB101" s="41"/>
      <c r="AC101" s="41"/>
      <c r="AD101" s="41"/>
      <c r="AE101" s="41"/>
      <c r="AF101" s="41"/>
      <c r="AG101" s="41"/>
      <c r="AH101" s="41"/>
      <c r="AI101" s="41"/>
    </row>
    <row r="102" spans="1:35" ht="15.75" customHeight="1" x14ac:dyDescent="0.2">
      <c r="A102" s="166"/>
      <c r="B102" s="218"/>
      <c r="C102" s="218"/>
      <c r="D102" s="41"/>
      <c r="E102" s="41"/>
      <c r="F102" s="41"/>
      <c r="G102" s="41"/>
      <c r="H102" s="41"/>
      <c r="I102" s="41"/>
      <c r="J102" s="166"/>
      <c r="K102" s="41"/>
      <c r="L102" s="41"/>
      <c r="M102" s="41"/>
      <c r="N102" s="166"/>
      <c r="O102" s="166"/>
      <c r="P102" s="41"/>
      <c r="Q102" s="41"/>
      <c r="R102" s="41"/>
      <c r="S102" s="41"/>
      <c r="T102" s="41"/>
      <c r="U102" s="41"/>
      <c r="V102" s="41"/>
      <c r="W102" s="41"/>
      <c r="X102" s="41"/>
      <c r="Y102" s="166"/>
      <c r="Z102" s="166"/>
      <c r="AA102" s="41"/>
      <c r="AB102" s="41"/>
      <c r="AC102" s="41"/>
      <c r="AD102" s="41"/>
      <c r="AE102" s="41"/>
      <c r="AF102" s="41"/>
      <c r="AG102" s="41"/>
      <c r="AH102" s="41"/>
      <c r="AI102" s="41"/>
    </row>
    <row r="103" spans="1:35" ht="15.75" customHeight="1" x14ac:dyDescent="0.2">
      <c r="A103" s="166"/>
      <c r="B103" s="218"/>
      <c r="C103" s="218"/>
      <c r="D103" s="41"/>
      <c r="E103" s="41"/>
      <c r="F103" s="41"/>
      <c r="G103" s="41"/>
      <c r="H103" s="41"/>
      <c r="I103" s="41"/>
      <c r="J103" s="166"/>
      <c r="K103" s="41"/>
      <c r="L103" s="41"/>
      <c r="M103" s="41"/>
      <c r="N103" s="166"/>
      <c r="O103" s="166"/>
      <c r="P103" s="41"/>
      <c r="Q103" s="41"/>
      <c r="R103" s="41"/>
      <c r="S103" s="41"/>
      <c r="T103" s="41"/>
      <c r="U103" s="41"/>
      <c r="V103" s="41"/>
      <c r="W103" s="41"/>
      <c r="X103" s="41"/>
      <c r="Y103" s="166"/>
      <c r="Z103" s="166"/>
      <c r="AA103" s="41"/>
      <c r="AB103" s="41"/>
      <c r="AC103" s="41"/>
      <c r="AD103" s="41"/>
      <c r="AE103" s="41"/>
      <c r="AF103" s="41"/>
      <c r="AG103" s="41"/>
      <c r="AH103" s="41"/>
      <c r="AI103" s="41"/>
    </row>
    <row r="104" spans="1:35" ht="15.75" customHeight="1" x14ac:dyDescent="0.2">
      <c r="A104" s="166"/>
      <c r="B104" s="218"/>
      <c r="C104" s="218"/>
      <c r="D104" s="41"/>
      <c r="E104" s="41"/>
      <c r="F104" s="41"/>
      <c r="G104" s="41"/>
      <c r="H104" s="41"/>
      <c r="I104" s="41"/>
      <c r="J104" s="166"/>
      <c r="K104" s="41"/>
      <c r="L104" s="41"/>
      <c r="M104" s="41"/>
      <c r="N104" s="166"/>
      <c r="O104" s="166"/>
      <c r="P104" s="41"/>
      <c r="Q104" s="41"/>
      <c r="R104" s="41"/>
      <c r="S104" s="41"/>
      <c r="T104" s="41"/>
      <c r="U104" s="41"/>
      <c r="V104" s="41"/>
      <c r="W104" s="41"/>
      <c r="X104" s="41"/>
      <c r="Y104" s="166"/>
      <c r="Z104" s="166"/>
      <c r="AA104" s="41"/>
      <c r="AB104" s="41"/>
      <c r="AC104" s="41"/>
      <c r="AD104" s="41"/>
      <c r="AE104" s="41"/>
      <c r="AF104" s="41"/>
      <c r="AG104" s="41"/>
      <c r="AH104" s="41"/>
      <c r="AI104" s="41"/>
    </row>
    <row r="105" spans="1:35" ht="15.75" customHeight="1" x14ac:dyDescent="0.2">
      <c r="A105" s="166"/>
      <c r="B105" s="218"/>
      <c r="C105" s="218"/>
      <c r="D105" s="41"/>
      <c r="E105" s="41"/>
      <c r="F105" s="41"/>
      <c r="G105" s="41"/>
      <c r="H105" s="41"/>
      <c r="I105" s="41"/>
      <c r="J105" s="166"/>
      <c r="K105" s="41"/>
      <c r="L105" s="41"/>
      <c r="M105" s="41"/>
      <c r="N105" s="166"/>
      <c r="O105" s="166"/>
      <c r="P105" s="41"/>
      <c r="Q105" s="41"/>
      <c r="R105" s="41"/>
      <c r="S105" s="41"/>
      <c r="T105" s="41"/>
      <c r="U105" s="41"/>
      <c r="V105" s="41"/>
      <c r="W105" s="41"/>
      <c r="X105" s="41"/>
      <c r="Y105" s="166"/>
      <c r="Z105" s="166"/>
      <c r="AA105" s="41"/>
      <c r="AB105" s="41"/>
      <c r="AC105" s="41"/>
      <c r="AD105" s="41"/>
      <c r="AE105" s="41"/>
      <c r="AF105" s="41"/>
      <c r="AG105" s="41"/>
      <c r="AH105" s="41"/>
      <c r="AI105" s="41"/>
    </row>
    <row r="106" spans="1:35" ht="15.75" customHeight="1" x14ac:dyDescent="0.2">
      <c r="A106" s="166"/>
      <c r="B106" s="218"/>
      <c r="C106" s="218"/>
      <c r="D106" s="41"/>
      <c r="E106" s="41"/>
      <c r="F106" s="41"/>
      <c r="G106" s="41"/>
      <c r="H106" s="41"/>
      <c r="I106" s="41"/>
      <c r="J106" s="166"/>
      <c r="K106" s="41"/>
      <c r="L106" s="41"/>
      <c r="M106" s="41"/>
      <c r="N106" s="166"/>
      <c r="O106" s="166"/>
      <c r="P106" s="41"/>
      <c r="Q106" s="41"/>
      <c r="R106" s="41"/>
      <c r="S106" s="41"/>
      <c r="T106" s="41"/>
      <c r="U106" s="41"/>
      <c r="V106" s="41"/>
      <c r="W106" s="41"/>
      <c r="X106" s="41"/>
      <c r="Y106" s="166"/>
      <c r="Z106" s="166"/>
      <c r="AA106" s="41"/>
      <c r="AB106" s="41"/>
      <c r="AC106" s="41"/>
      <c r="AD106" s="41"/>
      <c r="AE106" s="41"/>
      <c r="AF106" s="41"/>
      <c r="AG106" s="41"/>
      <c r="AH106" s="41"/>
      <c r="AI106" s="41"/>
    </row>
    <row r="107" spans="1:35" ht="15.75" customHeight="1" x14ac:dyDescent="0.2">
      <c r="A107" s="166"/>
      <c r="B107" s="218"/>
      <c r="C107" s="218"/>
      <c r="D107" s="41"/>
      <c r="E107" s="41"/>
      <c r="F107" s="41"/>
      <c r="G107" s="41"/>
      <c r="H107" s="41"/>
      <c r="I107" s="41"/>
      <c r="J107" s="166"/>
      <c r="K107" s="41"/>
      <c r="L107" s="41"/>
      <c r="M107" s="41"/>
      <c r="N107" s="166"/>
      <c r="O107" s="166"/>
      <c r="P107" s="41"/>
      <c r="Q107" s="41"/>
      <c r="R107" s="41"/>
      <c r="S107" s="41"/>
      <c r="T107" s="41"/>
      <c r="U107" s="41"/>
      <c r="V107" s="41"/>
      <c r="W107" s="41"/>
      <c r="X107" s="41"/>
      <c r="Y107" s="166"/>
      <c r="Z107" s="166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5.75" customHeight="1" x14ac:dyDescent="0.2">
      <c r="A108" s="166"/>
      <c r="B108" s="218"/>
      <c r="C108" s="218"/>
      <c r="D108" s="41"/>
      <c r="E108" s="41"/>
      <c r="F108" s="41"/>
      <c r="G108" s="41"/>
      <c r="H108" s="41"/>
      <c r="I108" s="41"/>
      <c r="J108" s="166"/>
      <c r="K108" s="41"/>
      <c r="L108" s="41"/>
      <c r="M108" s="41"/>
      <c r="N108" s="166"/>
      <c r="O108" s="166"/>
      <c r="P108" s="41"/>
      <c r="Q108" s="41"/>
      <c r="R108" s="41"/>
      <c r="S108" s="41"/>
      <c r="T108" s="41"/>
      <c r="U108" s="41"/>
      <c r="V108" s="41"/>
      <c r="W108" s="41"/>
      <c r="X108" s="41"/>
      <c r="Y108" s="166"/>
      <c r="Z108" s="166"/>
      <c r="AA108" s="41"/>
      <c r="AB108" s="41"/>
      <c r="AC108" s="41"/>
      <c r="AD108" s="41"/>
      <c r="AE108" s="41"/>
      <c r="AF108" s="41"/>
      <c r="AG108" s="41"/>
      <c r="AH108" s="41"/>
      <c r="AI108" s="41"/>
    </row>
    <row r="109" spans="1:35" ht="15.75" customHeight="1" x14ac:dyDescent="0.2">
      <c r="A109" s="166"/>
      <c r="B109" s="218"/>
      <c r="C109" s="218"/>
      <c r="D109" s="41"/>
      <c r="E109" s="41"/>
      <c r="F109" s="41"/>
      <c r="G109" s="41"/>
      <c r="H109" s="41"/>
      <c r="I109" s="41"/>
      <c r="J109" s="166"/>
      <c r="K109" s="41"/>
      <c r="L109" s="41"/>
      <c r="M109" s="41"/>
      <c r="N109" s="166"/>
      <c r="O109" s="166"/>
      <c r="P109" s="41"/>
      <c r="Q109" s="41"/>
      <c r="R109" s="41"/>
      <c r="S109" s="41"/>
      <c r="T109" s="41"/>
      <c r="U109" s="41"/>
      <c r="V109" s="41"/>
      <c r="W109" s="41"/>
      <c r="X109" s="41"/>
      <c r="Y109" s="166"/>
      <c r="Z109" s="166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5.75" customHeight="1" x14ac:dyDescent="0.2">
      <c r="A110" s="166"/>
      <c r="B110" s="218"/>
      <c r="C110" s="218"/>
      <c r="D110" s="41"/>
      <c r="E110" s="41"/>
      <c r="F110" s="41"/>
      <c r="G110" s="41"/>
      <c r="H110" s="41"/>
      <c r="I110" s="41"/>
      <c r="J110" s="166"/>
      <c r="K110" s="41"/>
      <c r="L110" s="41"/>
      <c r="M110" s="41"/>
      <c r="N110" s="166"/>
      <c r="O110" s="166"/>
      <c r="P110" s="41"/>
      <c r="Q110" s="41"/>
      <c r="R110" s="41"/>
      <c r="S110" s="41"/>
      <c r="T110" s="41"/>
      <c r="U110" s="41"/>
      <c r="V110" s="41"/>
      <c r="W110" s="41"/>
      <c r="X110" s="41"/>
      <c r="Y110" s="166"/>
      <c r="Z110" s="166"/>
      <c r="AA110" s="41"/>
      <c r="AB110" s="41"/>
      <c r="AC110" s="41"/>
      <c r="AD110" s="41"/>
      <c r="AE110" s="41"/>
      <c r="AF110" s="41"/>
      <c r="AG110" s="41"/>
      <c r="AH110" s="41"/>
      <c r="AI110" s="41"/>
    </row>
    <row r="111" spans="1:35" ht="15.75" customHeight="1" x14ac:dyDescent="0.2">
      <c r="A111" s="166"/>
      <c r="B111" s="218"/>
      <c r="C111" s="218"/>
      <c r="D111" s="41"/>
      <c r="E111" s="41"/>
      <c r="F111" s="41"/>
      <c r="G111" s="41"/>
      <c r="H111" s="41"/>
      <c r="I111" s="41"/>
      <c r="J111" s="166"/>
      <c r="K111" s="41"/>
      <c r="L111" s="41"/>
      <c r="M111" s="41"/>
      <c r="N111" s="166"/>
      <c r="O111" s="166"/>
      <c r="P111" s="41"/>
      <c r="Q111" s="41"/>
      <c r="R111" s="41"/>
      <c r="S111" s="41"/>
      <c r="T111" s="41"/>
      <c r="U111" s="41"/>
      <c r="V111" s="41"/>
      <c r="W111" s="41"/>
      <c r="X111" s="41"/>
      <c r="Y111" s="166"/>
      <c r="Z111" s="166"/>
      <c r="AA111" s="41"/>
      <c r="AB111" s="41"/>
      <c r="AC111" s="41"/>
      <c r="AD111" s="41"/>
      <c r="AE111" s="41"/>
      <c r="AF111" s="41"/>
      <c r="AG111" s="41"/>
      <c r="AH111" s="41"/>
      <c r="AI111" s="41"/>
    </row>
    <row r="112" spans="1:35" ht="15.75" customHeight="1" x14ac:dyDescent="0.2">
      <c r="A112" s="166"/>
      <c r="B112" s="218"/>
      <c r="C112" s="218"/>
      <c r="D112" s="41"/>
      <c r="E112" s="41"/>
      <c r="F112" s="41"/>
      <c r="G112" s="41"/>
      <c r="H112" s="41"/>
      <c r="I112" s="41"/>
      <c r="J112" s="166"/>
      <c r="K112" s="41"/>
      <c r="L112" s="41"/>
      <c r="M112" s="41"/>
      <c r="N112" s="166"/>
      <c r="O112" s="166"/>
      <c r="P112" s="41"/>
      <c r="Q112" s="41"/>
      <c r="R112" s="41"/>
      <c r="S112" s="41"/>
      <c r="T112" s="41"/>
      <c r="U112" s="41"/>
      <c r="V112" s="41"/>
      <c r="W112" s="41"/>
      <c r="X112" s="41"/>
      <c r="Y112" s="166"/>
      <c r="Z112" s="166"/>
      <c r="AA112" s="41"/>
      <c r="AB112" s="41"/>
      <c r="AC112" s="41"/>
      <c r="AD112" s="41"/>
      <c r="AE112" s="41"/>
      <c r="AF112" s="41"/>
      <c r="AG112" s="41"/>
      <c r="AH112" s="41"/>
      <c r="AI112" s="41"/>
    </row>
    <row r="113" spans="1:35" ht="15.75" customHeight="1" x14ac:dyDescent="0.2">
      <c r="A113" s="166"/>
      <c r="B113" s="218"/>
      <c r="C113" s="218"/>
      <c r="D113" s="41"/>
      <c r="E113" s="41"/>
      <c r="F113" s="41"/>
      <c r="G113" s="41"/>
      <c r="H113" s="41"/>
      <c r="I113" s="41"/>
      <c r="J113" s="166"/>
      <c r="K113" s="41"/>
      <c r="L113" s="41"/>
      <c r="M113" s="41"/>
      <c r="N113" s="166"/>
      <c r="O113" s="166"/>
      <c r="P113" s="41"/>
      <c r="Q113" s="41"/>
      <c r="R113" s="41"/>
      <c r="S113" s="41"/>
      <c r="T113" s="41"/>
      <c r="U113" s="41"/>
      <c r="V113" s="41"/>
      <c r="W113" s="41"/>
      <c r="X113" s="41"/>
      <c r="Y113" s="166"/>
      <c r="Z113" s="166"/>
      <c r="AA113" s="41"/>
      <c r="AB113" s="41"/>
      <c r="AC113" s="41"/>
      <c r="AD113" s="41"/>
      <c r="AE113" s="41"/>
      <c r="AF113" s="41"/>
      <c r="AG113" s="41"/>
      <c r="AH113" s="41"/>
      <c r="AI113" s="41"/>
    </row>
    <row r="114" spans="1:35" ht="15.75" customHeight="1" x14ac:dyDescent="0.2">
      <c r="A114" s="166"/>
      <c r="B114" s="218"/>
      <c r="C114" s="218"/>
      <c r="D114" s="41"/>
      <c r="E114" s="41"/>
      <c r="F114" s="41"/>
      <c r="G114" s="41"/>
      <c r="H114" s="41"/>
      <c r="I114" s="41"/>
      <c r="J114" s="166"/>
      <c r="K114" s="41"/>
      <c r="L114" s="41"/>
      <c r="M114" s="41"/>
      <c r="N114" s="166"/>
      <c r="O114" s="166"/>
      <c r="P114" s="41"/>
      <c r="Q114" s="41"/>
      <c r="R114" s="41"/>
      <c r="S114" s="41"/>
      <c r="T114" s="41"/>
      <c r="U114" s="41"/>
      <c r="V114" s="41"/>
      <c r="W114" s="41"/>
      <c r="X114" s="41"/>
      <c r="Y114" s="166"/>
      <c r="Z114" s="166"/>
      <c r="AA114" s="41"/>
      <c r="AB114" s="41"/>
      <c r="AC114" s="41"/>
      <c r="AD114" s="41"/>
      <c r="AE114" s="41"/>
      <c r="AF114" s="41"/>
      <c r="AG114" s="41"/>
      <c r="AH114" s="41"/>
      <c r="AI114" s="41"/>
    </row>
    <row r="115" spans="1:35" ht="15.75" customHeight="1" x14ac:dyDescent="0.2">
      <c r="A115" s="166"/>
      <c r="B115" s="218"/>
      <c r="C115" s="218"/>
      <c r="D115" s="41"/>
      <c r="E115" s="41"/>
      <c r="F115" s="41"/>
      <c r="G115" s="41"/>
      <c r="H115" s="41"/>
      <c r="I115" s="41"/>
      <c r="J115" s="166"/>
      <c r="K115" s="41"/>
      <c r="L115" s="41"/>
      <c r="M115" s="41"/>
      <c r="N115" s="166"/>
      <c r="O115" s="166"/>
      <c r="P115" s="41"/>
      <c r="Q115" s="41"/>
      <c r="R115" s="41"/>
      <c r="S115" s="41"/>
      <c r="T115" s="41"/>
      <c r="U115" s="41"/>
      <c r="V115" s="41"/>
      <c r="W115" s="41"/>
      <c r="X115" s="41"/>
      <c r="Y115" s="166"/>
      <c r="Z115" s="166"/>
      <c r="AA115" s="41"/>
      <c r="AB115" s="41"/>
      <c r="AC115" s="41"/>
      <c r="AD115" s="41"/>
      <c r="AE115" s="41"/>
      <c r="AF115" s="41"/>
      <c r="AG115" s="41"/>
      <c r="AH115" s="41"/>
      <c r="AI115" s="41"/>
    </row>
    <row r="116" spans="1:35" ht="15.75" customHeight="1" x14ac:dyDescent="0.2">
      <c r="A116" s="166"/>
      <c r="B116" s="218"/>
      <c r="C116" s="218"/>
      <c r="D116" s="41"/>
      <c r="E116" s="41"/>
      <c r="F116" s="41"/>
      <c r="G116" s="41"/>
      <c r="H116" s="41"/>
      <c r="I116" s="41"/>
      <c r="J116" s="166"/>
      <c r="K116" s="41"/>
      <c r="L116" s="41"/>
      <c r="M116" s="41"/>
      <c r="N116" s="166"/>
      <c r="O116" s="166"/>
      <c r="P116" s="41"/>
      <c r="Q116" s="41"/>
      <c r="R116" s="41"/>
      <c r="S116" s="41"/>
      <c r="T116" s="41"/>
      <c r="U116" s="41"/>
      <c r="V116" s="41"/>
      <c r="W116" s="41"/>
      <c r="X116" s="41"/>
      <c r="Y116" s="166"/>
      <c r="Z116" s="166"/>
      <c r="AA116" s="41"/>
      <c r="AB116" s="41"/>
      <c r="AC116" s="41"/>
      <c r="AD116" s="41"/>
      <c r="AE116" s="41"/>
      <c r="AF116" s="41"/>
      <c r="AG116" s="41"/>
      <c r="AH116" s="41"/>
      <c r="AI116" s="41"/>
    </row>
    <row r="117" spans="1:35" ht="15.75" customHeight="1" x14ac:dyDescent="0.2">
      <c r="A117" s="166"/>
      <c r="B117" s="218"/>
      <c r="C117" s="218"/>
      <c r="D117" s="41"/>
      <c r="E117" s="41"/>
      <c r="F117" s="41"/>
      <c r="G117" s="41"/>
      <c r="H117" s="41"/>
      <c r="I117" s="41"/>
      <c r="J117" s="166"/>
      <c r="K117" s="41"/>
      <c r="L117" s="41"/>
      <c r="M117" s="41"/>
      <c r="N117" s="166"/>
      <c r="O117" s="166"/>
      <c r="P117" s="41"/>
      <c r="Q117" s="41"/>
      <c r="R117" s="41"/>
      <c r="S117" s="41"/>
      <c r="T117" s="41"/>
      <c r="U117" s="41"/>
      <c r="V117" s="41"/>
      <c r="W117" s="41"/>
      <c r="X117" s="41"/>
      <c r="Y117" s="166"/>
      <c r="Z117" s="166"/>
      <c r="AA117" s="41"/>
      <c r="AB117" s="41"/>
      <c r="AC117" s="41"/>
      <c r="AD117" s="41"/>
      <c r="AE117" s="41"/>
      <c r="AF117" s="41"/>
      <c r="AG117" s="41"/>
      <c r="AH117" s="41"/>
      <c r="AI117" s="41"/>
    </row>
    <row r="118" spans="1:35" ht="15.75" customHeight="1" x14ac:dyDescent="0.2">
      <c r="A118" s="166"/>
      <c r="B118" s="218"/>
      <c r="C118" s="218"/>
      <c r="D118" s="41"/>
      <c r="E118" s="41"/>
      <c r="F118" s="41"/>
      <c r="G118" s="41"/>
      <c r="H118" s="41"/>
      <c r="I118" s="41"/>
      <c r="J118" s="166"/>
      <c r="K118" s="41"/>
      <c r="L118" s="41"/>
      <c r="M118" s="41"/>
      <c r="N118" s="166"/>
      <c r="O118" s="166"/>
      <c r="P118" s="41"/>
      <c r="Q118" s="41"/>
      <c r="R118" s="41"/>
      <c r="S118" s="41"/>
      <c r="T118" s="41"/>
      <c r="U118" s="41"/>
      <c r="V118" s="41"/>
      <c r="W118" s="41"/>
      <c r="X118" s="41"/>
      <c r="Y118" s="166"/>
      <c r="Z118" s="166"/>
      <c r="AA118" s="41"/>
      <c r="AB118" s="41"/>
      <c r="AC118" s="41"/>
      <c r="AD118" s="41"/>
      <c r="AE118" s="41"/>
      <c r="AF118" s="41"/>
      <c r="AG118" s="41"/>
      <c r="AH118" s="41"/>
      <c r="AI118" s="41"/>
    </row>
    <row r="119" spans="1:35" ht="15.75" customHeight="1" x14ac:dyDescent="0.2">
      <c r="A119" s="166"/>
      <c r="B119" s="218"/>
      <c r="C119" s="218"/>
      <c r="D119" s="41"/>
      <c r="E119" s="41"/>
      <c r="F119" s="41"/>
      <c r="G119" s="41"/>
      <c r="H119" s="41"/>
      <c r="I119" s="41"/>
      <c r="J119" s="166"/>
      <c r="K119" s="41"/>
      <c r="L119" s="41"/>
      <c r="M119" s="41"/>
      <c r="N119" s="166"/>
      <c r="O119" s="166"/>
      <c r="P119" s="41"/>
      <c r="Q119" s="41"/>
      <c r="R119" s="41"/>
      <c r="S119" s="41"/>
      <c r="T119" s="41"/>
      <c r="U119" s="41"/>
      <c r="V119" s="41"/>
      <c r="W119" s="41"/>
      <c r="X119" s="41"/>
      <c r="Y119" s="166"/>
      <c r="Z119" s="166"/>
      <c r="AA119" s="41"/>
      <c r="AB119" s="41"/>
      <c r="AC119" s="41"/>
      <c r="AD119" s="41"/>
      <c r="AE119" s="41"/>
      <c r="AF119" s="41"/>
      <c r="AG119" s="41"/>
      <c r="AH119" s="41"/>
      <c r="AI119" s="41"/>
    </row>
    <row r="120" spans="1:35" ht="15.75" customHeight="1" x14ac:dyDescent="0.2">
      <c r="A120" s="166"/>
      <c r="B120" s="218"/>
      <c r="C120" s="218"/>
      <c r="D120" s="41"/>
      <c r="E120" s="41"/>
      <c r="F120" s="41"/>
      <c r="G120" s="41"/>
      <c r="H120" s="41"/>
      <c r="I120" s="41"/>
      <c r="J120" s="166"/>
      <c r="K120" s="41"/>
      <c r="L120" s="41"/>
      <c r="M120" s="41"/>
      <c r="N120" s="166"/>
      <c r="O120" s="166"/>
      <c r="P120" s="41"/>
      <c r="Q120" s="41"/>
      <c r="R120" s="41"/>
      <c r="S120" s="41"/>
      <c r="T120" s="41"/>
      <c r="U120" s="41"/>
      <c r="V120" s="41"/>
      <c r="W120" s="41"/>
      <c r="X120" s="41"/>
      <c r="Y120" s="166"/>
      <c r="Z120" s="166"/>
      <c r="AA120" s="41"/>
      <c r="AB120" s="41"/>
      <c r="AC120" s="41"/>
      <c r="AD120" s="41"/>
      <c r="AE120" s="41"/>
      <c r="AF120" s="41"/>
      <c r="AG120" s="41"/>
      <c r="AH120" s="41"/>
      <c r="AI120" s="41"/>
    </row>
    <row r="121" spans="1:35" ht="15.75" customHeight="1" x14ac:dyDescent="0.2">
      <c r="A121" s="166"/>
      <c r="B121" s="218"/>
      <c r="C121" s="218"/>
      <c r="D121" s="41"/>
      <c r="E121" s="41"/>
      <c r="F121" s="41"/>
      <c r="G121" s="41"/>
      <c r="H121" s="41"/>
      <c r="I121" s="41"/>
      <c r="J121" s="166"/>
      <c r="K121" s="41"/>
      <c r="L121" s="41"/>
      <c r="M121" s="41"/>
      <c r="N121" s="166"/>
      <c r="O121" s="166"/>
      <c r="P121" s="41"/>
      <c r="Q121" s="41"/>
      <c r="R121" s="41"/>
      <c r="S121" s="41"/>
      <c r="T121" s="41"/>
      <c r="U121" s="41"/>
      <c r="V121" s="41"/>
      <c r="W121" s="41"/>
      <c r="X121" s="41"/>
      <c r="Y121" s="166"/>
      <c r="Z121" s="166"/>
      <c r="AA121" s="41"/>
      <c r="AB121" s="41"/>
      <c r="AC121" s="41"/>
      <c r="AD121" s="41"/>
      <c r="AE121" s="41"/>
      <c r="AF121" s="41"/>
      <c r="AG121" s="41"/>
      <c r="AH121" s="41"/>
      <c r="AI121" s="41"/>
    </row>
    <row r="122" spans="1:35" ht="15.75" customHeight="1" x14ac:dyDescent="0.2">
      <c r="A122" s="166"/>
      <c r="B122" s="218"/>
      <c r="C122" s="218"/>
      <c r="D122" s="41"/>
      <c r="E122" s="41"/>
      <c r="F122" s="41"/>
      <c r="G122" s="41"/>
      <c r="H122" s="41"/>
      <c r="I122" s="41"/>
      <c r="J122" s="166"/>
      <c r="K122" s="41"/>
      <c r="L122" s="41"/>
      <c r="M122" s="41"/>
      <c r="N122" s="166"/>
      <c r="O122" s="166"/>
      <c r="P122" s="41"/>
      <c r="Q122" s="41"/>
      <c r="R122" s="41"/>
      <c r="S122" s="41"/>
      <c r="T122" s="41"/>
      <c r="U122" s="41"/>
      <c r="V122" s="41"/>
      <c r="W122" s="41"/>
      <c r="X122" s="41"/>
      <c r="Y122" s="166"/>
      <c r="Z122" s="166"/>
      <c r="AA122" s="41"/>
      <c r="AB122" s="41"/>
      <c r="AC122" s="41"/>
      <c r="AD122" s="41"/>
      <c r="AE122" s="41"/>
      <c r="AF122" s="41"/>
      <c r="AG122" s="41"/>
      <c r="AH122" s="41"/>
      <c r="AI122" s="41"/>
    </row>
    <row r="123" spans="1:35" ht="15.75" customHeight="1" x14ac:dyDescent="0.2">
      <c r="A123" s="166"/>
      <c r="B123" s="218"/>
      <c r="C123" s="218"/>
      <c r="D123" s="41"/>
      <c r="E123" s="41"/>
      <c r="F123" s="41"/>
      <c r="G123" s="41"/>
      <c r="H123" s="41"/>
      <c r="I123" s="41"/>
      <c r="J123" s="166"/>
      <c r="K123" s="41"/>
      <c r="L123" s="41"/>
      <c r="M123" s="41"/>
      <c r="N123" s="166"/>
      <c r="O123" s="166"/>
      <c r="P123" s="41"/>
      <c r="Q123" s="41"/>
      <c r="R123" s="41"/>
      <c r="S123" s="41"/>
      <c r="T123" s="41"/>
      <c r="U123" s="41"/>
      <c r="V123" s="41"/>
      <c r="W123" s="41"/>
      <c r="X123" s="41"/>
      <c r="Y123" s="166"/>
      <c r="Z123" s="166"/>
      <c r="AA123" s="41"/>
      <c r="AB123" s="41"/>
      <c r="AC123" s="41"/>
      <c r="AD123" s="41"/>
      <c r="AE123" s="41"/>
      <c r="AF123" s="41"/>
      <c r="AG123" s="41"/>
      <c r="AH123" s="41"/>
      <c r="AI123" s="41"/>
    </row>
    <row r="124" spans="1:35" ht="15.75" customHeight="1" x14ac:dyDescent="0.2">
      <c r="A124" s="166"/>
      <c r="B124" s="218"/>
      <c r="C124" s="218"/>
      <c r="D124" s="41"/>
      <c r="E124" s="41"/>
      <c r="F124" s="41"/>
      <c r="G124" s="41"/>
      <c r="H124" s="41"/>
      <c r="I124" s="41"/>
      <c r="J124" s="166"/>
      <c r="K124" s="41"/>
      <c r="L124" s="41"/>
      <c r="M124" s="41"/>
      <c r="N124" s="166"/>
      <c r="O124" s="166"/>
      <c r="P124" s="41"/>
      <c r="Q124" s="41"/>
      <c r="R124" s="41"/>
      <c r="S124" s="41"/>
      <c r="T124" s="41"/>
      <c r="U124" s="41"/>
      <c r="V124" s="41"/>
      <c r="W124" s="41"/>
      <c r="X124" s="41"/>
      <c r="Y124" s="166"/>
      <c r="Z124" s="166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5.75" customHeight="1" x14ac:dyDescent="0.2">
      <c r="A125" s="166"/>
      <c r="B125" s="218"/>
      <c r="C125" s="218"/>
      <c r="D125" s="41"/>
      <c r="E125" s="41"/>
      <c r="F125" s="41"/>
      <c r="G125" s="41"/>
      <c r="H125" s="41"/>
      <c r="I125" s="41"/>
      <c r="J125" s="166"/>
      <c r="K125" s="41"/>
      <c r="L125" s="41"/>
      <c r="M125" s="41"/>
      <c r="N125" s="166"/>
      <c r="O125" s="166"/>
      <c r="P125" s="41"/>
      <c r="Q125" s="41"/>
      <c r="R125" s="41"/>
      <c r="S125" s="41"/>
      <c r="T125" s="41"/>
      <c r="U125" s="41"/>
      <c r="V125" s="41"/>
      <c r="W125" s="41"/>
      <c r="X125" s="41"/>
      <c r="Y125" s="166"/>
      <c r="Z125" s="166"/>
      <c r="AA125" s="41"/>
      <c r="AB125" s="41"/>
      <c r="AC125" s="41"/>
      <c r="AD125" s="41"/>
      <c r="AE125" s="41"/>
      <c r="AF125" s="41"/>
      <c r="AG125" s="41"/>
      <c r="AH125" s="41"/>
      <c r="AI125" s="41"/>
    </row>
    <row r="126" spans="1:35" ht="15.75" customHeight="1" x14ac:dyDescent="0.2">
      <c r="A126" s="166"/>
      <c r="B126" s="218"/>
      <c r="C126" s="218"/>
      <c r="D126" s="41"/>
      <c r="E126" s="41"/>
      <c r="F126" s="41"/>
      <c r="G126" s="41"/>
      <c r="H126" s="41"/>
      <c r="I126" s="41"/>
      <c r="J126" s="166"/>
      <c r="K126" s="41"/>
      <c r="L126" s="41"/>
      <c r="M126" s="41"/>
      <c r="N126" s="166"/>
      <c r="O126" s="166"/>
      <c r="P126" s="41"/>
      <c r="Q126" s="41"/>
      <c r="R126" s="41"/>
      <c r="S126" s="41"/>
      <c r="T126" s="41"/>
      <c r="U126" s="41"/>
      <c r="V126" s="41"/>
      <c r="W126" s="41"/>
      <c r="X126" s="41"/>
      <c r="Y126" s="166"/>
      <c r="Z126" s="166"/>
      <c r="AA126" s="41"/>
      <c r="AB126" s="41"/>
      <c r="AC126" s="41"/>
      <c r="AD126" s="41"/>
      <c r="AE126" s="41"/>
      <c r="AF126" s="41"/>
      <c r="AG126" s="41"/>
      <c r="AH126" s="41"/>
      <c r="AI126" s="41"/>
    </row>
    <row r="127" spans="1:35" ht="15.75" customHeight="1" x14ac:dyDescent="0.2">
      <c r="A127" s="166"/>
      <c r="B127" s="218"/>
      <c r="C127" s="218"/>
      <c r="D127" s="41"/>
      <c r="E127" s="41"/>
      <c r="F127" s="41"/>
      <c r="G127" s="41"/>
      <c r="H127" s="41"/>
      <c r="I127" s="41"/>
      <c r="J127" s="166"/>
      <c r="K127" s="41"/>
      <c r="L127" s="41"/>
      <c r="M127" s="41"/>
      <c r="N127" s="166"/>
      <c r="O127" s="166"/>
      <c r="P127" s="41"/>
      <c r="Q127" s="41"/>
      <c r="R127" s="41"/>
      <c r="S127" s="41"/>
      <c r="T127" s="41"/>
      <c r="U127" s="41"/>
      <c r="V127" s="41"/>
      <c r="W127" s="41"/>
      <c r="X127" s="41"/>
      <c r="Y127" s="166"/>
      <c r="Z127" s="166"/>
      <c r="AA127" s="41"/>
      <c r="AB127" s="41"/>
      <c r="AC127" s="41"/>
      <c r="AD127" s="41"/>
      <c r="AE127" s="41"/>
      <c r="AF127" s="41"/>
      <c r="AG127" s="41"/>
      <c r="AH127" s="41"/>
      <c r="AI127" s="41"/>
    </row>
    <row r="128" spans="1:35" ht="15.75" customHeight="1" x14ac:dyDescent="0.2">
      <c r="A128" s="166"/>
      <c r="B128" s="218"/>
      <c r="C128" s="218"/>
      <c r="D128" s="41"/>
      <c r="E128" s="41"/>
      <c r="F128" s="41"/>
      <c r="G128" s="41"/>
      <c r="H128" s="41"/>
      <c r="I128" s="41"/>
      <c r="J128" s="166"/>
      <c r="K128" s="41"/>
      <c r="L128" s="41"/>
      <c r="M128" s="41"/>
      <c r="N128" s="166"/>
      <c r="O128" s="166"/>
      <c r="P128" s="41"/>
      <c r="Q128" s="41"/>
      <c r="R128" s="41"/>
      <c r="S128" s="41"/>
      <c r="T128" s="41"/>
      <c r="U128" s="41"/>
      <c r="V128" s="41"/>
      <c r="W128" s="41"/>
      <c r="X128" s="41"/>
      <c r="Y128" s="166"/>
      <c r="Z128" s="166"/>
      <c r="AA128" s="41"/>
      <c r="AB128" s="41"/>
      <c r="AC128" s="41"/>
      <c r="AD128" s="41"/>
      <c r="AE128" s="41"/>
      <c r="AF128" s="41"/>
      <c r="AG128" s="41"/>
      <c r="AH128" s="41"/>
      <c r="AI128" s="41"/>
    </row>
    <row r="129" spans="1:35" ht="15.75" customHeight="1" x14ac:dyDescent="0.2">
      <c r="A129" s="166"/>
      <c r="B129" s="218"/>
      <c r="C129" s="218"/>
      <c r="D129" s="41"/>
      <c r="E129" s="41"/>
      <c r="F129" s="41"/>
      <c r="G129" s="41"/>
      <c r="H129" s="41"/>
      <c r="I129" s="41"/>
      <c r="J129" s="166"/>
      <c r="K129" s="41"/>
      <c r="L129" s="41"/>
      <c r="M129" s="41"/>
      <c r="N129" s="166"/>
      <c r="O129" s="166"/>
      <c r="P129" s="41"/>
      <c r="Q129" s="41"/>
      <c r="R129" s="41"/>
      <c r="S129" s="41"/>
      <c r="T129" s="41"/>
      <c r="U129" s="41"/>
      <c r="V129" s="41"/>
      <c r="W129" s="41"/>
      <c r="X129" s="41"/>
      <c r="Y129" s="166"/>
      <c r="Z129" s="166"/>
      <c r="AA129" s="41"/>
      <c r="AB129" s="41"/>
      <c r="AC129" s="41"/>
      <c r="AD129" s="41"/>
      <c r="AE129" s="41"/>
      <c r="AF129" s="41"/>
      <c r="AG129" s="41"/>
      <c r="AH129" s="41"/>
      <c r="AI129" s="41"/>
    </row>
    <row r="130" spans="1:35" ht="15.75" customHeight="1" x14ac:dyDescent="0.2">
      <c r="A130" s="166"/>
      <c r="B130" s="218"/>
      <c r="C130" s="218"/>
      <c r="D130" s="41"/>
      <c r="E130" s="41"/>
      <c r="F130" s="41"/>
      <c r="G130" s="41"/>
      <c r="H130" s="41"/>
      <c r="I130" s="41"/>
      <c r="J130" s="166"/>
      <c r="K130" s="41"/>
      <c r="L130" s="41"/>
      <c r="M130" s="41"/>
      <c r="N130" s="166"/>
      <c r="O130" s="166"/>
      <c r="P130" s="41"/>
      <c r="Q130" s="41"/>
      <c r="R130" s="41"/>
      <c r="S130" s="41"/>
      <c r="T130" s="41"/>
      <c r="U130" s="41"/>
      <c r="V130" s="41"/>
      <c r="W130" s="41"/>
      <c r="X130" s="41"/>
      <c r="Y130" s="166"/>
      <c r="Z130" s="166"/>
      <c r="AA130" s="41"/>
      <c r="AB130" s="41"/>
      <c r="AC130" s="41"/>
      <c r="AD130" s="41"/>
      <c r="AE130" s="41"/>
      <c r="AF130" s="41"/>
      <c r="AG130" s="41"/>
      <c r="AH130" s="41"/>
      <c r="AI130" s="41"/>
    </row>
    <row r="131" spans="1:35" ht="15.75" customHeight="1" x14ac:dyDescent="0.2">
      <c r="A131" s="166"/>
      <c r="B131" s="218"/>
      <c r="C131" s="218"/>
      <c r="D131" s="41"/>
      <c r="E131" s="41"/>
      <c r="F131" s="41"/>
      <c r="G131" s="41"/>
      <c r="H131" s="41"/>
      <c r="I131" s="41"/>
      <c r="J131" s="166"/>
      <c r="K131" s="41"/>
      <c r="L131" s="41"/>
      <c r="M131" s="41"/>
      <c r="N131" s="166"/>
      <c r="O131" s="166"/>
      <c r="P131" s="41"/>
      <c r="Q131" s="41"/>
      <c r="R131" s="41"/>
      <c r="S131" s="41"/>
      <c r="T131" s="41"/>
      <c r="U131" s="41"/>
      <c r="V131" s="41"/>
      <c r="W131" s="41"/>
      <c r="X131" s="41"/>
      <c r="Y131" s="166"/>
      <c r="Z131" s="166"/>
      <c r="AA131" s="41"/>
      <c r="AB131" s="41"/>
      <c r="AC131" s="41"/>
      <c r="AD131" s="41"/>
      <c r="AE131" s="41"/>
      <c r="AF131" s="41"/>
      <c r="AG131" s="41"/>
      <c r="AH131" s="41"/>
      <c r="AI131" s="41"/>
    </row>
    <row r="132" spans="1:35" ht="15.75" customHeight="1" x14ac:dyDescent="0.2">
      <c r="A132" s="166"/>
      <c r="B132" s="218"/>
      <c r="C132" s="218"/>
      <c r="D132" s="41"/>
      <c r="E132" s="41"/>
      <c r="F132" s="41"/>
      <c r="G132" s="41"/>
      <c r="H132" s="41"/>
      <c r="I132" s="41"/>
      <c r="J132" s="166"/>
      <c r="K132" s="41"/>
      <c r="L132" s="41"/>
      <c r="M132" s="41"/>
      <c r="N132" s="166"/>
      <c r="O132" s="166"/>
      <c r="P132" s="41"/>
      <c r="Q132" s="41"/>
      <c r="R132" s="41"/>
      <c r="S132" s="41"/>
      <c r="T132" s="41"/>
      <c r="U132" s="41"/>
      <c r="V132" s="41"/>
      <c r="W132" s="41"/>
      <c r="X132" s="41"/>
      <c r="Y132" s="166"/>
      <c r="Z132" s="166"/>
      <c r="AA132" s="41"/>
      <c r="AB132" s="41"/>
      <c r="AC132" s="41"/>
      <c r="AD132" s="41"/>
      <c r="AE132" s="41"/>
      <c r="AF132" s="41"/>
      <c r="AG132" s="41"/>
      <c r="AH132" s="41"/>
      <c r="AI132" s="41"/>
    </row>
    <row r="133" spans="1:35" ht="15.75" customHeight="1" x14ac:dyDescent="0.2">
      <c r="A133" s="166"/>
      <c r="B133" s="218"/>
      <c r="C133" s="218"/>
      <c r="D133" s="41"/>
      <c r="E133" s="41"/>
      <c r="F133" s="41"/>
      <c r="G133" s="41"/>
      <c r="H133" s="41"/>
      <c r="I133" s="41"/>
      <c r="J133" s="166"/>
      <c r="K133" s="41"/>
      <c r="L133" s="41"/>
      <c r="M133" s="41"/>
      <c r="N133" s="166"/>
      <c r="O133" s="166"/>
      <c r="P133" s="41"/>
      <c r="Q133" s="41"/>
      <c r="R133" s="41"/>
      <c r="S133" s="41"/>
      <c r="T133" s="41"/>
      <c r="U133" s="41"/>
      <c r="V133" s="41"/>
      <c r="W133" s="41"/>
      <c r="X133" s="41"/>
      <c r="Y133" s="166"/>
      <c r="Z133" s="166"/>
      <c r="AA133" s="41"/>
      <c r="AB133" s="41"/>
      <c r="AC133" s="41"/>
      <c r="AD133" s="41"/>
      <c r="AE133" s="41"/>
      <c r="AF133" s="41"/>
      <c r="AG133" s="41"/>
      <c r="AH133" s="41"/>
      <c r="AI133" s="41"/>
    </row>
    <row r="134" spans="1:35" ht="15.75" customHeight="1" x14ac:dyDescent="0.2">
      <c r="A134" s="166"/>
      <c r="B134" s="218"/>
      <c r="C134" s="218"/>
      <c r="D134" s="41"/>
      <c r="E134" s="41"/>
      <c r="F134" s="41"/>
      <c r="G134" s="41"/>
      <c r="H134" s="41"/>
      <c r="I134" s="41"/>
      <c r="J134" s="166"/>
      <c r="K134" s="41"/>
      <c r="L134" s="41"/>
      <c r="M134" s="41"/>
      <c r="N134" s="166"/>
      <c r="O134" s="166"/>
      <c r="P134" s="41"/>
      <c r="Q134" s="41"/>
      <c r="R134" s="41"/>
      <c r="S134" s="41"/>
      <c r="T134" s="41"/>
      <c r="U134" s="41"/>
      <c r="V134" s="41"/>
      <c r="W134" s="41"/>
      <c r="X134" s="41"/>
      <c r="Y134" s="166"/>
      <c r="Z134" s="166"/>
      <c r="AA134" s="41"/>
      <c r="AB134" s="41"/>
      <c r="AC134" s="41"/>
      <c r="AD134" s="41"/>
      <c r="AE134" s="41"/>
      <c r="AF134" s="41"/>
      <c r="AG134" s="41"/>
      <c r="AH134" s="41"/>
      <c r="AI134" s="41"/>
    </row>
    <row r="135" spans="1:35" ht="15.75" customHeight="1" x14ac:dyDescent="0.2">
      <c r="A135" s="166"/>
      <c r="B135" s="218"/>
      <c r="C135" s="218"/>
      <c r="D135" s="41"/>
      <c r="E135" s="41"/>
      <c r="F135" s="41"/>
      <c r="G135" s="41"/>
      <c r="H135" s="41"/>
      <c r="I135" s="41"/>
      <c r="J135" s="166"/>
      <c r="K135" s="41"/>
      <c r="L135" s="41"/>
      <c r="M135" s="41"/>
      <c r="N135" s="166"/>
      <c r="O135" s="166"/>
      <c r="P135" s="41"/>
      <c r="Q135" s="41"/>
      <c r="R135" s="41"/>
      <c r="S135" s="41"/>
      <c r="T135" s="41"/>
      <c r="U135" s="41"/>
      <c r="V135" s="41"/>
      <c r="W135" s="41"/>
      <c r="X135" s="41"/>
      <c r="Y135" s="166"/>
      <c r="Z135" s="166"/>
      <c r="AA135" s="41"/>
      <c r="AB135" s="41"/>
      <c r="AC135" s="41"/>
      <c r="AD135" s="41"/>
      <c r="AE135" s="41"/>
      <c r="AF135" s="41"/>
      <c r="AG135" s="41"/>
      <c r="AH135" s="41"/>
      <c r="AI135" s="41"/>
    </row>
    <row r="136" spans="1:35" ht="15.75" customHeight="1" x14ac:dyDescent="0.2">
      <c r="A136" s="166"/>
      <c r="B136" s="218"/>
      <c r="C136" s="218"/>
      <c r="D136" s="41"/>
      <c r="E136" s="41"/>
      <c r="F136" s="41"/>
      <c r="G136" s="41"/>
      <c r="H136" s="41"/>
      <c r="I136" s="41"/>
      <c r="J136" s="166"/>
      <c r="K136" s="41"/>
      <c r="L136" s="41"/>
      <c r="M136" s="41"/>
      <c r="N136" s="166"/>
      <c r="O136" s="166"/>
      <c r="P136" s="41"/>
      <c r="Q136" s="41"/>
      <c r="R136" s="41"/>
      <c r="S136" s="41"/>
      <c r="T136" s="41"/>
      <c r="U136" s="41"/>
      <c r="V136" s="41"/>
      <c r="W136" s="41"/>
      <c r="X136" s="41"/>
      <c r="Y136" s="166"/>
      <c r="Z136" s="166"/>
      <c r="AA136" s="41"/>
      <c r="AB136" s="41"/>
      <c r="AC136" s="41"/>
      <c r="AD136" s="41"/>
      <c r="AE136" s="41"/>
      <c r="AF136" s="41"/>
      <c r="AG136" s="41"/>
      <c r="AH136" s="41"/>
      <c r="AI136" s="41"/>
    </row>
    <row r="137" spans="1:35" ht="15.75" customHeight="1" x14ac:dyDescent="0.2">
      <c r="A137" s="166"/>
      <c r="B137" s="218"/>
      <c r="C137" s="218"/>
      <c r="D137" s="41"/>
      <c r="E137" s="41"/>
      <c r="F137" s="41"/>
      <c r="G137" s="41"/>
      <c r="H137" s="41"/>
      <c r="I137" s="41"/>
      <c r="J137" s="166"/>
      <c r="K137" s="41"/>
      <c r="L137" s="41"/>
      <c r="M137" s="41"/>
      <c r="N137" s="166"/>
      <c r="O137" s="166"/>
      <c r="P137" s="41"/>
      <c r="Q137" s="41"/>
      <c r="R137" s="41"/>
      <c r="S137" s="41"/>
      <c r="T137" s="41"/>
      <c r="U137" s="41"/>
      <c r="V137" s="41"/>
      <c r="W137" s="41"/>
      <c r="X137" s="41"/>
      <c r="Y137" s="166"/>
      <c r="Z137" s="166"/>
      <c r="AA137" s="41"/>
      <c r="AB137" s="41"/>
      <c r="AC137" s="41"/>
      <c r="AD137" s="41"/>
      <c r="AE137" s="41"/>
      <c r="AF137" s="41"/>
      <c r="AG137" s="41"/>
      <c r="AH137" s="41"/>
      <c r="AI137" s="41"/>
    </row>
    <row r="138" spans="1:35" ht="15.75" customHeight="1" x14ac:dyDescent="0.2">
      <c r="A138" s="166"/>
      <c r="B138" s="218"/>
      <c r="C138" s="218"/>
      <c r="D138" s="41"/>
      <c r="E138" s="41"/>
      <c r="F138" s="41"/>
      <c r="G138" s="41"/>
      <c r="H138" s="41"/>
      <c r="I138" s="41"/>
      <c r="J138" s="166"/>
      <c r="K138" s="41"/>
      <c r="L138" s="41"/>
      <c r="M138" s="41"/>
      <c r="N138" s="166"/>
      <c r="O138" s="166"/>
      <c r="P138" s="41"/>
      <c r="Q138" s="41"/>
      <c r="R138" s="41"/>
      <c r="S138" s="41"/>
      <c r="T138" s="41"/>
      <c r="U138" s="41"/>
      <c r="V138" s="41"/>
      <c r="W138" s="41"/>
      <c r="X138" s="41"/>
      <c r="Y138" s="166"/>
      <c r="Z138" s="166"/>
      <c r="AA138" s="41"/>
      <c r="AB138" s="41"/>
      <c r="AC138" s="41"/>
      <c r="AD138" s="41"/>
      <c r="AE138" s="41"/>
      <c r="AF138" s="41"/>
      <c r="AG138" s="41"/>
      <c r="AH138" s="41"/>
      <c r="AI138" s="41"/>
    </row>
    <row r="139" spans="1:35" ht="15.75" customHeight="1" x14ac:dyDescent="0.2">
      <c r="A139" s="166"/>
      <c r="B139" s="218"/>
      <c r="C139" s="218"/>
      <c r="D139" s="41"/>
      <c r="E139" s="41"/>
      <c r="F139" s="41"/>
      <c r="G139" s="41"/>
      <c r="H139" s="41"/>
      <c r="I139" s="41"/>
      <c r="J139" s="166"/>
      <c r="K139" s="41"/>
      <c r="L139" s="41"/>
      <c r="M139" s="41"/>
      <c r="N139" s="166"/>
      <c r="O139" s="166"/>
      <c r="P139" s="41"/>
      <c r="Q139" s="41"/>
      <c r="R139" s="41"/>
      <c r="S139" s="41"/>
      <c r="T139" s="41"/>
      <c r="U139" s="41"/>
      <c r="V139" s="41"/>
      <c r="W139" s="41"/>
      <c r="X139" s="41"/>
      <c r="Y139" s="166"/>
      <c r="Z139" s="166"/>
      <c r="AA139" s="41"/>
      <c r="AB139" s="41"/>
      <c r="AC139" s="41"/>
      <c r="AD139" s="41"/>
      <c r="AE139" s="41"/>
      <c r="AF139" s="41"/>
      <c r="AG139" s="41"/>
      <c r="AH139" s="41"/>
      <c r="AI139" s="41"/>
    </row>
    <row r="140" spans="1:35" ht="15.75" customHeight="1" x14ac:dyDescent="0.2">
      <c r="A140" s="166"/>
      <c r="B140" s="218"/>
      <c r="C140" s="218"/>
      <c r="D140" s="41"/>
      <c r="E140" s="41"/>
      <c r="F140" s="41"/>
      <c r="G140" s="41"/>
      <c r="H140" s="41"/>
      <c r="I140" s="41"/>
      <c r="J140" s="166"/>
      <c r="K140" s="41"/>
      <c r="L140" s="41"/>
      <c r="M140" s="41"/>
      <c r="N140" s="166"/>
      <c r="O140" s="166"/>
      <c r="P140" s="41"/>
      <c r="Q140" s="41"/>
      <c r="R140" s="41"/>
      <c r="S140" s="41"/>
      <c r="T140" s="41"/>
      <c r="U140" s="41"/>
      <c r="V140" s="41"/>
      <c r="W140" s="41"/>
      <c r="X140" s="41"/>
      <c r="Y140" s="166"/>
      <c r="Z140" s="166"/>
      <c r="AA140" s="41"/>
      <c r="AB140" s="41"/>
      <c r="AC140" s="41"/>
      <c r="AD140" s="41"/>
      <c r="AE140" s="41"/>
      <c r="AF140" s="41"/>
      <c r="AG140" s="41"/>
      <c r="AH140" s="41"/>
      <c r="AI140" s="41"/>
    </row>
    <row r="141" spans="1:35" ht="15.75" customHeight="1" x14ac:dyDescent="0.2">
      <c r="A141" s="166"/>
      <c r="B141" s="218"/>
      <c r="C141" s="218"/>
      <c r="D141" s="41"/>
      <c r="E141" s="41"/>
      <c r="F141" s="41"/>
      <c r="G141" s="41"/>
      <c r="H141" s="41"/>
      <c r="I141" s="41"/>
      <c r="J141" s="166"/>
      <c r="K141" s="41"/>
      <c r="L141" s="41"/>
      <c r="M141" s="41"/>
      <c r="N141" s="166"/>
      <c r="O141" s="166"/>
      <c r="P141" s="41"/>
      <c r="Q141" s="41"/>
      <c r="R141" s="41"/>
      <c r="S141" s="41"/>
      <c r="T141" s="41"/>
      <c r="U141" s="41"/>
      <c r="V141" s="41"/>
      <c r="W141" s="41"/>
      <c r="X141" s="41"/>
      <c r="Y141" s="166"/>
      <c r="Z141" s="166"/>
      <c r="AA141" s="41"/>
      <c r="AB141" s="41"/>
      <c r="AC141" s="41"/>
      <c r="AD141" s="41"/>
      <c r="AE141" s="41"/>
      <c r="AF141" s="41"/>
      <c r="AG141" s="41"/>
      <c r="AH141" s="41"/>
      <c r="AI141" s="41"/>
    </row>
    <row r="142" spans="1:35" ht="15.75" customHeight="1" x14ac:dyDescent="0.2">
      <c r="A142" s="166"/>
      <c r="B142" s="218"/>
      <c r="C142" s="218"/>
      <c r="D142" s="41"/>
      <c r="E142" s="41"/>
      <c r="F142" s="41"/>
      <c r="G142" s="41"/>
      <c r="H142" s="41"/>
      <c r="I142" s="41"/>
      <c r="J142" s="166"/>
      <c r="K142" s="41"/>
      <c r="L142" s="41"/>
      <c r="M142" s="41"/>
      <c r="N142" s="166"/>
      <c r="O142" s="166"/>
      <c r="P142" s="41"/>
      <c r="Q142" s="41"/>
      <c r="R142" s="41"/>
      <c r="S142" s="41"/>
      <c r="T142" s="41"/>
      <c r="U142" s="41"/>
      <c r="V142" s="41"/>
      <c r="W142" s="41"/>
      <c r="X142" s="41"/>
      <c r="Y142" s="166"/>
      <c r="Z142" s="166"/>
      <c r="AA142" s="41"/>
      <c r="AB142" s="41"/>
      <c r="AC142" s="41"/>
      <c r="AD142" s="41"/>
      <c r="AE142" s="41"/>
      <c r="AF142" s="41"/>
      <c r="AG142" s="41"/>
      <c r="AH142" s="41"/>
      <c r="AI142" s="41"/>
    </row>
    <row r="143" spans="1:35" ht="15.75" customHeight="1" x14ac:dyDescent="0.2">
      <c r="A143" s="166"/>
      <c r="B143" s="218"/>
      <c r="C143" s="218"/>
      <c r="D143" s="41"/>
      <c r="E143" s="41"/>
      <c r="F143" s="41"/>
      <c r="G143" s="41"/>
      <c r="H143" s="41"/>
      <c r="I143" s="41"/>
      <c r="J143" s="166"/>
      <c r="K143" s="41"/>
      <c r="L143" s="41"/>
      <c r="M143" s="41"/>
      <c r="N143" s="166"/>
      <c r="O143" s="166"/>
      <c r="P143" s="41"/>
      <c r="Q143" s="41"/>
      <c r="R143" s="41"/>
      <c r="S143" s="41"/>
      <c r="T143" s="41"/>
      <c r="U143" s="41"/>
      <c r="V143" s="41"/>
      <c r="W143" s="41"/>
      <c r="X143" s="41"/>
      <c r="Y143" s="166"/>
      <c r="Z143" s="166"/>
      <c r="AA143" s="41"/>
      <c r="AB143" s="41"/>
      <c r="AC143" s="41"/>
      <c r="AD143" s="41"/>
      <c r="AE143" s="41"/>
      <c r="AF143" s="41"/>
      <c r="AG143" s="41"/>
      <c r="AH143" s="41"/>
      <c r="AI143" s="41"/>
    </row>
    <row r="144" spans="1:35" ht="15.75" customHeight="1" x14ac:dyDescent="0.2">
      <c r="A144" s="166"/>
      <c r="B144" s="218"/>
      <c r="C144" s="218"/>
      <c r="D144" s="41"/>
      <c r="E144" s="41"/>
      <c r="F144" s="41"/>
      <c r="G144" s="41"/>
      <c r="H144" s="41"/>
      <c r="I144" s="41"/>
      <c r="J144" s="166"/>
      <c r="K144" s="41"/>
      <c r="L144" s="41"/>
      <c r="M144" s="41"/>
      <c r="N144" s="166"/>
      <c r="O144" s="166"/>
      <c r="P144" s="41"/>
      <c r="Q144" s="41"/>
      <c r="R144" s="41"/>
      <c r="S144" s="41"/>
      <c r="T144" s="41"/>
      <c r="U144" s="41"/>
      <c r="V144" s="41"/>
      <c r="W144" s="41"/>
      <c r="X144" s="41"/>
      <c r="Y144" s="166"/>
      <c r="Z144" s="166"/>
      <c r="AA144" s="41"/>
      <c r="AB144" s="41"/>
      <c r="AC144" s="41"/>
      <c r="AD144" s="41"/>
      <c r="AE144" s="41"/>
      <c r="AF144" s="41"/>
      <c r="AG144" s="41"/>
      <c r="AH144" s="41"/>
      <c r="AI144" s="41"/>
    </row>
    <row r="145" spans="1:35" ht="15.75" customHeight="1" x14ac:dyDescent="0.2">
      <c r="A145" s="166"/>
      <c r="B145" s="218"/>
      <c r="C145" s="218"/>
      <c r="D145" s="41"/>
      <c r="E145" s="41"/>
      <c r="F145" s="41"/>
      <c r="G145" s="41"/>
      <c r="H145" s="41"/>
      <c r="I145" s="41"/>
      <c r="J145" s="166"/>
      <c r="K145" s="41"/>
      <c r="L145" s="41"/>
      <c r="M145" s="41"/>
      <c r="N145" s="166"/>
      <c r="O145" s="166"/>
      <c r="P145" s="41"/>
      <c r="Q145" s="41"/>
      <c r="R145" s="41"/>
      <c r="S145" s="41"/>
      <c r="T145" s="41"/>
      <c r="U145" s="41"/>
      <c r="V145" s="41"/>
      <c r="W145" s="41"/>
      <c r="X145" s="41"/>
      <c r="Y145" s="166"/>
      <c r="Z145" s="166"/>
      <c r="AA145" s="41"/>
      <c r="AB145" s="41"/>
      <c r="AC145" s="41"/>
      <c r="AD145" s="41"/>
      <c r="AE145" s="41"/>
      <c r="AF145" s="41"/>
      <c r="AG145" s="41"/>
      <c r="AH145" s="41"/>
      <c r="AI145" s="41"/>
    </row>
    <row r="146" spans="1:35" ht="15.75" customHeight="1" x14ac:dyDescent="0.2">
      <c r="A146" s="166"/>
      <c r="B146" s="218"/>
      <c r="C146" s="218"/>
      <c r="D146" s="41"/>
      <c r="E146" s="41"/>
      <c r="F146" s="41"/>
      <c r="G146" s="41"/>
      <c r="H146" s="41"/>
      <c r="I146" s="41"/>
      <c r="J146" s="166"/>
      <c r="K146" s="41"/>
      <c r="L146" s="41"/>
      <c r="M146" s="41"/>
      <c r="N146" s="166"/>
      <c r="O146" s="166"/>
      <c r="P146" s="41"/>
      <c r="Q146" s="41"/>
      <c r="R146" s="41"/>
      <c r="S146" s="41"/>
      <c r="T146" s="41"/>
      <c r="U146" s="41"/>
      <c r="V146" s="41"/>
      <c r="W146" s="41"/>
      <c r="X146" s="41"/>
      <c r="Y146" s="166"/>
      <c r="Z146" s="166"/>
      <c r="AA146" s="41"/>
      <c r="AB146" s="41"/>
      <c r="AC146" s="41"/>
      <c r="AD146" s="41"/>
      <c r="AE146" s="41"/>
      <c r="AF146" s="41"/>
      <c r="AG146" s="41"/>
      <c r="AH146" s="41"/>
      <c r="AI146" s="41"/>
    </row>
    <row r="147" spans="1:35" ht="15.75" customHeight="1" x14ac:dyDescent="0.2">
      <c r="A147" s="166"/>
      <c r="B147" s="218"/>
      <c r="C147" s="218"/>
      <c r="D147" s="41"/>
      <c r="E147" s="41"/>
      <c r="F147" s="41"/>
      <c r="G147" s="41"/>
      <c r="H147" s="41"/>
      <c r="I147" s="41"/>
      <c r="J147" s="166"/>
      <c r="K147" s="41"/>
      <c r="L147" s="41"/>
      <c r="M147" s="41"/>
      <c r="N147" s="166"/>
      <c r="O147" s="166"/>
      <c r="P147" s="41"/>
      <c r="Q147" s="41"/>
      <c r="R147" s="41"/>
      <c r="S147" s="41"/>
      <c r="T147" s="41"/>
      <c r="U147" s="41"/>
      <c r="V147" s="41"/>
      <c r="W147" s="41"/>
      <c r="X147" s="41"/>
      <c r="Y147" s="166"/>
      <c r="Z147" s="166"/>
      <c r="AA147" s="41"/>
      <c r="AB147" s="41"/>
      <c r="AC147" s="41"/>
      <c r="AD147" s="41"/>
      <c r="AE147" s="41"/>
      <c r="AF147" s="41"/>
      <c r="AG147" s="41"/>
      <c r="AH147" s="41"/>
      <c r="AI147" s="41"/>
    </row>
    <row r="148" spans="1:35" ht="15.75" customHeight="1" x14ac:dyDescent="0.2">
      <c r="A148" s="166"/>
      <c r="B148" s="218"/>
      <c r="C148" s="218"/>
      <c r="D148" s="41"/>
      <c r="E148" s="41"/>
      <c r="F148" s="41"/>
      <c r="G148" s="41"/>
      <c r="H148" s="41"/>
      <c r="I148" s="41"/>
      <c r="J148" s="166"/>
      <c r="K148" s="41"/>
      <c r="L148" s="41"/>
      <c r="M148" s="41"/>
      <c r="N148" s="166"/>
      <c r="O148" s="166"/>
      <c r="P148" s="41"/>
      <c r="Q148" s="41"/>
      <c r="R148" s="41"/>
      <c r="S148" s="41"/>
      <c r="T148" s="41"/>
      <c r="U148" s="41"/>
      <c r="V148" s="41"/>
      <c r="W148" s="41"/>
      <c r="X148" s="41"/>
      <c r="Y148" s="166"/>
      <c r="Z148" s="166"/>
      <c r="AA148" s="41"/>
      <c r="AB148" s="41"/>
      <c r="AC148" s="41"/>
      <c r="AD148" s="41"/>
      <c r="AE148" s="41"/>
      <c r="AF148" s="41"/>
      <c r="AG148" s="41"/>
      <c r="AH148" s="41"/>
      <c r="AI148" s="41"/>
    </row>
    <row r="149" spans="1:35" ht="15.75" customHeight="1" x14ac:dyDescent="0.2">
      <c r="A149" s="166"/>
      <c r="B149" s="218"/>
      <c r="C149" s="218"/>
      <c r="D149" s="41"/>
      <c r="E149" s="41"/>
      <c r="F149" s="41"/>
      <c r="G149" s="41"/>
      <c r="H149" s="41"/>
      <c r="I149" s="41"/>
      <c r="J149" s="166"/>
      <c r="K149" s="41"/>
      <c r="L149" s="41"/>
      <c r="M149" s="41"/>
      <c r="N149" s="166"/>
      <c r="O149" s="166"/>
      <c r="P149" s="41"/>
      <c r="Q149" s="41"/>
      <c r="R149" s="41"/>
      <c r="S149" s="41"/>
      <c r="T149" s="41"/>
      <c r="U149" s="41"/>
      <c r="V149" s="41"/>
      <c r="W149" s="41"/>
      <c r="X149" s="41"/>
      <c r="Y149" s="166"/>
      <c r="Z149" s="166"/>
      <c r="AA149" s="41"/>
      <c r="AB149" s="41"/>
      <c r="AC149" s="41"/>
      <c r="AD149" s="41"/>
      <c r="AE149" s="41"/>
      <c r="AF149" s="41"/>
      <c r="AG149" s="41"/>
      <c r="AH149" s="41"/>
      <c r="AI149" s="41"/>
    </row>
    <row r="150" spans="1:35" ht="15.75" customHeight="1" x14ac:dyDescent="0.2">
      <c r="A150" s="166"/>
      <c r="B150" s="218"/>
      <c r="C150" s="218"/>
      <c r="D150" s="41"/>
      <c r="E150" s="41"/>
      <c r="F150" s="41"/>
      <c r="G150" s="41"/>
      <c r="H150" s="41"/>
      <c r="I150" s="41"/>
      <c r="J150" s="166"/>
      <c r="K150" s="41"/>
      <c r="L150" s="41"/>
      <c r="M150" s="41"/>
      <c r="N150" s="166"/>
      <c r="O150" s="166"/>
      <c r="P150" s="41"/>
      <c r="Q150" s="41"/>
      <c r="R150" s="41"/>
      <c r="S150" s="41"/>
      <c r="T150" s="41"/>
      <c r="U150" s="41"/>
      <c r="V150" s="41"/>
      <c r="W150" s="41"/>
      <c r="X150" s="41"/>
      <c r="Y150" s="166"/>
      <c r="Z150" s="166"/>
      <c r="AA150" s="41"/>
      <c r="AB150" s="41"/>
      <c r="AC150" s="41"/>
      <c r="AD150" s="41"/>
      <c r="AE150" s="41"/>
      <c r="AF150" s="41"/>
      <c r="AG150" s="41"/>
      <c r="AH150" s="41"/>
      <c r="AI150" s="41"/>
    </row>
    <row r="151" spans="1:35" ht="15.75" customHeight="1" x14ac:dyDescent="0.2">
      <c r="A151" s="166"/>
      <c r="B151" s="218"/>
      <c r="C151" s="218"/>
      <c r="D151" s="41"/>
      <c r="E151" s="41"/>
      <c r="F151" s="41"/>
      <c r="G151" s="41"/>
      <c r="H151" s="41"/>
      <c r="I151" s="41"/>
      <c r="J151" s="166"/>
      <c r="K151" s="41"/>
      <c r="L151" s="41"/>
      <c r="M151" s="41"/>
      <c r="N151" s="166"/>
      <c r="O151" s="166"/>
      <c r="P151" s="41"/>
      <c r="Q151" s="41"/>
      <c r="R151" s="41"/>
      <c r="S151" s="41"/>
      <c r="T151" s="41"/>
      <c r="U151" s="41"/>
      <c r="V151" s="41"/>
      <c r="W151" s="41"/>
      <c r="X151" s="41"/>
      <c r="Y151" s="166"/>
      <c r="Z151" s="166"/>
      <c r="AA151" s="41"/>
      <c r="AB151" s="41"/>
      <c r="AC151" s="41"/>
      <c r="AD151" s="41"/>
      <c r="AE151" s="41"/>
      <c r="AF151" s="41"/>
      <c r="AG151" s="41"/>
      <c r="AH151" s="41"/>
      <c r="AI151" s="41"/>
    </row>
    <row r="152" spans="1:35" ht="15.75" customHeight="1" x14ac:dyDescent="0.2">
      <c r="A152" s="166"/>
      <c r="B152" s="218"/>
      <c r="C152" s="218"/>
      <c r="D152" s="41"/>
      <c r="E152" s="41"/>
      <c r="F152" s="41"/>
      <c r="G152" s="41"/>
      <c r="H152" s="41"/>
      <c r="I152" s="41"/>
      <c r="J152" s="166"/>
      <c r="K152" s="41"/>
      <c r="L152" s="41"/>
      <c r="M152" s="41"/>
      <c r="N152" s="166"/>
      <c r="O152" s="166"/>
      <c r="P152" s="41"/>
      <c r="Q152" s="41"/>
      <c r="R152" s="41"/>
      <c r="S152" s="41"/>
      <c r="T152" s="41"/>
      <c r="U152" s="41"/>
      <c r="V152" s="41"/>
      <c r="W152" s="41"/>
      <c r="X152" s="41"/>
      <c r="Y152" s="166"/>
      <c r="Z152" s="166"/>
      <c r="AA152" s="41"/>
      <c r="AB152" s="41"/>
      <c r="AC152" s="41"/>
      <c r="AD152" s="41"/>
      <c r="AE152" s="41"/>
      <c r="AF152" s="41"/>
      <c r="AG152" s="41"/>
      <c r="AH152" s="41"/>
      <c r="AI152" s="41"/>
    </row>
    <row r="153" spans="1:35" ht="15.75" customHeight="1" x14ac:dyDescent="0.2">
      <c r="A153" s="166"/>
      <c r="B153" s="218"/>
      <c r="C153" s="218"/>
      <c r="D153" s="41"/>
      <c r="E153" s="41"/>
      <c r="F153" s="41"/>
      <c r="G153" s="41"/>
      <c r="H153" s="41"/>
      <c r="I153" s="41"/>
      <c r="J153" s="166"/>
      <c r="K153" s="41"/>
      <c r="L153" s="41"/>
      <c r="M153" s="41"/>
      <c r="N153" s="166"/>
      <c r="O153" s="166"/>
      <c r="P153" s="41"/>
      <c r="Q153" s="41"/>
      <c r="R153" s="41"/>
      <c r="S153" s="41"/>
      <c r="T153" s="41"/>
      <c r="U153" s="41"/>
      <c r="V153" s="41"/>
      <c r="W153" s="41"/>
      <c r="X153" s="41"/>
      <c r="Y153" s="166"/>
      <c r="Z153" s="166"/>
      <c r="AA153" s="41"/>
      <c r="AB153" s="41"/>
      <c r="AC153" s="41"/>
      <c r="AD153" s="41"/>
      <c r="AE153" s="41"/>
      <c r="AF153" s="41"/>
      <c r="AG153" s="41"/>
      <c r="AH153" s="41"/>
      <c r="AI153" s="41"/>
    </row>
    <row r="154" spans="1:35" ht="15.75" customHeight="1" x14ac:dyDescent="0.2">
      <c r="A154" s="166"/>
      <c r="B154" s="218"/>
      <c r="C154" s="218"/>
      <c r="D154" s="41"/>
      <c r="E154" s="41"/>
      <c r="F154" s="41"/>
      <c r="G154" s="41"/>
      <c r="H154" s="41"/>
      <c r="I154" s="41"/>
      <c r="J154" s="166"/>
      <c r="K154" s="41"/>
      <c r="L154" s="41"/>
      <c r="M154" s="41"/>
      <c r="N154" s="166"/>
      <c r="O154" s="166"/>
      <c r="P154" s="41"/>
      <c r="Q154" s="41"/>
      <c r="R154" s="41"/>
      <c r="S154" s="41"/>
      <c r="T154" s="41"/>
      <c r="U154" s="41"/>
      <c r="V154" s="41"/>
      <c r="W154" s="41"/>
      <c r="X154" s="41"/>
      <c r="Y154" s="166"/>
      <c r="Z154" s="166"/>
      <c r="AA154" s="41"/>
      <c r="AB154" s="41"/>
      <c r="AC154" s="41"/>
      <c r="AD154" s="41"/>
      <c r="AE154" s="41"/>
      <c r="AF154" s="41"/>
      <c r="AG154" s="41"/>
      <c r="AH154" s="41"/>
      <c r="AI154" s="41"/>
    </row>
    <row r="155" spans="1:35" ht="15.75" customHeight="1" x14ac:dyDescent="0.2">
      <c r="A155" s="166"/>
      <c r="B155" s="218"/>
      <c r="C155" s="218"/>
      <c r="D155" s="41"/>
      <c r="E155" s="41"/>
      <c r="F155" s="41"/>
      <c r="G155" s="41"/>
      <c r="H155" s="41"/>
      <c r="I155" s="41"/>
      <c r="J155" s="166"/>
      <c r="K155" s="41"/>
      <c r="L155" s="41"/>
      <c r="M155" s="41"/>
      <c r="N155" s="166"/>
      <c r="O155" s="166"/>
      <c r="P155" s="41"/>
      <c r="Q155" s="41"/>
      <c r="R155" s="41"/>
      <c r="S155" s="41"/>
      <c r="T155" s="41"/>
      <c r="U155" s="41"/>
      <c r="V155" s="41"/>
      <c r="W155" s="41"/>
      <c r="X155" s="41"/>
      <c r="Y155" s="166"/>
      <c r="Z155" s="166"/>
      <c r="AA155" s="41"/>
      <c r="AB155" s="41"/>
      <c r="AC155" s="41"/>
      <c r="AD155" s="41"/>
      <c r="AE155" s="41"/>
      <c r="AF155" s="41"/>
      <c r="AG155" s="41"/>
      <c r="AH155" s="41"/>
      <c r="AI155" s="41"/>
    </row>
    <row r="156" spans="1:35" ht="15.75" customHeight="1" x14ac:dyDescent="0.2">
      <c r="A156" s="166"/>
      <c r="B156" s="218"/>
      <c r="C156" s="218"/>
      <c r="D156" s="41"/>
      <c r="E156" s="41"/>
      <c r="F156" s="41"/>
      <c r="G156" s="41"/>
      <c r="H156" s="41"/>
      <c r="I156" s="41"/>
      <c r="J156" s="166"/>
      <c r="K156" s="41"/>
      <c r="L156" s="41"/>
      <c r="M156" s="41"/>
      <c r="N156" s="166"/>
      <c r="O156" s="166"/>
      <c r="P156" s="41"/>
      <c r="Q156" s="41"/>
      <c r="R156" s="41"/>
      <c r="S156" s="41"/>
      <c r="T156" s="41"/>
      <c r="U156" s="41"/>
      <c r="V156" s="41"/>
      <c r="W156" s="41"/>
      <c r="X156" s="41"/>
      <c r="Y156" s="166"/>
      <c r="Z156" s="166"/>
      <c r="AA156" s="41"/>
      <c r="AB156" s="41"/>
      <c r="AC156" s="41"/>
      <c r="AD156" s="41"/>
      <c r="AE156" s="41"/>
      <c r="AF156" s="41"/>
      <c r="AG156" s="41"/>
      <c r="AH156" s="41"/>
      <c r="AI156" s="41"/>
    </row>
    <row r="157" spans="1:35" ht="15.75" customHeight="1" x14ac:dyDescent="0.2">
      <c r="A157" s="166"/>
      <c r="B157" s="218"/>
      <c r="C157" s="218"/>
      <c r="D157" s="41"/>
      <c r="E157" s="41"/>
      <c r="F157" s="41"/>
      <c r="G157" s="41"/>
      <c r="H157" s="41"/>
      <c r="I157" s="41"/>
      <c r="J157" s="166"/>
      <c r="K157" s="41"/>
      <c r="L157" s="41"/>
      <c r="M157" s="41"/>
      <c r="N157" s="166"/>
      <c r="O157" s="166"/>
      <c r="P157" s="41"/>
      <c r="Q157" s="41"/>
      <c r="R157" s="41"/>
      <c r="S157" s="41"/>
      <c r="T157" s="41"/>
      <c r="U157" s="41"/>
      <c r="V157" s="41"/>
      <c r="W157" s="41"/>
      <c r="X157" s="41"/>
      <c r="Y157" s="166"/>
      <c r="Z157" s="166"/>
      <c r="AA157" s="41"/>
      <c r="AB157" s="41"/>
      <c r="AC157" s="41"/>
      <c r="AD157" s="41"/>
      <c r="AE157" s="41"/>
      <c r="AF157" s="41"/>
      <c r="AG157" s="41"/>
      <c r="AH157" s="41"/>
      <c r="AI157" s="41"/>
    </row>
    <row r="158" spans="1:35" ht="15.75" customHeight="1" x14ac:dyDescent="0.2">
      <c r="A158" s="166"/>
      <c r="B158" s="218"/>
      <c r="C158" s="218"/>
      <c r="D158" s="41"/>
      <c r="E158" s="41"/>
      <c r="F158" s="41"/>
      <c r="G158" s="41"/>
      <c r="H158" s="41"/>
      <c r="I158" s="41"/>
      <c r="J158" s="166"/>
      <c r="K158" s="41"/>
      <c r="L158" s="41"/>
      <c r="M158" s="41"/>
      <c r="N158" s="166"/>
      <c r="O158" s="166"/>
      <c r="P158" s="41"/>
      <c r="Q158" s="41"/>
      <c r="R158" s="41"/>
      <c r="S158" s="41"/>
      <c r="T158" s="41"/>
      <c r="U158" s="41"/>
      <c r="V158" s="41"/>
      <c r="W158" s="41"/>
      <c r="X158" s="41"/>
      <c r="Y158" s="166"/>
      <c r="Z158" s="166"/>
      <c r="AA158" s="41"/>
      <c r="AB158" s="41"/>
      <c r="AC158" s="41"/>
      <c r="AD158" s="41"/>
      <c r="AE158" s="41"/>
      <c r="AF158" s="41"/>
      <c r="AG158" s="41"/>
      <c r="AH158" s="41"/>
      <c r="AI158" s="41"/>
    </row>
    <row r="159" spans="1:35" ht="15.75" customHeight="1" x14ac:dyDescent="0.2">
      <c r="A159" s="166"/>
      <c r="B159" s="218"/>
      <c r="C159" s="218"/>
      <c r="D159" s="41"/>
      <c r="E159" s="41"/>
      <c r="F159" s="41"/>
      <c r="G159" s="41"/>
      <c r="H159" s="41"/>
      <c r="I159" s="41"/>
      <c r="J159" s="166"/>
      <c r="K159" s="41"/>
      <c r="L159" s="41"/>
      <c r="M159" s="41"/>
      <c r="N159" s="166"/>
      <c r="O159" s="166"/>
      <c r="P159" s="41"/>
      <c r="Q159" s="41"/>
      <c r="R159" s="41"/>
      <c r="S159" s="41"/>
      <c r="T159" s="41"/>
      <c r="U159" s="41"/>
      <c r="V159" s="41"/>
      <c r="W159" s="41"/>
      <c r="X159" s="41"/>
      <c r="Y159" s="166"/>
      <c r="Z159" s="166"/>
      <c r="AA159" s="41"/>
      <c r="AB159" s="41"/>
      <c r="AC159" s="41"/>
      <c r="AD159" s="41"/>
      <c r="AE159" s="41"/>
      <c r="AF159" s="41"/>
      <c r="AG159" s="41"/>
      <c r="AH159" s="41"/>
      <c r="AI159" s="41"/>
    </row>
    <row r="160" spans="1:35" ht="15.75" customHeight="1" x14ac:dyDescent="0.2">
      <c r="A160" s="166"/>
      <c r="B160" s="218"/>
      <c r="C160" s="218"/>
      <c r="D160" s="41"/>
      <c r="E160" s="41"/>
      <c r="F160" s="41"/>
      <c r="G160" s="41"/>
      <c r="H160" s="41"/>
      <c r="I160" s="41"/>
      <c r="J160" s="166"/>
      <c r="K160" s="41"/>
      <c r="L160" s="41"/>
      <c r="M160" s="41"/>
      <c r="N160" s="166"/>
      <c r="O160" s="166"/>
      <c r="P160" s="41"/>
      <c r="Q160" s="41"/>
      <c r="R160" s="41"/>
      <c r="S160" s="41"/>
      <c r="T160" s="41"/>
      <c r="U160" s="41"/>
      <c r="V160" s="41"/>
      <c r="W160" s="41"/>
      <c r="X160" s="41"/>
      <c r="Y160" s="166"/>
      <c r="Z160" s="166"/>
      <c r="AA160" s="41"/>
      <c r="AB160" s="41"/>
      <c r="AC160" s="41"/>
      <c r="AD160" s="41"/>
      <c r="AE160" s="41"/>
      <c r="AF160" s="41"/>
      <c r="AG160" s="41"/>
      <c r="AH160" s="41"/>
      <c r="AI160" s="41"/>
    </row>
    <row r="161" spans="1:35" ht="15.75" customHeight="1" x14ac:dyDescent="0.2">
      <c r="A161" s="166"/>
      <c r="B161" s="218"/>
      <c r="C161" s="218"/>
      <c r="D161" s="41"/>
      <c r="E161" s="41"/>
      <c r="F161" s="41"/>
      <c r="G161" s="41"/>
      <c r="H161" s="41"/>
      <c r="I161" s="41"/>
      <c r="J161" s="166"/>
      <c r="K161" s="41"/>
      <c r="L161" s="41"/>
      <c r="M161" s="41"/>
      <c r="N161" s="166"/>
      <c r="O161" s="166"/>
      <c r="P161" s="41"/>
      <c r="Q161" s="41"/>
      <c r="R161" s="41"/>
      <c r="S161" s="41"/>
      <c r="T161" s="41"/>
      <c r="U161" s="41"/>
      <c r="V161" s="41"/>
      <c r="W161" s="41"/>
      <c r="X161" s="41"/>
      <c r="Y161" s="166"/>
      <c r="Z161" s="166"/>
      <c r="AA161" s="41"/>
      <c r="AB161" s="41"/>
      <c r="AC161" s="41"/>
      <c r="AD161" s="41"/>
      <c r="AE161" s="41"/>
      <c r="AF161" s="41"/>
      <c r="AG161" s="41"/>
      <c r="AH161" s="41"/>
      <c r="AI161" s="41"/>
    </row>
    <row r="162" spans="1:35" ht="15.75" customHeight="1" x14ac:dyDescent="0.2">
      <c r="A162" s="166"/>
      <c r="B162" s="218"/>
      <c r="C162" s="218"/>
      <c r="D162" s="41"/>
      <c r="E162" s="41"/>
      <c r="F162" s="41"/>
      <c r="G162" s="41"/>
      <c r="H162" s="41"/>
      <c r="I162" s="41"/>
      <c r="J162" s="166"/>
      <c r="K162" s="41"/>
      <c r="L162" s="41"/>
      <c r="M162" s="41"/>
      <c r="N162" s="166"/>
      <c r="O162" s="166"/>
      <c r="P162" s="41"/>
      <c r="Q162" s="41"/>
      <c r="R162" s="41"/>
      <c r="S162" s="41"/>
      <c r="T162" s="41"/>
      <c r="U162" s="41"/>
      <c r="V162" s="41"/>
      <c r="W162" s="41"/>
      <c r="X162" s="41"/>
      <c r="Y162" s="166"/>
      <c r="Z162" s="166"/>
      <c r="AA162" s="41"/>
      <c r="AB162" s="41"/>
      <c r="AC162" s="41"/>
      <c r="AD162" s="41"/>
      <c r="AE162" s="41"/>
      <c r="AF162" s="41"/>
      <c r="AG162" s="41"/>
      <c r="AH162" s="41"/>
      <c r="AI162" s="41"/>
    </row>
    <row r="163" spans="1:35" ht="15.75" customHeight="1" x14ac:dyDescent="0.2">
      <c r="A163" s="166"/>
      <c r="B163" s="218"/>
      <c r="C163" s="218"/>
      <c r="D163" s="41"/>
      <c r="E163" s="41"/>
      <c r="F163" s="41"/>
      <c r="G163" s="41"/>
      <c r="H163" s="41"/>
      <c r="I163" s="41"/>
      <c r="J163" s="166"/>
      <c r="K163" s="41"/>
      <c r="L163" s="41"/>
      <c r="M163" s="41"/>
      <c r="N163" s="166"/>
      <c r="O163" s="166"/>
      <c r="P163" s="41"/>
      <c r="Q163" s="41"/>
      <c r="R163" s="41"/>
      <c r="S163" s="41"/>
      <c r="T163" s="41"/>
      <c r="U163" s="41"/>
      <c r="V163" s="41"/>
      <c r="W163" s="41"/>
      <c r="X163" s="41"/>
      <c r="Y163" s="166"/>
      <c r="Z163" s="166"/>
      <c r="AA163" s="41"/>
      <c r="AB163" s="41"/>
      <c r="AC163" s="41"/>
      <c r="AD163" s="41"/>
      <c r="AE163" s="41"/>
      <c r="AF163" s="41"/>
      <c r="AG163" s="41"/>
      <c r="AH163" s="41"/>
      <c r="AI163" s="41"/>
    </row>
    <row r="164" spans="1:35" ht="15.75" customHeight="1" x14ac:dyDescent="0.2">
      <c r="A164" s="166"/>
      <c r="B164" s="218"/>
      <c r="C164" s="218"/>
      <c r="D164" s="41"/>
      <c r="E164" s="41"/>
      <c r="F164" s="41"/>
      <c r="G164" s="41"/>
      <c r="H164" s="41"/>
      <c r="I164" s="41"/>
      <c r="J164" s="166"/>
      <c r="K164" s="41"/>
      <c r="L164" s="41"/>
      <c r="M164" s="41"/>
      <c r="N164" s="166"/>
      <c r="O164" s="166"/>
      <c r="P164" s="41"/>
      <c r="Q164" s="41"/>
      <c r="R164" s="41"/>
      <c r="S164" s="41"/>
      <c r="T164" s="41"/>
      <c r="U164" s="41"/>
      <c r="V164" s="41"/>
      <c r="W164" s="41"/>
      <c r="X164" s="41"/>
      <c r="Y164" s="166"/>
      <c r="Z164" s="166"/>
      <c r="AA164" s="41"/>
      <c r="AB164" s="41"/>
      <c r="AC164" s="41"/>
      <c r="AD164" s="41"/>
      <c r="AE164" s="41"/>
      <c r="AF164" s="41"/>
      <c r="AG164" s="41"/>
      <c r="AH164" s="41"/>
      <c r="AI164" s="41"/>
    </row>
    <row r="165" spans="1:35" ht="15.75" customHeight="1" x14ac:dyDescent="0.2">
      <c r="A165" s="166"/>
      <c r="B165" s="218"/>
      <c r="C165" s="218"/>
      <c r="D165" s="41"/>
      <c r="E165" s="41"/>
      <c r="F165" s="41"/>
      <c r="G165" s="41"/>
      <c r="H165" s="41"/>
      <c r="I165" s="41"/>
      <c r="J165" s="166"/>
      <c r="K165" s="41"/>
      <c r="L165" s="41"/>
      <c r="M165" s="41"/>
      <c r="N165" s="166"/>
      <c r="O165" s="166"/>
      <c r="P165" s="41"/>
      <c r="Q165" s="41"/>
      <c r="R165" s="41"/>
      <c r="S165" s="41"/>
      <c r="T165" s="41"/>
      <c r="U165" s="41"/>
      <c r="V165" s="41"/>
      <c r="W165" s="41"/>
      <c r="X165" s="41"/>
      <c r="Y165" s="166"/>
      <c r="Z165" s="166"/>
      <c r="AA165" s="41"/>
      <c r="AB165" s="41"/>
      <c r="AC165" s="41"/>
      <c r="AD165" s="41"/>
      <c r="AE165" s="41"/>
      <c r="AF165" s="41"/>
      <c r="AG165" s="41"/>
      <c r="AH165" s="41"/>
      <c r="AI165" s="41"/>
    </row>
    <row r="166" spans="1:35" ht="15.75" customHeight="1" x14ac:dyDescent="0.2">
      <c r="A166" s="166"/>
      <c r="B166" s="218"/>
      <c r="C166" s="218"/>
      <c r="D166" s="41"/>
      <c r="E166" s="41"/>
      <c r="F166" s="41"/>
      <c r="G166" s="41"/>
      <c r="H166" s="41"/>
      <c r="I166" s="41"/>
      <c r="J166" s="166"/>
      <c r="K166" s="41"/>
      <c r="L166" s="41"/>
      <c r="M166" s="41"/>
      <c r="N166" s="166"/>
      <c r="O166" s="166"/>
      <c r="P166" s="41"/>
      <c r="Q166" s="41"/>
      <c r="R166" s="41"/>
      <c r="S166" s="41"/>
      <c r="T166" s="41"/>
      <c r="U166" s="41"/>
      <c r="V166" s="41"/>
      <c r="W166" s="41"/>
      <c r="X166" s="41"/>
      <c r="Y166" s="166"/>
      <c r="Z166" s="166"/>
      <c r="AA166" s="41"/>
      <c r="AB166" s="41"/>
      <c r="AC166" s="41"/>
      <c r="AD166" s="41"/>
      <c r="AE166" s="41"/>
      <c r="AF166" s="41"/>
      <c r="AG166" s="41"/>
      <c r="AH166" s="41"/>
      <c r="AI166" s="41"/>
    </row>
    <row r="167" spans="1:35" ht="15.75" customHeight="1" x14ac:dyDescent="0.2">
      <c r="A167" s="166"/>
      <c r="B167" s="218"/>
      <c r="C167" s="218"/>
      <c r="D167" s="41"/>
      <c r="E167" s="41"/>
      <c r="F167" s="41"/>
      <c r="G167" s="41"/>
      <c r="H167" s="41"/>
      <c r="I167" s="41"/>
      <c r="J167" s="166"/>
      <c r="K167" s="41"/>
      <c r="L167" s="41"/>
      <c r="M167" s="41"/>
      <c r="N167" s="166"/>
      <c r="O167" s="166"/>
      <c r="P167" s="41"/>
      <c r="Q167" s="41"/>
      <c r="R167" s="41"/>
      <c r="S167" s="41"/>
      <c r="T167" s="41"/>
      <c r="U167" s="41"/>
      <c r="V167" s="41"/>
      <c r="W167" s="41"/>
      <c r="X167" s="41"/>
      <c r="Y167" s="166"/>
      <c r="Z167" s="166"/>
      <c r="AA167" s="41"/>
      <c r="AB167" s="41"/>
      <c r="AC167" s="41"/>
      <c r="AD167" s="41"/>
      <c r="AE167" s="41"/>
      <c r="AF167" s="41"/>
      <c r="AG167" s="41"/>
      <c r="AH167" s="41"/>
      <c r="AI167" s="41"/>
    </row>
    <row r="168" spans="1:35" ht="15.75" customHeight="1" x14ac:dyDescent="0.2">
      <c r="A168" s="166"/>
      <c r="B168" s="218"/>
      <c r="C168" s="218"/>
      <c r="D168" s="41"/>
      <c r="E168" s="41"/>
      <c r="F168" s="41"/>
      <c r="G168" s="41"/>
      <c r="H168" s="41"/>
      <c r="I168" s="41"/>
      <c r="J168" s="166"/>
      <c r="K168" s="41"/>
      <c r="L168" s="41"/>
      <c r="M168" s="41"/>
      <c r="N168" s="166"/>
      <c r="O168" s="166"/>
      <c r="P168" s="41"/>
      <c r="Q168" s="41"/>
      <c r="R168" s="41"/>
      <c r="S168" s="41"/>
      <c r="T168" s="41"/>
      <c r="U168" s="41"/>
      <c r="V168" s="41"/>
      <c r="W168" s="41"/>
      <c r="X168" s="41"/>
      <c r="Y168" s="166"/>
      <c r="Z168" s="166"/>
      <c r="AA168" s="41"/>
      <c r="AB168" s="41"/>
      <c r="AC168" s="41"/>
      <c r="AD168" s="41"/>
      <c r="AE168" s="41"/>
      <c r="AF168" s="41"/>
      <c r="AG168" s="41"/>
      <c r="AH168" s="41"/>
      <c r="AI168" s="41"/>
    </row>
    <row r="169" spans="1:35" ht="15.75" customHeight="1" x14ac:dyDescent="0.2">
      <c r="A169" s="166"/>
      <c r="B169" s="218"/>
      <c r="C169" s="218"/>
      <c r="D169" s="41"/>
      <c r="E169" s="41"/>
      <c r="F169" s="41"/>
      <c r="G169" s="41"/>
      <c r="H169" s="41"/>
      <c r="I169" s="41"/>
      <c r="J169" s="166"/>
      <c r="K169" s="41"/>
      <c r="L169" s="41"/>
      <c r="M169" s="41"/>
      <c r="N169" s="166"/>
      <c r="O169" s="166"/>
      <c r="P169" s="41"/>
      <c r="Q169" s="41"/>
      <c r="R169" s="41"/>
      <c r="S169" s="41"/>
      <c r="T169" s="41"/>
      <c r="U169" s="41"/>
      <c r="V169" s="41"/>
      <c r="W169" s="41"/>
      <c r="X169" s="41"/>
      <c r="Y169" s="166"/>
      <c r="Z169" s="166"/>
      <c r="AA169" s="41"/>
      <c r="AB169" s="41"/>
      <c r="AC169" s="41"/>
      <c r="AD169" s="41"/>
      <c r="AE169" s="41"/>
      <c r="AF169" s="41"/>
      <c r="AG169" s="41"/>
      <c r="AH169" s="41"/>
      <c r="AI169" s="41"/>
    </row>
    <row r="170" spans="1:35" ht="15.75" customHeight="1" x14ac:dyDescent="0.2">
      <c r="A170" s="166"/>
      <c r="B170" s="218"/>
      <c r="C170" s="218"/>
      <c r="D170" s="41"/>
      <c r="E170" s="41"/>
      <c r="F170" s="41"/>
      <c r="G170" s="41"/>
      <c r="H170" s="41"/>
      <c r="I170" s="41"/>
      <c r="J170" s="166"/>
      <c r="K170" s="41"/>
      <c r="L170" s="41"/>
      <c r="M170" s="41"/>
      <c r="N170" s="166"/>
      <c r="O170" s="166"/>
      <c r="P170" s="41"/>
      <c r="Q170" s="41"/>
      <c r="R170" s="41"/>
      <c r="S170" s="41"/>
      <c r="T170" s="41"/>
      <c r="U170" s="41"/>
      <c r="V170" s="41"/>
      <c r="W170" s="41"/>
      <c r="X170" s="41"/>
      <c r="Y170" s="166"/>
      <c r="Z170" s="166"/>
      <c r="AA170" s="41"/>
      <c r="AB170" s="41"/>
      <c r="AC170" s="41"/>
      <c r="AD170" s="41"/>
      <c r="AE170" s="41"/>
      <c r="AF170" s="41"/>
      <c r="AG170" s="41"/>
      <c r="AH170" s="41"/>
      <c r="AI170" s="41"/>
    </row>
    <row r="171" spans="1:35" ht="15.75" customHeight="1" x14ac:dyDescent="0.2">
      <c r="A171" s="166"/>
      <c r="B171" s="218"/>
      <c r="C171" s="218"/>
      <c r="D171" s="41"/>
      <c r="E171" s="41"/>
      <c r="F171" s="41"/>
      <c r="G171" s="41"/>
      <c r="H171" s="41"/>
      <c r="I171" s="41"/>
      <c r="J171" s="166"/>
      <c r="K171" s="41"/>
      <c r="L171" s="41"/>
      <c r="M171" s="41"/>
      <c r="N171" s="166"/>
      <c r="O171" s="166"/>
      <c r="P171" s="41"/>
      <c r="Q171" s="41"/>
      <c r="R171" s="41"/>
      <c r="S171" s="41"/>
      <c r="T171" s="41"/>
      <c r="U171" s="41"/>
      <c r="V171" s="41"/>
      <c r="W171" s="41"/>
      <c r="X171" s="41"/>
      <c r="Y171" s="166"/>
      <c r="Z171" s="166"/>
      <c r="AA171" s="41"/>
      <c r="AB171" s="41"/>
      <c r="AC171" s="41"/>
      <c r="AD171" s="41"/>
      <c r="AE171" s="41"/>
      <c r="AF171" s="41"/>
      <c r="AG171" s="41"/>
      <c r="AH171" s="41"/>
      <c r="AI171" s="41"/>
    </row>
    <row r="172" spans="1:35" ht="15.75" customHeight="1" x14ac:dyDescent="0.2">
      <c r="A172" s="166"/>
      <c r="B172" s="218"/>
      <c r="C172" s="218"/>
      <c r="D172" s="41"/>
      <c r="E172" s="41"/>
      <c r="F172" s="41"/>
      <c r="G172" s="41"/>
      <c r="H172" s="41"/>
      <c r="I172" s="41"/>
      <c r="J172" s="166"/>
      <c r="K172" s="41"/>
      <c r="L172" s="41"/>
      <c r="M172" s="41"/>
      <c r="N172" s="166"/>
      <c r="O172" s="166"/>
      <c r="P172" s="41"/>
      <c r="Q172" s="41"/>
      <c r="R172" s="41"/>
      <c r="S172" s="41"/>
      <c r="T172" s="41"/>
      <c r="U172" s="41"/>
      <c r="V172" s="41"/>
      <c r="W172" s="41"/>
      <c r="X172" s="41"/>
      <c r="Y172" s="166"/>
      <c r="Z172" s="166"/>
      <c r="AA172" s="41"/>
      <c r="AB172" s="41"/>
      <c r="AC172" s="41"/>
      <c r="AD172" s="41"/>
      <c r="AE172" s="41"/>
      <c r="AF172" s="41"/>
      <c r="AG172" s="41"/>
      <c r="AH172" s="41"/>
      <c r="AI172" s="41"/>
    </row>
    <row r="173" spans="1:35" ht="15.75" customHeight="1" x14ac:dyDescent="0.2">
      <c r="A173" s="166"/>
      <c r="B173" s="218"/>
      <c r="C173" s="218"/>
      <c r="D173" s="41"/>
      <c r="E173" s="41"/>
      <c r="F173" s="41"/>
      <c r="G173" s="41"/>
      <c r="H173" s="41"/>
      <c r="I173" s="41"/>
      <c r="J173" s="166"/>
      <c r="K173" s="41"/>
      <c r="L173" s="41"/>
      <c r="M173" s="41"/>
      <c r="N173" s="166"/>
      <c r="O173" s="166"/>
      <c r="P173" s="41"/>
      <c r="Q173" s="41"/>
      <c r="R173" s="41"/>
      <c r="S173" s="41"/>
      <c r="T173" s="41"/>
      <c r="U173" s="41"/>
      <c r="V173" s="41"/>
      <c r="W173" s="41"/>
      <c r="X173" s="41"/>
      <c r="Y173" s="166"/>
      <c r="Z173" s="166"/>
      <c r="AA173" s="41"/>
      <c r="AB173" s="41"/>
      <c r="AC173" s="41"/>
      <c r="AD173" s="41"/>
      <c r="AE173" s="41"/>
      <c r="AF173" s="41"/>
      <c r="AG173" s="41"/>
      <c r="AH173" s="41"/>
      <c r="AI173" s="41"/>
    </row>
    <row r="174" spans="1:35" ht="15.75" customHeight="1" x14ac:dyDescent="0.2">
      <c r="A174" s="166"/>
      <c r="B174" s="218"/>
      <c r="C174" s="218"/>
      <c r="D174" s="41"/>
      <c r="E174" s="41"/>
      <c r="F174" s="41"/>
      <c r="G174" s="41"/>
      <c r="H174" s="41"/>
      <c r="I174" s="41"/>
      <c r="J174" s="166"/>
      <c r="K174" s="41"/>
      <c r="L174" s="41"/>
      <c r="M174" s="41"/>
      <c r="N174" s="166"/>
      <c r="O174" s="166"/>
      <c r="P174" s="41"/>
      <c r="Q174" s="41"/>
      <c r="R174" s="41"/>
      <c r="S174" s="41"/>
      <c r="T174" s="41"/>
      <c r="U174" s="41"/>
      <c r="V174" s="41"/>
      <c r="W174" s="41"/>
      <c r="X174" s="41"/>
      <c r="Y174" s="166"/>
      <c r="Z174" s="166"/>
      <c r="AA174" s="41"/>
      <c r="AB174" s="41"/>
      <c r="AC174" s="41"/>
      <c r="AD174" s="41"/>
      <c r="AE174" s="41"/>
      <c r="AF174" s="41"/>
      <c r="AG174" s="41"/>
      <c r="AH174" s="41"/>
      <c r="AI174" s="41"/>
    </row>
    <row r="175" spans="1:35" ht="15.75" customHeight="1" x14ac:dyDescent="0.2">
      <c r="A175" s="166"/>
      <c r="B175" s="218"/>
      <c r="C175" s="218"/>
      <c r="D175" s="41"/>
      <c r="E175" s="41"/>
      <c r="F175" s="41"/>
      <c r="G175" s="41"/>
      <c r="H175" s="41"/>
      <c r="I175" s="41"/>
      <c r="J175" s="166"/>
      <c r="K175" s="41"/>
      <c r="L175" s="41"/>
      <c r="M175" s="41"/>
      <c r="N175" s="166"/>
      <c r="O175" s="166"/>
      <c r="P175" s="41"/>
      <c r="Q175" s="41"/>
      <c r="R175" s="41"/>
      <c r="S175" s="41"/>
      <c r="T175" s="41"/>
      <c r="U175" s="41"/>
      <c r="V175" s="41"/>
      <c r="W175" s="41"/>
      <c r="X175" s="41"/>
      <c r="Y175" s="166"/>
      <c r="Z175" s="166"/>
      <c r="AA175" s="41"/>
      <c r="AB175" s="41"/>
      <c r="AC175" s="41"/>
      <c r="AD175" s="41"/>
      <c r="AE175" s="41"/>
      <c r="AF175" s="41"/>
      <c r="AG175" s="41"/>
      <c r="AH175" s="41"/>
      <c r="AI175" s="41"/>
    </row>
    <row r="176" spans="1:35" ht="15.75" customHeight="1" x14ac:dyDescent="0.2">
      <c r="A176" s="166"/>
      <c r="B176" s="218"/>
      <c r="C176" s="218"/>
      <c r="D176" s="41"/>
      <c r="E176" s="41"/>
      <c r="F176" s="41"/>
      <c r="G176" s="41"/>
      <c r="H176" s="41"/>
      <c r="I176" s="41"/>
      <c r="J176" s="166"/>
      <c r="K176" s="41"/>
      <c r="L176" s="41"/>
      <c r="M176" s="41"/>
      <c r="N176" s="166"/>
      <c r="O176" s="166"/>
      <c r="P176" s="41"/>
      <c r="Q176" s="41"/>
      <c r="R176" s="41"/>
      <c r="S176" s="41"/>
      <c r="T176" s="41"/>
      <c r="U176" s="41"/>
      <c r="V176" s="41"/>
      <c r="W176" s="41"/>
      <c r="X176" s="41"/>
      <c r="Y176" s="166"/>
      <c r="Z176" s="166"/>
      <c r="AA176" s="41"/>
      <c r="AB176" s="41"/>
      <c r="AC176" s="41"/>
      <c r="AD176" s="41"/>
      <c r="AE176" s="41"/>
      <c r="AF176" s="41"/>
      <c r="AG176" s="41"/>
      <c r="AH176" s="41"/>
      <c r="AI176" s="41"/>
    </row>
    <row r="177" spans="1:35" ht="15.75" customHeight="1" x14ac:dyDescent="0.2">
      <c r="A177" s="166"/>
      <c r="B177" s="218"/>
      <c r="C177" s="218"/>
      <c r="D177" s="41"/>
      <c r="E177" s="41"/>
      <c r="F177" s="41"/>
      <c r="G177" s="41"/>
      <c r="H177" s="41"/>
      <c r="I177" s="41"/>
      <c r="J177" s="166"/>
      <c r="K177" s="41"/>
      <c r="L177" s="41"/>
      <c r="M177" s="41"/>
      <c r="N177" s="166"/>
      <c r="O177" s="166"/>
      <c r="P177" s="41"/>
      <c r="Q177" s="41"/>
      <c r="R177" s="41"/>
      <c r="S177" s="41"/>
      <c r="T177" s="41"/>
      <c r="U177" s="41"/>
      <c r="V177" s="41"/>
      <c r="W177" s="41"/>
      <c r="X177" s="41"/>
      <c r="Y177" s="166"/>
      <c r="Z177" s="166"/>
      <c r="AA177" s="41"/>
      <c r="AB177" s="41"/>
      <c r="AC177" s="41"/>
      <c r="AD177" s="41"/>
      <c r="AE177" s="41"/>
      <c r="AF177" s="41"/>
      <c r="AG177" s="41"/>
      <c r="AH177" s="41"/>
      <c r="AI177" s="41"/>
    </row>
    <row r="178" spans="1:35" ht="15.75" customHeight="1" x14ac:dyDescent="0.2">
      <c r="A178" s="166"/>
      <c r="B178" s="218"/>
      <c r="C178" s="218"/>
      <c r="D178" s="41"/>
      <c r="E178" s="41"/>
      <c r="F178" s="41"/>
      <c r="G178" s="41"/>
      <c r="H178" s="41"/>
      <c r="I178" s="41"/>
      <c r="J178" s="166"/>
      <c r="K178" s="41"/>
      <c r="L178" s="41"/>
      <c r="M178" s="41"/>
      <c r="N178" s="166"/>
      <c r="O178" s="166"/>
      <c r="P178" s="41"/>
      <c r="Q178" s="41"/>
      <c r="R178" s="41"/>
      <c r="S178" s="41"/>
      <c r="T178" s="41"/>
      <c r="U178" s="41"/>
      <c r="V178" s="41"/>
      <c r="W178" s="41"/>
      <c r="X178" s="41"/>
      <c r="Y178" s="166"/>
      <c r="Z178" s="166"/>
      <c r="AA178" s="41"/>
      <c r="AB178" s="41"/>
      <c r="AC178" s="41"/>
      <c r="AD178" s="41"/>
      <c r="AE178" s="41"/>
      <c r="AF178" s="41"/>
      <c r="AG178" s="41"/>
      <c r="AH178" s="41"/>
      <c r="AI178" s="41"/>
    </row>
    <row r="179" spans="1:35" ht="15.75" customHeight="1" x14ac:dyDescent="0.2">
      <c r="A179" s="166"/>
      <c r="B179" s="218"/>
      <c r="C179" s="218"/>
      <c r="D179" s="41"/>
      <c r="E179" s="41"/>
      <c r="F179" s="41"/>
      <c r="G179" s="41"/>
      <c r="H179" s="41"/>
      <c r="I179" s="41"/>
      <c r="J179" s="166"/>
      <c r="K179" s="41"/>
      <c r="L179" s="41"/>
      <c r="M179" s="41"/>
      <c r="N179" s="166"/>
      <c r="O179" s="166"/>
      <c r="P179" s="41"/>
      <c r="Q179" s="41"/>
      <c r="R179" s="41"/>
      <c r="S179" s="41"/>
      <c r="T179" s="41"/>
      <c r="U179" s="41"/>
      <c r="V179" s="41"/>
      <c r="W179" s="41"/>
      <c r="X179" s="41"/>
      <c r="Y179" s="166"/>
      <c r="Z179" s="166"/>
      <c r="AA179" s="41"/>
      <c r="AB179" s="41"/>
      <c r="AC179" s="41"/>
      <c r="AD179" s="41"/>
      <c r="AE179" s="41"/>
      <c r="AF179" s="41"/>
      <c r="AG179" s="41"/>
      <c r="AH179" s="41"/>
      <c r="AI179" s="41"/>
    </row>
    <row r="180" spans="1:35" ht="15.75" customHeight="1" x14ac:dyDescent="0.2">
      <c r="A180" s="166"/>
      <c r="B180" s="218"/>
      <c r="C180" s="218"/>
      <c r="D180" s="41"/>
      <c r="E180" s="41"/>
      <c r="F180" s="41"/>
      <c r="G180" s="41"/>
      <c r="H180" s="41"/>
      <c r="I180" s="41"/>
      <c r="J180" s="166"/>
      <c r="K180" s="41"/>
      <c r="L180" s="41"/>
      <c r="M180" s="41"/>
      <c r="N180" s="166"/>
      <c r="O180" s="166"/>
      <c r="P180" s="41"/>
      <c r="Q180" s="41"/>
      <c r="R180" s="41"/>
      <c r="S180" s="41"/>
      <c r="T180" s="41"/>
      <c r="U180" s="41"/>
      <c r="V180" s="41"/>
      <c r="W180" s="41"/>
      <c r="X180" s="41"/>
      <c r="Y180" s="166"/>
      <c r="Z180" s="166"/>
      <c r="AA180" s="41"/>
      <c r="AB180" s="41"/>
      <c r="AC180" s="41"/>
      <c r="AD180" s="41"/>
      <c r="AE180" s="41"/>
      <c r="AF180" s="41"/>
      <c r="AG180" s="41"/>
      <c r="AH180" s="41"/>
      <c r="AI180" s="41"/>
    </row>
    <row r="181" spans="1:35" ht="15.75" customHeight="1" x14ac:dyDescent="0.2">
      <c r="A181" s="166"/>
      <c r="B181" s="218"/>
      <c r="C181" s="218"/>
      <c r="D181" s="41"/>
      <c r="E181" s="41"/>
      <c r="F181" s="41"/>
      <c r="G181" s="41"/>
      <c r="H181" s="41"/>
      <c r="I181" s="41"/>
      <c r="J181" s="166"/>
      <c r="K181" s="41"/>
      <c r="L181" s="41"/>
      <c r="M181" s="41"/>
      <c r="N181" s="166"/>
      <c r="O181" s="166"/>
      <c r="P181" s="41"/>
      <c r="Q181" s="41"/>
      <c r="R181" s="41"/>
      <c r="S181" s="41"/>
      <c r="T181" s="41"/>
      <c r="U181" s="41"/>
      <c r="V181" s="41"/>
      <c r="W181" s="41"/>
      <c r="X181" s="41"/>
      <c r="Y181" s="166"/>
      <c r="Z181" s="166"/>
      <c r="AA181" s="41"/>
      <c r="AB181" s="41"/>
      <c r="AC181" s="41"/>
      <c r="AD181" s="41"/>
      <c r="AE181" s="41"/>
      <c r="AF181" s="41"/>
      <c r="AG181" s="41"/>
      <c r="AH181" s="41"/>
      <c r="AI181" s="41"/>
    </row>
    <row r="182" spans="1:35" ht="15.75" customHeight="1" x14ac:dyDescent="0.2">
      <c r="A182" s="166"/>
      <c r="B182" s="218"/>
      <c r="C182" s="218"/>
      <c r="D182" s="41"/>
      <c r="E182" s="41"/>
      <c r="F182" s="41"/>
      <c r="G182" s="41"/>
      <c r="H182" s="41"/>
      <c r="I182" s="41"/>
      <c r="J182" s="166"/>
      <c r="K182" s="41"/>
      <c r="L182" s="41"/>
      <c r="M182" s="41"/>
      <c r="N182" s="166"/>
      <c r="O182" s="166"/>
      <c r="P182" s="41"/>
      <c r="Q182" s="41"/>
      <c r="R182" s="41"/>
      <c r="S182" s="41"/>
      <c r="T182" s="41"/>
      <c r="U182" s="41"/>
      <c r="V182" s="41"/>
      <c r="W182" s="41"/>
      <c r="X182" s="41"/>
      <c r="Y182" s="166"/>
      <c r="Z182" s="166"/>
      <c r="AA182" s="41"/>
      <c r="AB182" s="41"/>
      <c r="AC182" s="41"/>
      <c r="AD182" s="41"/>
      <c r="AE182" s="41"/>
      <c r="AF182" s="41"/>
      <c r="AG182" s="41"/>
      <c r="AH182" s="41"/>
      <c r="AI182" s="41"/>
    </row>
    <row r="183" spans="1:35" ht="15.75" customHeight="1" x14ac:dyDescent="0.2">
      <c r="A183" s="166"/>
      <c r="B183" s="218"/>
      <c r="C183" s="218"/>
      <c r="D183" s="41"/>
      <c r="E183" s="41"/>
      <c r="F183" s="41"/>
      <c r="G183" s="41"/>
      <c r="H183" s="41"/>
      <c r="I183" s="41"/>
      <c r="J183" s="166"/>
      <c r="K183" s="41"/>
      <c r="L183" s="41"/>
      <c r="M183" s="41"/>
      <c r="N183" s="166"/>
      <c r="O183" s="166"/>
      <c r="P183" s="41"/>
      <c r="Q183" s="41"/>
      <c r="R183" s="41"/>
      <c r="S183" s="41"/>
      <c r="T183" s="41"/>
      <c r="U183" s="41"/>
      <c r="V183" s="41"/>
      <c r="W183" s="41"/>
      <c r="X183" s="41"/>
      <c r="Y183" s="166"/>
      <c r="Z183" s="166"/>
      <c r="AA183" s="41"/>
      <c r="AB183" s="41"/>
      <c r="AC183" s="41"/>
      <c r="AD183" s="41"/>
      <c r="AE183" s="41"/>
      <c r="AF183" s="41"/>
      <c r="AG183" s="41"/>
      <c r="AH183" s="41"/>
      <c r="AI183" s="41"/>
    </row>
    <row r="184" spans="1:35" ht="15.75" customHeight="1" x14ac:dyDescent="0.2">
      <c r="A184" s="166"/>
      <c r="B184" s="218"/>
      <c r="C184" s="218"/>
      <c r="D184" s="41"/>
      <c r="E184" s="41"/>
      <c r="F184" s="41"/>
      <c r="G184" s="41"/>
      <c r="H184" s="41"/>
      <c r="I184" s="41"/>
      <c r="J184" s="166"/>
      <c r="K184" s="41"/>
      <c r="L184" s="41"/>
      <c r="M184" s="41"/>
      <c r="N184" s="166"/>
      <c r="O184" s="166"/>
      <c r="P184" s="41"/>
      <c r="Q184" s="41"/>
      <c r="R184" s="41"/>
      <c r="S184" s="41"/>
      <c r="T184" s="41"/>
      <c r="U184" s="41"/>
      <c r="V184" s="41"/>
      <c r="W184" s="41"/>
      <c r="X184" s="41"/>
      <c r="Y184" s="166"/>
      <c r="Z184" s="166"/>
      <c r="AA184" s="41"/>
      <c r="AB184" s="41"/>
      <c r="AC184" s="41"/>
      <c r="AD184" s="41"/>
      <c r="AE184" s="41"/>
      <c r="AF184" s="41"/>
      <c r="AG184" s="41"/>
      <c r="AH184" s="41"/>
      <c r="AI184" s="41"/>
    </row>
    <row r="185" spans="1:35" ht="15.75" customHeight="1" x14ac:dyDescent="0.2">
      <c r="A185" s="166"/>
      <c r="B185" s="218"/>
      <c r="C185" s="218"/>
      <c r="D185" s="41"/>
      <c r="E185" s="41"/>
      <c r="F185" s="41"/>
      <c r="G185" s="41"/>
      <c r="H185" s="41"/>
      <c r="I185" s="41"/>
      <c r="J185" s="166"/>
      <c r="K185" s="41"/>
      <c r="L185" s="41"/>
      <c r="M185" s="41"/>
      <c r="N185" s="166"/>
      <c r="O185" s="166"/>
      <c r="P185" s="41"/>
      <c r="Q185" s="41"/>
      <c r="R185" s="41"/>
      <c r="S185" s="41"/>
      <c r="T185" s="41"/>
      <c r="U185" s="41"/>
      <c r="V185" s="41"/>
      <c r="W185" s="41"/>
      <c r="X185" s="41"/>
      <c r="Y185" s="166"/>
      <c r="Z185" s="166"/>
      <c r="AA185" s="41"/>
      <c r="AB185" s="41"/>
      <c r="AC185" s="41"/>
      <c r="AD185" s="41"/>
      <c r="AE185" s="41"/>
      <c r="AF185" s="41"/>
      <c r="AG185" s="41"/>
      <c r="AH185" s="41"/>
      <c r="AI185" s="41"/>
    </row>
    <row r="186" spans="1:35" ht="15.75" customHeight="1" x14ac:dyDescent="0.2">
      <c r="A186" s="166"/>
      <c r="B186" s="218"/>
      <c r="C186" s="218"/>
      <c r="D186" s="41"/>
      <c r="E186" s="41"/>
      <c r="F186" s="41"/>
      <c r="G186" s="41"/>
      <c r="H186" s="41"/>
      <c r="I186" s="41"/>
      <c r="J186" s="166"/>
      <c r="K186" s="41"/>
      <c r="L186" s="41"/>
      <c r="M186" s="41"/>
      <c r="N186" s="166"/>
      <c r="O186" s="166"/>
      <c r="P186" s="41"/>
      <c r="Q186" s="41"/>
      <c r="R186" s="41"/>
      <c r="S186" s="41"/>
      <c r="T186" s="41"/>
      <c r="U186" s="41"/>
      <c r="V186" s="41"/>
      <c r="W186" s="41"/>
      <c r="X186" s="41"/>
      <c r="Y186" s="166"/>
      <c r="Z186" s="166"/>
      <c r="AA186" s="41"/>
      <c r="AB186" s="41"/>
      <c r="AC186" s="41"/>
      <c r="AD186" s="41"/>
      <c r="AE186" s="41"/>
      <c r="AF186" s="41"/>
      <c r="AG186" s="41"/>
      <c r="AH186" s="41"/>
      <c r="AI186" s="41"/>
    </row>
    <row r="187" spans="1:35" ht="15.75" customHeight="1" x14ac:dyDescent="0.2">
      <c r="A187" s="166"/>
      <c r="B187" s="218"/>
      <c r="C187" s="218"/>
      <c r="D187" s="41"/>
      <c r="E187" s="41"/>
      <c r="F187" s="41"/>
      <c r="G187" s="41"/>
      <c r="H187" s="41"/>
      <c r="I187" s="41"/>
      <c r="J187" s="166"/>
      <c r="K187" s="41"/>
      <c r="L187" s="41"/>
      <c r="M187" s="41"/>
      <c r="N187" s="166"/>
      <c r="O187" s="166"/>
      <c r="P187" s="41"/>
      <c r="Q187" s="41"/>
      <c r="R187" s="41"/>
      <c r="S187" s="41"/>
      <c r="T187" s="41"/>
      <c r="U187" s="41"/>
      <c r="V187" s="41"/>
      <c r="W187" s="41"/>
      <c r="X187" s="41"/>
      <c r="Y187" s="166"/>
      <c r="Z187" s="166"/>
      <c r="AA187" s="41"/>
      <c r="AB187" s="41"/>
      <c r="AC187" s="41"/>
      <c r="AD187" s="41"/>
      <c r="AE187" s="41"/>
      <c r="AF187" s="41"/>
      <c r="AG187" s="41"/>
      <c r="AH187" s="41"/>
      <c r="AI187" s="41"/>
    </row>
    <row r="188" spans="1:35" ht="15.75" customHeight="1" x14ac:dyDescent="0.2">
      <c r="A188" s="166"/>
      <c r="B188" s="218"/>
      <c r="C188" s="218"/>
      <c r="D188" s="41"/>
      <c r="E188" s="41"/>
      <c r="F188" s="41"/>
      <c r="G188" s="41"/>
      <c r="H188" s="41"/>
      <c r="I188" s="41"/>
      <c r="J188" s="166"/>
      <c r="K188" s="41"/>
      <c r="L188" s="41"/>
      <c r="M188" s="41"/>
      <c r="N188" s="166"/>
      <c r="O188" s="166"/>
      <c r="P188" s="41"/>
      <c r="Q188" s="41"/>
      <c r="R188" s="41"/>
      <c r="S188" s="41"/>
      <c r="T188" s="41"/>
      <c r="U188" s="41"/>
      <c r="V188" s="41"/>
      <c r="W188" s="41"/>
      <c r="X188" s="41"/>
      <c r="Y188" s="166"/>
      <c r="Z188" s="166"/>
      <c r="AA188" s="41"/>
      <c r="AB188" s="41"/>
      <c r="AC188" s="41"/>
      <c r="AD188" s="41"/>
      <c r="AE188" s="41"/>
      <c r="AF188" s="41"/>
      <c r="AG188" s="41"/>
      <c r="AH188" s="41"/>
      <c r="AI188" s="41"/>
    </row>
    <row r="189" spans="1:35" ht="15.75" customHeight="1" x14ac:dyDescent="0.2">
      <c r="A189" s="166"/>
      <c r="B189" s="218"/>
      <c r="C189" s="218"/>
      <c r="D189" s="41"/>
      <c r="E189" s="41"/>
      <c r="F189" s="41"/>
      <c r="G189" s="41"/>
      <c r="H189" s="41"/>
      <c r="I189" s="41"/>
      <c r="J189" s="166"/>
      <c r="K189" s="41"/>
      <c r="L189" s="41"/>
      <c r="M189" s="41"/>
      <c r="N189" s="166"/>
      <c r="O189" s="166"/>
      <c r="P189" s="41"/>
      <c r="Q189" s="41"/>
      <c r="R189" s="41"/>
      <c r="S189" s="41"/>
      <c r="T189" s="41"/>
      <c r="U189" s="41"/>
      <c r="V189" s="41"/>
      <c r="W189" s="41"/>
      <c r="X189" s="41"/>
      <c r="Y189" s="166"/>
      <c r="Z189" s="166"/>
      <c r="AA189" s="41"/>
      <c r="AB189" s="41"/>
      <c r="AC189" s="41"/>
      <c r="AD189" s="41"/>
      <c r="AE189" s="41"/>
      <c r="AF189" s="41"/>
      <c r="AG189" s="41"/>
      <c r="AH189" s="41"/>
      <c r="AI189" s="41"/>
    </row>
    <row r="190" spans="1:35" ht="15.75" customHeight="1" x14ac:dyDescent="0.2">
      <c r="A190" s="166"/>
      <c r="B190" s="218"/>
      <c r="C190" s="218"/>
      <c r="D190" s="41"/>
      <c r="E190" s="41"/>
      <c r="F190" s="41"/>
      <c r="G190" s="41"/>
      <c r="H190" s="41"/>
      <c r="I190" s="41"/>
      <c r="J190" s="166"/>
      <c r="K190" s="41"/>
      <c r="L190" s="41"/>
      <c r="M190" s="41"/>
      <c r="N190" s="166"/>
      <c r="O190" s="166"/>
      <c r="P190" s="41"/>
      <c r="Q190" s="41"/>
      <c r="R190" s="41"/>
      <c r="S190" s="41"/>
      <c r="T190" s="41"/>
      <c r="U190" s="41"/>
      <c r="V190" s="41"/>
      <c r="W190" s="41"/>
      <c r="X190" s="41"/>
      <c r="Y190" s="166"/>
      <c r="Z190" s="166"/>
      <c r="AA190" s="41"/>
      <c r="AB190" s="41"/>
      <c r="AC190" s="41"/>
      <c r="AD190" s="41"/>
      <c r="AE190" s="41"/>
      <c r="AF190" s="41"/>
      <c r="AG190" s="41"/>
      <c r="AH190" s="41"/>
      <c r="AI190" s="41"/>
    </row>
    <row r="191" spans="1:35" ht="15.75" customHeight="1" x14ac:dyDescent="0.2">
      <c r="A191" s="166"/>
      <c r="B191" s="218"/>
      <c r="C191" s="218"/>
      <c r="D191" s="41"/>
      <c r="E191" s="41"/>
      <c r="F191" s="41"/>
      <c r="G191" s="41"/>
      <c r="H191" s="41"/>
      <c r="I191" s="41"/>
      <c r="J191" s="166"/>
      <c r="K191" s="41"/>
      <c r="L191" s="41"/>
      <c r="M191" s="41"/>
      <c r="N191" s="166"/>
      <c r="O191" s="166"/>
      <c r="P191" s="41"/>
      <c r="Q191" s="41"/>
      <c r="R191" s="41"/>
      <c r="S191" s="41"/>
      <c r="T191" s="41"/>
      <c r="U191" s="41"/>
      <c r="V191" s="41"/>
      <c r="W191" s="41"/>
      <c r="X191" s="41"/>
      <c r="Y191" s="166"/>
      <c r="Z191" s="166"/>
      <c r="AA191" s="41"/>
      <c r="AB191" s="41"/>
      <c r="AC191" s="41"/>
      <c r="AD191" s="41"/>
      <c r="AE191" s="41"/>
      <c r="AF191" s="41"/>
      <c r="AG191" s="41"/>
      <c r="AH191" s="41"/>
      <c r="AI191" s="41"/>
    </row>
    <row r="192" spans="1:35" ht="15.75" customHeight="1" x14ac:dyDescent="0.2">
      <c r="A192" s="166"/>
      <c r="B192" s="218"/>
      <c r="C192" s="218"/>
      <c r="D192" s="41"/>
      <c r="E192" s="41"/>
      <c r="F192" s="41"/>
      <c r="G192" s="41"/>
      <c r="H192" s="41"/>
      <c r="I192" s="41"/>
      <c r="J192" s="166"/>
      <c r="K192" s="41"/>
      <c r="L192" s="41"/>
      <c r="M192" s="41"/>
      <c r="N192" s="166"/>
      <c r="O192" s="166"/>
      <c r="P192" s="41"/>
      <c r="Q192" s="41"/>
      <c r="R192" s="41"/>
      <c r="S192" s="41"/>
      <c r="T192" s="41"/>
      <c r="U192" s="41"/>
      <c r="V192" s="41"/>
      <c r="W192" s="41"/>
      <c r="X192" s="41"/>
      <c r="Y192" s="166"/>
      <c r="Z192" s="166"/>
      <c r="AA192" s="41"/>
      <c r="AB192" s="41"/>
      <c r="AC192" s="41"/>
      <c r="AD192" s="41"/>
      <c r="AE192" s="41"/>
      <c r="AF192" s="41"/>
      <c r="AG192" s="41"/>
      <c r="AH192" s="41"/>
      <c r="AI192" s="41"/>
    </row>
    <row r="193" spans="1:35" ht="15.75" customHeight="1" x14ac:dyDescent="0.2">
      <c r="A193" s="166"/>
      <c r="B193" s="218"/>
      <c r="C193" s="218"/>
      <c r="D193" s="41"/>
      <c r="E193" s="41"/>
      <c r="F193" s="41"/>
      <c r="G193" s="41"/>
      <c r="H193" s="41"/>
      <c r="I193" s="41"/>
      <c r="J193" s="166"/>
      <c r="K193" s="41"/>
      <c r="L193" s="41"/>
      <c r="M193" s="41"/>
      <c r="N193" s="166"/>
      <c r="O193" s="166"/>
      <c r="P193" s="41"/>
      <c r="Q193" s="41"/>
      <c r="R193" s="41"/>
      <c r="S193" s="41"/>
      <c r="T193" s="41"/>
      <c r="U193" s="41"/>
      <c r="V193" s="41"/>
      <c r="W193" s="41"/>
      <c r="X193" s="41"/>
      <c r="Y193" s="166"/>
      <c r="Z193" s="166"/>
      <c r="AA193" s="41"/>
      <c r="AB193" s="41"/>
      <c r="AC193" s="41"/>
      <c r="AD193" s="41"/>
      <c r="AE193" s="41"/>
      <c r="AF193" s="41"/>
      <c r="AG193" s="41"/>
      <c r="AH193" s="41"/>
      <c r="AI193" s="41"/>
    </row>
    <row r="194" spans="1:35" ht="15.75" customHeight="1" x14ac:dyDescent="0.2">
      <c r="A194" s="166"/>
      <c r="B194" s="218"/>
      <c r="C194" s="218"/>
      <c r="D194" s="41"/>
      <c r="E194" s="41"/>
      <c r="F194" s="41"/>
      <c r="G194" s="41"/>
      <c r="H194" s="41"/>
      <c r="I194" s="41"/>
      <c r="J194" s="166"/>
      <c r="K194" s="41"/>
      <c r="L194" s="41"/>
      <c r="M194" s="41"/>
      <c r="N194" s="166"/>
      <c r="O194" s="166"/>
      <c r="P194" s="41"/>
      <c r="Q194" s="41"/>
      <c r="R194" s="41"/>
      <c r="S194" s="41"/>
      <c r="T194" s="41"/>
      <c r="U194" s="41"/>
      <c r="V194" s="41"/>
      <c r="W194" s="41"/>
      <c r="X194" s="41"/>
      <c r="Y194" s="166"/>
      <c r="Z194" s="166"/>
      <c r="AA194" s="41"/>
      <c r="AB194" s="41"/>
      <c r="AC194" s="41"/>
      <c r="AD194" s="41"/>
      <c r="AE194" s="41"/>
      <c r="AF194" s="41"/>
      <c r="AG194" s="41"/>
      <c r="AH194" s="41"/>
      <c r="AI194" s="41"/>
    </row>
    <row r="195" spans="1:35" ht="15.75" customHeight="1" x14ac:dyDescent="0.2">
      <c r="A195" s="166"/>
      <c r="B195" s="218"/>
      <c r="C195" s="218"/>
      <c r="D195" s="41"/>
      <c r="E195" s="41"/>
      <c r="F195" s="41"/>
      <c r="G195" s="41"/>
      <c r="H195" s="41"/>
      <c r="I195" s="41"/>
      <c r="J195" s="166"/>
      <c r="K195" s="41"/>
      <c r="L195" s="41"/>
      <c r="M195" s="41"/>
      <c r="N195" s="166"/>
      <c r="O195" s="166"/>
      <c r="P195" s="41"/>
      <c r="Q195" s="41"/>
      <c r="R195" s="41"/>
      <c r="S195" s="41"/>
      <c r="T195" s="41"/>
      <c r="U195" s="41"/>
      <c r="V195" s="41"/>
      <c r="W195" s="41"/>
      <c r="X195" s="41"/>
      <c r="Y195" s="166"/>
      <c r="Z195" s="166"/>
      <c r="AA195" s="41"/>
      <c r="AB195" s="41"/>
      <c r="AC195" s="41"/>
      <c r="AD195" s="41"/>
      <c r="AE195" s="41"/>
      <c r="AF195" s="41"/>
      <c r="AG195" s="41"/>
      <c r="AH195" s="41"/>
      <c r="AI195" s="41"/>
    </row>
    <row r="196" spans="1:35" ht="15.75" customHeight="1" x14ac:dyDescent="0.2">
      <c r="A196" s="166"/>
      <c r="B196" s="218"/>
      <c r="C196" s="218"/>
      <c r="D196" s="41"/>
      <c r="E196" s="41"/>
      <c r="F196" s="41"/>
      <c r="G196" s="41"/>
      <c r="H196" s="41"/>
      <c r="I196" s="41"/>
      <c r="J196" s="166"/>
      <c r="K196" s="41"/>
      <c r="L196" s="41"/>
      <c r="M196" s="41"/>
      <c r="N196" s="166"/>
      <c r="O196" s="166"/>
      <c r="P196" s="41"/>
      <c r="Q196" s="41"/>
      <c r="R196" s="41"/>
      <c r="S196" s="41"/>
      <c r="T196" s="41"/>
      <c r="U196" s="41"/>
      <c r="V196" s="41"/>
      <c r="W196" s="41"/>
      <c r="X196" s="41"/>
      <c r="Y196" s="166"/>
      <c r="Z196" s="166"/>
      <c r="AA196" s="41"/>
      <c r="AB196" s="41"/>
      <c r="AC196" s="41"/>
      <c r="AD196" s="41"/>
      <c r="AE196" s="41"/>
      <c r="AF196" s="41"/>
      <c r="AG196" s="41"/>
      <c r="AH196" s="41"/>
      <c r="AI196" s="41"/>
    </row>
    <row r="197" spans="1:35" ht="15.75" customHeight="1" x14ac:dyDescent="0.2">
      <c r="A197" s="166"/>
      <c r="B197" s="218"/>
      <c r="C197" s="218"/>
      <c r="D197" s="41"/>
      <c r="E197" s="41"/>
      <c r="F197" s="41"/>
      <c r="G197" s="41"/>
      <c r="H197" s="41"/>
      <c r="I197" s="41"/>
      <c r="J197" s="166"/>
      <c r="K197" s="41"/>
      <c r="L197" s="41"/>
      <c r="M197" s="41"/>
      <c r="N197" s="166"/>
      <c r="O197" s="166"/>
      <c r="P197" s="41"/>
      <c r="Q197" s="41"/>
      <c r="R197" s="41"/>
      <c r="S197" s="41"/>
      <c r="T197" s="41"/>
      <c r="U197" s="41"/>
      <c r="V197" s="41"/>
      <c r="W197" s="41"/>
      <c r="X197" s="41"/>
      <c r="Y197" s="166"/>
      <c r="Z197" s="166"/>
      <c r="AA197" s="41"/>
      <c r="AB197" s="41"/>
      <c r="AC197" s="41"/>
      <c r="AD197" s="41"/>
      <c r="AE197" s="41"/>
      <c r="AF197" s="41"/>
      <c r="AG197" s="41"/>
      <c r="AH197" s="41"/>
      <c r="AI197" s="41"/>
    </row>
    <row r="198" spans="1:35" ht="15.75" customHeight="1" x14ac:dyDescent="0.2">
      <c r="A198" s="166"/>
      <c r="B198" s="218"/>
      <c r="C198" s="218"/>
      <c r="D198" s="41"/>
      <c r="E198" s="41"/>
      <c r="F198" s="41"/>
      <c r="G198" s="41"/>
      <c r="H198" s="41"/>
      <c r="I198" s="41"/>
      <c r="J198" s="166"/>
      <c r="K198" s="41"/>
      <c r="L198" s="41"/>
      <c r="M198" s="41"/>
      <c r="N198" s="166"/>
      <c r="O198" s="166"/>
      <c r="P198" s="41"/>
      <c r="Q198" s="41"/>
      <c r="R198" s="41"/>
      <c r="S198" s="41"/>
      <c r="T198" s="41"/>
      <c r="U198" s="41"/>
      <c r="V198" s="41"/>
      <c r="W198" s="41"/>
      <c r="X198" s="41"/>
      <c r="Y198" s="166"/>
      <c r="Z198" s="166"/>
      <c r="AA198" s="41"/>
      <c r="AB198" s="41"/>
      <c r="AC198" s="41"/>
      <c r="AD198" s="41"/>
      <c r="AE198" s="41"/>
      <c r="AF198" s="41"/>
      <c r="AG198" s="41"/>
      <c r="AH198" s="41"/>
      <c r="AI198" s="41"/>
    </row>
    <row r="199" spans="1:35" ht="15.75" customHeight="1" x14ac:dyDescent="0.2">
      <c r="A199" s="166"/>
      <c r="B199" s="218"/>
      <c r="C199" s="218"/>
      <c r="D199" s="41"/>
      <c r="E199" s="41"/>
      <c r="F199" s="41"/>
      <c r="G199" s="41"/>
      <c r="H199" s="41"/>
      <c r="I199" s="41"/>
      <c r="J199" s="166"/>
      <c r="K199" s="41"/>
      <c r="L199" s="41"/>
      <c r="M199" s="41"/>
      <c r="N199" s="166"/>
      <c r="O199" s="166"/>
      <c r="P199" s="41"/>
      <c r="Q199" s="41"/>
      <c r="R199" s="41"/>
      <c r="S199" s="41"/>
      <c r="T199" s="41"/>
      <c r="U199" s="41"/>
      <c r="V199" s="41"/>
      <c r="W199" s="41"/>
      <c r="X199" s="41"/>
      <c r="Y199" s="166"/>
      <c r="Z199" s="166"/>
      <c r="AA199" s="41"/>
      <c r="AB199" s="41"/>
      <c r="AC199" s="41"/>
      <c r="AD199" s="41"/>
      <c r="AE199" s="41"/>
      <c r="AF199" s="41"/>
      <c r="AG199" s="41"/>
      <c r="AH199" s="41"/>
      <c r="AI199" s="41"/>
    </row>
    <row r="200" spans="1:35" ht="15.75" customHeight="1" x14ac:dyDescent="0.2">
      <c r="A200" s="166"/>
      <c r="B200" s="218"/>
      <c r="C200" s="218"/>
      <c r="D200" s="41"/>
      <c r="E200" s="41"/>
      <c r="F200" s="41"/>
      <c r="G200" s="41"/>
      <c r="H200" s="41"/>
      <c r="I200" s="41"/>
      <c r="J200" s="166"/>
      <c r="K200" s="41"/>
      <c r="L200" s="41"/>
      <c r="M200" s="41"/>
      <c r="N200" s="166"/>
      <c r="O200" s="166"/>
      <c r="P200" s="41"/>
      <c r="Q200" s="41"/>
      <c r="R200" s="41"/>
      <c r="S200" s="41"/>
      <c r="T200" s="41"/>
      <c r="U200" s="41"/>
      <c r="V200" s="41"/>
      <c r="W200" s="41"/>
      <c r="X200" s="41"/>
      <c r="Y200" s="166"/>
      <c r="Z200" s="166"/>
      <c r="AA200" s="41"/>
      <c r="AB200" s="41"/>
      <c r="AC200" s="41"/>
      <c r="AD200" s="41"/>
      <c r="AE200" s="41"/>
      <c r="AF200" s="41"/>
      <c r="AG200" s="41"/>
      <c r="AH200" s="41"/>
      <c r="AI200" s="41"/>
    </row>
    <row r="201" spans="1:35" ht="15.75" customHeight="1" x14ac:dyDescent="0.2">
      <c r="A201" s="166"/>
      <c r="B201" s="218"/>
      <c r="C201" s="218"/>
      <c r="D201" s="41"/>
      <c r="E201" s="41"/>
      <c r="F201" s="41"/>
      <c r="G201" s="41"/>
      <c r="H201" s="41"/>
      <c r="I201" s="41"/>
      <c r="J201" s="166"/>
      <c r="K201" s="41"/>
      <c r="L201" s="41"/>
      <c r="M201" s="41"/>
      <c r="N201" s="166"/>
      <c r="O201" s="166"/>
      <c r="P201" s="41"/>
      <c r="Q201" s="41"/>
      <c r="R201" s="41"/>
      <c r="S201" s="41"/>
      <c r="T201" s="41"/>
      <c r="U201" s="41"/>
      <c r="V201" s="41"/>
      <c r="W201" s="41"/>
      <c r="X201" s="41"/>
      <c r="Y201" s="166"/>
      <c r="Z201" s="166"/>
      <c r="AA201" s="41"/>
      <c r="AB201" s="41"/>
      <c r="AC201" s="41"/>
      <c r="AD201" s="41"/>
      <c r="AE201" s="41"/>
      <c r="AF201" s="41"/>
      <c r="AG201" s="41"/>
      <c r="AH201" s="41"/>
      <c r="AI201" s="41"/>
    </row>
    <row r="202" spans="1:35" ht="15.75" customHeight="1" x14ac:dyDescent="0.2">
      <c r="A202" s="166"/>
      <c r="B202" s="218"/>
      <c r="C202" s="218"/>
      <c r="D202" s="41"/>
      <c r="E202" s="41"/>
      <c r="F202" s="41"/>
      <c r="G202" s="41"/>
      <c r="H202" s="41"/>
      <c r="I202" s="41"/>
      <c r="J202" s="166"/>
      <c r="K202" s="41"/>
      <c r="L202" s="41"/>
      <c r="M202" s="41"/>
      <c r="N202" s="166"/>
      <c r="O202" s="166"/>
      <c r="P202" s="41"/>
      <c r="Q202" s="41"/>
      <c r="R202" s="41"/>
      <c r="S202" s="41"/>
      <c r="T202" s="41"/>
      <c r="U202" s="41"/>
      <c r="V202" s="41"/>
      <c r="W202" s="41"/>
      <c r="X202" s="41"/>
      <c r="Y202" s="166"/>
      <c r="Z202" s="166"/>
      <c r="AA202" s="41"/>
      <c r="AB202" s="41"/>
      <c r="AC202" s="41"/>
      <c r="AD202" s="41"/>
      <c r="AE202" s="41"/>
      <c r="AF202" s="41"/>
      <c r="AG202" s="41"/>
      <c r="AH202" s="41"/>
      <c r="AI202" s="41"/>
    </row>
    <row r="203" spans="1:35" ht="15.75" customHeight="1" x14ac:dyDescent="0.2">
      <c r="A203" s="166"/>
      <c r="B203" s="218"/>
      <c r="C203" s="218"/>
      <c r="D203" s="41"/>
      <c r="E203" s="41"/>
      <c r="F203" s="41"/>
      <c r="G203" s="41"/>
      <c r="H203" s="41"/>
      <c r="I203" s="41"/>
      <c r="J203" s="166"/>
      <c r="K203" s="41"/>
      <c r="L203" s="41"/>
      <c r="M203" s="41"/>
      <c r="N203" s="166"/>
      <c r="O203" s="166"/>
      <c r="P203" s="41"/>
      <c r="Q203" s="41"/>
      <c r="R203" s="41"/>
      <c r="S203" s="41"/>
      <c r="T203" s="41"/>
      <c r="U203" s="41"/>
      <c r="V203" s="41"/>
      <c r="W203" s="41"/>
      <c r="X203" s="41"/>
      <c r="Y203" s="166"/>
      <c r="Z203" s="166"/>
      <c r="AA203" s="41"/>
      <c r="AB203" s="41"/>
      <c r="AC203" s="41"/>
      <c r="AD203" s="41"/>
      <c r="AE203" s="41"/>
      <c r="AF203" s="41"/>
      <c r="AG203" s="41"/>
      <c r="AH203" s="41"/>
      <c r="AI203" s="41"/>
    </row>
    <row r="204" spans="1:35" ht="15.75" customHeight="1" x14ac:dyDescent="0.2">
      <c r="A204" s="166"/>
      <c r="B204" s="218"/>
      <c r="C204" s="218"/>
      <c r="D204" s="41"/>
      <c r="E204" s="41"/>
      <c r="F204" s="41"/>
      <c r="G204" s="41"/>
      <c r="H204" s="41"/>
      <c r="I204" s="41"/>
      <c r="J204" s="166"/>
      <c r="K204" s="41"/>
      <c r="L204" s="41"/>
      <c r="M204" s="41"/>
      <c r="N204" s="166"/>
      <c r="O204" s="166"/>
      <c r="P204" s="41"/>
      <c r="Q204" s="41"/>
      <c r="R204" s="41"/>
      <c r="S204" s="41"/>
      <c r="T204" s="41"/>
      <c r="U204" s="41"/>
      <c r="V204" s="41"/>
      <c r="W204" s="41"/>
      <c r="X204" s="41"/>
      <c r="Y204" s="166"/>
      <c r="Z204" s="166"/>
      <c r="AA204" s="41"/>
      <c r="AB204" s="41"/>
      <c r="AC204" s="41"/>
      <c r="AD204" s="41"/>
      <c r="AE204" s="41"/>
      <c r="AF204" s="41"/>
      <c r="AG204" s="41"/>
      <c r="AH204" s="41"/>
      <c r="AI204" s="41"/>
    </row>
    <row r="205" spans="1:35" ht="15.75" customHeight="1" x14ac:dyDescent="0.2">
      <c r="A205" s="166"/>
      <c r="B205" s="218"/>
      <c r="C205" s="218"/>
      <c r="D205" s="41"/>
      <c r="E205" s="41"/>
      <c r="F205" s="41"/>
      <c r="G205" s="41"/>
      <c r="H205" s="41"/>
      <c r="I205" s="41"/>
      <c r="J205" s="166"/>
      <c r="K205" s="41"/>
      <c r="L205" s="41"/>
      <c r="M205" s="41"/>
      <c r="N205" s="166"/>
      <c r="O205" s="166"/>
      <c r="P205" s="41"/>
      <c r="Q205" s="41"/>
      <c r="R205" s="41"/>
      <c r="S205" s="41"/>
      <c r="T205" s="41"/>
      <c r="U205" s="41"/>
      <c r="V205" s="41"/>
      <c r="W205" s="41"/>
      <c r="X205" s="41"/>
      <c r="Y205" s="166"/>
      <c r="Z205" s="166"/>
      <c r="AA205" s="41"/>
      <c r="AB205" s="41"/>
      <c r="AC205" s="41"/>
      <c r="AD205" s="41"/>
      <c r="AE205" s="41"/>
      <c r="AF205" s="41"/>
      <c r="AG205" s="41"/>
      <c r="AH205" s="41"/>
      <c r="AI205" s="41"/>
    </row>
    <row r="206" spans="1:35" ht="15.75" customHeight="1" x14ac:dyDescent="0.2">
      <c r="A206" s="166"/>
      <c r="B206" s="218"/>
      <c r="C206" s="218"/>
      <c r="D206" s="41"/>
      <c r="E206" s="41"/>
      <c r="F206" s="41"/>
      <c r="G206" s="41"/>
      <c r="H206" s="41"/>
      <c r="I206" s="41"/>
      <c r="J206" s="166"/>
      <c r="K206" s="41"/>
      <c r="L206" s="41"/>
      <c r="M206" s="41"/>
      <c r="N206" s="166"/>
      <c r="O206" s="166"/>
      <c r="P206" s="41"/>
      <c r="Q206" s="41"/>
      <c r="R206" s="41"/>
      <c r="S206" s="41"/>
      <c r="T206" s="41"/>
      <c r="U206" s="41"/>
      <c r="V206" s="41"/>
      <c r="W206" s="41"/>
      <c r="X206" s="41"/>
      <c r="Y206" s="166"/>
      <c r="Z206" s="166"/>
      <c r="AA206" s="41"/>
      <c r="AB206" s="41"/>
      <c r="AC206" s="41"/>
      <c r="AD206" s="41"/>
      <c r="AE206" s="41"/>
      <c r="AF206" s="41"/>
      <c r="AG206" s="41"/>
      <c r="AH206" s="41"/>
      <c r="AI206" s="41"/>
    </row>
    <row r="207" spans="1:35" ht="15.75" customHeight="1" x14ac:dyDescent="0.2">
      <c r="A207" s="166"/>
      <c r="B207" s="218"/>
      <c r="C207" s="218"/>
      <c r="D207" s="41"/>
      <c r="E207" s="41"/>
      <c r="F207" s="41"/>
      <c r="G207" s="41"/>
      <c r="H207" s="41"/>
      <c r="I207" s="41"/>
      <c r="J207" s="166"/>
      <c r="K207" s="41"/>
      <c r="L207" s="41"/>
      <c r="M207" s="41"/>
      <c r="N207" s="166"/>
      <c r="O207" s="166"/>
      <c r="P207" s="41"/>
      <c r="Q207" s="41"/>
      <c r="R207" s="41"/>
      <c r="S207" s="41"/>
      <c r="T207" s="41"/>
      <c r="U207" s="41"/>
      <c r="V207" s="41"/>
      <c r="W207" s="41"/>
      <c r="X207" s="41"/>
      <c r="Y207" s="166"/>
      <c r="Z207" s="166"/>
      <c r="AA207" s="41"/>
      <c r="AB207" s="41"/>
      <c r="AC207" s="41"/>
      <c r="AD207" s="41"/>
      <c r="AE207" s="41"/>
      <c r="AF207" s="41"/>
      <c r="AG207" s="41"/>
      <c r="AH207" s="41"/>
      <c r="AI207" s="41"/>
    </row>
    <row r="208" spans="1:35" ht="15.75" customHeight="1" x14ac:dyDescent="0.2">
      <c r="A208" s="166"/>
      <c r="B208" s="218"/>
      <c r="C208" s="218"/>
      <c r="D208" s="41"/>
      <c r="E208" s="41"/>
      <c r="F208" s="41"/>
      <c r="G208" s="41"/>
      <c r="H208" s="41"/>
      <c r="I208" s="41"/>
      <c r="J208" s="166"/>
      <c r="K208" s="41"/>
      <c r="L208" s="41"/>
      <c r="M208" s="41"/>
      <c r="N208" s="166"/>
      <c r="O208" s="166"/>
      <c r="P208" s="41"/>
      <c r="Q208" s="41"/>
      <c r="R208" s="41"/>
      <c r="S208" s="41"/>
      <c r="T208" s="41"/>
      <c r="U208" s="41"/>
      <c r="V208" s="41"/>
      <c r="W208" s="41"/>
      <c r="X208" s="41"/>
      <c r="Y208" s="166"/>
      <c r="Z208" s="166"/>
      <c r="AA208" s="41"/>
      <c r="AB208" s="41"/>
      <c r="AC208" s="41"/>
      <c r="AD208" s="41"/>
      <c r="AE208" s="41"/>
      <c r="AF208" s="41"/>
      <c r="AG208" s="41"/>
      <c r="AH208" s="41"/>
      <c r="AI208" s="41"/>
    </row>
    <row r="209" spans="1:35" ht="15.75" customHeight="1" x14ac:dyDescent="0.2">
      <c r="A209" s="166"/>
      <c r="B209" s="218"/>
      <c r="C209" s="218"/>
      <c r="D209" s="41"/>
      <c r="E209" s="41"/>
      <c r="F209" s="41"/>
      <c r="G209" s="41"/>
      <c r="H209" s="41"/>
      <c r="I209" s="41"/>
      <c r="J209" s="166"/>
      <c r="K209" s="41"/>
      <c r="L209" s="41"/>
      <c r="M209" s="41"/>
      <c r="N209" s="166"/>
      <c r="O209" s="166"/>
      <c r="P209" s="41"/>
      <c r="Q209" s="41"/>
      <c r="R209" s="41"/>
      <c r="S209" s="41"/>
      <c r="T209" s="41"/>
      <c r="U209" s="41"/>
      <c r="V209" s="41"/>
      <c r="W209" s="41"/>
      <c r="X209" s="41"/>
      <c r="Y209" s="166"/>
      <c r="Z209" s="166"/>
      <c r="AA209" s="41"/>
      <c r="AB209" s="41"/>
      <c r="AC209" s="41"/>
      <c r="AD209" s="41"/>
      <c r="AE209" s="41"/>
      <c r="AF209" s="41"/>
      <c r="AG209" s="41"/>
      <c r="AH209" s="41"/>
      <c r="AI209" s="41"/>
    </row>
    <row r="210" spans="1:35" ht="15.75" customHeight="1" x14ac:dyDescent="0.2">
      <c r="A210" s="166"/>
      <c r="B210" s="218"/>
      <c r="C210" s="218"/>
      <c r="D210" s="41"/>
      <c r="E210" s="41"/>
      <c r="F210" s="41"/>
      <c r="G210" s="41"/>
      <c r="H210" s="41"/>
      <c r="I210" s="41"/>
      <c r="J210" s="166"/>
      <c r="K210" s="41"/>
      <c r="L210" s="41"/>
      <c r="M210" s="41"/>
      <c r="N210" s="166"/>
      <c r="O210" s="166"/>
      <c r="P210" s="41"/>
      <c r="Q210" s="41"/>
      <c r="R210" s="41"/>
      <c r="S210" s="41"/>
      <c r="T210" s="41"/>
      <c r="U210" s="41"/>
      <c r="V210" s="41"/>
      <c r="W210" s="41"/>
      <c r="X210" s="41"/>
      <c r="Y210" s="166"/>
      <c r="Z210" s="166"/>
      <c r="AA210" s="41"/>
      <c r="AB210" s="41"/>
      <c r="AC210" s="41"/>
      <c r="AD210" s="41"/>
      <c r="AE210" s="41"/>
      <c r="AF210" s="41"/>
      <c r="AG210" s="41"/>
      <c r="AH210" s="41"/>
      <c r="AI210" s="41"/>
    </row>
    <row r="211" spans="1:35" ht="15.75" customHeight="1" x14ac:dyDescent="0.2">
      <c r="A211" s="166"/>
      <c r="B211" s="218"/>
      <c r="C211" s="218"/>
      <c r="D211" s="41"/>
      <c r="E211" s="41"/>
      <c r="F211" s="41"/>
      <c r="G211" s="41"/>
      <c r="H211" s="41"/>
      <c r="I211" s="41"/>
      <c r="J211" s="166"/>
      <c r="K211" s="41"/>
      <c r="L211" s="41"/>
      <c r="M211" s="41"/>
      <c r="N211" s="166"/>
      <c r="O211" s="166"/>
      <c r="P211" s="41"/>
      <c r="Q211" s="41"/>
      <c r="R211" s="41"/>
      <c r="S211" s="41"/>
      <c r="T211" s="41"/>
      <c r="U211" s="41"/>
      <c r="V211" s="41"/>
      <c r="W211" s="41"/>
      <c r="X211" s="41"/>
      <c r="Y211" s="166"/>
      <c r="Z211" s="166"/>
      <c r="AA211" s="41"/>
      <c r="AB211" s="41"/>
      <c r="AC211" s="41"/>
      <c r="AD211" s="41"/>
      <c r="AE211" s="41"/>
      <c r="AF211" s="41"/>
      <c r="AG211" s="41"/>
      <c r="AH211" s="41"/>
      <c r="AI211" s="41"/>
    </row>
    <row r="212" spans="1:35" ht="15.75" customHeight="1" x14ac:dyDescent="0.2">
      <c r="A212" s="166"/>
      <c r="B212" s="218"/>
      <c r="C212" s="218"/>
      <c r="D212" s="41"/>
      <c r="E212" s="41"/>
      <c r="F212" s="41"/>
      <c r="G212" s="41"/>
      <c r="H212" s="41"/>
      <c r="I212" s="41"/>
      <c r="J212" s="166"/>
      <c r="K212" s="41"/>
      <c r="L212" s="41"/>
      <c r="M212" s="41"/>
      <c r="N212" s="166"/>
      <c r="O212" s="166"/>
      <c r="P212" s="41"/>
      <c r="Q212" s="41"/>
      <c r="R212" s="41"/>
      <c r="S212" s="41"/>
      <c r="T212" s="41"/>
      <c r="U212" s="41"/>
      <c r="V212" s="41"/>
      <c r="W212" s="41"/>
      <c r="X212" s="41"/>
      <c r="Y212" s="166"/>
      <c r="Z212" s="166"/>
      <c r="AA212" s="41"/>
      <c r="AB212" s="41"/>
      <c r="AC212" s="41"/>
      <c r="AD212" s="41"/>
      <c r="AE212" s="41"/>
      <c r="AF212" s="41"/>
      <c r="AG212" s="41"/>
      <c r="AH212" s="41"/>
      <c r="AI212" s="41"/>
    </row>
    <row r="213" spans="1:35" ht="15.75" customHeight="1" x14ac:dyDescent="0.2">
      <c r="A213" s="166"/>
      <c r="B213" s="218"/>
      <c r="C213" s="218"/>
      <c r="D213" s="41"/>
      <c r="E213" s="41"/>
      <c r="F213" s="41"/>
      <c r="G213" s="41"/>
      <c r="H213" s="41"/>
      <c r="I213" s="41"/>
      <c r="J213" s="166"/>
      <c r="K213" s="41"/>
      <c r="L213" s="41"/>
      <c r="M213" s="41"/>
      <c r="N213" s="166"/>
      <c r="O213" s="166"/>
      <c r="P213" s="41"/>
      <c r="Q213" s="41"/>
      <c r="R213" s="41"/>
      <c r="S213" s="41"/>
      <c r="T213" s="41"/>
      <c r="U213" s="41"/>
      <c r="V213" s="41"/>
      <c r="W213" s="41"/>
      <c r="X213" s="41"/>
      <c r="Y213" s="166"/>
      <c r="Z213" s="166"/>
      <c r="AA213" s="41"/>
      <c r="AB213" s="41"/>
      <c r="AC213" s="41"/>
      <c r="AD213" s="41"/>
      <c r="AE213" s="41"/>
      <c r="AF213" s="41"/>
      <c r="AG213" s="41"/>
      <c r="AH213" s="41"/>
      <c r="AI213" s="41"/>
    </row>
    <row r="214" spans="1:35" ht="15.75" customHeight="1" x14ac:dyDescent="0.2">
      <c r="A214" s="166"/>
      <c r="B214" s="218"/>
      <c r="C214" s="218"/>
      <c r="D214" s="41"/>
      <c r="E214" s="41"/>
      <c r="F214" s="41"/>
      <c r="G214" s="41"/>
      <c r="H214" s="41"/>
      <c r="I214" s="41"/>
      <c r="J214" s="166"/>
      <c r="K214" s="41"/>
      <c r="L214" s="41"/>
      <c r="M214" s="41"/>
      <c r="N214" s="166"/>
      <c r="O214" s="166"/>
      <c r="P214" s="41"/>
      <c r="Q214" s="41"/>
      <c r="R214" s="41"/>
      <c r="S214" s="41"/>
      <c r="T214" s="41"/>
      <c r="U214" s="41"/>
      <c r="V214" s="41"/>
      <c r="W214" s="41"/>
      <c r="X214" s="41"/>
      <c r="Y214" s="166"/>
      <c r="Z214" s="166"/>
      <c r="AA214" s="41"/>
      <c r="AB214" s="41"/>
      <c r="AC214" s="41"/>
      <c r="AD214" s="41"/>
      <c r="AE214" s="41"/>
      <c r="AF214" s="41"/>
      <c r="AG214" s="41"/>
      <c r="AH214" s="41"/>
      <c r="AI214" s="41"/>
    </row>
    <row r="215" spans="1:35" ht="15.75" customHeight="1" x14ac:dyDescent="0.2">
      <c r="A215" s="166"/>
      <c r="B215" s="218"/>
      <c r="C215" s="218"/>
      <c r="D215" s="41"/>
      <c r="E215" s="41"/>
      <c r="F215" s="41"/>
      <c r="G215" s="41"/>
      <c r="H215" s="41"/>
      <c r="I215" s="41"/>
      <c r="J215" s="166"/>
      <c r="K215" s="41"/>
      <c r="L215" s="41"/>
      <c r="M215" s="41"/>
      <c r="N215" s="166"/>
      <c r="O215" s="166"/>
      <c r="P215" s="41"/>
      <c r="Q215" s="41"/>
      <c r="R215" s="41"/>
      <c r="S215" s="41"/>
      <c r="T215" s="41"/>
      <c r="U215" s="41"/>
      <c r="V215" s="41"/>
      <c r="W215" s="41"/>
      <c r="X215" s="41"/>
      <c r="Y215" s="166"/>
      <c r="Z215" s="166"/>
      <c r="AA215" s="41"/>
      <c r="AB215" s="41"/>
      <c r="AC215" s="41"/>
      <c r="AD215" s="41"/>
      <c r="AE215" s="41"/>
      <c r="AF215" s="41"/>
      <c r="AG215" s="41"/>
      <c r="AH215" s="41"/>
      <c r="AI215" s="41"/>
    </row>
    <row r="216" spans="1:35" ht="15.75" customHeight="1" x14ac:dyDescent="0.2">
      <c r="A216" s="166"/>
      <c r="B216" s="218"/>
      <c r="C216" s="218"/>
      <c r="D216" s="41"/>
      <c r="E216" s="41"/>
      <c r="F216" s="41"/>
      <c r="G216" s="41"/>
      <c r="H216" s="41"/>
      <c r="I216" s="41"/>
      <c r="J216" s="166"/>
      <c r="K216" s="41"/>
      <c r="L216" s="41"/>
      <c r="M216" s="41"/>
      <c r="N216" s="166"/>
      <c r="O216" s="166"/>
      <c r="P216" s="41"/>
      <c r="Q216" s="41"/>
      <c r="R216" s="41"/>
      <c r="S216" s="41"/>
      <c r="T216" s="41"/>
      <c r="U216" s="41"/>
      <c r="V216" s="41"/>
      <c r="W216" s="41"/>
      <c r="X216" s="41"/>
      <c r="Y216" s="166"/>
      <c r="Z216" s="166"/>
      <c r="AA216" s="41"/>
      <c r="AB216" s="41"/>
      <c r="AC216" s="41"/>
      <c r="AD216" s="41"/>
      <c r="AE216" s="41"/>
      <c r="AF216" s="41"/>
      <c r="AG216" s="41"/>
      <c r="AH216" s="41"/>
      <c r="AI216" s="41"/>
    </row>
    <row r="217" spans="1:35" ht="15.75" customHeight="1" x14ac:dyDescent="0.2">
      <c r="A217" s="166"/>
      <c r="B217" s="218"/>
      <c r="C217" s="218"/>
      <c r="D217" s="41"/>
      <c r="E217" s="41"/>
      <c r="F217" s="41"/>
      <c r="G217" s="41"/>
      <c r="H217" s="41"/>
      <c r="I217" s="41"/>
      <c r="J217" s="166"/>
      <c r="K217" s="41"/>
      <c r="L217" s="41"/>
      <c r="M217" s="41"/>
      <c r="N217" s="166"/>
      <c r="O217" s="166"/>
      <c r="P217" s="41"/>
      <c r="Q217" s="41"/>
      <c r="R217" s="41"/>
      <c r="S217" s="41"/>
      <c r="T217" s="41"/>
      <c r="U217" s="41"/>
      <c r="V217" s="41"/>
      <c r="W217" s="41"/>
      <c r="X217" s="41"/>
      <c r="Y217" s="166"/>
      <c r="Z217" s="166"/>
      <c r="AA217" s="41"/>
      <c r="AB217" s="41"/>
      <c r="AC217" s="41"/>
      <c r="AD217" s="41"/>
      <c r="AE217" s="41"/>
      <c r="AF217" s="41"/>
      <c r="AG217" s="41"/>
      <c r="AH217" s="41"/>
      <c r="AI217" s="41"/>
    </row>
    <row r="218" spans="1:35" ht="15.75" customHeight="1" x14ac:dyDescent="0.2">
      <c r="A218" s="166"/>
      <c r="B218" s="218"/>
      <c r="C218" s="218"/>
      <c r="D218" s="41"/>
      <c r="E218" s="41"/>
      <c r="F218" s="41"/>
      <c r="G218" s="41"/>
      <c r="H218" s="41"/>
      <c r="I218" s="41"/>
      <c r="J218" s="166"/>
      <c r="K218" s="41"/>
      <c r="L218" s="41"/>
      <c r="M218" s="41"/>
      <c r="N218" s="166"/>
      <c r="O218" s="166"/>
      <c r="P218" s="41"/>
      <c r="Q218" s="41"/>
      <c r="R218" s="41"/>
      <c r="S218" s="41"/>
      <c r="T218" s="41"/>
      <c r="U218" s="41"/>
      <c r="V218" s="41"/>
      <c r="W218" s="41"/>
      <c r="X218" s="41"/>
      <c r="Y218" s="166"/>
      <c r="Z218" s="166"/>
      <c r="AA218" s="41"/>
      <c r="AB218" s="41"/>
      <c r="AC218" s="41"/>
      <c r="AD218" s="41"/>
      <c r="AE218" s="41"/>
      <c r="AF218" s="41"/>
      <c r="AG218" s="41"/>
      <c r="AH218" s="41"/>
      <c r="AI218" s="41"/>
    </row>
    <row r="219" spans="1:35" ht="15.75" customHeight="1" x14ac:dyDescent="0.2">
      <c r="A219" s="166"/>
      <c r="B219" s="218"/>
      <c r="C219" s="218"/>
      <c r="D219" s="41"/>
      <c r="E219" s="41"/>
      <c r="F219" s="41"/>
      <c r="G219" s="41"/>
      <c r="H219" s="41"/>
      <c r="I219" s="41"/>
      <c r="J219" s="166"/>
      <c r="K219" s="41"/>
      <c r="L219" s="41"/>
      <c r="M219" s="41"/>
      <c r="N219" s="166"/>
      <c r="O219" s="166"/>
      <c r="P219" s="41"/>
      <c r="Q219" s="41"/>
      <c r="R219" s="41"/>
      <c r="S219" s="41"/>
      <c r="T219" s="41"/>
      <c r="U219" s="41"/>
      <c r="V219" s="41"/>
      <c r="W219" s="41"/>
      <c r="X219" s="41"/>
      <c r="Y219" s="166"/>
      <c r="Z219" s="166"/>
      <c r="AA219" s="41"/>
      <c r="AB219" s="41"/>
      <c r="AC219" s="41"/>
      <c r="AD219" s="41"/>
      <c r="AE219" s="41"/>
      <c r="AF219" s="41"/>
      <c r="AG219" s="41"/>
      <c r="AH219" s="41"/>
      <c r="AI219" s="41"/>
    </row>
    <row r="220" spans="1:35" ht="15.75" customHeight="1" x14ac:dyDescent="0.2">
      <c r="A220" s="166"/>
      <c r="B220" s="218"/>
      <c r="C220" s="218"/>
      <c r="D220" s="41"/>
      <c r="E220" s="41"/>
      <c r="F220" s="41"/>
      <c r="G220" s="41"/>
      <c r="H220" s="41"/>
      <c r="I220" s="41"/>
      <c r="J220" s="166"/>
      <c r="K220" s="41"/>
      <c r="L220" s="41"/>
      <c r="M220" s="41"/>
      <c r="N220" s="166"/>
      <c r="O220" s="166"/>
      <c r="P220" s="41"/>
      <c r="Q220" s="41"/>
      <c r="R220" s="41"/>
      <c r="S220" s="41"/>
      <c r="T220" s="41"/>
      <c r="U220" s="41"/>
      <c r="V220" s="41"/>
      <c r="W220" s="41"/>
      <c r="X220" s="41"/>
      <c r="Y220" s="166"/>
      <c r="Z220" s="166"/>
      <c r="AA220" s="41"/>
      <c r="AB220" s="41"/>
      <c r="AC220" s="41"/>
      <c r="AD220" s="41"/>
      <c r="AE220" s="41"/>
      <c r="AF220" s="41"/>
      <c r="AG220" s="41"/>
      <c r="AH220" s="41"/>
      <c r="AI220" s="41"/>
    </row>
    <row r="221" spans="1:35" ht="15.75" customHeight="1" x14ac:dyDescent="0.2">
      <c r="A221" s="166"/>
      <c r="B221" s="218"/>
      <c r="C221" s="218"/>
      <c r="D221" s="41"/>
      <c r="E221" s="41"/>
      <c r="F221" s="41"/>
      <c r="G221" s="41"/>
      <c r="H221" s="41"/>
      <c r="I221" s="41"/>
      <c r="J221" s="166"/>
      <c r="K221" s="41"/>
      <c r="L221" s="41"/>
      <c r="M221" s="41"/>
      <c r="N221" s="166"/>
      <c r="O221" s="166"/>
      <c r="P221" s="41"/>
      <c r="Q221" s="41"/>
      <c r="R221" s="41"/>
      <c r="S221" s="41"/>
      <c r="T221" s="41"/>
      <c r="U221" s="41"/>
      <c r="V221" s="41"/>
      <c r="W221" s="41"/>
      <c r="X221" s="41"/>
      <c r="Y221" s="166"/>
      <c r="Z221" s="166"/>
      <c r="AA221" s="41"/>
      <c r="AB221" s="41"/>
      <c r="AC221" s="41"/>
      <c r="AD221" s="41"/>
      <c r="AE221" s="41"/>
      <c r="AF221" s="41"/>
      <c r="AG221" s="41"/>
      <c r="AH221" s="41"/>
      <c r="AI221" s="41"/>
    </row>
    <row r="222" spans="1:35" ht="15.75" customHeight="1" x14ac:dyDescent="0.2">
      <c r="A222" s="166"/>
      <c r="B222" s="218"/>
      <c r="C222" s="218"/>
      <c r="D222" s="41"/>
      <c r="E222" s="41"/>
      <c r="F222" s="41"/>
      <c r="G222" s="41"/>
      <c r="H222" s="41"/>
      <c r="I222" s="41"/>
      <c r="J222" s="166"/>
      <c r="K222" s="41"/>
      <c r="L222" s="41"/>
      <c r="M222" s="41"/>
      <c r="N222" s="166"/>
      <c r="O222" s="166"/>
      <c r="P222" s="41"/>
      <c r="Q222" s="41"/>
      <c r="R222" s="41"/>
      <c r="S222" s="41"/>
      <c r="T222" s="41"/>
      <c r="U222" s="41"/>
      <c r="V222" s="41"/>
      <c r="W222" s="41"/>
      <c r="X222" s="41"/>
      <c r="Y222" s="166"/>
      <c r="Z222" s="166"/>
      <c r="AA222" s="41"/>
      <c r="AB222" s="41"/>
      <c r="AC222" s="41"/>
      <c r="AD222" s="41"/>
      <c r="AE222" s="41"/>
      <c r="AF222" s="41"/>
      <c r="AG222" s="41"/>
      <c r="AH222" s="41"/>
      <c r="AI222" s="41"/>
    </row>
    <row r="223" spans="1:35" ht="15.75" customHeight="1" x14ac:dyDescent="0.2">
      <c r="A223" s="166"/>
      <c r="B223" s="218"/>
      <c r="C223" s="218"/>
      <c r="D223" s="41"/>
      <c r="E223" s="41"/>
      <c r="F223" s="41"/>
      <c r="G223" s="41"/>
      <c r="H223" s="41"/>
      <c r="I223" s="41"/>
      <c r="J223" s="166"/>
      <c r="K223" s="41"/>
      <c r="L223" s="41"/>
      <c r="M223" s="41"/>
      <c r="N223" s="166"/>
      <c r="O223" s="166"/>
      <c r="P223" s="41"/>
      <c r="Q223" s="41"/>
      <c r="R223" s="41"/>
      <c r="S223" s="41"/>
      <c r="T223" s="41"/>
      <c r="U223" s="41"/>
      <c r="V223" s="41"/>
      <c r="W223" s="41"/>
      <c r="X223" s="41"/>
      <c r="Y223" s="166"/>
      <c r="Z223" s="166"/>
      <c r="AA223" s="41"/>
      <c r="AB223" s="41"/>
      <c r="AC223" s="41"/>
      <c r="AD223" s="41"/>
      <c r="AE223" s="41"/>
      <c r="AF223" s="41"/>
      <c r="AG223" s="41"/>
      <c r="AH223" s="41"/>
      <c r="AI223" s="41"/>
    </row>
    <row r="224" spans="1:35" ht="15.75" customHeight="1" x14ac:dyDescent="0.2">
      <c r="A224" s="166"/>
      <c r="B224" s="218"/>
      <c r="C224" s="218"/>
      <c r="D224" s="41"/>
      <c r="E224" s="41"/>
      <c r="F224" s="41"/>
      <c r="G224" s="41"/>
      <c r="H224" s="41"/>
      <c r="I224" s="41"/>
      <c r="J224" s="166"/>
      <c r="K224" s="41"/>
      <c r="L224" s="41"/>
      <c r="M224" s="41"/>
      <c r="N224" s="166"/>
      <c r="O224" s="166"/>
      <c r="P224" s="41"/>
      <c r="Q224" s="41"/>
      <c r="R224" s="41"/>
      <c r="S224" s="41"/>
      <c r="T224" s="41"/>
      <c r="U224" s="41"/>
      <c r="V224" s="41"/>
      <c r="W224" s="41"/>
      <c r="X224" s="41"/>
      <c r="Y224" s="166"/>
      <c r="Z224" s="166"/>
      <c r="AA224" s="41"/>
      <c r="AB224" s="41"/>
      <c r="AC224" s="41"/>
      <c r="AD224" s="41"/>
      <c r="AE224" s="41"/>
      <c r="AF224" s="41"/>
      <c r="AG224" s="41"/>
      <c r="AH224" s="41"/>
      <c r="AI224" s="41"/>
    </row>
    <row r="225" spans="1:35" ht="15.75" customHeight="1" x14ac:dyDescent="0.2">
      <c r="A225" s="166"/>
      <c r="B225" s="218"/>
      <c r="C225" s="218"/>
      <c r="D225" s="41"/>
      <c r="E225" s="41"/>
      <c r="F225" s="41"/>
      <c r="G225" s="41"/>
      <c r="H225" s="41"/>
      <c r="I225" s="41"/>
      <c r="J225" s="166"/>
      <c r="K225" s="41"/>
      <c r="L225" s="41"/>
      <c r="M225" s="41"/>
      <c r="N225" s="166"/>
      <c r="O225" s="166"/>
      <c r="P225" s="41"/>
      <c r="Q225" s="41"/>
      <c r="R225" s="41"/>
      <c r="S225" s="41"/>
      <c r="T225" s="41"/>
      <c r="U225" s="41"/>
      <c r="V225" s="41"/>
      <c r="W225" s="41"/>
      <c r="X225" s="41"/>
      <c r="Y225" s="166"/>
      <c r="Z225" s="166"/>
      <c r="AA225" s="41"/>
      <c r="AB225" s="41"/>
      <c r="AC225" s="41"/>
      <c r="AD225" s="41"/>
      <c r="AE225" s="41"/>
      <c r="AF225" s="41"/>
      <c r="AG225" s="41"/>
      <c r="AH225" s="41"/>
      <c r="AI225" s="41"/>
    </row>
    <row r="226" spans="1:35" ht="15.75" customHeight="1" x14ac:dyDescent="0.2">
      <c r="A226" s="166"/>
      <c r="B226" s="218"/>
      <c r="C226" s="218"/>
      <c r="D226" s="41"/>
      <c r="E226" s="41"/>
      <c r="F226" s="41"/>
      <c r="G226" s="41"/>
      <c r="H226" s="41"/>
      <c r="I226" s="41"/>
      <c r="J226" s="166"/>
      <c r="K226" s="41"/>
      <c r="L226" s="41"/>
      <c r="M226" s="41"/>
      <c r="N226" s="166"/>
      <c r="O226" s="166"/>
      <c r="P226" s="41"/>
      <c r="Q226" s="41"/>
      <c r="R226" s="41"/>
      <c r="S226" s="41"/>
      <c r="T226" s="41"/>
      <c r="U226" s="41"/>
      <c r="V226" s="41"/>
      <c r="W226" s="41"/>
      <c r="X226" s="41"/>
      <c r="Y226" s="166"/>
      <c r="Z226" s="166"/>
      <c r="AA226" s="41"/>
      <c r="AB226" s="41"/>
      <c r="AC226" s="41"/>
      <c r="AD226" s="41"/>
      <c r="AE226" s="41"/>
      <c r="AF226" s="41"/>
      <c r="AG226" s="41"/>
      <c r="AH226" s="41"/>
      <c r="AI226" s="41"/>
    </row>
    <row r="227" spans="1:35" ht="15.75" customHeight="1" x14ac:dyDescent="0.2">
      <c r="A227" s="166"/>
      <c r="B227" s="218"/>
      <c r="C227" s="218"/>
      <c r="D227" s="41"/>
      <c r="E227" s="41"/>
      <c r="F227" s="41"/>
      <c r="G227" s="41"/>
      <c r="H227" s="41"/>
      <c r="I227" s="41"/>
      <c r="J227" s="166"/>
      <c r="K227" s="41"/>
      <c r="L227" s="41"/>
      <c r="M227" s="41"/>
      <c r="N227" s="166"/>
      <c r="O227" s="166"/>
      <c r="P227" s="41"/>
      <c r="Q227" s="41"/>
      <c r="R227" s="41"/>
      <c r="S227" s="41"/>
      <c r="T227" s="41"/>
      <c r="U227" s="41"/>
      <c r="V227" s="41"/>
      <c r="W227" s="41"/>
      <c r="X227" s="41"/>
      <c r="Y227" s="166"/>
      <c r="Z227" s="166"/>
      <c r="AA227" s="41"/>
      <c r="AB227" s="41"/>
      <c r="AC227" s="41"/>
      <c r="AD227" s="41"/>
      <c r="AE227" s="41"/>
      <c r="AF227" s="41"/>
      <c r="AG227" s="41"/>
      <c r="AH227" s="41"/>
      <c r="AI227" s="41"/>
    </row>
    <row r="228" spans="1:35" ht="15.75" customHeight="1" x14ac:dyDescent="0.2">
      <c r="A228" s="166"/>
      <c r="B228" s="218"/>
      <c r="C228" s="218"/>
      <c r="D228" s="41"/>
      <c r="E228" s="41"/>
      <c r="F228" s="41"/>
      <c r="G228" s="41"/>
      <c r="H228" s="41"/>
      <c r="I228" s="41"/>
      <c r="J228" s="166"/>
      <c r="K228" s="41"/>
      <c r="L228" s="41"/>
      <c r="M228" s="41"/>
      <c r="N228" s="166"/>
      <c r="O228" s="166"/>
      <c r="P228" s="41"/>
      <c r="Q228" s="41"/>
      <c r="R228" s="41"/>
      <c r="S228" s="41"/>
      <c r="T228" s="41"/>
      <c r="U228" s="41"/>
      <c r="V228" s="41"/>
      <c r="W228" s="41"/>
      <c r="X228" s="41"/>
      <c r="Y228" s="166"/>
      <c r="Z228" s="166"/>
      <c r="AA228" s="41"/>
      <c r="AB228" s="41"/>
      <c r="AC228" s="41"/>
      <c r="AD228" s="41"/>
      <c r="AE228" s="41"/>
      <c r="AF228" s="41"/>
      <c r="AG228" s="41"/>
      <c r="AH228" s="41"/>
      <c r="AI228" s="41"/>
    </row>
    <row r="229" spans="1:35" ht="15.75" customHeight="1" x14ac:dyDescent="0.2">
      <c r="A229" s="166"/>
      <c r="B229" s="218"/>
      <c r="C229" s="218"/>
      <c r="D229" s="41"/>
      <c r="E229" s="41"/>
      <c r="F229" s="41"/>
      <c r="G229" s="41"/>
      <c r="H229" s="41"/>
      <c r="I229" s="41"/>
      <c r="J229" s="166"/>
      <c r="K229" s="41"/>
      <c r="L229" s="41"/>
      <c r="M229" s="41"/>
      <c r="N229" s="166"/>
      <c r="O229" s="166"/>
      <c r="P229" s="41"/>
      <c r="Q229" s="41"/>
      <c r="R229" s="41"/>
      <c r="S229" s="41"/>
      <c r="T229" s="41"/>
      <c r="U229" s="41"/>
      <c r="V229" s="41"/>
      <c r="W229" s="41"/>
      <c r="X229" s="41"/>
      <c r="Y229" s="166"/>
      <c r="Z229" s="166"/>
      <c r="AA229" s="41"/>
      <c r="AB229" s="41"/>
      <c r="AC229" s="41"/>
      <c r="AD229" s="41"/>
      <c r="AE229" s="41"/>
      <c r="AF229" s="41"/>
      <c r="AG229" s="41"/>
      <c r="AH229" s="41"/>
      <c r="AI229" s="41"/>
    </row>
    <row r="230" spans="1:35" ht="15.75" customHeight="1" x14ac:dyDescent="0.2">
      <c r="A230" s="166"/>
      <c r="B230" s="218"/>
      <c r="C230" s="218"/>
      <c r="D230" s="41"/>
      <c r="E230" s="41"/>
      <c r="F230" s="41"/>
      <c r="G230" s="41"/>
      <c r="H230" s="41"/>
      <c r="I230" s="41"/>
      <c r="J230" s="166"/>
      <c r="K230" s="41"/>
      <c r="L230" s="41"/>
      <c r="M230" s="41"/>
      <c r="N230" s="166"/>
      <c r="O230" s="166"/>
      <c r="P230" s="41"/>
      <c r="Q230" s="41"/>
      <c r="R230" s="41"/>
      <c r="S230" s="41"/>
      <c r="T230" s="41"/>
      <c r="U230" s="41"/>
      <c r="V230" s="41"/>
      <c r="W230" s="41"/>
      <c r="X230" s="41"/>
      <c r="Y230" s="166"/>
      <c r="Z230" s="166"/>
      <c r="AA230" s="41"/>
      <c r="AB230" s="41"/>
      <c r="AC230" s="41"/>
      <c r="AD230" s="41"/>
      <c r="AE230" s="41"/>
      <c r="AF230" s="41"/>
      <c r="AG230" s="41"/>
      <c r="AH230" s="41"/>
      <c r="AI230" s="41"/>
    </row>
    <row r="231" spans="1:35" ht="15.75" customHeight="1" x14ac:dyDescent="0.2">
      <c r="A231" s="166"/>
      <c r="B231" s="218"/>
      <c r="C231" s="218"/>
      <c r="D231" s="41"/>
      <c r="E231" s="41"/>
      <c r="F231" s="41"/>
      <c r="G231" s="41"/>
      <c r="H231" s="41"/>
      <c r="I231" s="41"/>
      <c r="J231" s="166"/>
      <c r="K231" s="41"/>
      <c r="L231" s="41"/>
      <c r="M231" s="41"/>
      <c r="N231" s="166"/>
      <c r="O231" s="166"/>
      <c r="P231" s="41"/>
      <c r="Q231" s="41"/>
      <c r="R231" s="41"/>
      <c r="S231" s="41"/>
      <c r="T231" s="41"/>
      <c r="U231" s="41"/>
      <c r="V231" s="41"/>
      <c r="W231" s="41"/>
      <c r="X231" s="41"/>
      <c r="Y231" s="166"/>
      <c r="Z231" s="166"/>
      <c r="AA231" s="41"/>
      <c r="AB231" s="41"/>
      <c r="AC231" s="41"/>
      <c r="AD231" s="41"/>
      <c r="AE231" s="41"/>
      <c r="AF231" s="41"/>
      <c r="AG231" s="41"/>
      <c r="AH231" s="41"/>
      <c r="AI231" s="41"/>
    </row>
    <row r="232" spans="1:35" ht="15.75" customHeight="1" x14ac:dyDescent="0.2">
      <c r="A232" s="166"/>
      <c r="B232" s="218"/>
      <c r="C232" s="218"/>
      <c r="D232" s="41"/>
      <c r="E232" s="41"/>
      <c r="F232" s="41"/>
      <c r="G232" s="41"/>
      <c r="H232" s="41"/>
      <c r="I232" s="41"/>
      <c r="J232" s="166"/>
      <c r="K232" s="41"/>
      <c r="L232" s="41"/>
      <c r="M232" s="41"/>
      <c r="N232" s="166"/>
      <c r="O232" s="166"/>
      <c r="P232" s="41"/>
      <c r="Q232" s="41"/>
      <c r="R232" s="41"/>
      <c r="S232" s="41"/>
      <c r="T232" s="41"/>
      <c r="U232" s="41"/>
      <c r="V232" s="41"/>
      <c r="W232" s="41"/>
      <c r="X232" s="41"/>
      <c r="Y232" s="166"/>
      <c r="Z232" s="166"/>
      <c r="AA232" s="41"/>
      <c r="AB232" s="41"/>
      <c r="AC232" s="41"/>
      <c r="AD232" s="41"/>
      <c r="AE232" s="41"/>
      <c r="AF232" s="41"/>
      <c r="AG232" s="41"/>
      <c r="AH232" s="41"/>
      <c r="AI232" s="41"/>
    </row>
    <row r="233" spans="1:35" ht="15.75" customHeight="1" x14ac:dyDescent="0.2">
      <c r="A233" s="166"/>
      <c r="B233" s="218"/>
      <c r="C233" s="218"/>
      <c r="D233" s="41"/>
      <c r="E233" s="41"/>
      <c r="F233" s="41"/>
      <c r="G233" s="41"/>
      <c r="H233" s="41"/>
      <c r="I233" s="41"/>
      <c r="J233" s="166"/>
      <c r="K233" s="41"/>
      <c r="L233" s="41"/>
      <c r="M233" s="41"/>
      <c r="N233" s="166"/>
      <c r="O233" s="166"/>
      <c r="P233" s="41"/>
      <c r="Q233" s="41"/>
      <c r="R233" s="41"/>
      <c r="S233" s="41"/>
      <c r="T233" s="41"/>
      <c r="U233" s="41"/>
      <c r="V233" s="41"/>
      <c r="W233" s="41"/>
      <c r="X233" s="41"/>
      <c r="Y233" s="166"/>
      <c r="Z233" s="166"/>
      <c r="AA233" s="41"/>
      <c r="AB233" s="41"/>
      <c r="AC233" s="41"/>
      <c r="AD233" s="41"/>
      <c r="AE233" s="41"/>
      <c r="AF233" s="41"/>
      <c r="AG233" s="41"/>
      <c r="AH233" s="41"/>
      <c r="AI233" s="41"/>
    </row>
    <row r="234" spans="1:35" ht="15.75" customHeight="1" x14ac:dyDescent="0.2"/>
    <row r="235" spans="1:35" ht="15.75" customHeight="1" x14ac:dyDescent="0.2"/>
    <row r="236" spans="1:35" ht="15.75" customHeight="1" x14ac:dyDescent="0.2"/>
    <row r="237" spans="1:35" ht="15.75" customHeight="1" x14ac:dyDescent="0.2"/>
    <row r="238" spans="1:35" ht="15.75" customHeight="1" x14ac:dyDescent="0.2"/>
    <row r="239" spans="1:35" ht="15.75" customHeight="1" x14ac:dyDescent="0.2"/>
    <row r="240" spans="1:35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Retail LG Floor</vt:lpstr>
      <vt:lpstr>Retail UG Floor</vt:lpstr>
      <vt:lpstr>Retail 1st Floor</vt:lpstr>
      <vt:lpstr>Retail 2nd Floor</vt:lpstr>
      <vt:lpstr>Office 5th Floor </vt:lpstr>
      <vt:lpstr>Office 6th Floor</vt:lpstr>
      <vt:lpstr>Office 7th Floor</vt:lpstr>
      <vt:lpstr>Office 8th Floor</vt:lpstr>
      <vt:lpstr>Office 9th Floor</vt:lpstr>
      <vt:lpstr>Office 10th Floor</vt:lpstr>
      <vt:lpstr>Office 11th Floor</vt:lpstr>
      <vt:lpstr>Updated CRM Sheet</vt:lpstr>
      <vt:lpstr>Booking Cancelled Sheet</vt:lpstr>
      <vt:lpstr>Master ROI Sheet Reliance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Advani Realty</cp:lastModifiedBy>
  <dcterms:modified xsi:type="dcterms:W3CDTF">2022-04-09T12:17:37Z</dcterms:modified>
</cp:coreProperties>
</file>