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C\Users\aperez\Desktop\"/>
    </mc:Choice>
  </mc:AlternateContent>
  <bookViews>
    <workbookView xWindow="0" yWindow="0" windowWidth="28800" windowHeight="12285" activeTab="1"/>
  </bookViews>
  <sheets>
    <sheet name="Sheet1" sheetId="2" r:id="rId1"/>
    <sheet name="layup" sheetId="1" r:id="rId2"/>
  </sheets>
  <definedNames>
    <definedName name="_xlnm._FilterDatabase" localSheetId="1" hidden="1">layup!$A$1:$Y$13</definedName>
    <definedName name="A_mat">layup!$Y$19:$AA$21</definedName>
    <definedName name="A_prime">layup!$Y$32:$AA$34</definedName>
    <definedName name="A_star">layup!$Y$24:$AA$26</definedName>
    <definedName name="B_mat">layup!$AB$19:$AD$21</definedName>
    <definedName name="B_prime">layup!$AB$32:$AD$34</definedName>
    <definedName name="B_star">layup!$AB$24:$AD$26</definedName>
    <definedName name="C_prime">layup!$Y$35:$AA$37</definedName>
    <definedName name="C_star">layup!$Y$27:$AA$29</definedName>
    <definedName name="D_mat">layup!$AE$19:$AG$21</definedName>
    <definedName name="D_prime">layup!$AB$35:$AD$37</definedName>
    <definedName name="D_star">layup!$AB$27:$AD$29</definedName>
    <definedName name="r_mat">{1,0,0;0,1,0;0,0,2}</definedName>
  </definedNames>
  <calcPr calcId="152511"/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A2" i="1"/>
  <c r="AA3" i="1"/>
  <c r="AA4" i="1"/>
  <c r="AA5" i="1"/>
  <c r="AA6" i="1"/>
  <c r="AA7" i="1"/>
  <c r="AA8" i="1"/>
  <c r="AA9" i="1"/>
  <c r="AA10" i="1"/>
  <c r="AA11" i="1"/>
  <c r="AA12" i="1"/>
  <c r="AA13" i="1"/>
  <c r="E21" i="2"/>
  <c r="E22" i="2"/>
  <c r="E23" i="2"/>
  <c r="E24" i="2"/>
  <c r="E25" i="2"/>
  <c r="E26" i="2"/>
  <c r="E27" i="2"/>
  <c r="E28" i="2"/>
  <c r="E29" i="2"/>
  <c r="E30" i="2"/>
  <c r="E31" i="2"/>
  <c r="E20" i="2"/>
  <c r="E4" i="2"/>
  <c r="E5" i="2"/>
  <c r="E6" i="2"/>
  <c r="E7" i="2"/>
  <c r="E8" i="2"/>
  <c r="E9" i="2"/>
  <c r="E10" i="2"/>
  <c r="E11" i="2"/>
  <c r="E12" i="2"/>
  <c r="E13" i="2"/>
  <c r="E14" i="2"/>
  <c r="E3" i="2"/>
  <c r="J53" i="1"/>
  <c r="I54" i="1" s="1"/>
  <c r="J52" i="1"/>
  <c r="H54" i="1" s="1"/>
  <c r="J50" i="1"/>
  <c r="I51" i="1" s="1"/>
  <c r="J49" i="1"/>
  <c r="H51" i="1" s="1"/>
  <c r="J47" i="1"/>
  <c r="I48" i="1" s="1"/>
  <c r="J46" i="1"/>
  <c r="H48" i="1" s="1"/>
  <c r="J44" i="1"/>
  <c r="I45" i="1" s="1"/>
  <c r="J43" i="1"/>
  <c r="H45" i="1" s="1"/>
  <c r="J41" i="1"/>
  <c r="I42" i="1" s="1"/>
  <c r="J40" i="1"/>
  <c r="H42" i="1" s="1"/>
  <c r="J38" i="1"/>
  <c r="I39" i="1" s="1"/>
  <c r="J37" i="1"/>
  <c r="H39" i="1" s="1"/>
  <c r="J35" i="1"/>
  <c r="I36" i="1" s="1"/>
  <c r="J34" i="1"/>
  <c r="H36" i="1" s="1"/>
  <c r="J32" i="1"/>
  <c r="I33" i="1" s="1"/>
  <c r="J31" i="1"/>
  <c r="H33" i="1" s="1"/>
  <c r="J29" i="1"/>
  <c r="I30" i="1" s="1"/>
  <c r="J28" i="1"/>
  <c r="H30" i="1" s="1"/>
  <c r="J26" i="1"/>
  <c r="I27" i="1" s="1"/>
  <c r="J25" i="1"/>
  <c r="H27" i="1" s="1"/>
  <c r="J23" i="1"/>
  <c r="I24" i="1" s="1"/>
  <c r="J22" i="1"/>
  <c r="H24" i="1" s="1"/>
  <c r="J20" i="1"/>
  <c r="J19" i="1"/>
  <c r="Z2" i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N2" i="1" l="1"/>
  <c r="N3" i="1"/>
  <c r="J24" i="1" s="1"/>
  <c r="N4" i="1"/>
  <c r="J27" i="1" s="1"/>
  <c r="N5" i="1"/>
  <c r="J30" i="1" s="1"/>
  <c r="N6" i="1"/>
  <c r="J33" i="1" s="1"/>
  <c r="N7" i="1"/>
  <c r="J36" i="1" s="1"/>
  <c r="N8" i="1"/>
  <c r="J39" i="1" s="1"/>
  <c r="N9" i="1"/>
  <c r="J42" i="1" s="1"/>
  <c r="N10" i="1"/>
  <c r="J45" i="1" s="1"/>
  <c r="N11" i="1"/>
  <c r="J48" i="1" s="1"/>
  <c r="N12" i="1"/>
  <c r="J51" i="1" s="1"/>
  <c r="N13" i="1"/>
  <c r="J54" i="1" s="1"/>
  <c r="A53" i="1"/>
  <c r="A50" i="1"/>
  <c r="A47" i="1"/>
  <c r="A44" i="1"/>
  <c r="A41" i="1"/>
  <c r="A38" i="1"/>
  <c r="A35" i="1"/>
  <c r="A32" i="1"/>
  <c r="A29" i="1"/>
  <c r="A26" i="1"/>
  <c r="A23" i="1"/>
  <c r="A20" i="1"/>
  <c r="P2" i="1"/>
  <c r="T2" i="1" s="1"/>
  <c r="B20" i="1" s="1"/>
  <c r="P3" i="1"/>
  <c r="T3" i="1" s="1"/>
  <c r="B23" i="1" s="1"/>
  <c r="P4" i="1"/>
  <c r="T4" i="1" s="1"/>
  <c r="B26" i="1" s="1"/>
  <c r="P5" i="1"/>
  <c r="R5" i="1" s="1"/>
  <c r="C28" i="1" s="1"/>
  <c r="P6" i="1"/>
  <c r="T6" i="1" s="1"/>
  <c r="B32" i="1" s="1"/>
  <c r="P7" i="1"/>
  <c r="T7" i="1" s="1"/>
  <c r="B35" i="1" s="1"/>
  <c r="P8" i="1"/>
  <c r="T8" i="1" s="1"/>
  <c r="B38" i="1" s="1"/>
  <c r="P9" i="1"/>
  <c r="T9" i="1" s="1"/>
  <c r="B41" i="1" s="1"/>
  <c r="P10" i="1"/>
  <c r="T10" i="1" s="1"/>
  <c r="B44" i="1" s="1"/>
  <c r="P11" i="1"/>
  <c r="T11" i="1" s="1"/>
  <c r="B47" i="1" s="1"/>
  <c r="P12" i="1"/>
  <c r="T12" i="1" s="1"/>
  <c r="B50" i="1" s="1"/>
  <c r="P13" i="1"/>
  <c r="T13" i="1" s="1"/>
  <c r="B53" i="1" s="1"/>
  <c r="O2" i="1"/>
  <c r="O3" i="1"/>
  <c r="O4" i="1"/>
  <c r="Q4" i="1" s="1"/>
  <c r="B25" i="1" s="1"/>
  <c r="O5" i="1"/>
  <c r="Q5" i="1" s="1"/>
  <c r="B28" i="1" s="1"/>
  <c r="O6" i="1"/>
  <c r="O7" i="1"/>
  <c r="O8" i="1"/>
  <c r="O9" i="1"/>
  <c r="O10" i="1"/>
  <c r="O11" i="1"/>
  <c r="O12" i="1"/>
  <c r="O13" i="1"/>
  <c r="Y6" i="1" l="1"/>
  <c r="D33" i="1" s="1"/>
  <c r="Y3" i="1"/>
  <c r="D24" i="1" s="1"/>
  <c r="Y2" i="1"/>
  <c r="D21" i="1" s="1"/>
  <c r="W12" i="1"/>
  <c r="B51" i="1" s="1"/>
  <c r="W13" i="1"/>
  <c r="B54" i="1" s="1"/>
  <c r="Y11" i="1"/>
  <c r="D48" i="1" s="1"/>
  <c r="Y10" i="1"/>
  <c r="D45" i="1" s="1"/>
  <c r="X9" i="1"/>
  <c r="C42" i="1" s="1"/>
  <c r="W8" i="1"/>
  <c r="B39" i="1" s="1"/>
  <c r="Y7" i="1"/>
  <c r="D36" i="1" s="1"/>
  <c r="R9" i="1"/>
  <c r="C40" i="1" s="1"/>
  <c r="S13" i="1"/>
  <c r="S5" i="1"/>
  <c r="T5" i="1"/>
  <c r="B29" i="1" s="1"/>
  <c r="U5" i="1"/>
  <c r="C29" i="1" s="1"/>
  <c r="W9" i="1"/>
  <c r="B42" i="1" s="1"/>
  <c r="X13" i="1"/>
  <c r="C54" i="1" s="1"/>
  <c r="X5" i="1"/>
  <c r="C30" i="1" s="1"/>
  <c r="Y9" i="1"/>
  <c r="D42" i="1" s="1"/>
  <c r="Q8" i="1"/>
  <c r="B37" i="1" s="1"/>
  <c r="R8" i="1"/>
  <c r="C37" i="1" s="1"/>
  <c r="S4" i="1"/>
  <c r="U12" i="1"/>
  <c r="C50" i="1" s="1"/>
  <c r="U4" i="1"/>
  <c r="V8" i="1"/>
  <c r="V4" i="1"/>
  <c r="W4" i="1"/>
  <c r="X12" i="1"/>
  <c r="C51" i="1" s="1"/>
  <c r="X8" i="1"/>
  <c r="C39" i="1" s="1"/>
  <c r="X4" i="1"/>
  <c r="Y12" i="1"/>
  <c r="D51" i="1" s="1"/>
  <c r="Y8" i="1"/>
  <c r="D39" i="1" s="1"/>
  <c r="Y4" i="1"/>
  <c r="Q13" i="1"/>
  <c r="B52" i="1" s="1"/>
  <c r="Q9" i="1"/>
  <c r="B40" i="1" s="1"/>
  <c r="R13" i="1"/>
  <c r="C52" i="1" s="1"/>
  <c r="S9" i="1"/>
  <c r="U13" i="1"/>
  <c r="C53" i="1" s="1"/>
  <c r="V13" i="1"/>
  <c r="V5" i="1"/>
  <c r="W5" i="1"/>
  <c r="B30" i="1" s="1"/>
  <c r="Y13" i="1"/>
  <c r="D54" i="1" s="1"/>
  <c r="Y5" i="1"/>
  <c r="D30" i="1" s="1"/>
  <c r="Q12" i="1"/>
  <c r="B49" i="1" s="1"/>
  <c r="R4" i="1"/>
  <c r="S8" i="1"/>
  <c r="U8" i="1"/>
  <c r="C38" i="1" s="1"/>
  <c r="V12" i="1"/>
  <c r="Q11" i="1"/>
  <c r="B46" i="1" s="1"/>
  <c r="Q7" i="1"/>
  <c r="B34" i="1" s="1"/>
  <c r="Q3" i="1"/>
  <c r="B22" i="1" s="1"/>
  <c r="R11" i="1"/>
  <c r="C46" i="1" s="1"/>
  <c r="R7" i="1"/>
  <c r="C34" i="1" s="1"/>
  <c r="R3" i="1"/>
  <c r="C22" i="1" s="1"/>
  <c r="S11" i="1"/>
  <c r="S7" i="1"/>
  <c r="S3" i="1"/>
  <c r="U11" i="1"/>
  <c r="C47" i="1" s="1"/>
  <c r="U7" i="1"/>
  <c r="C35" i="1" s="1"/>
  <c r="U3" i="1"/>
  <c r="C23" i="1" s="1"/>
  <c r="V11" i="1"/>
  <c r="V7" i="1"/>
  <c r="V3" i="1"/>
  <c r="W11" i="1"/>
  <c r="B48" i="1" s="1"/>
  <c r="W7" i="1"/>
  <c r="B36" i="1" s="1"/>
  <c r="W3" i="1"/>
  <c r="B24" i="1" s="1"/>
  <c r="X11" i="1"/>
  <c r="C48" i="1" s="1"/>
  <c r="X7" i="1"/>
  <c r="C36" i="1" s="1"/>
  <c r="X3" i="1"/>
  <c r="C24" i="1" s="1"/>
  <c r="U9" i="1"/>
  <c r="C41" i="1" s="1"/>
  <c r="V9" i="1"/>
  <c r="R12" i="1"/>
  <c r="C49" i="1" s="1"/>
  <c r="S12" i="1"/>
  <c r="Q10" i="1"/>
  <c r="B43" i="1" s="1"/>
  <c r="Q6" i="1"/>
  <c r="B31" i="1" s="1"/>
  <c r="Q2" i="1"/>
  <c r="B19" i="1" s="1"/>
  <c r="R10" i="1"/>
  <c r="C43" i="1" s="1"/>
  <c r="R6" i="1"/>
  <c r="C31" i="1" s="1"/>
  <c r="R2" i="1"/>
  <c r="C19" i="1" s="1"/>
  <c r="S10" i="1"/>
  <c r="S6" i="1"/>
  <c r="S2" i="1"/>
  <c r="U10" i="1"/>
  <c r="C44" i="1" s="1"/>
  <c r="U6" i="1"/>
  <c r="C32" i="1" s="1"/>
  <c r="U2" i="1"/>
  <c r="C20" i="1" s="1"/>
  <c r="V10" i="1"/>
  <c r="V6" i="1"/>
  <c r="V2" i="1"/>
  <c r="W10" i="1"/>
  <c r="B45" i="1" s="1"/>
  <c r="W6" i="1"/>
  <c r="B33" i="1" s="1"/>
  <c r="W2" i="1"/>
  <c r="B21" i="1" s="1"/>
  <c r="X10" i="1"/>
  <c r="C45" i="1" s="1"/>
  <c r="X6" i="1"/>
  <c r="C33" i="1" s="1"/>
  <c r="X2" i="1"/>
  <c r="C21" i="1" s="1"/>
  <c r="F3" i="1"/>
  <c r="F4" i="1"/>
  <c r="F5" i="1"/>
  <c r="F6" i="1"/>
  <c r="F7" i="1"/>
  <c r="F8" i="1"/>
  <c r="F9" i="1"/>
  <c r="F10" i="1"/>
  <c r="F11" i="1"/>
  <c r="F12" i="1"/>
  <c r="F13" i="1"/>
  <c r="F2" i="1"/>
  <c r="I11" i="1" l="1"/>
  <c r="H46" i="1" s="1"/>
  <c r="J11" i="1"/>
  <c r="I46" i="1" s="1"/>
  <c r="H47" i="1" s="1"/>
  <c r="L11" i="1"/>
  <c r="I47" i="1" s="1"/>
  <c r="I7" i="1"/>
  <c r="H34" i="1" s="1"/>
  <c r="L7" i="1"/>
  <c r="I35" i="1" s="1"/>
  <c r="J7" i="1"/>
  <c r="I34" i="1" s="1"/>
  <c r="H35" i="1" s="1"/>
  <c r="I3" i="1"/>
  <c r="H22" i="1" s="1"/>
  <c r="J3" i="1"/>
  <c r="I22" i="1" s="1"/>
  <c r="H23" i="1" s="1"/>
  <c r="L3" i="1"/>
  <c r="I23" i="1" s="1"/>
  <c r="L12" i="1"/>
  <c r="I50" i="1" s="1"/>
  <c r="J12" i="1"/>
  <c r="I49" i="1" s="1"/>
  <c r="H50" i="1" s="1"/>
  <c r="I12" i="1"/>
  <c r="H49" i="1" s="1"/>
  <c r="L8" i="1"/>
  <c r="I38" i="1" s="1"/>
  <c r="J8" i="1"/>
  <c r="I37" i="1" s="1"/>
  <c r="H38" i="1" s="1"/>
  <c r="I8" i="1"/>
  <c r="H37" i="1" s="1"/>
  <c r="L4" i="1"/>
  <c r="I26" i="1" s="1"/>
  <c r="J4" i="1"/>
  <c r="I25" i="1" s="1"/>
  <c r="H26" i="1" s="1"/>
  <c r="I4" i="1"/>
  <c r="H25" i="1" s="1"/>
  <c r="I10" i="1"/>
  <c r="H43" i="1" s="1"/>
  <c r="L10" i="1"/>
  <c r="I44" i="1" s="1"/>
  <c r="J10" i="1"/>
  <c r="I43" i="1" s="1"/>
  <c r="H44" i="1" s="1"/>
  <c r="I6" i="1"/>
  <c r="H31" i="1" s="1"/>
  <c r="L6" i="1"/>
  <c r="I32" i="1" s="1"/>
  <c r="J6" i="1"/>
  <c r="I31" i="1" s="1"/>
  <c r="H32" i="1" s="1"/>
  <c r="I2" i="1"/>
  <c r="L2" i="1"/>
  <c r="J2" i="1"/>
  <c r="L13" i="1"/>
  <c r="I53" i="1" s="1"/>
  <c r="J13" i="1"/>
  <c r="I52" i="1" s="1"/>
  <c r="H53" i="1" s="1"/>
  <c r="I13" i="1"/>
  <c r="H52" i="1" s="1"/>
  <c r="L9" i="1"/>
  <c r="I41" i="1" s="1"/>
  <c r="J9" i="1"/>
  <c r="I40" i="1" s="1"/>
  <c r="H41" i="1" s="1"/>
  <c r="I9" i="1"/>
  <c r="H40" i="1" s="1"/>
  <c r="L5" i="1"/>
  <c r="I29" i="1" s="1"/>
  <c r="J5" i="1"/>
  <c r="I28" i="1" s="1"/>
  <c r="H29" i="1" s="1"/>
  <c r="I5" i="1"/>
  <c r="H28" i="1" s="1"/>
  <c r="J21" i="1"/>
  <c r="D20" i="1"/>
  <c r="I21" i="1"/>
  <c r="D43" i="1"/>
  <c r="D29" i="1"/>
  <c r="C26" i="1"/>
  <c r="D52" i="1"/>
  <c r="D32" i="1"/>
  <c r="D41" i="1"/>
  <c r="D23" i="1"/>
  <c r="D46" i="1"/>
  <c r="D53" i="1"/>
  <c r="B27" i="1"/>
  <c r="D34" i="1"/>
  <c r="D44" i="1"/>
  <c r="D19" i="1"/>
  <c r="H21" i="1"/>
  <c r="D35" i="1"/>
  <c r="D37" i="1"/>
  <c r="C27" i="1"/>
  <c r="D26" i="1"/>
  <c r="D25" i="1"/>
  <c r="D50" i="1"/>
  <c r="D31" i="1"/>
  <c r="D49" i="1"/>
  <c r="E49" i="1" s="1" a="1"/>
  <c r="D47" i="1"/>
  <c r="D22" i="1"/>
  <c r="C25" i="1"/>
  <c r="D40" i="1"/>
  <c r="D27" i="1"/>
  <c r="D38" i="1"/>
  <c r="D28" i="1"/>
  <c r="E31" i="1" l="1" a="1"/>
  <c r="G33" i="1" s="1"/>
  <c r="E22" i="1" a="1"/>
  <c r="E24" i="1" s="1"/>
  <c r="E40" i="1" a="1"/>
  <c r="G42" i="1" s="1"/>
  <c r="E19" i="1" a="1"/>
  <c r="F19" i="1" s="1"/>
  <c r="E43" i="1" a="1"/>
  <c r="G43" i="1" s="1"/>
  <c r="E28" i="1" a="1"/>
  <c r="G28" i="1" s="1"/>
  <c r="E37" i="1" a="1"/>
  <c r="E37" i="1" s="1"/>
  <c r="E34" i="1" a="1"/>
  <c r="G36" i="1" s="1"/>
  <c r="E46" i="1" a="1"/>
  <c r="E46" i="1" s="1"/>
  <c r="E52" i="1" a="1"/>
  <c r="G52" i="1" s="1"/>
  <c r="G51" i="1"/>
  <c r="G49" i="1"/>
  <c r="E49" i="1"/>
  <c r="G50" i="1"/>
  <c r="E51" i="1"/>
  <c r="F50" i="1"/>
  <c r="E50" i="1"/>
  <c r="F49" i="1"/>
  <c r="F51" i="1"/>
  <c r="E25" i="1" a="1"/>
  <c r="I20" i="1"/>
  <c r="H19" i="1"/>
  <c r="I19" i="1"/>
  <c r="H20" i="1" s="1"/>
  <c r="F21" i="1" l="1"/>
  <c r="E21" i="1"/>
  <c r="E31" i="1"/>
  <c r="F31" i="1"/>
  <c r="F22" i="1"/>
  <c r="G20" i="1"/>
  <c r="E20" i="1"/>
  <c r="K49" i="1" a="1"/>
  <c r="E19" i="1"/>
  <c r="F24" i="1"/>
  <c r="F23" i="1"/>
  <c r="E22" i="1"/>
  <c r="F33" i="1"/>
  <c r="E33" i="1"/>
  <c r="E44" i="1"/>
  <c r="F43" i="1"/>
  <c r="E45" i="1"/>
  <c r="G45" i="1"/>
  <c r="E47" i="1"/>
  <c r="G32" i="1"/>
  <c r="E32" i="1"/>
  <c r="F32" i="1"/>
  <c r="G31" i="1"/>
  <c r="F20" i="1"/>
  <c r="G22" i="1"/>
  <c r="G23" i="1"/>
  <c r="G24" i="1"/>
  <c r="E23" i="1"/>
  <c r="E41" i="1"/>
  <c r="G41" i="1"/>
  <c r="F40" i="1"/>
  <c r="E40" i="1"/>
  <c r="F41" i="1"/>
  <c r="G40" i="1"/>
  <c r="F42" i="1"/>
  <c r="E42" i="1"/>
  <c r="G37" i="1"/>
  <c r="G44" i="1"/>
  <c r="E30" i="1"/>
  <c r="F45" i="1"/>
  <c r="E43" i="1"/>
  <c r="G48" i="1"/>
  <c r="G19" i="1"/>
  <c r="G21" i="1"/>
  <c r="F44" i="1"/>
  <c r="G34" i="1"/>
  <c r="F37" i="1"/>
  <c r="F35" i="1"/>
  <c r="F34" i="1"/>
  <c r="F36" i="1"/>
  <c r="G35" i="1"/>
  <c r="E34" i="1"/>
  <c r="F38" i="1"/>
  <c r="E35" i="1"/>
  <c r="E36" i="1"/>
  <c r="G30" i="1"/>
  <c r="F39" i="1"/>
  <c r="E29" i="1"/>
  <c r="F28" i="1"/>
  <c r="G29" i="1"/>
  <c r="F47" i="1"/>
  <c r="E38" i="1"/>
  <c r="E39" i="1"/>
  <c r="G39" i="1"/>
  <c r="F30" i="1"/>
  <c r="E28" i="1"/>
  <c r="E48" i="1"/>
  <c r="F29" i="1"/>
  <c r="G46" i="1"/>
  <c r="G38" i="1"/>
  <c r="F52" i="1"/>
  <c r="F54" i="1"/>
  <c r="G54" i="1"/>
  <c r="E53" i="1"/>
  <c r="G53" i="1"/>
  <c r="E52" i="1"/>
  <c r="F46" i="1"/>
  <c r="G47" i="1"/>
  <c r="E54" i="1"/>
  <c r="F53" i="1"/>
  <c r="F48" i="1"/>
  <c r="G27" i="1"/>
  <c r="F25" i="1"/>
  <c r="E27" i="1"/>
  <c r="G26" i="1"/>
  <c r="G25" i="1"/>
  <c r="E25" i="1"/>
  <c r="F27" i="1"/>
  <c r="F26" i="1"/>
  <c r="E26" i="1"/>
  <c r="K40" i="1" l="1" a="1"/>
  <c r="M42" i="1" s="1"/>
  <c r="K46" i="1" a="1"/>
  <c r="M48" i="1" s="1"/>
  <c r="K31" i="1" a="1"/>
  <c r="K33" i="1" s="1"/>
  <c r="K37" i="1" a="1"/>
  <c r="M39" i="1" s="1"/>
  <c r="K52" i="1" a="1"/>
  <c r="K34" i="1" a="1"/>
  <c r="K28" i="1" a="1"/>
  <c r="K22" i="1" a="1"/>
  <c r="K43" i="1" a="1"/>
  <c r="K25" i="1" a="1"/>
  <c r="K19" i="1" a="1"/>
  <c r="L51" i="1"/>
  <c r="K51" i="1"/>
  <c r="M51" i="1"/>
  <c r="K49" i="1"/>
  <c r="L49" i="1"/>
  <c r="M49" i="1"/>
  <c r="M50" i="1"/>
  <c r="K50" i="1"/>
  <c r="L50" i="1"/>
  <c r="M41" i="1" l="1"/>
  <c r="L42" i="1"/>
  <c r="K42" i="1"/>
  <c r="L41" i="1"/>
  <c r="K41" i="1"/>
  <c r="M40" i="1"/>
  <c r="K40" i="1"/>
  <c r="T40" i="1" s="1" a="1"/>
  <c r="L40" i="1"/>
  <c r="K46" i="1"/>
  <c r="Q46" i="1" s="1" a="1"/>
  <c r="M47" i="1"/>
  <c r="K47" i="1"/>
  <c r="M46" i="1"/>
  <c r="L46" i="1"/>
  <c r="N46" i="1" s="1" a="1"/>
  <c r="L48" i="1"/>
  <c r="L33" i="1"/>
  <c r="M32" i="1"/>
  <c r="L32" i="1"/>
  <c r="K48" i="1"/>
  <c r="T49" i="1" a="1"/>
  <c r="N49" i="1" a="1"/>
  <c r="Q49" i="1" a="1"/>
  <c r="L47" i="1"/>
  <c r="K32" i="1"/>
  <c r="M31" i="1"/>
  <c r="L31" i="1"/>
  <c r="M33" i="1"/>
  <c r="Q40" i="1" a="1"/>
  <c r="K31" i="1"/>
  <c r="M37" i="1"/>
  <c r="M38" i="1"/>
  <c r="L37" i="1"/>
  <c r="L38" i="1"/>
  <c r="K37" i="1"/>
  <c r="K39" i="1"/>
  <c r="K38" i="1"/>
  <c r="L39" i="1"/>
  <c r="K19" i="1"/>
  <c r="K21" i="1"/>
  <c r="L19" i="1"/>
  <c r="L20" i="1"/>
  <c r="M19" i="1"/>
  <c r="M20" i="1"/>
  <c r="K20" i="1"/>
  <c r="L21" i="1"/>
  <c r="M21" i="1"/>
  <c r="M27" i="1"/>
  <c r="K27" i="1"/>
  <c r="M25" i="1"/>
  <c r="L26" i="1"/>
  <c r="K25" i="1"/>
  <c r="L25" i="1"/>
  <c r="K26" i="1"/>
  <c r="M26" i="1"/>
  <c r="L27" i="1"/>
  <c r="M45" i="1"/>
  <c r="K43" i="1"/>
  <c r="L43" i="1"/>
  <c r="K44" i="1"/>
  <c r="K45" i="1"/>
  <c r="M43" i="1"/>
  <c r="L44" i="1"/>
  <c r="M44" i="1"/>
  <c r="L45" i="1"/>
  <c r="M24" i="1"/>
  <c r="L23" i="1"/>
  <c r="K22" i="1"/>
  <c r="M22" i="1"/>
  <c r="K23" i="1"/>
  <c r="M23" i="1"/>
  <c r="L24" i="1"/>
  <c r="K24" i="1"/>
  <c r="L22" i="1"/>
  <c r="M30" i="1"/>
  <c r="L29" i="1"/>
  <c r="M29" i="1"/>
  <c r="K29" i="1"/>
  <c r="K28" i="1"/>
  <c r="K30" i="1"/>
  <c r="M28" i="1"/>
  <c r="L28" i="1"/>
  <c r="L30" i="1"/>
  <c r="L36" i="1"/>
  <c r="M36" i="1"/>
  <c r="L35" i="1"/>
  <c r="K36" i="1"/>
  <c r="L34" i="1"/>
  <c r="K34" i="1"/>
  <c r="M34" i="1"/>
  <c r="K35" i="1"/>
  <c r="M35" i="1"/>
  <c r="K54" i="1"/>
  <c r="M54" i="1"/>
  <c r="K52" i="1"/>
  <c r="L52" i="1"/>
  <c r="M52" i="1"/>
  <c r="L53" i="1"/>
  <c r="K53" i="1"/>
  <c r="L54" i="1"/>
  <c r="M53" i="1"/>
  <c r="T46" i="1" l="1" a="1"/>
  <c r="V46" i="1" s="1"/>
  <c r="N40" i="1" a="1"/>
  <c r="U42" i="1"/>
  <c r="T42" i="1"/>
  <c r="T40" i="1"/>
  <c r="V42" i="1"/>
  <c r="V41" i="1"/>
  <c r="U41" i="1"/>
  <c r="U40" i="1"/>
  <c r="V40" i="1"/>
  <c r="T41" i="1"/>
  <c r="Q25" i="1" a="1"/>
  <c r="T25" i="1" a="1"/>
  <c r="N25" i="1" a="1"/>
  <c r="Q52" i="1" a="1"/>
  <c r="T52" i="1" a="1"/>
  <c r="N52" i="1" a="1"/>
  <c r="V48" i="1"/>
  <c r="V47" i="1"/>
  <c r="T46" i="1"/>
  <c r="T48" i="1"/>
  <c r="T47" i="1"/>
  <c r="U48" i="1"/>
  <c r="U46" i="1"/>
  <c r="U47" i="1"/>
  <c r="Q19" i="1" a="1"/>
  <c r="N19" i="1" a="1"/>
  <c r="T19" i="1" a="1"/>
  <c r="T31" i="1" a="1"/>
  <c r="Q31" i="1" a="1"/>
  <c r="N31" i="1" a="1"/>
  <c r="T37" i="1" a="1"/>
  <c r="Q37" i="1" a="1"/>
  <c r="N37" i="1" a="1"/>
  <c r="O50" i="1"/>
  <c r="P51" i="1"/>
  <c r="O51" i="1"/>
  <c r="N51" i="1"/>
  <c r="P50" i="1"/>
  <c r="P49" i="1"/>
  <c r="N49" i="1"/>
  <c r="N50" i="1"/>
  <c r="O49" i="1"/>
  <c r="S48" i="1"/>
  <c r="Q46" i="1"/>
  <c r="R47" i="1"/>
  <c r="Q48" i="1"/>
  <c r="R46" i="1"/>
  <c r="Q47" i="1"/>
  <c r="S46" i="1"/>
  <c r="S47" i="1"/>
  <c r="R48" i="1"/>
  <c r="N43" i="1" a="1"/>
  <c r="T43" i="1" a="1"/>
  <c r="Q43" i="1" a="1"/>
  <c r="S42" i="1"/>
  <c r="R42" i="1"/>
  <c r="Q41" i="1"/>
  <c r="S41" i="1"/>
  <c r="Q42" i="1"/>
  <c r="Q40" i="1"/>
  <c r="S40" i="1"/>
  <c r="R40" i="1"/>
  <c r="R41" i="1"/>
  <c r="V51" i="1"/>
  <c r="V50" i="1"/>
  <c r="U50" i="1"/>
  <c r="T51" i="1"/>
  <c r="U51" i="1"/>
  <c r="T50" i="1"/>
  <c r="T49" i="1"/>
  <c r="U49" i="1"/>
  <c r="V49" i="1"/>
  <c r="N22" i="1" a="1"/>
  <c r="T22" i="1" a="1"/>
  <c r="Q22" i="1" a="1"/>
  <c r="R51" i="1"/>
  <c r="Q51" i="1"/>
  <c r="S51" i="1"/>
  <c r="S50" i="1"/>
  <c r="S49" i="1"/>
  <c r="R50" i="1"/>
  <c r="R49" i="1"/>
  <c r="Q50" i="1"/>
  <c r="Q49" i="1"/>
  <c r="N41" i="1"/>
  <c r="O41" i="1"/>
  <c r="P41" i="1"/>
  <c r="N42" i="1"/>
  <c r="O40" i="1"/>
  <c r="P40" i="1"/>
  <c r="O42" i="1"/>
  <c r="P42" i="1"/>
  <c r="N40" i="1"/>
  <c r="O47" i="1"/>
  <c r="P46" i="1"/>
  <c r="N47" i="1"/>
  <c r="P48" i="1"/>
  <c r="P47" i="1"/>
  <c r="N48" i="1"/>
  <c r="O46" i="1"/>
  <c r="O48" i="1"/>
  <c r="N46" i="1"/>
  <c r="T28" i="1" a="1"/>
  <c r="Q28" i="1" a="1"/>
  <c r="N28" i="1" a="1"/>
  <c r="T34" i="1" a="1"/>
  <c r="Q34" i="1" a="1"/>
  <c r="N34" i="1" a="1"/>
  <c r="O26" i="1" l="1"/>
  <c r="N26" i="1"/>
  <c r="P26" i="1"/>
  <c r="N27" i="1"/>
  <c r="O27" i="1"/>
  <c r="P27" i="1"/>
  <c r="N25" i="1"/>
  <c r="O25" i="1"/>
  <c r="P25" i="1"/>
  <c r="O53" i="1"/>
  <c r="N52" i="1"/>
  <c r="O52" i="1"/>
  <c r="P52" i="1"/>
  <c r="N53" i="1"/>
  <c r="P54" i="1"/>
  <c r="P53" i="1"/>
  <c r="N54" i="1"/>
  <c r="O54" i="1"/>
  <c r="S54" i="1"/>
  <c r="R52" i="1"/>
  <c r="Q53" i="1"/>
  <c r="R54" i="1"/>
  <c r="S53" i="1"/>
  <c r="Q52" i="1"/>
  <c r="S52" i="1"/>
  <c r="R53" i="1"/>
  <c r="Q54" i="1"/>
  <c r="O35" i="1"/>
  <c r="N35" i="1"/>
  <c r="P34" i="1"/>
  <c r="O34" i="1"/>
  <c r="P35" i="1"/>
  <c r="O36" i="1"/>
  <c r="N36" i="1"/>
  <c r="P36" i="1"/>
  <c r="N34" i="1"/>
  <c r="V36" i="1"/>
  <c r="U36" i="1"/>
  <c r="V35" i="1"/>
  <c r="T34" i="1"/>
  <c r="U34" i="1"/>
  <c r="V34" i="1"/>
  <c r="T35" i="1"/>
  <c r="U35" i="1"/>
  <c r="T36" i="1"/>
  <c r="O29" i="1"/>
  <c r="N29" i="1"/>
  <c r="P29" i="1"/>
  <c r="N30" i="1"/>
  <c r="P30" i="1"/>
  <c r="P28" i="1"/>
  <c r="O30" i="1"/>
  <c r="N28" i="1"/>
  <c r="O28" i="1"/>
  <c r="S39" i="1"/>
  <c r="S37" i="1"/>
  <c r="Q39" i="1"/>
  <c r="Q38" i="1"/>
  <c r="S38" i="1"/>
  <c r="Q37" i="1"/>
  <c r="R38" i="1"/>
  <c r="R39" i="1"/>
  <c r="R37" i="1"/>
  <c r="V30" i="1"/>
  <c r="T29" i="1"/>
  <c r="V29" i="1"/>
  <c r="U30" i="1"/>
  <c r="T28" i="1"/>
  <c r="U28" i="1"/>
  <c r="V28" i="1"/>
  <c r="U29" i="1"/>
  <c r="T30" i="1"/>
  <c r="V39" i="1"/>
  <c r="U37" i="1"/>
  <c r="U39" i="1"/>
  <c r="V37" i="1"/>
  <c r="U38" i="1"/>
  <c r="V38" i="1"/>
  <c r="T38" i="1"/>
  <c r="T37" i="1"/>
  <c r="T39" i="1"/>
  <c r="O32" i="1"/>
  <c r="N32" i="1"/>
  <c r="P32" i="1"/>
  <c r="O33" i="1"/>
  <c r="N33" i="1"/>
  <c r="O31" i="1"/>
  <c r="P33" i="1"/>
  <c r="P31" i="1"/>
  <c r="N31" i="1"/>
  <c r="Q36" i="1"/>
  <c r="R35" i="1"/>
  <c r="R34" i="1"/>
  <c r="Q35" i="1"/>
  <c r="R36" i="1"/>
  <c r="S35" i="1"/>
  <c r="S36" i="1"/>
  <c r="Q34" i="1"/>
  <c r="S34" i="1"/>
  <c r="S30" i="1"/>
  <c r="S29" i="1"/>
  <c r="Q30" i="1"/>
  <c r="S28" i="1"/>
  <c r="R29" i="1"/>
  <c r="R28" i="1"/>
  <c r="Q28" i="1"/>
  <c r="R30" i="1"/>
  <c r="Q29" i="1"/>
  <c r="S33" i="1"/>
  <c r="Q32" i="1"/>
  <c r="S32" i="1"/>
  <c r="Q33" i="1"/>
  <c r="R31" i="1"/>
  <c r="S31" i="1"/>
  <c r="Q31" i="1"/>
  <c r="R33" i="1"/>
  <c r="R32" i="1"/>
  <c r="V54" i="1"/>
  <c r="T53" i="1"/>
  <c r="U54" i="1"/>
  <c r="U53" i="1"/>
  <c r="V53" i="1"/>
  <c r="T54" i="1"/>
  <c r="U52" i="1"/>
  <c r="T52" i="1"/>
  <c r="V52" i="1"/>
  <c r="V27" i="1"/>
  <c r="U27" i="1"/>
  <c r="T26" i="1"/>
  <c r="U26" i="1"/>
  <c r="V26" i="1"/>
  <c r="T25" i="1"/>
  <c r="U25" i="1"/>
  <c r="V25" i="1"/>
  <c r="T27" i="1"/>
  <c r="S27" i="1"/>
  <c r="R25" i="1"/>
  <c r="S25" i="1"/>
  <c r="Q26" i="1"/>
  <c r="Q25" i="1"/>
  <c r="Q27" i="1"/>
  <c r="R27" i="1"/>
  <c r="R26" i="1"/>
  <c r="S26" i="1"/>
  <c r="O38" i="1"/>
  <c r="N38" i="1"/>
  <c r="P38" i="1"/>
  <c r="O39" i="1"/>
  <c r="N39" i="1"/>
  <c r="P39" i="1"/>
  <c r="O37" i="1"/>
  <c r="P37" i="1"/>
  <c r="N37" i="1"/>
  <c r="S45" i="1"/>
  <c r="S43" i="1"/>
  <c r="Q43" i="1"/>
  <c r="R43" i="1"/>
  <c r="R44" i="1"/>
  <c r="Q44" i="1"/>
  <c r="S44" i="1"/>
  <c r="Q45" i="1"/>
  <c r="R45" i="1"/>
  <c r="V45" i="1"/>
  <c r="U45" i="1"/>
  <c r="V44" i="1"/>
  <c r="U44" i="1"/>
  <c r="T43" i="1"/>
  <c r="T44" i="1"/>
  <c r="T45" i="1"/>
  <c r="U43" i="1"/>
  <c r="V43" i="1"/>
  <c r="O44" i="1"/>
  <c r="P44" i="1"/>
  <c r="N45" i="1"/>
  <c r="O45" i="1"/>
  <c r="N44" i="1"/>
  <c r="P45" i="1"/>
  <c r="P43" i="1"/>
  <c r="O43" i="1"/>
  <c r="N43" i="1"/>
  <c r="V33" i="1"/>
  <c r="U33" i="1"/>
  <c r="T32" i="1"/>
  <c r="T33" i="1"/>
  <c r="T31" i="1"/>
  <c r="U31" i="1"/>
  <c r="V31" i="1"/>
  <c r="U32" i="1"/>
  <c r="V32" i="1"/>
  <c r="S24" i="1"/>
  <c r="R23" i="1"/>
  <c r="Q24" i="1"/>
  <c r="S23" i="1"/>
  <c r="Q22" i="1"/>
  <c r="R22" i="1"/>
  <c r="S22" i="1"/>
  <c r="Q23" i="1"/>
  <c r="R24" i="1"/>
  <c r="V19" i="1"/>
  <c r="V21" i="1"/>
  <c r="T21" i="1"/>
  <c r="U20" i="1"/>
  <c r="T20" i="1"/>
  <c r="T19" i="1"/>
  <c r="U21" i="1"/>
  <c r="U19" i="1"/>
  <c r="V20" i="1"/>
  <c r="V24" i="1"/>
  <c r="U23" i="1"/>
  <c r="T22" i="1"/>
  <c r="V22" i="1"/>
  <c r="T24" i="1"/>
  <c r="U22" i="1"/>
  <c r="T23" i="1"/>
  <c r="V23" i="1"/>
  <c r="U24" i="1"/>
  <c r="P19" i="1"/>
  <c r="O20" i="1"/>
  <c r="N20" i="1"/>
  <c r="O21" i="1"/>
  <c r="O19" i="1"/>
  <c r="N19" i="1"/>
  <c r="P20" i="1"/>
  <c r="P21" i="1"/>
  <c r="N21" i="1"/>
  <c r="O23" i="1"/>
  <c r="O22" i="1"/>
  <c r="P22" i="1"/>
  <c r="N23" i="1"/>
  <c r="O24" i="1"/>
  <c r="P23" i="1"/>
  <c r="N24" i="1"/>
  <c r="P24" i="1"/>
  <c r="N22" i="1"/>
  <c r="Q19" i="1"/>
  <c r="R20" i="1"/>
  <c r="Q21" i="1"/>
  <c r="Q20" i="1"/>
  <c r="Q56" i="1" s="1"/>
  <c r="S19" i="1"/>
  <c r="S55" i="1" s="1"/>
  <c r="R19" i="1"/>
  <c r="R55" i="1" s="1"/>
  <c r="S21" i="1"/>
  <c r="R21" i="1"/>
  <c r="S20" i="1"/>
  <c r="R56" i="1" l="1"/>
  <c r="V56" i="1"/>
  <c r="U57" i="1"/>
  <c r="AE19" i="1" a="1"/>
  <c r="T55" i="1"/>
  <c r="T56" i="1"/>
  <c r="U56" i="1"/>
  <c r="N57" i="1"/>
  <c r="P57" i="1"/>
  <c r="V55" i="1"/>
  <c r="Q57" i="1"/>
  <c r="Q55" i="1"/>
  <c r="AB19" i="1" a="1"/>
  <c r="U55" i="1"/>
  <c r="T57" i="1"/>
  <c r="V57" i="1"/>
  <c r="P56" i="1"/>
  <c r="Y19" i="1" a="1"/>
  <c r="N55" i="1"/>
  <c r="O55" i="1"/>
  <c r="O57" i="1"/>
  <c r="N56" i="1"/>
  <c r="O56" i="1"/>
  <c r="S56" i="1"/>
  <c r="R57" i="1"/>
  <c r="S57" i="1"/>
  <c r="P55" i="1"/>
  <c r="AB19" i="1" l="1"/>
  <c r="AB20" i="1"/>
  <c r="AB21" i="1"/>
  <c r="AD20" i="1"/>
  <c r="AC20" i="1"/>
  <c r="AC21" i="1"/>
  <c r="AD19" i="1"/>
  <c r="AD21" i="1"/>
  <c r="AC19" i="1"/>
  <c r="AG19" i="1"/>
  <c r="AF19" i="1"/>
  <c r="AF21" i="1"/>
  <c r="AE21" i="1"/>
  <c r="AG20" i="1"/>
  <c r="AF20" i="1"/>
  <c r="AE19" i="1"/>
  <c r="AG21" i="1"/>
  <c r="AE20" i="1"/>
  <c r="Z19" i="1"/>
  <c r="AA21" i="1"/>
  <c r="Y19" i="1"/>
  <c r="Z21" i="1"/>
  <c r="Y21" i="1"/>
  <c r="AA20" i="1"/>
  <c r="Z20" i="1"/>
  <c r="Y20" i="1"/>
  <c r="AA19" i="1"/>
  <c r="Y24" i="1" l="1" a="1"/>
  <c r="Y24" i="1" l="1"/>
  <c r="Z24" i="1"/>
  <c r="AA24" i="1"/>
  <c r="Z25" i="1"/>
  <c r="AA25" i="1"/>
  <c r="Y25" i="1"/>
  <c r="Y26" i="1"/>
  <c r="Z26" i="1"/>
  <c r="AA26" i="1"/>
  <c r="Y27" i="1" l="1" a="1"/>
  <c r="AB24" i="1" a="1"/>
  <c r="Y27" i="1" l="1"/>
  <c r="Z28" i="1"/>
  <c r="AA28" i="1"/>
  <c r="Z27" i="1"/>
  <c r="AA27" i="1"/>
  <c r="Y29" i="1"/>
  <c r="Z29" i="1"/>
  <c r="Y28" i="1"/>
  <c r="AA29" i="1"/>
  <c r="AB24" i="1"/>
  <c r="AD24" i="1"/>
  <c r="AC25" i="1"/>
  <c r="AD25" i="1"/>
  <c r="AC26" i="1"/>
  <c r="AD26" i="1"/>
  <c r="AB26" i="1"/>
  <c r="AB25" i="1"/>
  <c r="AC24" i="1"/>
  <c r="AB27" i="1" l="1" a="1"/>
  <c r="AC29" i="1" l="1"/>
  <c r="AB27" i="1"/>
  <c r="AD29" i="1"/>
  <c r="AB29" i="1"/>
  <c r="AD28" i="1"/>
  <c r="AC28" i="1"/>
  <c r="AB28" i="1"/>
  <c r="AD27" i="1"/>
  <c r="AC27" i="1"/>
  <c r="AB35" i="1" l="1" a="1"/>
  <c r="AB35" i="1" s="1"/>
  <c r="AC36" i="1" l="1"/>
  <c r="AD36" i="1"/>
  <c r="AB36" i="1"/>
  <c r="AC37" i="1"/>
  <c r="AC35" i="1"/>
  <c r="AD35" i="1"/>
  <c r="AD37" i="1"/>
  <c r="AB37" i="1"/>
  <c r="Y35" i="1" l="1" a="1"/>
  <c r="Y36" i="1" s="1"/>
  <c r="AB32" i="1" a="1"/>
  <c r="AC32" i="1" s="1"/>
  <c r="Z36" i="1" l="1"/>
  <c r="Z35" i="1"/>
  <c r="AA36" i="1"/>
  <c r="Y35" i="1"/>
  <c r="AA37" i="1"/>
  <c r="Z37" i="1"/>
  <c r="AA35" i="1"/>
  <c r="Y37" i="1"/>
  <c r="AB32" i="1"/>
  <c r="AB34" i="1"/>
  <c r="AB33" i="1"/>
  <c r="AD32" i="1"/>
  <c r="AC33" i="1"/>
  <c r="AD33" i="1"/>
  <c r="AC34" i="1"/>
  <c r="AD34" i="1"/>
  <c r="Y32" i="1" l="1" a="1"/>
  <c r="Y32" i="1" s="1"/>
  <c r="Z33" i="1" l="1"/>
  <c r="AA33" i="1"/>
  <c r="Y33" i="1"/>
  <c r="AA32" i="1"/>
  <c r="AA34" i="1"/>
  <c r="Z34" i="1"/>
  <c r="Y34" i="1"/>
  <c r="Z32" i="1"/>
  <c r="AH32" i="1" l="1" a="1"/>
  <c r="AH35" i="1" s="1"/>
  <c r="AH36" i="1" l="1"/>
  <c r="AH32" i="1"/>
  <c r="AH33" i="1"/>
  <c r="AH37" i="1"/>
  <c r="AH34" i="1"/>
  <c r="W37" i="1" l="1" a="1"/>
  <c r="AI32" i="1" a="1"/>
  <c r="W25" i="1" a="1"/>
  <c r="W19" i="1" a="1"/>
  <c r="W34" i="1" a="1"/>
  <c r="W52" i="1" a="1"/>
  <c r="W49" i="1" a="1"/>
  <c r="W46" i="1" a="1"/>
  <c r="W43" i="1" a="1"/>
  <c r="W28" i="1" a="1"/>
  <c r="W22" i="1" a="1"/>
  <c r="W40" i="1" a="1"/>
  <c r="W31" i="1" a="1"/>
  <c r="W42" i="1" l="1"/>
  <c r="W41" i="1"/>
  <c r="W40" i="1"/>
  <c r="W45" i="1"/>
  <c r="W44" i="1"/>
  <c r="W43" i="1"/>
  <c r="W50" i="1"/>
  <c r="W51" i="1"/>
  <c r="W49" i="1"/>
  <c r="W36" i="1"/>
  <c r="W34" i="1"/>
  <c r="W35" i="1"/>
  <c r="W30" i="1"/>
  <c r="W29" i="1"/>
  <c r="W28" i="1"/>
  <c r="W19" i="1"/>
  <c r="W21" i="1"/>
  <c r="W20" i="1"/>
  <c r="W27" i="1"/>
  <c r="W25" i="1"/>
  <c r="W26" i="1"/>
  <c r="W31" i="1"/>
  <c r="W33" i="1"/>
  <c r="W32" i="1"/>
  <c r="W24" i="1"/>
  <c r="W23" i="1"/>
  <c r="W22" i="1"/>
  <c r="W46" i="1"/>
  <c r="W48" i="1"/>
  <c r="W47" i="1"/>
  <c r="W53" i="1"/>
  <c r="W52" i="1"/>
  <c r="W54" i="1"/>
  <c r="AI32" i="1"/>
  <c r="AI37" i="1" s="1"/>
  <c r="AI33" i="1"/>
  <c r="AI38" i="1" s="1"/>
  <c r="AI34" i="1"/>
  <c r="AI39" i="1" s="1"/>
  <c r="W39" i="1"/>
  <c r="W37" i="1"/>
  <c r="W38" i="1"/>
</calcChain>
</file>

<file path=xl/sharedStrings.xml><?xml version="1.0" encoding="utf-8"?>
<sst xmlns="http://schemas.openxmlformats.org/spreadsheetml/2006/main" count="105" uniqueCount="80">
  <si>
    <t>Ply_ID</t>
  </si>
  <si>
    <t>E1</t>
  </si>
  <si>
    <t>E2</t>
  </si>
  <si>
    <t>G12</t>
  </si>
  <si>
    <t>theta</t>
  </si>
  <si>
    <t>t</t>
  </si>
  <si>
    <t>nu12</t>
  </si>
  <si>
    <t>q11</t>
  </si>
  <si>
    <t>q22</t>
  </si>
  <si>
    <t>q12</t>
  </si>
  <si>
    <t>q16</t>
  </si>
  <si>
    <t>q26</t>
  </si>
  <si>
    <t>q66</t>
  </si>
  <si>
    <t>nu21</t>
  </si>
  <si>
    <t>m</t>
  </si>
  <si>
    <t>n</t>
  </si>
  <si>
    <t>t11</t>
  </si>
  <si>
    <t>t12</t>
  </si>
  <si>
    <t>t13</t>
  </si>
  <si>
    <t>t21</t>
  </si>
  <si>
    <t>t22</t>
  </si>
  <si>
    <t>t23</t>
  </si>
  <si>
    <t>t31</t>
  </si>
  <si>
    <t>t32</t>
  </si>
  <si>
    <t>t33</t>
  </si>
  <si>
    <t>T</t>
  </si>
  <si>
    <t>Q</t>
  </si>
  <si>
    <t>A</t>
  </si>
  <si>
    <t>B</t>
  </si>
  <si>
    <t>D</t>
  </si>
  <si>
    <t>T_inv</t>
  </si>
  <si>
    <t>Q_bar</t>
  </si>
  <si>
    <t>zk</t>
  </si>
  <si>
    <t>Aij</t>
  </si>
  <si>
    <t>Bij</t>
  </si>
  <si>
    <t>Dij</t>
  </si>
  <si>
    <t>Laminate</t>
  </si>
  <si>
    <t>A*</t>
  </si>
  <si>
    <t>B*</t>
  </si>
  <si>
    <t>C*</t>
  </si>
  <si>
    <t>D*</t>
  </si>
  <si>
    <t>A'</t>
  </si>
  <si>
    <t>B'</t>
  </si>
  <si>
    <t>C'</t>
  </si>
  <si>
    <t>D'</t>
  </si>
  <si>
    <t>ID</t>
  </si>
  <si>
    <t>CSys ID</t>
  </si>
  <si>
    <t>32..253_JDH5J3MMI.000.N.SLBN_CPMAX_ULTIMATE, BUCKLING CASE, 7206..Plate X Membrane Force</t>
  </si>
  <si>
    <t>32..253_JDH5J3MMI.000.N.SLBN_CPMAX_ULTIMATE, BUCKLING CASE, 7207..Plate Y Membrane Force</t>
  </si>
  <si>
    <t>32..253_JDH5J3MMI.000.N.SLBN_CPMAX_ULTIMATE, BUCKLING CASE, 7208..Plate XY Membrane Force</t>
  </si>
  <si>
    <t>32..253_JDH5J3MMI.000.N.SLBN_CPMAX_ULTIMATE, BUCKLING CASE, 7211..Plate X Bending Moment</t>
  </si>
  <si>
    <t>32..253_JDH5J3MMI.000.N.SLBN_CPMAX_ULTIMATE, BUCKLING CASE, 7212..Plate Y Bending Moment</t>
  </si>
  <si>
    <t>32..253_JDH5J3MMI.000.N.SLBN_CPMAX_ULTIMATE, BUCKLING CASE, 7213..Plate XY Bending Moment</t>
  </si>
  <si>
    <t>32..253_JDH5J3MMI.000.N.SLBN_CPMAX_ULTIMATE, BUCKLING CASE, 1000065..Lam Ply1 X Normal Strain</t>
  </si>
  <si>
    <t>32..253_JDH5J3MMI.000.N.SLBN_CPMAX_ULTIMATE, BUCKLING CASE, 1000066..Lam Ply1 Y Normal Strain</t>
  </si>
  <si>
    <t>32..253_JDH5J3MMI.000.N.SLBN_CPMAX_ULTIMATE, BUCKLING CASE, 1000068..Lam Ply1 XY Shear Strain</t>
  </si>
  <si>
    <t>N</t>
  </si>
  <si>
    <t>e (ply)</t>
  </si>
  <si>
    <t>z_mid</t>
  </si>
  <si>
    <t>zk1</t>
  </si>
  <si>
    <t>e_midplane</t>
  </si>
  <si>
    <t>4..45_BVH1L5.BI.000.N.SLBN_H1A_CPMIN_ULTIMATE, 7206..Plate X Membrane Force</t>
  </si>
  <si>
    <t>4..45_BVH1L5.BI.000.N.SLBN_H1A_CPMIN_ULTIMATE, 7207..Plate Y Membrane Force</t>
  </si>
  <si>
    <t>4..45_BVH1L5.BI.000.N.SLBN_H1A_CPMIN_ULTIMATE, 7208..Plate XY Membrane Force</t>
  </si>
  <si>
    <t>4..45_BVH1L5.BI.000.N.SLBN_H1A_CPMIN_ULTIMATE, 7211..Plate X Bending Moment</t>
  </si>
  <si>
    <t>4..45_BVH1L5.BI.000.N.SLBN_H1A_CPMIN_ULTIMATE, 7212..Plate Y Bending Moment</t>
  </si>
  <si>
    <t>4..45_BVH1L5.BI.000.N.SLBN_H1A_CPMIN_ULTIMATE, 7213..Plate XY Bending Moment</t>
  </si>
  <si>
    <t>4..45_BVH1L5.BI.000.N.SLBN_H1A_CPMIN_ULTIMATE, 1000065..Lam Ply1 X Normal Strain</t>
  </si>
  <si>
    <t>4..45_BVH1L5.BI.000.N.SLBN_H1A_CPMIN_ULTIMATE, 1000066..Lam Ply1 Y Normal Strain</t>
  </si>
  <si>
    <t>4..45_BVH1L5.BI.000.N.SLBN_H1A_CPMIN_ULTIMATE, 1000068..Lam Ply1 XY Shear Strain</t>
  </si>
  <si>
    <t>4..45_BVH1L5.BI.000.N.SLBN_H1A_CPMIN_ULTIMATE, 1000111..Lam Ply1 X Normal Elastic Strain</t>
  </si>
  <si>
    <t>4..45_BVH1L5.BI.000.N.SLBN_H1A_CPMIN_ULTIMATE, 1000112..Lam Ply1 Y Normal Elastic Strain</t>
  </si>
  <si>
    <t>4..45_BVH1L5.BI.000.N.SLBN_H1A_CPMIN_ULTIMATE, 1000114..Lam Ply1 XY Shear Elastic Strain</t>
  </si>
  <si>
    <t>32..253_JDH5J3MMI.000.N.SLBN_CPMAX_ULTIMATE, BUCKLING CASE, 1000111..Lam Ply1 X Normal Elastic Strain</t>
  </si>
  <si>
    <t>32..253_JDH5J3MMI.000.N.SLBN_CPMAX_ULTIMATE, BUCKLING CASE, 1000112..Lam Ply1 Y Normal Elastic Strain</t>
  </si>
  <si>
    <t>32..253_JDH5J3MMI.000.N.SLBN_CPMAX_ULTIMATE, BUCKLING CASE, 1000114..Lam Ply1 XY Shear Elastic Strain</t>
  </si>
  <si>
    <t>Plates/Laminates: Transformed to Material Coordinate System</t>
  </si>
  <si>
    <t>normal stn</t>
  </si>
  <si>
    <t>elastic strn</t>
  </si>
  <si>
    <t>femap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</si>
</sst>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7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horizontal="right"/>
    </xf>
    <xf numFmtId="11" fontId="0" fillId="0" borderId="13" xfId="0" applyNumberFormat="1" applyBorder="1"/>
    <xf numFmtId="11" fontId="0" fillId="0" borderId="14" xfId="0" applyNumberFormat="1" applyBorder="1"/>
    <xf numFmtId="11" fontId="0" fillId="0" borderId="15" xfId="0" applyNumberFormat="1" applyBorder="1"/>
    <xf numFmtId="11" fontId="0" fillId="0" borderId="16" xfId="0" applyNumberFormat="1" applyBorder="1"/>
    <xf numFmtId="11" fontId="0" fillId="0" borderId="10" xfId="0" applyNumberFormat="1" applyBorder="1"/>
    <xf numFmtId="11" fontId="0" fillId="0" borderId="17" xfId="0" applyNumberFormat="1" applyBorder="1"/>
    <xf numFmtId="11" fontId="0" fillId="0" borderId="18" xfId="0" applyNumberFormat="1" applyBorder="1"/>
    <xf numFmtId="11" fontId="0" fillId="0" borderId="19" xfId="0" applyNumberFormat="1" applyBorder="1"/>
    <xf numFmtId="11" fontId="0" fillId="0" borderId="20" xfId="0" applyNumberFormat="1" applyBorder="1"/>
    <xf numFmtId="11" fontId="0" fillId="0" borderId="0" xfId="0" applyNumberFormat="1"/>
    <xf numFmtId="164" fontId="0" fillId="0" borderId="0" xfId="0" applyNumberFormat="1"/>
    <xf numFmtId="0" fontId="0" fillId="0" borderId="0" xfId="0" applyNumberFormat="1"/>
    <xf numFmtId="177" fontId="0" fillId="0" borderId="13" xfId="0" applyNumberFormat="1" applyBorder="1"/>
    <xf numFmtId="177" fontId="0" fillId="0" borderId="14" xfId="0" applyNumberFormat="1" applyBorder="1"/>
    <xf numFmtId="177" fontId="0" fillId="0" borderId="15" xfId="0" applyNumberFormat="1" applyBorder="1"/>
    <xf numFmtId="177" fontId="0" fillId="0" borderId="21" xfId="0" applyNumberFormat="1" applyBorder="1"/>
    <xf numFmtId="177" fontId="0" fillId="0" borderId="16" xfId="0" applyNumberFormat="1" applyBorder="1"/>
    <xf numFmtId="177" fontId="0" fillId="0" borderId="10" xfId="0" applyNumberFormat="1" applyBorder="1"/>
    <xf numFmtId="177" fontId="0" fillId="0" borderId="17" xfId="0" applyNumberFormat="1" applyBorder="1"/>
    <xf numFmtId="177" fontId="0" fillId="0" borderId="22" xfId="0" applyNumberFormat="1" applyBorder="1"/>
    <xf numFmtId="177" fontId="0" fillId="0" borderId="18" xfId="0" applyNumberFormat="1" applyBorder="1"/>
    <xf numFmtId="177" fontId="0" fillId="0" borderId="19" xfId="0" applyNumberFormat="1" applyBorder="1"/>
    <xf numFmtId="177" fontId="0" fillId="0" borderId="20" xfId="0" applyNumberFormat="1" applyBorder="1"/>
    <xf numFmtId="177" fontId="0" fillId="0" borderId="23" xfId="0" applyNumberFormat="1" applyBorder="1"/>
    <xf numFmtId="177" fontId="0" fillId="0" borderId="0" xfId="0" applyNumberFormat="1"/>
    <xf numFmtId="0" fontId="16" fillId="0" borderId="0" xfId="0" applyFont="1"/>
    <xf numFmtId="48" fontId="0" fillId="0" borderId="0" xfId="0" applyNumberFormat="1"/>
    <xf numFmtId="48" fontId="0" fillId="0" borderId="13" xfId="0" applyNumberFormat="1" applyBorder="1"/>
    <xf numFmtId="48" fontId="0" fillId="0" borderId="14" xfId="0" applyNumberFormat="1" applyBorder="1"/>
    <xf numFmtId="48" fontId="0" fillId="0" borderId="15" xfId="0" applyNumberFormat="1" applyBorder="1"/>
    <xf numFmtId="48" fontId="0" fillId="0" borderId="16" xfId="0" applyNumberFormat="1" applyBorder="1"/>
    <xf numFmtId="48" fontId="0" fillId="0" borderId="10" xfId="0" applyNumberFormat="1" applyBorder="1"/>
    <xf numFmtId="48" fontId="0" fillId="0" borderId="17" xfId="0" applyNumberFormat="1" applyBorder="1"/>
    <xf numFmtId="48" fontId="0" fillId="0" borderId="18" xfId="0" applyNumberFormat="1" applyBorder="1"/>
    <xf numFmtId="48" fontId="0" fillId="0" borderId="19" xfId="0" applyNumberFormat="1" applyBorder="1"/>
    <xf numFmtId="48" fontId="0" fillId="0" borderId="20" xfId="0" applyNumberFormat="1" applyBorder="1"/>
    <xf numFmtId="48" fontId="18" fillId="0" borderId="24" xfId="0" applyNumberFormat="1" applyFont="1" applyBorder="1"/>
    <xf numFmtId="48" fontId="18" fillId="0" borderId="25" xfId="0" applyNumberFormat="1" applyFont="1" applyBorder="1"/>
    <xf numFmtId="48" fontId="18" fillId="0" borderId="2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B13">
  <tableColumns count="28">
    <tableColumn id="1" name="Ply_ID"/>
    <tableColumn id="2" name="E1"/>
    <tableColumn id="3" name="E2"/>
    <tableColumn id="4" name="G12"/>
    <tableColumn id="5" name="nu12"/>
    <tableColumn id="6" name="nu21">
      <calculatedColumnFormula>E2*C2/B2</calculatedColumnFormula>
    </tableColumn>
    <tableColumn id="7" name="theta"/>
    <tableColumn id="8" name="t"/>
    <tableColumn id="9" name="q11" dataDxfId="28">
      <calculatedColumnFormula>Table1[[#This Row],[E1]]/(1-Table1[[#This Row],[nu12]]*Table1[[#This Row],[nu21]])</calculatedColumnFormula>
    </tableColumn>
    <tableColumn id="10" name="q12" dataDxfId="27">
      <calculatedColumnFormula>Table1[[#This Row],[nu12]]*Table1[[#This Row],[E2]]/(1-Table1[[#This Row],[nu12]]*Table1[[#This Row],[nu21]])</calculatedColumnFormula>
    </tableColumn>
    <tableColumn id="11" name="q16"/>
    <tableColumn id="13" name="q22" dataDxfId="26">
      <calculatedColumnFormula>Table1[[#This Row],[E2]]/(1-Table1[[#This Row],[nu12]]*Table1[[#This Row],[nu21]])</calculatedColumnFormula>
    </tableColumn>
    <tableColumn id="14" name="q26"/>
    <tableColumn id="17" name="q66" dataDxfId="25">
      <calculatedColumnFormula>Table1[[#This Row],[G12]]</calculatedColumnFormula>
    </tableColumn>
    <tableColumn id="18" name="m" dataDxfId="24" totalsRowDxfId="23">
      <calculatedColumnFormula>COS(RADIANS(Table1[[#This Row],[theta]]))</calculatedColumnFormula>
    </tableColumn>
    <tableColumn id="19" name="n" dataDxfId="22" totalsRowDxfId="21">
      <calculatedColumnFormula>SIN(RADIANS(Table1[[#This Row],[theta]]))</calculatedColumnFormula>
    </tableColumn>
    <tableColumn id="20" name="t11" dataDxfId="20" totalsRowDxfId="19">
      <calculatedColumnFormula>Table1[[#This Row],[m]]^2</calculatedColumnFormula>
    </tableColumn>
    <tableColumn id="21" name="t12" dataDxfId="18" totalsRowDxfId="17">
      <calculatedColumnFormula>Table1[[#This Row],[n]]^2</calculatedColumnFormula>
    </tableColumn>
    <tableColumn id="22" name="t13" dataDxfId="16" totalsRowDxfId="15">
      <calculatedColumnFormula>2*Table1[[#This Row],[m]]*Table1[[#This Row],[n]]</calculatedColumnFormula>
    </tableColumn>
    <tableColumn id="23" name="t21" dataDxfId="14" totalsRowDxfId="13">
      <calculatedColumnFormula>Table1[[#This Row],[n]]^2</calculatedColumnFormula>
    </tableColumn>
    <tableColumn id="24" name="t22" dataDxfId="12" totalsRowDxfId="11">
      <calculatedColumnFormula>Table1[[#This Row],[m]]^2</calculatedColumnFormula>
    </tableColumn>
    <tableColumn id="25" name="t23" dataDxfId="10" totalsRowDxfId="9">
      <calculatedColumnFormula>-2*Table1[[#This Row],[m]]*Table1[[#This Row],[n]]</calculatedColumnFormula>
    </tableColumn>
    <tableColumn id="26" name="t31" dataDxfId="8" totalsRowDxfId="7">
      <calculatedColumnFormula>-Table1[[#This Row],[m]]*Table1[[#This Row],[n]]</calculatedColumnFormula>
    </tableColumn>
    <tableColumn id="27" name="t32" dataDxfId="6" totalsRowDxfId="5">
      <calculatedColumnFormula>Table1[[#This Row],[m]]*Table1[[#This Row],[n]]</calculatedColumnFormula>
    </tableColumn>
    <tableColumn id="28" name="t33" dataDxfId="4" totalsRowDxfId="3">
      <calculatedColumnFormula>Table1[[#This Row],[m]]^2-Table1[[#This Row],[n]]^2</calculatedColumnFormula>
    </tableColumn>
    <tableColumn id="30" name="z_mid" dataDxfId="2"/>
    <tableColumn id="12" name="zk" dataDxfId="1">
      <calculatedColumnFormula>Table1[[#This Row],[z_mid]]+Table1[[#This Row],[t]]/2</calculatedColumnFormula>
    </tableColumn>
    <tableColumn id="15" name="zk1" dataDxfId="0">
      <calculatedColumnFormula>Table1[[#This Row],[z_mid]]-Table1[[#This Row],[t]]/2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D3" sqref="D3"/>
    </sheetView>
  </sheetViews>
  <sheetFormatPr defaultRowHeight="15" x14ac:dyDescent="0.25"/>
  <cols>
    <col min="1" max="1" width="99.140625" customWidth="1"/>
    <col min="3" max="3" width="10.28515625" bestFit="1" customWidth="1"/>
    <col min="14" max="15" width="9.28515625" bestFit="1" customWidth="1"/>
    <col min="16" max="16" width="12.7109375" bestFit="1" customWidth="1"/>
  </cols>
  <sheetData>
    <row r="1" spans="1:29" x14ac:dyDescent="0.25">
      <c r="A1" t="s">
        <v>45</v>
      </c>
      <c r="B1" t="s">
        <v>76</v>
      </c>
      <c r="C1">
        <v>2005081</v>
      </c>
    </row>
    <row r="2" spans="1:29" x14ac:dyDescent="0.25">
      <c r="A2" t="s">
        <v>46</v>
      </c>
      <c r="B2" t="s">
        <v>76</v>
      </c>
      <c r="C2">
        <v>0</v>
      </c>
    </row>
    <row r="3" spans="1:29" x14ac:dyDescent="0.25">
      <c r="A3" t="s">
        <v>61</v>
      </c>
      <c r="B3" t="s">
        <v>76</v>
      </c>
      <c r="C3" s="41">
        <v>0.31361099999999997</v>
      </c>
      <c r="E3" t="str">
        <f>MID(A3, LEN("4..45_BVH1L5.BI.000.N.SLBN_H1A_CPMIN_ULTIMATE,  "), LEN(A3))</f>
        <v>7206..Plate X Membrane Force</v>
      </c>
    </row>
    <row r="4" spans="1:29" x14ac:dyDescent="0.25">
      <c r="A4" t="s">
        <v>62</v>
      </c>
      <c r="B4" t="s">
        <v>76</v>
      </c>
      <c r="C4" s="41">
        <v>0.18994</v>
      </c>
      <c r="E4" t="str">
        <f t="shared" ref="E4:E14" si="0">MID(A4, LEN("4..45_BVH1L5.BI.000.N.SLBN_H1A_CPMIN_ULTIMATE,  "), LEN(A4))</f>
        <v>7207..Plate Y Membrane Force</v>
      </c>
    </row>
    <row r="5" spans="1:29" x14ac:dyDescent="0.25">
      <c r="A5" t="s">
        <v>63</v>
      </c>
      <c r="B5" t="s">
        <v>76</v>
      </c>
      <c r="C5" s="41">
        <v>-3.1113100000000001E-2</v>
      </c>
      <c r="E5" t="str">
        <f t="shared" si="0"/>
        <v>7208..Plate XY Membrane Force</v>
      </c>
    </row>
    <row r="6" spans="1:29" x14ac:dyDescent="0.25">
      <c r="A6" t="s">
        <v>64</v>
      </c>
      <c r="B6" t="s">
        <v>76</v>
      </c>
      <c r="C6" s="41">
        <v>8.4466899999999998E-2</v>
      </c>
      <c r="E6" t="str">
        <f t="shared" si="0"/>
        <v>7211..Plate X Bending Moment</v>
      </c>
    </row>
    <row r="7" spans="1:29" x14ac:dyDescent="0.25">
      <c r="A7" t="s">
        <v>65</v>
      </c>
      <c r="B7" t="s">
        <v>76</v>
      </c>
      <c r="C7" s="41">
        <v>0.16913900000000001</v>
      </c>
      <c r="E7" t="str">
        <f t="shared" si="0"/>
        <v>7212..Plate Y Bending Moment</v>
      </c>
    </row>
    <row r="8" spans="1:29" x14ac:dyDescent="0.25">
      <c r="A8" t="s">
        <v>66</v>
      </c>
      <c r="B8" t="s">
        <v>76</v>
      </c>
      <c r="C8" s="41">
        <v>3.87324E-3</v>
      </c>
      <c r="E8" t="str">
        <f t="shared" si="0"/>
        <v>7213..Plate XY Bending Moment</v>
      </c>
    </row>
    <row r="9" spans="1:29" x14ac:dyDescent="0.25">
      <c r="A9" t="s">
        <v>67</v>
      </c>
      <c r="B9" t="s">
        <v>76</v>
      </c>
      <c r="C9" s="26">
        <v>4.9720400000000001E-4</v>
      </c>
      <c r="E9" t="str">
        <f t="shared" si="0"/>
        <v>1000065..Lam Ply1 X Normal Strain</v>
      </c>
    </row>
    <row r="10" spans="1:29" x14ac:dyDescent="0.25">
      <c r="A10" t="s">
        <v>68</v>
      </c>
      <c r="B10" t="s">
        <v>76</v>
      </c>
      <c r="C10" s="26">
        <v>5.0383100000000005E-4</v>
      </c>
      <c r="E10" t="str">
        <f t="shared" si="0"/>
        <v>1000066..Lam Ply1 Y Normal Strain</v>
      </c>
    </row>
    <row r="11" spans="1:29" x14ac:dyDescent="0.25">
      <c r="A11" t="s">
        <v>69</v>
      </c>
      <c r="B11" t="s">
        <v>76</v>
      </c>
      <c r="C11" s="26">
        <v>-1.1776199999999999E-5</v>
      </c>
      <c r="E11" t="str">
        <f t="shared" si="0"/>
        <v>1000068..Lam Ply1 XY Shear Strain</v>
      </c>
    </row>
    <row r="12" spans="1:29" x14ac:dyDescent="0.25">
      <c r="A12" t="s">
        <v>70</v>
      </c>
      <c r="B12" t="s">
        <v>76</v>
      </c>
      <c r="C12" s="26">
        <v>5.2343799999999998E-5</v>
      </c>
      <c r="E12" t="str">
        <f t="shared" si="0"/>
        <v>1000111..Lam Ply1 X Normal Elastic Strain</v>
      </c>
    </row>
    <row r="13" spans="1:29" x14ac:dyDescent="0.25">
      <c r="A13" t="s">
        <v>71</v>
      </c>
      <c r="B13" t="s">
        <v>76</v>
      </c>
      <c r="C13" s="26">
        <v>5.8970700000000001E-5</v>
      </c>
      <c r="E13" t="str">
        <f t="shared" si="0"/>
        <v>1000112..Lam Ply1 Y Normal Elastic Strain</v>
      </c>
      <c r="AC13" s="25"/>
    </row>
    <row r="14" spans="1:29" x14ac:dyDescent="0.25">
      <c r="A14" t="s">
        <v>72</v>
      </c>
      <c r="B14" t="s">
        <v>76</v>
      </c>
      <c r="C14" s="26">
        <v>-1.1776199999999999E-5</v>
      </c>
      <c r="E14" t="str">
        <f t="shared" si="0"/>
        <v>1000114..Lam Ply1 XY Shear Elastic Strain</v>
      </c>
    </row>
    <row r="20" spans="1:29" x14ac:dyDescent="0.25">
      <c r="A20" t="s">
        <v>47</v>
      </c>
      <c r="B20" t="s">
        <v>76</v>
      </c>
      <c r="C20">
        <v>5.8402299999999997E-2</v>
      </c>
      <c r="E20" t="str">
        <f>MID(A20, LEN("32..253_JDH5J3MMI.000.N.SLBN_CPMAX_ULTIMATE, BUCKLING CASE,  "), LEN(A20))</f>
        <v>7206..Plate X Membrane Force</v>
      </c>
      <c r="AC20" s="25"/>
    </row>
    <row r="21" spans="1:29" x14ac:dyDescent="0.25">
      <c r="A21" t="s">
        <v>48</v>
      </c>
      <c r="B21" t="s">
        <v>76</v>
      </c>
      <c r="C21">
        <v>3.0101200000000002E-4</v>
      </c>
      <c r="E21" t="str">
        <f t="shared" ref="E21:E31" si="1">MID(A21, LEN("32..253_JDH5J3MMI.000.N.SLBN_CPMAX_ULTIMATE, BUCKLING CASE,  "), LEN(A21))</f>
        <v>7207..Plate Y Membrane Force</v>
      </c>
    </row>
    <row r="22" spans="1:29" x14ac:dyDescent="0.25">
      <c r="A22" t="s">
        <v>49</v>
      </c>
      <c r="B22" t="s">
        <v>76</v>
      </c>
      <c r="C22">
        <v>-6.4118700000000001E-3</v>
      </c>
      <c r="E22" t="str">
        <f t="shared" si="1"/>
        <v>7208..Plate XY Membrane Force</v>
      </c>
      <c r="AC22" s="25"/>
    </row>
    <row r="23" spans="1:29" x14ac:dyDescent="0.25">
      <c r="A23" t="s">
        <v>50</v>
      </c>
      <c r="B23" t="s">
        <v>76</v>
      </c>
      <c r="C23">
        <v>1.66462E-2</v>
      </c>
      <c r="E23" t="str">
        <f t="shared" si="1"/>
        <v>7211..Plate X Bending Moment</v>
      </c>
    </row>
    <row r="24" spans="1:29" x14ac:dyDescent="0.25">
      <c r="A24" t="s">
        <v>51</v>
      </c>
      <c r="B24" t="s">
        <v>76</v>
      </c>
      <c r="C24">
        <v>3.8918800000000003E-2</v>
      </c>
      <c r="E24" t="str">
        <f t="shared" si="1"/>
        <v>7212..Plate Y Bending Moment</v>
      </c>
      <c r="AC24" s="25"/>
    </row>
    <row r="25" spans="1:29" x14ac:dyDescent="0.25">
      <c r="A25" t="s">
        <v>52</v>
      </c>
      <c r="B25" t="s">
        <v>76</v>
      </c>
      <c r="C25">
        <v>2.08743E-4</v>
      </c>
      <c r="E25" t="str">
        <f t="shared" si="1"/>
        <v>7213..Plate XY Bending Moment</v>
      </c>
      <c r="AC25" s="25"/>
    </row>
    <row r="26" spans="1:29" x14ac:dyDescent="0.25">
      <c r="A26" t="s">
        <v>53</v>
      </c>
      <c r="B26" t="s">
        <v>76</v>
      </c>
      <c r="C26">
        <v>4.56277E-4</v>
      </c>
      <c r="E26" t="str">
        <f t="shared" si="1"/>
        <v>1000065..Lam Ply1 X Normal Strain</v>
      </c>
    </row>
    <row r="27" spans="1:29" x14ac:dyDescent="0.25">
      <c r="A27" t="s">
        <v>54</v>
      </c>
      <c r="B27" t="s">
        <v>76</v>
      </c>
      <c r="C27">
        <v>4.5186299999999999E-4</v>
      </c>
      <c r="E27" t="str">
        <f t="shared" si="1"/>
        <v>1000066..Lam Ply1 Y Normal Strain</v>
      </c>
    </row>
    <row r="28" spans="1:29" x14ac:dyDescent="0.25">
      <c r="A28" t="s">
        <v>55</v>
      </c>
      <c r="B28" t="s">
        <v>76</v>
      </c>
      <c r="C28" s="25">
        <v>-2.9519399999999999E-6</v>
      </c>
      <c r="E28" t="str">
        <f t="shared" si="1"/>
        <v>1000068..Lam Ply1 XY Shear Strain</v>
      </c>
    </row>
    <row r="29" spans="1:29" x14ac:dyDescent="0.25">
      <c r="A29" t="s">
        <v>73</v>
      </c>
      <c r="B29" t="s">
        <v>76</v>
      </c>
      <c r="C29">
        <v>1.14166E-5</v>
      </c>
      <c r="E29" t="str">
        <f t="shared" si="1"/>
        <v>1000111..Lam Ply1 X Normal Elastic Strain</v>
      </c>
    </row>
    <row r="30" spans="1:29" x14ac:dyDescent="0.25">
      <c r="A30" t="s">
        <v>74</v>
      </c>
      <c r="B30" t="s">
        <v>76</v>
      </c>
      <c r="C30">
        <v>7.0029999999999997E-6</v>
      </c>
      <c r="E30" t="str">
        <f t="shared" si="1"/>
        <v>1000112..Lam Ply1 Y Normal Elastic Strain</v>
      </c>
    </row>
    <row r="31" spans="1:29" x14ac:dyDescent="0.25">
      <c r="A31" t="s">
        <v>75</v>
      </c>
      <c r="B31" t="s">
        <v>76</v>
      </c>
      <c r="C31" s="25">
        <v>-2.9519399999999999E-6</v>
      </c>
      <c r="E31" t="str">
        <f t="shared" si="1"/>
        <v>1000114..Lam Ply1 XY Shear Elastic Strain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8"/>
  <sheetViews>
    <sheetView showGridLines="0" tabSelected="1" topLeftCell="F1" zoomScale="85" zoomScaleNormal="85" workbookViewId="0">
      <selection activeCell="X16" sqref="X16"/>
    </sheetView>
  </sheetViews>
  <sheetFormatPr defaultRowHeight="15" x14ac:dyDescent="0.25"/>
  <cols>
    <col min="5" max="5" width="11.85546875" bestFit="1" customWidth="1"/>
    <col min="6" max="7" width="9.28515625" bestFit="1" customWidth="1"/>
    <col min="25" max="27" width="9.7109375" customWidth="1"/>
    <col min="28" max="31" width="9" bestFit="1" customWidth="1"/>
    <col min="32" max="33" width="8.7109375" bestFit="1" customWidth="1"/>
    <col min="34" max="34" width="12.85546875" bestFit="1" customWidth="1"/>
    <col min="35" max="35" width="12.28515625" bestFit="1" customWidth="1"/>
    <col min="37" max="37" width="12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13</v>
      </c>
      <c r="G1" t="s">
        <v>4</v>
      </c>
      <c r="H1" t="s">
        <v>5</v>
      </c>
      <c r="I1" t="s">
        <v>7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58</v>
      </c>
      <c r="AA1" t="s">
        <v>32</v>
      </c>
      <c r="AB1" t="s">
        <v>59</v>
      </c>
    </row>
    <row r="2" spans="1:28" x14ac:dyDescent="0.25">
      <c r="A2">
        <v>1</v>
      </c>
      <c r="B2">
        <v>2558</v>
      </c>
      <c r="C2">
        <v>2406.3000000000002</v>
      </c>
      <c r="D2">
        <v>282.7</v>
      </c>
      <c r="E2">
        <v>0.13</v>
      </c>
      <c r="F2">
        <f>E2*C2/B2</f>
        <v>0.12229046129788898</v>
      </c>
      <c r="G2">
        <v>0</v>
      </c>
      <c r="H2">
        <v>0.254</v>
      </c>
      <c r="I2">
        <f>Table1[[#This Row],[E1]]/(1-Table1[[#This Row],[nu12]]*Table1[[#This Row],[nu21]])</f>
        <v>2599.3234198092136</v>
      </c>
      <c r="J2">
        <f>Table1[[#This Row],[nu12]]*Table1[[#This Row],[E2]]/(1-Table1[[#This Row],[nu12]]*Table1[[#This Row],[nu21]])</f>
        <v>317.87246007087509</v>
      </c>
      <c r="K2">
        <v>0</v>
      </c>
      <c r="L2">
        <f>Table1[[#This Row],[E2]]/(1-Table1[[#This Row],[nu12]]*Table1[[#This Row],[nu21]])</f>
        <v>2445.1727697759625</v>
      </c>
      <c r="M2">
        <v>0</v>
      </c>
      <c r="N2">
        <f>Table1[[#This Row],[G12]]</f>
        <v>282.7</v>
      </c>
      <c r="O2">
        <f>COS(RADIANS(Table1[[#This Row],[theta]]))</f>
        <v>1</v>
      </c>
      <c r="P2">
        <f>SIN(RADIANS(Table1[[#This Row],[theta]]))</f>
        <v>0</v>
      </c>
      <c r="Q2">
        <f>Table1[[#This Row],[m]]^2</f>
        <v>1</v>
      </c>
      <c r="R2">
        <f>Table1[[#This Row],[n]]^2</f>
        <v>0</v>
      </c>
      <c r="S2">
        <f>2*Table1[[#This Row],[m]]*Table1[[#This Row],[n]]</f>
        <v>0</v>
      </c>
      <c r="T2">
        <f>Table1[[#This Row],[n]]^2</f>
        <v>0</v>
      </c>
      <c r="U2">
        <f>Table1[[#This Row],[m]]^2</f>
        <v>1</v>
      </c>
      <c r="V2">
        <f>-2*Table1[[#This Row],[m]]*Table1[[#This Row],[n]]</f>
        <v>0</v>
      </c>
      <c r="W2">
        <f>-Table1[[#This Row],[m]]*Table1[[#This Row],[n]]</f>
        <v>0</v>
      </c>
      <c r="X2">
        <f>Table1[[#This Row],[m]]*Table1[[#This Row],[n]]</f>
        <v>0</v>
      </c>
      <c r="Y2">
        <f>Table1[[#This Row],[m]]^2-Table1[[#This Row],[n]]^2</f>
        <v>1</v>
      </c>
      <c r="Z2">
        <f>SUM(Table1[t])/2-Table1[[#This Row],[t]]/2</f>
        <v>1.397</v>
      </c>
      <c r="AA2" s="27">
        <f>Table1[[#This Row],[z_mid]]+Table1[[#This Row],[t]]/2</f>
        <v>1.524</v>
      </c>
      <c r="AB2" s="27">
        <f>Table1[[#This Row],[z_mid]]-Table1[[#This Row],[t]]/2</f>
        <v>1.27</v>
      </c>
    </row>
    <row r="3" spans="1:28" x14ac:dyDescent="0.25">
      <c r="A3">
        <v>2</v>
      </c>
      <c r="B3">
        <v>2558</v>
      </c>
      <c r="C3">
        <v>2406.3000000000002</v>
      </c>
      <c r="D3">
        <v>282.7</v>
      </c>
      <c r="E3">
        <v>0.13</v>
      </c>
      <c r="F3">
        <f t="shared" ref="F3:F13" si="0">E3*C3/B3</f>
        <v>0.12229046129788898</v>
      </c>
      <c r="G3">
        <v>45</v>
      </c>
      <c r="H3">
        <v>0.254</v>
      </c>
      <c r="I3">
        <f>Table1[[#This Row],[E1]]/(1-Table1[[#This Row],[nu12]]*Table1[[#This Row],[nu21]])</f>
        <v>2599.3234198092136</v>
      </c>
      <c r="J3">
        <f>Table1[[#This Row],[nu12]]*Table1[[#This Row],[E2]]/(1-Table1[[#This Row],[nu12]]*Table1[[#This Row],[nu21]])</f>
        <v>317.87246007087509</v>
      </c>
      <c r="K3">
        <v>0</v>
      </c>
      <c r="L3">
        <f>Table1[[#This Row],[E2]]/(1-Table1[[#This Row],[nu12]]*Table1[[#This Row],[nu21]])</f>
        <v>2445.1727697759625</v>
      </c>
      <c r="M3">
        <v>0</v>
      </c>
      <c r="N3">
        <f>Table1[[#This Row],[G12]]</f>
        <v>282.7</v>
      </c>
      <c r="O3">
        <f>COS(RADIANS(Table1[[#This Row],[theta]]))</f>
        <v>0.70710678118654757</v>
      </c>
      <c r="P3">
        <f>SIN(RADIANS(Table1[[#This Row],[theta]]))</f>
        <v>0.70710678118654746</v>
      </c>
      <c r="Q3">
        <f>Table1[[#This Row],[m]]^2</f>
        <v>0.50000000000000011</v>
      </c>
      <c r="R3">
        <f>Table1[[#This Row],[n]]^2</f>
        <v>0.49999999999999989</v>
      </c>
      <c r="S3">
        <f>2*Table1[[#This Row],[m]]*Table1[[#This Row],[n]]</f>
        <v>1</v>
      </c>
      <c r="T3">
        <f>Table1[[#This Row],[n]]^2</f>
        <v>0.49999999999999989</v>
      </c>
      <c r="U3">
        <f>Table1[[#This Row],[m]]^2</f>
        <v>0.50000000000000011</v>
      </c>
      <c r="V3">
        <f>-2*Table1[[#This Row],[m]]*Table1[[#This Row],[n]]</f>
        <v>-1</v>
      </c>
      <c r="W3">
        <f>-Table1[[#This Row],[m]]*Table1[[#This Row],[n]]</f>
        <v>-0.5</v>
      </c>
      <c r="X3">
        <f>Table1[[#This Row],[m]]*Table1[[#This Row],[n]]</f>
        <v>0.5</v>
      </c>
      <c r="Y3">
        <f>Table1[[#This Row],[m]]^2-Table1[[#This Row],[n]]^2</f>
        <v>0</v>
      </c>
      <c r="Z3">
        <f>$Z2-$H2/2 - Table1[[#This Row],[t]]/2</f>
        <v>1.143</v>
      </c>
      <c r="AA3" s="27">
        <f>Table1[[#This Row],[z_mid]]+Table1[[#This Row],[t]]/2</f>
        <v>1.27</v>
      </c>
      <c r="AB3" s="27">
        <f>Table1[[#This Row],[z_mid]]-Table1[[#This Row],[t]]/2</f>
        <v>1.016</v>
      </c>
    </row>
    <row r="4" spans="1:28" x14ac:dyDescent="0.25">
      <c r="A4">
        <v>3</v>
      </c>
      <c r="B4">
        <v>2558</v>
      </c>
      <c r="C4">
        <v>2406.3000000000002</v>
      </c>
      <c r="D4">
        <v>282.7</v>
      </c>
      <c r="E4">
        <v>0.13</v>
      </c>
      <c r="F4">
        <f t="shared" si="0"/>
        <v>0.12229046129788898</v>
      </c>
      <c r="G4">
        <v>-45</v>
      </c>
      <c r="H4">
        <v>0.254</v>
      </c>
      <c r="I4">
        <f>Table1[[#This Row],[E1]]/(1-Table1[[#This Row],[nu12]]*Table1[[#This Row],[nu21]])</f>
        <v>2599.3234198092136</v>
      </c>
      <c r="J4">
        <f>Table1[[#This Row],[nu12]]*Table1[[#This Row],[E2]]/(1-Table1[[#This Row],[nu12]]*Table1[[#This Row],[nu21]])</f>
        <v>317.87246007087509</v>
      </c>
      <c r="K4">
        <v>0</v>
      </c>
      <c r="L4">
        <f>Table1[[#This Row],[E2]]/(1-Table1[[#This Row],[nu12]]*Table1[[#This Row],[nu21]])</f>
        <v>2445.1727697759625</v>
      </c>
      <c r="M4">
        <v>0</v>
      </c>
      <c r="N4">
        <f>Table1[[#This Row],[G12]]</f>
        <v>282.7</v>
      </c>
      <c r="O4">
        <f>COS(RADIANS(Table1[[#This Row],[theta]]))</f>
        <v>0.70710678118654757</v>
      </c>
      <c r="P4">
        <f>SIN(RADIANS(Table1[[#This Row],[theta]]))</f>
        <v>-0.70710678118654746</v>
      </c>
      <c r="Q4">
        <f>Table1[[#This Row],[m]]^2</f>
        <v>0.50000000000000011</v>
      </c>
      <c r="R4">
        <f>Table1[[#This Row],[n]]^2</f>
        <v>0.49999999999999989</v>
      </c>
      <c r="S4">
        <f>2*Table1[[#This Row],[m]]*Table1[[#This Row],[n]]</f>
        <v>-1</v>
      </c>
      <c r="T4">
        <f>Table1[[#This Row],[n]]^2</f>
        <v>0.49999999999999989</v>
      </c>
      <c r="U4">
        <f>Table1[[#This Row],[m]]^2</f>
        <v>0.50000000000000011</v>
      </c>
      <c r="V4">
        <f>-2*Table1[[#This Row],[m]]*Table1[[#This Row],[n]]</f>
        <v>1</v>
      </c>
      <c r="W4">
        <f>-Table1[[#This Row],[m]]*Table1[[#This Row],[n]]</f>
        <v>0.5</v>
      </c>
      <c r="X4">
        <f>Table1[[#This Row],[m]]*Table1[[#This Row],[n]]</f>
        <v>-0.5</v>
      </c>
      <c r="Y4">
        <f>Table1[[#This Row],[m]]^2-Table1[[#This Row],[n]]^2</f>
        <v>0</v>
      </c>
      <c r="Z4">
        <f>$Z3-$H3/2 - Table1[[#This Row],[t]]/2</f>
        <v>0.88900000000000001</v>
      </c>
      <c r="AA4" s="27">
        <f>Table1[[#This Row],[z_mid]]+Table1[[#This Row],[t]]/2</f>
        <v>1.016</v>
      </c>
      <c r="AB4" s="27">
        <f>Table1[[#This Row],[z_mid]]-Table1[[#This Row],[t]]/2</f>
        <v>0.76200000000000001</v>
      </c>
    </row>
    <row r="5" spans="1:28" x14ac:dyDescent="0.25">
      <c r="A5">
        <v>4</v>
      </c>
      <c r="B5">
        <v>2558</v>
      </c>
      <c r="C5">
        <v>2406.3000000000002</v>
      </c>
      <c r="D5">
        <v>282.7</v>
      </c>
      <c r="E5">
        <v>0.13</v>
      </c>
      <c r="F5">
        <f t="shared" si="0"/>
        <v>0.12229046129788898</v>
      </c>
      <c r="G5">
        <v>90</v>
      </c>
      <c r="H5">
        <v>0.254</v>
      </c>
      <c r="I5">
        <f>Table1[[#This Row],[E1]]/(1-Table1[[#This Row],[nu12]]*Table1[[#This Row],[nu21]])</f>
        <v>2599.3234198092136</v>
      </c>
      <c r="J5">
        <f>Table1[[#This Row],[nu12]]*Table1[[#This Row],[E2]]/(1-Table1[[#This Row],[nu12]]*Table1[[#This Row],[nu21]])</f>
        <v>317.87246007087509</v>
      </c>
      <c r="K5">
        <v>0</v>
      </c>
      <c r="L5">
        <f>Table1[[#This Row],[E2]]/(1-Table1[[#This Row],[nu12]]*Table1[[#This Row],[nu21]])</f>
        <v>2445.1727697759625</v>
      </c>
      <c r="M5">
        <v>0</v>
      </c>
      <c r="N5">
        <f>Table1[[#This Row],[G12]]</f>
        <v>282.7</v>
      </c>
      <c r="O5">
        <f>COS(RADIANS(Table1[[#This Row],[theta]]))</f>
        <v>6.1257422745431001E-17</v>
      </c>
      <c r="P5">
        <f>SIN(RADIANS(Table1[[#This Row],[theta]]))</f>
        <v>1</v>
      </c>
      <c r="Q5">
        <f>Table1[[#This Row],[m]]^2</f>
        <v>3.7524718414124473E-33</v>
      </c>
      <c r="R5">
        <f>Table1[[#This Row],[n]]^2</f>
        <v>1</v>
      </c>
      <c r="S5">
        <f>2*Table1[[#This Row],[m]]*Table1[[#This Row],[n]]</f>
        <v>1.22514845490862E-16</v>
      </c>
      <c r="T5">
        <f>Table1[[#This Row],[n]]^2</f>
        <v>1</v>
      </c>
      <c r="U5">
        <f>Table1[[#This Row],[m]]^2</f>
        <v>3.7524718414124473E-33</v>
      </c>
      <c r="V5">
        <f>-2*Table1[[#This Row],[m]]*Table1[[#This Row],[n]]</f>
        <v>-1.22514845490862E-16</v>
      </c>
      <c r="W5">
        <f>-Table1[[#This Row],[m]]*Table1[[#This Row],[n]]</f>
        <v>-6.1257422745431001E-17</v>
      </c>
      <c r="X5">
        <f>Table1[[#This Row],[m]]*Table1[[#This Row],[n]]</f>
        <v>6.1257422745431001E-17</v>
      </c>
      <c r="Y5">
        <f>Table1[[#This Row],[m]]^2-Table1[[#This Row],[n]]^2</f>
        <v>-1</v>
      </c>
      <c r="Z5">
        <f>$Z4-$H4/2 - Table1[[#This Row],[t]]/2</f>
        <v>0.63500000000000001</v>
      </c>
      <c r="AA5" s="27">
        <f>Table1[[#This Row],[z_mid]]+Table1[[#This Row],[t]]/2</f>
        <v>0.76200000000000001</v>
      </c>
      <c r="AB5" s="27">
        <f>Table1[[#This Row],[z_mid]]-Table1[[#This Row],[t]]/2</f>
        <v>0.50800000000000001</v>
      </c>
    </row>
    <row r="6" spans="1:28" x14ac:dyDescent="0.25">
      <c r="A6">
        <v>5</v>
      </c>
      <c r="B6">
        <v>2558</v>
      </c>
      <c r="C6">
        <v>2406.3000000000002</v>
      </c>
      <c r="D6">
        <v>282.7</v>
      </c>
      <c r="E6">
        <v>0.13</v>
      </c>
      <c r="F6">
        <f t="shared" si="0"/>
        <v>0.12229046129788898</v>
      </c>
      <c r="G6">
        <v>90</v>
      </c>
      <c r="H6">
        <v>0.254</v>
      </c>
      <c r="I6">
        <f>Table1[[#This Row],[E1]]/(1-Table1[[#This Row],[nu12]]*Table1[[#This Row],[nu21]])</f>
        <v>2599.3234198092136</v>
      </c>
      <c r="J6">
        <f>Table1[[#This Row],[nu12]]*Table1[[#This Row],[E2]]/(1-Table1[[#This Row],[nu12]]*Table1[[#This Row],[nu21]])</f>
        <v>317.87246007087509</v>
      </c>
      <c r="K6">
        <v>0</v>
      </c>
      <c r="L6">
        <f>Table1[[#This Row],[E2]]/(1-Table1[[#This Row],[nu12]]*Table1[[#This Row],[nu21]])</f>
        <v>2445.1727697759625</v>
      </c>
      <c r="M6">
        <v>0</v>
      </c>
      <c r="N6">
        <f>Table1[[#This Row],[G12]]</f>
        <v>282.7</v>
      </c>
      <c r="O6">
        <f>COS(RADIANS(Table1[[#This Row],[theta]]))</f>
        <v>6.1257422745431001E-17</v>
      </c>
      <c r="P6">
        <f>SIN(RADIANS(Table1[[#This Row],[theta]]))</f>
        <v>1</v>
      </c>
      <c r="Q6">
        <f>Table1[[#This Row],[m]]^2</f>
        <v>3.7524718414124473E-33</v>
      </c>
      <c r="R6">
        <f>Table1[[#This Row],[n]]^2</f>
        <v>1</v>
      </c>
      <c r="S6">
        <f>2*Table1[[#This Row],[m]]*Table1[[#This Row],[n]]</f>
        <v>1.22514845490862E-16</v>
      </c>
      <c r="T6">
        <f>Table1[[#This Row],[n]]^2</f>
        <v>1</v>
      </c>
      <c r="U6">
        <f>Table1[[#This Row],[m]]^2</f>
        <v>3.7524718414124473E-33</v>
      </c>
      <c r="V6">
        <f>-2*Table1[[#This Row],[m]]*Table1[[#This Row],[n]]</f>
        <v>-1.22514845490862E-16</v>
      </c>
      <c r="W6">
        <f>-Table1[[#This Row],[m]]*Table1[[#This Row],[n]]</f>
        <v>-6.1257422745431001E-17</v>
      </c>
      <c r="X6">
        <f>Table1[[#This Row],[m]]*Table1[[#This Row],[n]]</f>
        <v>6.1257422745431001E-17</v>
      </c>
      <c r="Y6">
        <f>Table1[[#This Row],[m]]^2-Table1[[#This Row],[n]]^2</f>
        <v>-1</v>
      </c>
      <c r="Z6">
        <f>$Z5-$H5/2 - Table1[[#This Row],[t]]/2</f>
        <v>0.38100000000000001</v>
      </c>
      <c r="AA6" s="27">
        <f>Table1[[#This Row],[z_mid]]+Table1[[#This Row],[t]]/2</f>
        <v>0.50800000000000001</v>
      </c>
      <c r="AB6" s="27">
        <f>Table1[[#This Row],[z_mid]]-Table1[[#This Row],[t]]/2</f>
        <v>0.254</v>
      </c>
    </row>
    <row r="7" spans="1:28" x14ac:dyDescent="0.25">
      <c r="A7">
        <v>6</v>
      </c>
      <c r="B7">
        <v>2558</v>
      </c>
      <c r="C7">
        <v>2406.3000000000002</v>
      </c>
      <c r="D7">
        <v>282.7</v>
      </c>
      <c r="E7">
        <v>0.13</v>
      </c>
      <c r="F7">
        <f t="shared" si="0"/>
        <v>0.12229046129788898</v>
      </c>
      <c r="G7">
        <v>-45</v>
      </c>
      <c r="H7">
        <v>0.254</v>
      </c>
      <c r="I7">
        <f>Table1[[#This Row],[E1]]/(1-Table1[[#This Row],[nu12]]*Table1[[#This Row],[nu21]])</f>
        <v>2599.3234198092136</v>
      </c>
      <c r="J7">
        <f>Table1[[#This Row],[nu12]]*Table1[[#This Row],[E2]]/(1-Table1[[#This Row],[nu12]]*Table1[[#This Row],[nu21]])</f>
        <v>317.87246007087509</v>
      </c>
      <c r="K7">
        <v>0</v>
      </c>
      <c r="L7">
        <f>Table1[[#This Row],[E2]]/(1-Table1[[#This Row],[nu12]]*Table1[[#This Row],[nu21]])</f>
        <v>2445.1727697759625</v>
      </c>
      <c r="M7">
        <v>0</v>
      </c>
      <c r="N7">
        <f>Table1[[#This Row],[G12]]</f>
        <v>282.7</v>
      </c>
      <c r="O7">
        <f>COS(RADIANS(Table1[[#This Row],[theta]]))</f>
        <v>0.70710678118654757</v>
      </c>
      <c r="P7">
        <f>SIN(RADIANS(Table1[[#This Row],[theta]]))</f>
        <v>-0.70710678118654746</v>
      </c>
      <c r="Q7">
        <f>Table1[[#This Row],[m]]^2</f>
        <v>0.50000000000000011</v>
      </c>
      <c r="R7">
        <f>Table1[[#This Row],[n]]^2</f>
        <v>0.49999999999999989</v>
      </c>
      <c r="S7">
        <f>2*Table1[[#This Row],[m]]*Table1[[#This Row],[n]]</f>
        <v>-1</v>
      </c>
      <c r="T7">
        <f>Table1[[#This Row],[n]]^2</f>
        <v>0.49999999999999989</v>
      </c>
      <c r="U7">
        <f>Table1[[#This Row],[m]]^2</f>
        <v>0.50000000000000011</v>
      </c>
      <c r="V7">
        <f>-2*Table1[[#This Row],[m]]*Table1[[#This Row],[n]]</f>
        <v>1</v>
      </c>
      <c r="W7">
        <f>-Table1[[#This Row],[m]]*Table1[[#This Row],[n]]</f>
        <v>0.5</v>
      </c>
      <c r="X7">
        <f>Table1[[#This Row],[m]]*Table1[[#This Row],[n]]</f>
        <v>-0.5</v>
      </c>
      <c r="Y7">
        <f>Table1[[#This Row],[m]]^2-Table1[[#This Row],[n]]^2</f>
        <v>0</v>
      </c>
      <c r="Z7">
        <f>$Z6-$H6/2 - Table1[[#This Row],[t]]/2</f>
        <v>0.127</v>
      </c>
      <c r="AA7" s="27">
        <f>Table1[[#This Row],[z_mid]]+Table1[[#This Row],[t]]/2</f>
        <v>0.254</v>
      </c>
      <c r="AB7" s="27">
        <f>Table1[[#This Row],[z_mid]]-Table1[[#This Row],[t]]/2</f>
        <v>0</v>
      </c>
    </row>
    <row r="8" spans="1:28" x14ac:dyDescent="0.25">
      <c r="A8">
        <v>7</v>
      </c>
      <c r="B8">
        <v>2558</v>
      </c>
      <c r="C8">
        <v>2406.3000000000002</v>
      </c>
      <c r="D8">
        <v>282.7</v>
      </c>
      <c r="E8">
        <v>0.13</v>
      </c>
      <c r="F8">
        <f t="shared" si="0"/>
        <v>0.12229046129788898</v>
      </c>
      <c r="G8">
        <v>45</v>
      </c>
      <c r="H8">
        <v>0.254</v>
      </c>
      <c r="I8">
        <f>Table1[[#This Row],[E1]]/(1-Table1[[#This Row],[nu12]]*Table1[[#This Row],[nu21]])</f>
        <v>2599.3234198092136</v>
      </c>
      <c r="J8">
        <f>Table1[[#This Row],[nu12]]*Table1[[#This Row],[E2]]/(1-Table1[[#This Row],[nu12]]*Table1[[#This Row],[nu21]])</f>
        <v>317.87246007087509</v>
      </c>
      <c r="K8">
        <v>0</v>
      </c>
      <c r="L8">
        <f>Table1[[#This Row],[E2]]/(1-Table1[[#This Row],[nu12]]*Table1[[#This Row],[nu21]])</f>
        <v>2445.1727697759625</v>
      </c>
      <c r="M8">
        <v>0</v>
      </c>
      <c r="N8">
        <f>Table1[[#This Row],[G12]]</f>
        <v>282.7</v>
      </c>
      <c r="O8">
        <f>COS(RADIANS(Table1[[#This Row],[theta]]))</f>
        <v>0.70710678118654757</v>
      </c>
      <c r="P8">
        <f>SIN(RADIANS(Table1[[#This Row],[theta]]))</f>
        <v>0.70710678118654746</v>
      </c>
      <c r="Q8">
        <f>Table1[[#This Row],[m]]^2</f>
        <v>0.50000000000000011</v>
      </c>
      <c r="R8">
        <f>Table1[[#This Row],[n]]^2</f>
        <v>0.49999999999999989</v>
      </c>
      <c r="S8">
        <f>2*Table1[[#This Row],[m]]*Table1[[#This Row],[n]]</f>
        <v>1</v>
      </c>
      <c r="T8">
        <f>Table1[[#This Row],[n]]^2</f>
        <v>0.49999999999999989</v>
      </c>
      <c r="U8">
        <f>Table1[[#This Row],[m]]^2</f>
        <v>0.50000000000000011</v>
      </c>
      <c r="V8">
        <f>-2*Table1[[#This Row],[m]]*Table1[[#This Row],[n]]</f>
        <v>-1</v>
      </c>
      <c r="W8">
        <f>-Table1[[#This Row],[m]]*Table1[[#This Row],[n]]</f>
        <v>-0.5</v>
      </c>
      <c r="X8">
        <f>Table1[[#This Row],[m]]*Table1[[#This Row],[n]]</f>
        <v>0.5</v>
      </c>
      <c r="Y8">
        <f>Table1[[#This Row],[m]]^2-Table1[[#This Row],[n]]^2</f>
        <v>0</v>
      </c>
      <c r="Z8">
        <f>$Z7-$H7/2 - Table1[[#This Row],[t]]/2</f>
        <v>-0.127</v>
      </c>
      <c r="AA8" s="27">
        <f>Table1[[#This Row],[z_mid]]+Table1[[#This Row],[t]]/2</f>
        <v>0</v>
      </c>
      <c r="AB8" s="27">
        <f>Table1[[#This Row],[z_mid]]-Table1[[#This Row],[t]]/2</f>
        <v>-0.254</v>
      </c>
    </row>
    <row r="9" spans="1:28" x14ac:dyDescent="0.25">
      <c r="A9">
        <v>8</v>
      </c>
      <c r="B9">
        <v>2558</v>
      </c>
      <c r="C9">
        <v>2406.3000000000002</v>
      </c>
      <c r="D9">
        <v>282.7</v>
      </c>
      <c r="E9">
        <v>0.13</v>
      </c>
      <c r="F9">
        <f t="shared" si="0"/>
        <v>0.12229046129788898</v>
      </c>
      <c r="G9">
        <v>0</v>
      </c>
      <c r="H9">
        <v>0.254</v>
      </c>
      <c r="I9">
        <f>Table1[[#This Row],[E1]]/(1-Table1[[#This Row],[nu12]]*Table1[[#This Row],[nu21]])</f>
        <v>2599.3234198092136</v>
      </c>
      <c r="J9">
        <f>Table1[[#This Row],[nu12]]*Table1[[#This Row],[E2]]/(1-Table1[[#This Row],[nu12]]*Table1[[#This Row],[nu21]])</f>
        <v>317.87246007087509</v>
      </c>
      <c r="K9">
        <v>0</v>
      </c>
      <c r="L9">
        <f>Table1[[#This Row],[E2]]/(1-Table1[[#This Row],[nu12]]*Table1[[#This Row],[nu21]])</f>
        <v>2445.1727697759625</v>
      </c>
      <c r="M9">
        <v>0</v>
      </c>
      <c r="N9">
        <f>Table1[[#This Row],[G12]]</f>
        <v>282.7</v>
      </c>
      <c r="O9">
        <f>COS(RADIANS(Table1[[#This Row],[theta]]))</f>
        <v>1</v>
      </c>
      <c r="P9">
        <f>SIN(RADIANS(Table1[[#This Row],[theta]]))</f>
        <v>0</v>
      </c>
      <c r="Q9">
        <f>Table1[[#This Row],[m]]^2</f>
        <v>1</v>
      </c>
      <c r="R9">
        <f>Table1[[#This Row],[n]]^2</f>
        <v>0</v>
      </c>
      <c r="S9">
        <f>2*Table1[[#This Row],[m]]*Table1[[#This Row],[n]]</f>
        <v>0</v>
      </c>
      <c r="T9">
        <f>Table1[[#This Row],[n]]^2</f>
        <v>0</v>
      </c>
      <c r="U9">
        <f>Table1[[#This Row],[m]]^2</f>
        <v>1</v>
      </c>
      <c r="V9">
        <f>-2*Table1[[#This Row],[m]]*Table1[[#This Row],[n]]</f>
        <v>0</v>
      </c>
      <c r="W9">
        <f>-Table1[[#This Row],[m]]*Table1[[#This Row],[n]]</f>
        <v>0</v>
      </c>
      <c r="X9">
        <f>Table1[[#This Row],[m]]*Table1[[#This Row],[n]]</f>
        <v>0</v>
      </c>
      <c r="Y9">
        <f>Table1[[#This Row],[m]]^2-Table1[[#This Row],[n]]^2</f>
        <v>1</v>
      </c>
      <c r="Z9">
        <f>$Z8-$H8/2 - Table1[[#This Row],[t]]/2</f>
        <v>-0.38100000000000001</v>
      </c>
      <c r="AA9" s="27">
        <f>Table1[[#This Row],[z_mid]]+Table1[[#This Row],[t]]/2</f>
        <v>-0.254</v>
      </c>
      <c r="AB9" s="27">
        <f>Table1[[#This Row],[z_mid]]-Table1[[#This Row],[t]]/2</f>
        <v>-0.50800000000000001</v>
      </c>
    </row>
    <row r="10" spans="1:28" x14ac:dyDescent="0.25">
      <c r="A10">
        <v>9</v>
      </c>
      <c r="B10">
        <v>2558</v>
      </c>
      <c r="C10">
        <v>2406.3000000000002</v>
      </c>
      <c r="D10">
        <v>282.7</v>
      </c>
      <c r="E10">
        <v>0.13</v>
      </c>
      <c r="F10">
        <f t="shared" si="0"/>
        <v>0.12229046129788898</v>
      </c>
      <c r="G10">
        <v>90</v>
      </c>
      <c r="H10">
        <v>0.254</v>
      </c>
      <c r="I10">
        <f>Table1[[#This Row],[E1]]/(1-Table1[[#This Row],[nu12]]*Table1[[#This Row],[nu21]])</f>
        <v>2599.3234198092136</v>
      </c>
      <c r="J10">
        <f>Table1[[#This Row],[nu12]]*Table1[[#This Row],[E2]]/(1-Table1[[#This Row],[nu12]]*Table1[[#This Row],[nu21]])</f>
        <v>317.87246007087509</v>
      </c>
      <c r="K10">
        <v>0</v>
      </c>
      <c r="L10">
        <f>Table1[[#This Row],[E2]]/(1-Table1[[#This Row],[nu12]]*Table1[[#This Row],[nu21]])</f>
        <v>2445.1727697759625</v>
      </c>
      <c r="M10">
        <v>0</v>
      </c>
      <c r="N10">
        <f>Table1[[#This Row],[G12]]</f>
        <v>282.7</v>
      </c>
      <c r="O10">
        <f>COS(RADIANS(Table1[[#This Row],[theta]]))</f>
        <v>6.1257422745431001E-17</v>
      </c>
      <c r="P10">
        <f>SIN(RADIANS(Table1[[#This Row],[theta]]))</f>
        <v>1</v>
      </c>
      <c r="Q10">
        <f>Table1[[#This Row],[m]]^2</f>
        <v>3.7524718414124473E-33</v>
      </c>
      <c r="R10">
        <f>Table1[[#This Row],[n]]^2</f>
        <v>1</v>
      </c>
      <c r="S10">
        <f>2*Table1[[#This Row],[m]]*Table1[[#This Row],[n]]</f>
        <v>1.22514845490862E-16</v>
      </c>
      <c r="T10">
        <f>Table1[[#This Row],[n]]^2</f>
        <v>1</v>
      </c>
      <c r="U10">
        <f>Table1[[#This Row],[m]]^2</f>
        <v>3.7524718414124473E-33</v>
      </c>
      <c r="V10">
        <f>-2*Table1[[#This Row],[m]]*Table1[[#This Row],[n]]</f>
        <v>-1.22514845490862E-16</v>
      </c>
      <c r="W10">
        <f>-Table1[[#This Row],[m]]*Table1[[#This Row],[n]]</f>
        <v>-6.1257422745431001E-17</v>
      </c>
      <c r="X10">
        <f>Table1[[#This Row],[m]]*Table1[[#This Row],[n]]</f>
        <v>6.1257422745431001E-17</v>
      </c>
      <c r="Y10">
        <f>Table1[[#This Row],[m]]^2-Table1[[#This Row],[n]]^2</f>
        <v>-1</v>
      </c>
      <c r="Z10">
        <f>$Z9-$H9/2 - Table1[[#This Row],[t]]/2</f>
        <v>-0.63500000000000001</v>
      </c>
      <c r="AA10" s="27">
        <f>Table1[[#This Row],[z_mid]]+Table1[[#This Row],[t]]/2</f>
        <v>-0.50800000000000001</v>
      </c>
      <c r="AB10" s="27">
        <f>Table1[[#This Row],[z_mid]]-Table1[[#This Row],[t]]/2</f>
        <v>-0.76200000000000001</v>
      </c>
    </row>
    <row r="11" spans="1:28" x14ac:dyDescent="0.25">
      <c r="A11">
        <v>10</v>
      </c>
      <c r="B11">
        <v>2558</v>
      </c>
      <c r="C11">
        <v>2406.3000000000002</v>
      </c>
      <c r="D11">
        <v>282.7</v>
      </c>
      <c r="E11">
        <v>0.13</v>
      </c>
      <c r="F11">
        <f t="shared" si="0"/>
        <v>0.12229046129788898</v>
      </c>
      <c r="G11">
        <v>-45</v>
      </c>
      <c r="H11">
        <v>0.254</v>
      </c>
      <c r="I11">
        <f>Table1[[#This Row],[E1]]/(1-Table1[[#This Row],[nu12]]*Table1[[#This Row],[nu21]])</f>
        <v>2599.3234198092136</v>
      </c>
      <c r="J11">
        <f>Table1[[#This Row],[nu12]]*Table1[[#This Row],[E2]]/(1-Table1[[#This Row],[nu12]]*Table1[[#This Row],[nu21]])</f>
        <v>317.87246007087509</v>
      </c>
      <c r="K11">
        <v>0</v>
      </c>
      <c r="L11">
        <f>Table1[[#This Row],[E2]]/(1-Table1[[#This Row],[nu12]]*Table1[[#This Row],[nu21]])</f>
        <v>2445.1727697759625</v>
      </c>
      <c r="M11">
        <v>0</v>
      </c>
      <c r="N11">
        <f>Table1[[#This Row],[G12]]</f>
        <v>282.7</v>
      </c>
      <c r="O11">
        <f>COS(RADIANS(Table1[[#This Row],[theta]]))</f>
        <v>0.70710678118654757</v>
      </c>
      <c r="P11">
        <f>SIN(RADIANS(Table1[[#This Row],[theta]]))</f>
        <v>-0.70710678118654746</v>
      </c>
      <c r="Q11">
        <f>Table1[[#This Row],[m]]^2</f>
        <v>0.50000000000000011</v>
      </c>
      <c r="R11">
        <f>Table1[[#This Row],[n]]^2</f>
        <v>0.49999999999999989</v>
      </c>
      <c r="S11">
        <f>2*Table1[[#This Row],[m]]*Table1[[#This Row],[n]]</f>
        <v>-1</v>
      </c>
      <c r="T11">
        <f>Table1[[#This Row],[n]]^2</f>
        <v>0.49999999999999989</v>
      </c>
      <c r="U11">
        <f>Table1[[#This Row],[m]]^2</f>
        <v>0.50000000000000011</v>
      </c>
      <c r="V11">
        <f>-2*Table1[[#This Row],[m]]*Table1[[#This Row],[n]]</f>
        <v>1</v>
      </c>
      <c r="W11">
        <f>-Table1[[#This Row],[m]]*Table1[[#This Row],[n]]</f>
        <v>0.5</v>
      </c>
      <c r="X11">
        <f>Table1[[#This Row],[m]]*Table1[[#This Row],[n]]</f>
        <v>-0.5</v>
      </c>
      <c r="Y11">
        <f>Table1[[#This Row],[m]]^2-Table1[[#This Row],[n]]^2</f>
        <v>0</v>
      </c>
      <c r="Z11">
        <f>$Z10-$H10/2 - Table1[[#This Row],[t]]/2</f>
        <v>-0.88900000000000001</v>
      </c>
      <c r="AA11" s="27">
        <f>Table1[[#This Row],[z_mid]]+Table1[[#This Row],[t]]/2</f>
        <v>-0.76200000000000001</v>
      </c>
      <c r="AB11" s="27">
        <f>Table1[[#This Row],[z_mid]]-Table1[[#This Row],[t]]/2</f>
        <v>-1.016</v>
      </c>
    </row>
    <row r="12" spans="1:28" x14ac:dyDescent="0.25">
      <c r="A12">
        <v>11</v>
      </c>
      <c r="B12">
        <v>2558</v>
      </c>
      <c r="C12">
        <v>2406.3000000000002</v>
      </c>
      <c r="D12">
        <v>282.7</v>
      </c>
      <c r="E12">
        <v>0.13</v>
      </c>
      <c r="F12">
        <f t="shared" si="0"/>
        <v>0.12229046129788898</v>
      </c>
      <c r="G12">
        <v>45</v>
      </c>
      <c r="H12">
        <v>0.254</v>
      </c>
      <c r="I12">
        <f>Table1[[#This Row],[E1]]/(1-Table1[[#This Row],[nu12]]*Table1[[#This Row],[nu21]])</f>
        <v>2599.3234198092136</v>
      </c>
      <c r="J12">
        <f>Table1[[#This Row],[nu12]]*Table1[[#This Row],[E2]]/(1-Table1[[#This Row],[nu12]]*Table1[[#This Row],[nu21]])</f>
        <v>317.87246007087509</v>
      </c>
      <c r="K12">
        <v>0</v>
      </c>
      <c r="L12">
        <f>Table1[[#This Row],[E2]]/(1-Table1[[#This Row],[nu12]]*Table1[[#This Row],[nu21]])</f>
        <v>2445.1727697759625</v>
      </c>
      <c r="M12">
        <v>0</v>
      </c>
      <c r="N12">
        <f>Table1[[#This Row],[G12]]</f>
        <v>282.7</v>
      </c>
      <c r="O12">
        <f>COS(RADIANS(Table1[[#This Row],[theta]]))</f>
        <v>0.70710678118654757</v>
      </c>
      <c r="P12">
        <f>SIN(RADIANS(Table1[[#This Row],[theta]]))</f>
        <v>0.70710678118654746</v>
      </c>
      <c r="Q12">
        <f>Table1[[#This Row],[m]]^2</f>
        <v>0.50000000000000011</v>
      </c>
      <c r="R12">
        <f>Table1[[#This Row],[n]]^2</f>
        <v>0.49999999999999989</v>
      </c>
      <c r="S12">
        <f>2*Table1[[#This Row],[m]]*Table1[[#This Row],[n]]</f>
        <v>1</v>
      </c>
      <c r="T12">
        <f>Table1[[#This Row],[n]]^2</f>
        <v>0.49999999999999989</v>
      </c>
      <c r="U12">
        <f>Table1[[#This Row],[m]]^2</f>
        <v>0.50000000000000011</v>
      </c>
      <c r="V12">
        <f>-2*Table1[[#This Row],[m]]*Table1[[#This Row],[n]]</f>
        <v>-1</v>
      </c>
      <c r="W12">
        <f>-Table1[[#This Row],[m]]*Table1[[#This Row],[n]]</f>
        <v>-0.5</v>
      </c>
      <c r="X12">
        <f>Table1[[#This Row],[m]]*Table1[[#This Row],[n]]</f>
        <v>0.5</v>
      </c>
      <c r="Y12">
        <f>Table1[[#This Row],[m]]^2-Table1[[#This Row],[n]]^2</f>
        <v>0</v>
      </c>
      <c r="Z12">
        <f>$Z11-$H11/2 - Table1[[#This Row],[t]]/2</f>
        <v>-1.143</v>
      </c>
      <c r="AA12" s="27">
        <f>Table1[[#This Row],[z_mid]]+Table1[[#This Row],[t]]/2</f>
        <v>-1.016</v>
      </c>
      <c r="AB12" s="27">
        <f>Table1[[#This Row],[z_mid]]-Table1[[#This Row],[t]]/2</f>
        <v>-1.27</v>
      </c>
    </row>
    <row r="13" spans="1:28" x14ac:dyDescent="0.25">
      <c r="A13">
        <v>12</v>
      </c>
      <c r="B13">
        <v>2558</v>
      </c>
      <c r="C13">
        <v>2406.3000000000002</v>
      </c>
      <c r="D13">
        <v>282.7</v>
      </c>
      <c r="E13">
        <v>0.13</v>
      </c>
      <c r="F13">
        <f t="shared" si="0"/>
        <v>0.12229046129788898</v>
      </c>
      <c r="G13">
        <v>0</v>
      </c>
      <c r="H13">
        <v>0.254</v>
      </c>
      <c r="I13">
        <f>Table1[[#This Row],[E1]]/(1-Table1[[#This Row],[nu12]]*Table1[[#This Row],[nu21]])</f>
        <v>2599.3234198092136</v>
      </c>
      <c r="J13">
        <f>Table1[[#This Row],[nu12]]*Table1[[#This Row],[E2]]/(1-Table1[[#This Row],[nu12]]*Table1[[#This Row],[nu21]])</f>
        <v>317.87246007087509</v>
      </c>
      <c r="K13">
        <v>0</v>
      </c>
      <c r="L13">
        <f>Table1[[#This Row],[E2]]/(1-Table1[[#This Row],[nu12]]*Table1[[#This Row],[nu21]])</f>
        <v>2445.1727697759625</v>
      </c>
      <c r="M13">
        <v>0</v>
      </c>
      <c r="N13">
        <f>Table1[[#This Row],[G12]]</f>
        <v>282.7</v>
      </c>
      <c r="O13">
        <f>COS(RADIANS(Table1[[#This Row],[theta]]))</f>
        <v>1</v>
      </c>
      <c r="P13">
        <f>SIN(RADIANS(Table1[[#This Row],[theta]]))</f>
        <v>0</v>
      </c>
      <c r="Q13">
        <f>Table1[[#This Row],[m]]^2</f>
        <v>1</v>
      </c>
      <c r="R13">
        <f>Table1[[#This Row],[n]]^2</f>
        <v>0</v>
      </c>
      <c r="S13">
        <f>2*Table1[[#This Row],[m]]*Table1[[#This Row],[n]]</f>
        <v>0</v>
      </c>
      <c r="T13">
        <f>Table1[[#This Row],[n]]^2</f>
        <v>0</v>
      </c>
      <c r="U13">
        <f>Table1[[#This Row],[m]]^2</f>
        <v>1</v>
      </c>
      <c r="V13">
        <f>-2*Table1[[#This Row],[m]]*Table1[[#This Row],[n]]</f>
        <v>0</v>
      </c>
      <c r="W13">
        <f>-Table1[[#This Row],[m]]*Table1[[#This Row],[n]]</f>
        <v>0</v>
      </c>
      <c r="X13">
        <f>Table1[[#This Row],[m]]*Table1[[#This Row],[n]]</f>
        <v>0</v>
      </c>
      <c r="Y13">
        <f>Table1[[#This Row],[m]]^2-Table1[[#This Row],[n]]^2</f>
        <v>1</v>
      </c>
      <c r="Z13">
        <f>$Z12-$H12/2 - Table1[[#This Row],[t]]/2</f>
        <v>-1.397</v>
      </c>
      <c r="AA13" s="27">
        <f>Table1[[#This Row],[z_mid]]+Table1[[#This Row],[t]]/2</f>
        <v>-1.27</v>
      </c>
      <c r="AB13" s="27">
        <f>Table1[[#This Row],[z_mid]]-Table1[[#This Row],[t]]/2</f>
        <v>-1.524</v>
      </c>
    </row>
    <row r="17" spans="1:38" x14ac:dyDescent="0.25">
      <c r="Y17" t="s">
        <v>36</v>
      </c>
    </row>
    <row r="18" spans="1:38" ht="15.75" thickBot="1" x14ac:dyDescent="0.3">
      <c r="B18" t="s">
        <v>25</v>
      </c>
      <c r="E18" t="s">
        <v>30</v>
      </c>
      <c r="H18" t="s">
        <v>26</v>
      </c>
      <c r="K18" t="s">
        <v>31</v>
      </c>
      <c r="N18" t="s">
        <v>33</v>
      </c>
      <c r="Q18" t="s">
        <v>34</v>
      </c>
      <c r="T18" t="s">
        <v>35</v>
      </c>
      <c r="Y18" t="s">
        <v>27</v>
      </c>
      <c r="AB18" t="s">
        <v>28</v>
      </c>
      <c r="AE18" t="s">
        <v>29</v>
      </c>
    </row>
    <row r="19" spans="1:38" ht="15.75" thickBot="1" x14ac:dyDescent="0.3">
      <c r="A19" s="2">
        <v>1</v>
      </c>
      <c r="B19" s="4">
        <f>INDEX(Table1[t11],MATCH($A19, Table1[Ply_ID],0))</f>
        <v>1</v>
      </c>
      <c r="C19" s="5">
        <f>INDEX(Table1[t12],MATCH($A19, Table1[Ply_ID],0))</f>
        <v>0</v>
      </c>
      <c r="D19" s="6">
        <f>INDEX(Table1[t13],MATCH($A19, Table1[Ply_ID],0))</f>
        <v>0</v>
      </c>
      <c r="E19" s="12">
        <f t="array" ref="E19:G21">MINVERSE(B19:D21)</f>
        <v>1</v>
      </c>
      <c r="F19" s="12">
        <v>0</v>
      </c>
      <c r="G19" s="12">
        <v>0</v>
      </c>
      <c r="H19" s="28">
        <f>INDEX(Table1[q11],MATCH($A19, Table1[Ply_ID],0))</f>
        <v>2599.3234198092136</v>
      </c>
      <c r="I19" s="29">
        <f>INDEX(Table1[q12],MATCH($A19, Table1[Ply_ID],0))</f>
        <v>317.87246007087509</v>
      </c>
      <c r="J19" s="30">
        <f>INDEX(Table1[q16],MATCH($A19, Table1[Ply_ID],0))</f>
        <v>0</v>
      </c>
      <c r="K19" s="31">
        <f t="array" ref="K19:M21">MMULT(MMULT(E19:G21,H19:J21),TRANSPOSE(E19:G21))</f>
        <v>2599.3234198092136</v>
      </c>
      <c r="L19" s="31">
        <v>317.87246007087509</v>
      </c>
      <c r="M19" s="31">
        <v>0</v>
      </c>
      <c r="N19" s="28">
        <f t="array" ref="N19:P21">$K19:$M21*((INDEX(Table1[zk], MATCH($A19,Table1[Ply_ID],0))) - (INDEX(Table1[zk1], MATCH($A19,Table1[Ply_ID],0))))</f>
        <v>660.22814863154031</v>
      </c>
      <c r="O19" s="29">
        <v>80.739604858002281</v>
      </c>
      <c r="P19" s="30">
        <v>0</v>
      </c>
      <c r="Q19" s="28">
        <f t="array" ref="Q19:S21">1/2 * $K19:$M21*((INDEX(Table1[zk], MATCH($A19,Table1[Ply_ID],0)))^2 - (INDEX(Table1[zk1], MATCH($A19,Table1[Ply_ID],0)))^2)</f>
        <v>922.33872363826197</v>
      </c>
      <c r="R19" s="29">
        <v>112.7932279866292</v>
      </c>
      <c r="S19" s="30">
        <v>0</v>
      </c>
      <c r="T19" s="28">
        <f t="array" ref="T19:V21">1/3 * $K19:$M21*((INDEX(Table1[zk], MATCH($A19,Table1[Ply_ID],0)))^3 - (INDEX(Table1[zk1], MATCH($A19,Table1[Ply_ID],0)))^3)</f>
        <v>1292.056803525745</v>
      </c>
      <c r="U19" s="29">
        <v>158.00622252623927</v>
      </c>
      <c r="V19" s="30">
        <v>0</v>
      </c>
      <c r="W19" s="52">
        <f t="array" ref="W19:W21">MMULT(B19:D21, ($AH$32:$AH$34 + (INDEX(Table1[z_mid],MATCH(A19, Table1[Ply_ID],0)))*$AH$35:$AH$37))</f>
        <v>1.7692109481958485E-4</v>
      </c>
      <c r="Y19" s="43">
        <f t="array" ref="Y19:AA21">N19:P21+N22:P24+N25:P27+N28:P30+N31:P33+N34:P36+N37:P39+N40:P42+N43:P45+N46:P48+N49:P51+N52:P54</f>
        <v>6438.9127592698624</v>
      </c>
      <c r="Z19" s="44">
        <v>2217.7746919539727</v>
      </c>
      <c r="AA19" s="45">
        <v>-7.2830630415410269E-14</v>
      </c>
      <c r="AB19" s="43">
        <f t="array" ref="AB19:AD21">Q19:S21+Q22:S24+Q25:S27+Q28:S30+Q31:S33+Q34:S36+Q37:S39+Q40:S42+Q43:S45+Q46:S48+Q49:S51+Q52:S54</f>
        <v>-14.917775006318266</v>
      </c>
      <c r="AC19" s="44">
        <v>0</v>
      </c>
      <c r="AD19" s="45">
        <v>-2.486295834386306</v>
      </c>
      <c r="AE19" s="43">
        <f t="array" ref="AE19:AG21">T19:V21+T22:V24+T25:V27+T28:V30+T31:V33+T34:V36+T37:V39+T40:V42+T43:V45+T46:V48+T49:V51+T52:V54</f>
        <v>5126.1545804122052</v>
      </c>
      <c r="AF19" s="44">
        <v>1636.4094284513537</v>
      </c>
      <c r="AG19" s="45">
        <v>10.104306270945887</v>
      </c>
    </row>
    <row r="20" spans="1:38" x14ac:dyDescent="0.25">
      <c r="A20">
        <f>INDEX(Table1[theta],MATCH(A19,Table1[Ply_ID],0))</f>
        <v>0</v>
      </c>
      <c r="B20" s="7">
        <f>INDEX(Table1[t21],MATCH($A19, Table1[Ply_ID],0))</f>
        <v>0</v>
      </c>
      <c r="C20" s="3">
        <f>INDEX(Table1[t22],MATCH($A19, Table1[Ply_ID],0))</f>
        <v>1</v>
      </c>
      <c r="D20" s="8">
        <f>INDEX(Table1[t23],MATCH($A19, Table1[Ply_ID],0))</f>
        <v>0</v>
      </c>
      <c r="E20" s="13">
        <v>0</v>
      </c>
      <c r="F20" s="13">
        <v>1</v>
      </c>
      <c r="G20" s="13">
        <v>0</v>
      </c>
      <c r="H20" s="32">
        <f>I19</f>
        <v>317.87246007087509</v>
      </c>
      <c r="I20" s="33">
        <f>INDEX(Table1[q22],MATCH($A19, Table1[Ply_ID],0))</f>
        <v>2445.1727697759625</v>
      </c>
      <c r="J20" s="34">
        <f>INDEX(Table1[q26],MATCH($A19, Table1[Ply_ID],0))</f>
        <v>0</v>
      </c>
      <c r="K20" s="35">
        <v>317.87246007087509</v>
      </c>
      <c r="L20" s="35">
        <v>2445.1727697759625</v>
      </c>
      <c r="M20" s="35">
        <v>0</v>
      </c>
      <c r="N20" s="32">
        <v>80.739604858002281</v>
      </c>
      <c r="O20" s="33">
        <v>621.07388352309442</v>
      </c>
      <c r="P20" s="34">
        <v>0</v>
      </c>
      <c r="Q20" s="32">
        <v>112.7932279866292</v>
      </c>
      <c r="R20" s="33">
        <v>867.64021528176318</v>
      </c>
      <c r="S20" s="34">
        <v>0</v>
      </c>
      <c r="T20" s="32">
        <v>158.00622252623927</v>
      </c>
      <c r="U20" s="33">
        <v>1215.4324809710715</v>
      </c>
      <c r="V20" s="34">
        <v>0</v>
      </c>
      <c r="W20" s="53">
        <v>-6.06728390216105E-5</v>
      </c>
      <c r="Y20" s="46">
        <v>2217.7746919539727</v>
      </c>
      <c r="Z20" s="47">
        <v>6438.9127592698633</v>
      </c>
      <c r="AA20" s="48">
        <v>7.9936057773011271E-14</v>
      </c>
      <c r="AB20" s="46">
        <v>0</v>
      </c>
      <c r="AC20" s="47">
        <v>14.917775006317925</v>
      </c>
      <c r="AD20" s="48">
        <v>-2.4862958343863024</v>
      </c>
      <c r="AE20" s="46">
        <v>1636.4094284513537</v>
      </c>
      <c r="AF20" s="47">
        <v>5004.9029051608541</v>
      </c>
      <c r="AG20" s="48">
        <v>10.104306270945997</v>
      </c>
    </row>
    <row r="21" spans="1:38" ht="15.75" thickBot="1" x14ac:dyDescent="0.3">
      <c r="B21" s="9">
        <f>INDEX(Table1[t31],MATCH($A19, Table1[Ply_ID],0))</f>
        <v>0</v>
      </c>
      <c r="C21" s="10">
        <f>INDEX(Table1[t32],MATCH($A19, Table1[Ply_ID],0))</f>
        <v>0</v>
      </c>
      <c r="D21" s="11">
        <f>INDEX(Table1[t33],MATCH($A19, Table1[Ply_ID],0))</f>
        <v>1</v>
      </c>
      <c r="E21" s="14">
        <v>0</v>
      </c>
      <c r="F21" s="14">
        <v>0</v>
      </c>
      <c r="G21" s="14">
        <v>1</v>
      </c>
      <c r="H21" s="36">
        <f>J19</f>
        <v>0</v>
      </c>
      <c r="I21" s="37">
        <f>J20</f>
        <v>0</v>
      </c>
      <c r="J21" s="38">
        <f>INDEX(Table1[q66],MATCH($A19, Table1[Ply_ID],0))</f>
        <v>282.7</v>
      </c>
      <c r="K21" s="39">
        <v>0</v>
      </c>
      <c r="L21" s="39">
        <v>0</v>
      </c>
      <c r="M21" s="39">
        <v>282.7</v>
      </c>
      <c r="N21" s="36">
        <v>0</v>
      </c>
      <c r="O21" s="37">
        <v>0</v>
      </c>
      <c r="P21" s="38">
        <v>71.805800000000005</v>
      </c>
      <c r="Q21" s="36">
        <v>0</v>
      </c>
      <c r="R21" s="37">
        <v>0</v>
      </c>
      <c r="S21" s="38">
        <v>100.31270260000002</v>
      </c>
      <c r="T21" s="36">
        <v>0</v>
      </c>
      <c r="U21" s="37">
        <v>0</v>
      </c>
      <c r="V21" s="38">
        <v>140.52289744826672</v>
      </c>
      <c r="W21" s="54">
        <v>2.5416317689798169E-7</v>
      </c>
      <c r="Y21" s="49">
        <v>-7.2830630415410269E-14</v>
      </c>
      <c r="Z21" s="50">
        <v>7.9936057773011271E-14</v>
      </c>
      <c r="AA21" s="51">
        <v>2110.5690336579455</v>
      </c>
      <c r="AB21" s="49">
        <v>-2.486295834386306</v>
      </c>
      <c r="AC21" s="50">
        <v>-2.4862958343863024</v>
      </c>
      <c r="AD21" s="51">
        <v>0</v>
      </c>
      <c r="AE21" s="49">
        <v>10.104306270945887</v>
      </c>
      <c r="AF21" s="50">
        <v>10.104306270945997</v>
      </c>
      <c r="AG21" s="51">
        <v>1553.4116654438362</v>
      </c>
    </row>
    <row r="22" spans="1:38" ht="15.75" thickBot="1" x14ac:dyDescent="0.3">
      <c r="A22" s="1">
        <v>2</v>
      </c>
      <c r="B22" s="4">
        <f>INDEX(Table1[t11],MATCH($A22, Table1[Ply_ID],0))</f>
        <v>0.50000000000000011</v>
      </c>
      <c r="C22" s="5">
        <f>INDEX(Table1[t12],MATCH($A22, Table1[Ply_ID],0))</f>
        <v>0.49999999999999989</v>
      </c>
      <c r="D22" s="6">
        <f>INDEX(Table1[t13],MATCH($A22, Table1[Ply_ID],0))</f>
        <v>1</v>
      </c>
      <c r="E22" s="12">
        <f t="array" ref="E22:G24">MINVERSE(B22:D24)</f>
        <v>0.49999999999999989</v>
      </c>
      <c r="F22" s="12">
        <v>0.5</v>
      </c>
      <c r="G22" s="12">
        <v>-1</v>
      </c>
      <c r="H22" s="28">
        <f>INDEX(Table1[q11],MATCH($A22, Table1[Ply_ID],0))</f>
        <v>2599.3234198092136</v>
      </c>
      <c r="I22" s="29">
        <f>INDEX(Table1[q12],MATCH($A22, Table1[Ply_ID],0))</f>
        <v>317.87246007087509</v>
      </c>
      <c r="J22" s="30">
        <f>INDEX(Table1[q16],MATCH($A22, Table1[Ply_ID],0))</f>
        <v>0</v>
      </c>
      <c r="K22" s="31">
        <f t="array" ref="K22:M24">MMULT(MMULT(E22:G24,H22:J24),TRANSPOSE(E22:G24))</f>
        <v>1702.7602774317313</v>
      </c>
      <c r="L22" s="31">
        <v>1137.3602774317314</v>
      </c>
      <c r="M22" s="31">
        <v>38.537662508312614</v>
      </c>
      <c r="N22" s="28">
        <f t="array" ref="N22:P24">$K22:$M24*((INDEX(Table1[zk], MATCH($A22,Table1[Ply_ID],0))) - (INDEX(Table1[zk1], MATCH($A22,Table1[Ply_ID],0))))</f>
        <v>432.50111046765977</v>
      </c>
      <c r="O22" s="29">
        <v>288.88951046765982</v>
      </c>
      <c r="P22" s="30">
        <v>9.7885662771114035</v>
      </c>
      <c r="Q22" s="28">
        <f t="array" ref="Q22:S24">1/2 * $K22:$M24*((INDEX(Table1[zk], MATCH($A22,Table1[Ply_ID],0)))^2 - (INDEX(Table1[zk1], MATCH($A22,Table1[Ply_ID],0)))^2)</f>
        <v>494.34876926453506</v>
      </c>
      <c r="R22" s="29">
        <v>330.20071046453512</v>
      </c>
      <c r="S22" s="30">
        <v>11.188331254738333</v>
      </c>
      <c r="T22" s="28">
        <f t="array" ref="T22:V24">1/3 * $K22:$M24*((INDEX(Table1[zk], MATCH($A22,Table1[Ply_ID],0)))^3 - (INDEX(Table1[zk1], MATCH($A22,Table1[Ply_ID],0)))^3)</f>
        <v>567.36591340627444</v>
      </c>
      <c r="U22" s="29">
        <v>378.97257836574124</v>
      </c>
      <c r="V22" s="30">
        <v>12.840889219327092</v>
      </c>
      <c r="W22" s="52">
        <f t="array" ref="W22:W24">MMULT(B22:D24, ($AH$32:$AH$34 + (INDEX(Table1[z_mid],MATCH(A22, Table1[Ply_ID],0)))*$AH$35:$AH$37))</f>
        <v>5.8265857504922699E-5</v>
      </c>
    </row>
    <row r="23" spans="1:38" ht="15.75" thickBot="1" x14ac:dyDescent="0.3">
      <c r="A23">
        <f>INDEX(Table1[theta],MATCH(A22,Table1[Ply_ID],0))</f>
        <v>45</v>
      </c>
      <c r="B23" s="7">
        <f>INDEX(Table1[t21],MATCH($A22, Table1[Ply_ID],0))</f>
        <v>0.49999999999999989</v>
      </c>
      <c r="C23" s="3">
        <f>INDEX(Table1[t22],MATCH($A22, Table1[Ply_ID],0))</f>
        <v>0.50000000000000011</v>
      </c>
      <c r="D23" s="8">
        <f>INDEX(Table1[t23],MATCH($A22, Table1[Ply_ID],0))</f>
        <v>-1</v>
      </c>
      <c r="E23" s="13">
        <v>0.5</v>
      </c>
      <c r="F23" s="13">
        <v>0.5</v>
      </c>
      <c r="G23" s="13">
        <v>1</v>
      </c>
      <c r="H23" s="32">
        <f>I22</f>
        <v>317.87246007087509</v>
      </c>
      <c r="I23" s="33">
        <f>INDEX(Table1[q22],MATCH($A22, Table1[Ply_ID],0))</f>
        <v>2445.1727697759625</v>
      </c>
      <c r="J23" s="34">
        <f>INDEX(Table1[q26],MATCH($A22, Table1[Ply_ID],0))</f>
        <v>0</v>
      </c>
      <c r="K23" s="35">
        <v>1137.3602774317314</v>
      </c>
      <c r="L23" s="35">
        <v>1702.7602774317318</v>
      </c>
      <c r="M23" s="35">
        <v>38.537662508312856</v>
      </c>
      <c r="N23" s="32">
        <v>288.88951046765982</v>
      </c>
      <c r="O23" s="33">
        <v>432.50111046765988</v>
      </c>
      <c r="P23" s="34">
        <v>9.7885662771114657</v>
      </c>
      <c r="Q23" s="32">
        <v>330.20071046453512</v>
      </c>
      <c r="R23" s="33">
        <v>494.34876926453518</v>
      </c>
      <c r="S23" s="34">
        <v>11.188331254738404</v>
      </c>
      <c r="T23" s="32">
        <v>378.97257836574124</v>
      </c>
      <c r="U23" s="33">
        <v>567.36591340627456</v>
      </c>
      <c r="V23" s="34">
        <v>12.840889219327172</v>
      </c>
      <c r="W23" s="53">
        <v>5.7849730379858937E-5</v>
      </c>
      <c r="Y23" t="s">
        <v>37</v>
      </c>
      <c r="AB23" t="s">
        <v>38</v>
      </c>
    </row>
    <row r="24" spans="1:38" ht="15.75" thickBot="1" x14ac:dyDescent="0.3">
      <c r="B24" s="9">
        <f>INDEX(Table1[t31],MATCH($A22, Table1[Ply_ID],0))</f>
        <v>-0.5</v>
      </c>
      <c r="C24" s="10">
        <f>INDEX(Table1[t32],MATCH($A22, Table1[Ply_ID],0))</f>
        <v>0.5</v>
      </c>
      <c r="D24" s="11">
        <f>INDEX(Table1[t33],MATCH($A22, Table1[Ply_ID],0))</f>
        <v>0</v>
      </c>
      <c r="E24" s="14">
        <v>0.5</v>
      </c>
      <c r="F24" s="14">
        <v>-0.5</v>
      </c>
      <c r="G24" s="14">
        <v>2.2204460492503136E-16</v>
      </c>
      <c r="H24" s="36">
        <f>J22</f>
        <v>0</v>
      </c>
      <c r="I24" s="37">
        <f>J23</f>
        <v>0</v>
      </c>
      <c r="J24" s="38">
        <f>INDEX(Table1[q66],MATCH($A22, Table1[Ply_ID],0))</f>
        <v>282.7</v>
      </c>
      <c r="K24" s="39">
        <v>38.537662508312614</v>
      </c>
      <c r="L24" s="39">
        <v>38.537662508312856</v>
      </c>
      <c r="M24" s="39">
        <v>1102.1878173608566</v>
      </c>
      <c r="N24" s="36">
        <v>9.7885662771114035</v>
      </c>
      <c r="O24" s="37">
        <v>9.7885662771114657</v>
      </c>
      <c r="P24" s="38">
        <v>279.95570560965757</v>
      </c>
      <c r="Q24" s="36">
        <v>11.188331254738333</v>
      </c>
      <c r="R24" s="37">
        <v>11.188331254738404</v>
      </c>
      <c r="S24" s="38">
        <v>319.98937151183856</v>
      </c>
      <c r="T24" s="36">
        <v>12.840889219327092</v>
      </c>
      <c r="U24" s="37">
        <v>12.840889219327172</v>
      </c>
      <c r="V24" s="38">
        <v>367.25298682995748</v>
      </c>
      <c r="W24" s="54">
        <v>-1.1873431671321402E-4</v>
      </c>
      <c r="Y24" s="43">
        <f t="array" ref="Y24:AA26">MINVERSE(A_mat)</f>
        <v>1.762102817925715E-4</v>
      </c>
      <c r="Z24" s="44">
        <v>-6.0692653873750712E-5</v>
      </c>
      <c r="AA24" s="45">
        <v>8.3792745525260822E-21</v>
      </c>
      <c r="AB24" s="43">
        <f t="array" ref="AB24:AD26">-MMULT(A_star,B_mat)</f>
        <v>2.6286653375815218E-3</v>
      </c>
      <c r="AC24" s="44">
        <v>9.0539935502494313E-4</v>
      </c>
      <c r="AD24" s="45">
        <v>2.8721099709275155E-4</v>
      </c>
    </row>
    <row r="25" spans="1:38" ht="15.75" thickBot="1" x14ac:dyDescent="0.3">
      <c r="A25" s="1">
        <v>3</v>
      </c>
      <c r="B25" s="4">
        <f>INDEX(Table1[t11],MATCH($A25, Table1[Ply_ID],0))</f>
        <v>0.50000000000000011</v>
      </c>
      <c r="C25" s="5">
        <f>INDEX(Table1[t12],MATCH($A25, Table1[Ply_ID],0))</f>
        <v>0.49999999999999989</v>
      </c>
      <c r="D25" s="6">
        <f>INDEX(Table1[t13],MATCH($A25, Table1[Ply_ID],0))</f>
        <v>-1</v>
      </c>
      <c r="E25" s="12">
        <f t="array" ref="E25:G27">MINVERSE(B25:D27)</f>
        <v>0.49999999999999989</v>
      </c>
      <c r="F25" s="12">
        <v>0.5</v>
      </c>
      <c r="G25" s="12">
        <v>1</v>
      </c>
      <c r="H25" s="28">
        <f>INDEX(Table1[q11],MATCH($A25, Table1[Ply_ID],0))</f>
        <v>2599.3234198092136</v>
      </c>
      <c r="I25" s="29">
        <f>INDEX(Table1[q12],MATCH($A25, Table1[Ply_ID],0))</f>
        <v>317.87246007087509</v>
      </c>
      <c r="J25" s="30">
        <f>INDEX(Table1[q16],MATCH($A25, Table1[Ply_ID],0))</f>
        <v>0</v>
      </c>
      <c r="K25" s="31">
        <f t="array" ref="K25:M27">MMULT(MMULT(E25:G27,H25:J27),TRANSPOSE(E25:G27))</f>
        <v>1702.7602774317313</v>
      </c>
      <c r="L25" s="31">
        <v>1137.3602774317314</v>
      </c>
      <c r="M25" s="31">
        <v>-38.537662508312614</v>
      </c>
      <c r="N25" s="28">
        <f t="array" ref="N25:P27">$K25:$M27*((INDEX(Table1[zk], MATCH($A25,Table1[Ply_ID],0))) - (INDEX(Table1[zk1], MATCH($A25,Table1[Ply_ID],0))))</f>
        <v>432.50111046765977</v>
      </c>
      <c r="O25" s="29">
        <v>288.88951046765982</v>
      </c>
      <c r="P25" s="30">
        <v>-9.7885662771114035</v>
      </c>
      <c r="Q25" s="28">
        <f t="array" ref="Q25:S27">1/2 * $K25:$M27*((INDEX(Table1[zk], MATCH($A25,Table1[Ply_ID],0)))^2 - (INDEX(Table1[zk1], MATCH($A25,Table1[Ply_ID],0)))^2)</f>
        <v>384.49348720574955</v>
      </c>
      <c r="R25" s="29">
        <v>256.82277480574953</v>
      </c>
      <c r="S25" s="30">
        <v>-8.702035420352038</v>
      </c>
      <c r="T25" s="28">
        <f t="array" ref="T25:V27">1/3 * $K25:$M27*((INDEX(Table1[zk], MATCH($A25,Table1[Ply_ID],0)))^3 - (INDEX(Table1[zk1], MATCH($A25,Table1[Ply_ID],0)))^3)</f>
        <v>344.13998026282223</v>
      </c>
      <c r="U25" s="29">
        <v>229.86861310708895</v>
      </c>
      <c r="V25" s="30">
        <v>-7.7887360838541371</v>
      </c>
      <c r="W25" s="52">
        <f t="array" ref="W25:W27">MMULT(B25:D27, ($AH$32:$AH$34 + (INDEX(Table1[z_mid],MATCH(A25, Table1[Ply_ID],0)))*$AH$35:$AH$37))</f>
        <v>5.7829496037628736E-5</v>
      </c>
      <c r="Y25" s="46">
        <v>-6.0692653873750718E-5</v>
      </c>
      <c r="Z25" s="47">
        <v>1.7621028179257148E-4</v>
      </c>
      <c r="AA25" s="48">
        <v>-8.768175413199178E-21</v>
      </c>
      <c r="AB25" s="46">
        <v>-9.0539935502496395E-4</v>
      </c>
      <c r="AC25" s="47">
        <v>-2.6286653375814611E-3</v>
      </c>
      <c r="AD25" s="48">
        <v>2.8721099709275063E-4</v>
      </c>
    </row>
    <row r="26" spans="1:38" ht="15.75" thickBot="1" x14ac:dyDescent="0.3">
      <c r="A26">
        <f>INDEX(Table1[theta],MATCH(A25,Table1[Ply_ID],0))</f>
        <v>-45</v>
      </c>
      <c r="B26" s="7">
        <f>INDEX(Table1[t21],MATCH($A25, Table1[Ply_ID],0))</f>
        <v>0.49999999999999989</v>
      </c>
      <c r="C26" s="3">
        <f>INDEX(Table1[t22],MATCH($A25, Table1[Ply_ID],0))</f>
        <v>0.50000000000000011</v>
      </c>
      <c r="D26" s="8">
        <f>INDEX(Table1[t23],MATCH($A25, Table1[Ply_ID],0))</f>
        <v>1</v>
      </c>
      <c r="E26" s="13">
        <v>0.5</v>
      </c>
      <c r="F26" s="13">
        <v>0.5</v>
      </c>
      <c r="G26" s="13">
        <v>-1</v>
      </c>
      <c r="H26" s="32">
        <f>I25</f>
        <v>317.87246007087509</v>
      </c>
      <c r="I26" s="33">
        <f>INDEX(Table1[q22],MATCH($A25, Table1[Ply_ID],0))</f>
        <v>2445.1727697759625</v>
      </c>
      <c r="J26" s="34">
        <f>INDEX(Table1[q26],MATCH($A25, Table1[Ply_ID],0))</f>
        <v>0</v>
      </c>
      <c r="K26" s="35">
        <v>1137.3602774317314</v>
      </c>
      <c r="L26" s="35">
        <v>1702.7602774317318</v>
      </c>
      <c r="M26" s="35">
        <v>-38.537662508312856</v>
      </c>
      <c r="N26" s="32">
        <v>288.88951046765982</v>
      </c>
      <c r="O26" s="33">
        <v>432.50111046765988</v>
      </c>
      <c r="P26" s="34">
        <v>-9.7885662771114657</v>
      </c>
      <c r="Q26" s="32">
        <v>256.82277480574953</v>
      </c>
      <c r="R26" s="33">
        <v>384.49348720574966</v>
      </c>
      <c r="S26" s="34">
        <v>-8.7020354203520931</v>
      </c>
      <c r="T26" s="32">
        <v>229.86861310708895</v>
      </c>
      <c r="U26" s="33">
        <v>344.13998026282229</v>
      </c>
      <c r="V26" s="34">
        <v>-7.7887360838541859</v>
      </c>
      <c r="W26" s="53">
        <v>5.8153423933960192E-5</v>
      </c>
      <c r="Y26" s="49">
        <v>8.3792745525260822E-21</v>
      </c>
      <c r="Z26" s="50">
        <v>-8.768175413199178E-21</v>
      </c>
      <c r="AA26" s="51">
        <v>4.7380587133264432E-4</v>
      </c>
      <c r="AB26" s="49">
        <v>1.178021564202128E-3</v>
      </c>
      <c r="AC26" s="50">
        <v>1.1780215642021262E-3</v>
      </c>
      <c r="AD26" s="51">
        <v>-9.6692258988073382E-22</v>
      </c>
    </row>
    <row r="27" spans="1:38" ht="15.75" thickBot="1" x14ac:dyDescent="0.3">
      <c r="B27" s="9">
        <f>INDEX(Table1[t31],MATCH($A25, Table1[Ply_ID],0))</f>
        <v>0.5</v>
      </c>
      <c r="C27" s="10">
        <f>INDEX(Table1[t32],MATCH($A25, Table1[Ply_ID],0))</f>
        <v>-0.5</v>
      </c>
      <c r="D27" s="11">
        <f>INDEX(Table1[t33],MATCH($A25, Table1[Ply_ID],0))</f>
        <v>0</v>
      </c>
      <c r="E27" s="14">
        <v>-0.5</v>
      </c>
      <c r="F27" s="14">
        <v>0.5</v>
      </c>
      <c r="G27" s="14">
        <v>2.2204460492503136E-16</v>
      </c>
      <c r="H27" s="36">
        <f>J25</f>
        <v>0</v>
      </c>
      <c r="I27" s="37">
        <f>J26</f>
        <v>0</v>
      </c>
      <c r="J27" s="38">
        <f>INDEX(Table1[q66],MATCH($A25, Table1[Ply_ID],0))</f>
        <v>282.7</v>
      </c>
      <c r="K27" s="39">
        <v>-38.537662508312614</v>
      </c>
      <c r="L27" s="39">
        <v>-38.537662508312856</v>
      </c>
      <c r="M27" s="39">
        <v>1102.1878173608566</v>
      </c>
      <c r="N27" s="36">
        <v>-9.7885662771114035</v>
      </c>
      <c r="O27" s="37">
        <v>-9.7885662771114657</v>
      </c>
      <c r="P27" s="38">
        <v>279.95570560965757</v>
      </c>
      <c r="Q27" s="36">
        <v>-8.702035420352038</v>
      </c>
      <c r="R27" s="37">
        <v>-8.7020354203520931</v>
      </c>
      <c r="S27" s="38">
        <v>248.88062228698558</v>
      </c>
      <c r="T27" s="36">
        <v>-7.7887360838541371</v>
      </c>
      <c r="U27" s="37">
        <v>-7.7887360838541859</v>
      </c>
      <c r="V27" s="38">
        <v>222.7600084050562</v>
      </c>
      <c r="W27" s="54">
        <v>1.1867166650583037E-4</v>
      </c>
      <c r="X27" s="15" t="s">
        <v>39</v>
      </c>
      <c r="Y27" s="43">
        <f t="array" ref="Y27:AA29">MMULT(B_mat, A_star)</f>
        <v>-2.6286653375815218E-3</v>
      </c>
      <c r="Z27" s="44">
        <v>9.0539935502496384E-4</v>
      </c>
      <c r="AA27" s="45">
        <v>-1.178021564202128E-3</v>
      </c>
      <c r="AB27" s="43">
        <f t="array" ref="AB27:AD29">D_mat - MMULT(C_star, B_mat)</f>
        <v>5126.1124376640246</v>
      </c>
      <c r="AC27" s="44">
        <v>1636.3929929973767</v>
      </c>
      <c r="AD27" s="45">
        <v>10.100021721911917</v>
      </c>
      <c r="AE27" t="s">
        <v>40</v>
      </c>
    </row>
    <row r="28" spans="1:38" ht="15.75" thickBot="1" x14ac:dyDescent="0.3">
      <c r="A28" s="1">
        <v>4</v>
      </c>
      <c r="B28" s="4">
        <f>INDEX(Table1[t11],MATCH($A28, Table1[Ply_ID],0))</f>
        <v>3.7524718414124473E-33</v>
      </c>
      <c r="C28" s="5">
        <f>INDEX(Table1[t12],MATCH($A28, Table1[Ply_ID],0))</f>
        <v>1</v>
      </c>
      <c r="D28" s="6">
        <f>INDEX(Table1[t13],MATCH($A28, Table1[Ply_ID],0))</f>
        <v>1.22514845490862E-16</v>
      </c>
      <c r="E28" s="12">
        <f t="array" ref="E28:G30">MINVERSE(B28:D30)</f>
        <v>3.7524718414124473E-33</v>
      </c>
      <c r="F28" s="12">
        <v>1</v>
      </c>
      <c r="G28" s="12">
        <v>-1.22514845490862E-16</v>
      </c>
      <c r="H28" s="28">
        <f>INDEX(Table1[q11],MATCH($A28, Table1[Ply_ID],0))</f>
        <v>2599.3234198092136</v>
      </c>
      <c r="I28" s="29">
        <f>INDEX(Table1[q12],MATCH($A28, Table1[Ply_ID],0))</f>
        <v>317.87246007087509</v>
      </c>
      <c r="J28" s="30">
        <f>INDEX(Table1[q16],MATCH($A28, Table1[Ply_ID],0))</f>
        <v>0</v>
      </c>
      <c r="K28" s="31">
        <f t="array" ref="K28:M30">MMULT(MMULT(E28:G30,H28:J30),TRANSPOSE(E28:G30))</f>
        <v>2445.1727697759625</v>
      </c>
      <c r="L28" s="31">
        <v>317.87246007087509</v>
      </c>
      <c r="M28" s="31">
        <v>-9.5677987557824137E-14</v>
      </c>
      <c r="N28" s="28">
        <f t="array" ref="N28:P30">$K28:$M30*((INDEX(Table1[zk], MATCH($A28,Table1[Ply_ID],0))) - (INDEX(Table1[zk1], MATCH($A28,Table1[Ply_ID],0))))</f>
        <v>621.07388352309442</v>
      </c>
      <c r="O28" s="29">
        <v>80.739604858002281</v>
      </c>
      <c r="P28" s="30">
        <v>-2.4302208839687331E-14</v>
      </c>
      <c r="Q28" s="28">
        <f t="array" ref="Q28:S30">1/2 * $K28:$M30*((INDEX(Table1[zk], MATCH($A28,Table1[Ply_ID],0)))^2 - (INDEX(Table1[zk1], MATCH($A28,Table1[Ply_ID],0)))^2)</f>
        <v>394.38191603716501</v>
      </c>
      <c r="R28" s="29">
        <v>51.26964908483145</v>
      </c>
      <c r="S28" s="30">
        <v>-1.5431902613201456E-14</v>
      </c>
      <c r="T28" s="28">
        <f t="array" ref="T28:V30">1/3 * $K28:$M30*((INDEX(Table1[zk], MATCH($A28,Table1[Ply_ID],0)))^3 - (INDEX(Table1[zk1], MATCH($A28,Table1[Ply_ID],0)))^3)</f>
        <v>253.77161690604783</v>
      </c>
      <c r="U28" s="29">
        <v>32.990310197786208</v>
      </c>
      <c r="V28" s="30">
        <v>-9.9299149348413652E-15</v>
      </c>
      <c r="W28" s="52">
        <f t="array" ref="W28:W30">MMULT(B28:D30, ($AH$32:$AH$34 + (INDEX(Table1[z_mid],MATCH(A28, Table1[Ply_ID],0)))*$AH$35:$AH$37))</f>
        <v>-6.0683890269248616E-5</v>
      </c>
      <c r="Y28" s="46">
        <v>-9.0539935502494324E-4</v>
      </c>
      <c r="Z28" s="47">
        <v>2.6286653375814611E-3</v>
      </c>
      <c r="AA28" s="48">
        <v>-1.1780215642021262E-3</v>
      </c>
      <c r="AB28" s="46">
        <v>1636.3929929973767</v>
      </c>
      <c r="AC28" s="47">
        <v>5004.8607624126735</v>
      </c>
      <c r="AD28" s="48">
        <v>10.108590819979968</v>
      </c>
    </row>
    <row r="29" spans="1:38" ht="15.75" thickBot="1" x14ac:dyDescent="0.3">
      <c r="A29">
        <f>INDEX(Table1[theta],MATCH(A28,Table1[Ply_ID],0))</f>
        <v>90</v>
      </c>
      <c r="B29" s="7">
        <f>INDEX(Table1[t21],MATCH($A28, Table1[Ply_ID],0))</f>
        <v>1</v>
      </c>
      <c r="C29" s="3">
        <f>INDEX(Table1[t22],MATCH($A28, Table1[Ply_ID],0))</f>
        <v>3.7524718414124473E-33</v>
      </c>
      <c r="D29" s="8">
        <f>INDEX(Table1[t23],MATCH($A28, Table1[Ply_ID],0))</f>
        <v>-1.22514845490862E-16</v>
      </c>
      <c r="E29" s="13">
        <v>1</v>
      </c>
      <c r="F29" s="13">
        <v>3.7524718414124473E-33</v>
      </c>
      <c r="G29" s="13">
        <v>1.22514845490862E-16</v>
      </c>
      <c r="H29" s="32">
        <f>I28</f>
        <v>317.87246007087509</v>
      </c>
      <c r="I29" s="33">
        <f>INDEX(Table1[q22],MATCH($A28, Table1[Ply_ID],0))</f>
        <v>2445.1727697759625</v>
      </c>
      <c r="J29" s="34">
        <f>INDEX(Table1[q26],MATCH($A28, Table1[Ply_ID],0))</f>
        <v>0</v>
      </c>
      <c r="K29" s="35">
        <v>317.87246007087509</v>
      </c>
      <c r="L29" s="35">
        <v>2599.3234198092136</v>
      </c>
      <c r="M29" s="35">
        <v>1.05120859093394E-13</v>
      </c>
      <c r="N29" s="32">
        <v>80.739604858002281</v>
      </c>
      <c r="O29" s="33">
        <v>660.22814863154031</v>
      </c>
      <c r="P29" s="34">
        <v>2.6700698209722076E-14</v>
      </c>
      <c r="Q29" s="32">
        <v>51.26964908483145</v>
      </c>
      <c r="R29" s="33">
        <v>419.24487438102813</v>
      </c>
      <c r="S29" s="34">
        <v>1.6954943363173521E-14</v>
      </c>
      <c r="T29" s="32">
        <v>32.990310197786208</v>
      </c>
      <c r="U29" s="33">
        <v>269.77010183504558</v>
      </c>
      <c r="V29" s="34">
        <v>1.0909940889423387E-14</v>
      </c>
      <c r="W29" s="53">
        <v>1.7653414232764484E-4</v>
      </c>
      <c r="Y29" s="49">
        <v>-2.8721099709275155E-4</v>
      </c>
      <c r="Z29" s="50">
        <v>-2.8721099709275069E-4</v>
      </c>
      <c r="AA29" s="51">
        <v>9.6692258988073382E-22</v>
      </c>
      <c r="AB29" s="49">
        <v>10.100021721911917</v>
      </c>
      <c r="AC29" s="50">
        <v>10.108590819979968</v>
      </c>
      <c r="AD29" s="51">
        <v>1553.4102372608249</v>
      </c>
    </row>
    <row r="30" spans="1:38" ht="15.75" thickBot="1" x14ac:dyDescent="0.3">
      <c r="B30" s="9">
        <f>INDEX(Table1[t31],MATCH($A28, Table1[Ply_ID],0))</f>
        <v>-6.1257422745431001E-17</v>
      </c>
      <c r="C30" s="10">
        <f>INDEX(Table1[t32],MATCH($A28, Table1[Ply_ID],0))</f>
        <v>6.1257422745431001E-17</v>
      </c>
      <c r="D30" s="11">
        <f>INDEX(Table1[t33],MATCH($A28, Table1[Ply_ID],0))</f>
        <v>-1</v>
      </c>
      <c r="E30" s="14">
        <v>6.1257422745431001E-17</v>
      </c>
      <c r="F30" s="14">
        <v>-6.1257422745431001E-17</v>
      </c>
      <c r="G30" s="14">
        <v>-1</v>
      </c>
      <c r="H30" s="36">
        <f>J28</f>
        <v>0</v>
      </c>
      <c r="I30" s="37">
        <f>J29</f>
        <v>0</v>
      </c>
      <c r="J30" s="38">
        <f>INDEX(Table1[q66],MATCH($A28, Table1[Ply_ID],0))</f>
        <v>282.7</v>
      </c>
      <c r="K30" s="39">
        <v>-9.5677987557824137E-14</v>
      </c>
      <c r="L30" s="39">
        <v>1.05120859093394E-13</v>
      </c>
      <c r="M30" s="39">
        <v>282.7</v>
      </c>
      <c r="N30" s="36">
        <v>-2.4302208839687331E-14</v>
      </c>
      <c r="O30" s="37">
        <v>2.6700698209722076E-14</v>
      </c>
      <c r="P30" s="38">
        <v>71.805800000000005</v>
      </c>
      <c r="Q30" s="36">
        <v>-1.5431902613201456E-14</v>
      </c>
      <c r="R30" s="37">
        <v>1.6954943363173521E-14</v>
      </c>
      <c r="S30" s="38">
        <v>45.596683000000006</v>
      </c>
      <c r="T30" s="36">
        <v>-9.9299149348413652E-15</v>
      </c>
      <c r="U30" s="37">
        <v>1.0909940889423387E-14</v>
      </c>
      <c r="V30" s="38">
        <v>29.339945621066668</v>
      </c>
      <c r="W30" s="54">
        <v>-1.1586433379964294E-7</v>
      </c>
      <c r="AK30" t="s">
        <v>79</v>
      </c>
    </row>
    <row r="31" spans="1:38" ht="15.75" thickBot="1" x14ac:dyDescent="0.3">
      <c r="A31" s="1">
        <v>5</v>
      </c>
      <c r="B31" s="4">
        <f>INDEX(Table1[t11],MATCH($A31, Table1[Ply_ID],0))</f>
        <v>3.7524718414124473E-33</v>
      </c>
      <c r="C31" s="5">
        <f>INDEX(Table1[t12],MATCH($A31, Table1[Ply_ID],0))</f>
        <v>1</v>
      </c>
      <c r="D31" s="6">
        <f>INDEX(Table1[t13],MATCH($A31, Table1[Ply_ID],0))</f>
        <v>1.22514845490862E-16</v>
      </c>
      <c r="E31" s="12">
        <f t="array" ref="E31:G33">MINVERSE(B31:D33)</f>
        <v>3.7524718414124473E-33</v>
      </c>
      <c r="F31" s="12">
        <v>1</v>
      </c>
      <c r="G31" s="12">
        <v>-1.22514845490862E-16</v>
      </c>
      <c r="H31" s="28">
        <f>INDEX(Table1[q11],MATCH($A31, Table1[Ply_ID],0))</f>
        <v>2599.3234198092136</v>
      </c>
      <c r="I31" s="29">
        <f>INDEX(Table1[q12],MATCH($A31, Table1[Ply_ID],0))</f>
        <v>317.87246007087509</v>
      </c>
      <c r="J31" s="30">
        <f>INDEX(Table1[q16],MATCH($A31, Table1[Ply_ID],0))</f>
        <v>0</v>
      </c>
      <c r="K31" s="31">
        <f t="array" ref="K31:M33">MMULT(MMULT(E31:G33,H31:J33),TRANSPOSE(E31:G33))</f>
        <v>2445.1727697759625</v>
      </c>
      <c r="L31" s="31">
        <v>317.87246007087509</v>
      </c>
      <c r="M31" s="31">
        <v>-9.5677987557824137E-14</v>
      </c>
      <c r="N31" s="28">
        <f t="array" ref="N31:P33">$K31:$M33*((INDEX(Table1[zk], MATCH($A31,Table1[Ply_ID],0))) - (INDEX(Table1[zk1], MATCH($A31,Table1[Ply_ID],0))))</f>
        <v>621.07388352309442</v>
      </c>
      <c r="O31" s="29">
        <v>80.739604858002281</v>
      </c>
      <c r="P31" s="30">
        <v>-2.4302208839687331E-14</v>
      </c>
      <c r="Q31" s="28">
        <f t="array" ref="Q31:S33">1/2 * $K31:$M33*((INDEX(Table1[zk], MATCH($A31,Table1[Ply_ID],0)))^2 - (INDEX(Table1[zk1], MATCH($A31,Table1[Ply_ID],0)))^2)</f>
        <v>236.629149622299</v>
      </c>
      <c r="R31" s="29">
        <v>30.761789450898867</v>
      </c>
      <c r="S31" s="30">
        <v>-9.2591415679208732E-15</v>
      </c>
      <c r="T31" s="28">
        <f t="array" ref="T31:V33">1/3 * $K31:$M33*((INDEX(Table1[zk], MATCH($A31,Table1[Ply_ID],0)))^3 - (INDEX(Table1[zk1], MATCH($A31,Table1[Ply_ID],0)))^3)</f>
        <v>93.494806228543908</v>
      </c>
      <c r="U31" s="29">
        <v>12.154324809710706</v>
      </c>
      <c r="V31" s="30">
        <v>-3.6583897128362917E-15</v>
      </c>
      <c r="W31" s="52">
        <f t="array" ref="W31:W33">MMULT(B31:D33, ($AH$32:$AH$34 + (INDEX(Table1[z_mid],MATCH(A31, Table1[Ply_ID],0)))*$AH$35:$AH$37))</f>
        <v>-6.0687574018461327E-5</v>
      </c>
      <c r="Y31" t="s">
        <v>41</v>
      </c>
      <c r="AB31" t="s">
        <v>42</v>
      </c>
      <c r="AG31" t="s">
        <v>56</v>
      </c>
      <c r="AH31" t="s">
        <v>60</v>
      </c>
      <c r="AI31" t="s">
        <v>57</v>
      </c>
      <c r="AK31" t="s">
        <v>77</v>
      </c>
      <c r="AL31" t="s">
        <v>78</v>
      </c>
    </row>
    <row r="32" spans="1:38" x14ac:dyDescent="0.25">
      <c r="A32">
        <f>INDEX(Table1[theta],MATCH(A31,Table1[Ply_ID],0))</f>
        <v>90</v>
      </c>
      <c r="B32" s="7">
        <f>INDEX(Table1[t21],MATCH($A31, Table1[Ply_ID],0))</f>
        <v>1</v>
      </c>
      <c r="C32" s="3">
        <f>INDEX(Table1[t22],MATCH($A31, Table1[Ply_ID],0))</f>
        <v>3.7524718414124473E-33</v>
      </c>
      <c r="D32" s="8">
        <f>INDEX(Table1[t23],MATCH($A31, Table1[Ply_ID],0))</f>
        <v>-1.22514845490862E-16</v>
      </c>
      <c r="E32" s="13">
        <v>1</v>
      </c>
      <c r="F32" s="13">
        <v>3.7524718414124473E-33</v>
      </c>
      <c r="G32" s="13">
        <v>1.22514845490862E-16</v>
      </c>
      <c r="H32" s="32">
        <f>I31</f>
        <v>317.87246007087509</v>
      </c>
      <c r="I32" s="33">
        <f>INDEX(Table1[q22],MATCH($A31, Table1[Ply_ID],0))</f>
        <v>2445.1727697759625</v>
      </c>
      <c r="J32" s="34">
        <f>INDEX(Table1[q26],MATCH($A31, Table1[Ply_ID],0))</f>
        <v>0</v>
      </c>
      <c r="K32" s="35">
        <v>317.87246007087509</v>
      </c>
      <c r="L32" s="35">
        <v>2599.3234198092136</v>
      </c>
      <c r="M32" s="35">
        <v>1.05120859093394E-13</v>
      </c>
      <c r="N32" s="32">
        <v>80.739604858002281</v>
      </c>
      <c r="O32" s="33">
        <v>660.22814863154031</v>
      </c>
      <c r="P32" s="34">
        <v>2.6700698209722076E-14</v>
      </c>
      <c r="Q32" s="32">
        <v>30.761789450898867</v>
      </c>
      <c r="R32" s="33">
        <v>251.54692462861684</v>
      </c>
      <c r="S32" s="34">
        <v>1.017296601790411E-14</v>
      </c>
      <c r="T32" s="32">
        <v>12.154324809710706</v>
      </c>
      <c r="U32" s="33">
        <v>99.388984886595708</v>
      </c>
      <c r="V32" s="34">
        <v>4.0194519066296682E-15</v>
      </c>
      <c r="W32" s="53">
        <v>1.7640515816366484E-4</v>
      </c>
      <c r="Y32" s="43">
        <f t="array" ref="Y32:AA34">A_star - MMULT(B_prime, C_star)</f>
        <v>1.7621168191769482E-4</v>
      </c>
      <c r="Z32" s="44">
        <v>-6.0693099642280378E-5</v>
      </c>
      <c r="AA32" s="45">
        <v>6.1529788433401396E-10</v>
      </c>
      <c r="AB32" s="43">
        <f t="array" ref="AB32:AD34">MMULT(B_star, D_prime)</f>
        <v>5.078116692126218E-7</v>
      </c>
      <c r="AC32" s="44">
        <v>1.4502949656324762E-8</v>
      </c>
      <c r="AD32" s="45">
        <v>1.814945447484951E-7</v>
      </c>
      <c r="AG32" s="42">
        <v>1</v>
      </c>
      <c r="AH32" s="42">
        <f t="array" ref="AH32:AH37">MMULT(Y32:AD37, AG32:AG37)</f>
        <v>1.7621168191769482E-4</v>
      </c>
      <c r="AI32" s="52">
        <f t="array" ref="AI32:AI34">MMULT(B19:D21, (AH32:AH34 + Z2*AH35:AH37))</f>
        <v>1.7692109481958485E-4</v>
      </c>
      <c r="AJ32" s="26"/>
      <c r="AK32" s="26">
        <v>4.9720400000000001E-4</v>
      </c>
      <c r="AL32" s="26">
        <v>5.2343799999999998E-5</v>
      </c>
    </row>
    <row r="33" spans="1:38" ht="15.75" thickBot="1" x14ac:dyDescent="0.3">
      <c r="B33" s="9">
        <f>INDEX(Table1[t31],MATCH($A31, Table1[Ply_ID],0))</f>
        <v>-6.1257422745431001E-17</v>
      </c>
      <c r="C33" s="10">
        <f>INDEX(Table1[t32],MATCH($A31, Table1[Ply_ID],0))</f>
        <v>6.1257422745431001E-17</v>
      </c>
      <c r="D33" s="11">
        <f>INDEX(Table1[t33],MATCH($A31, Table1[Ply_ID],0))</f>
        <v>-1</v>
      </c>
      <c r="E33" s="14">
        <v>6.1257422745431001E-17</v>
      </c>
      <c r="F33" s="14">
        <v>-6.1257422745431001E-17</v>
      </c>
      <c r="G33" s="14">
        <v>-1</v>
      </c>
      <c r="H33" s="36">
        <f>J31</f>
        <v>0</v>
      </c>
      <c r="I33" s="37">
        <f>J32</f>
        <v>0</v>
      </c>
      <c r="J33" s="38">
        <f>INDEX(Table1[q66],MATCH($A31, Table1[Ply_ID],0))</f>
        <v>282.7</v>
      </c>
      <c r="K33" s="39">
        <v>-9.5677987557824137E-14</v>
      </c>
      <c r="L33" s="39">
        <v>1.05120859093394E-13</v>
      </c>
      <c r="M33" s="39">
        <v>282.7</v>
      </c>
      <c r="N33" s="36">
        <v>-2.4302208839687331E-14</v>
      </c>
      <c r="O33" s="37">
        <v>2.6700698209722076E-14</v>
      </c>
      <c r="P33" s="38">
        <v>71.805800000000005</v>
      </c>
      <c r="Q33" s="36">
        <v>-9.2591415679208732E-15</v>
      </c>
      <c r="R33" s="37">
        <v>1.017296601790411E-14</v>
      </c>
      <c r="S33" s="38">
        <v>27.358009799999998</v>
      </c>
      <c r="T33" s="36">
        <v>-3.6583897128362917E-15</v>
      </c>
      <c r="U33" s="37">
        <v>4.0194519066296682E-15</v>
      </c>
      <c r="V33" s="38">
        <v>10.809453649866665</v>
      </c>
      <c r="W33" s="54">
        <v>-6.9764719433525163E-8</v>
      </c>
      <c r="Y33" s="46">
        <v>-6.0693099642280385E-5</v>
      </c>
      <c r="Z33" s="47">
        <v>1.7621171799686583E-4</v>
      </c>
      <c r="AA33" s="48">
        <v>-6.2732427467917022E-10</v>
      </c>
      <c r="AB33" s="46">
        <v>-1.028274044915119E-8</v>
      </c>
      <c r="AC33" s="47">
        <v>-5.222408514218419E-7</v>
      </c>
      <c r="AD33" s="48">
        <v>1.8835589276602743E-7</v>
      </c>
      <c r="AG33" s="42">
        <v>0</v>
      </c>
      <c r="AH33" s="42">
        <v>-6.0693099642280385E-5</v>
      </c>
      <c r="AI33" s="53">
        <v>-6.06728390216105E-5</v>
      </c>
      <c r="AJ33" s="26"/>
      <c r="AK33" s="26">
        <v>5.0383100000000005E-4</v>
      </c>
      <c r="AL33" s="26">
        <v>5.8970700000000001E-5</v>
      </c>
    </row>
    <row r="34" spans="1:38" ht="15.75" thickBot="1" x14ac:dyDescent="0.3">
      <c r="A34" s="1">
        <v>6</v>
      </c>
      <c r="B34" s="4">
        <f>INDEX(Table1[t11],MATCH($A34, Table1[Ply_ID],0))</f>
        <v>0.50000000000000011</v>
      </c>
      <c r="C34" s="5">
        <f>INDEX(Table1[t12],MATCH($A34, Table1[Ply_ID],0))</f>
        <v>0.49999999999999989</v>
      </c>
      <c r="D34" s="6">
        <f>INDEX(Table1[t13],MATCH($A34, Table1[Ply_ID],0))</f>
        <v>-1</v>
      </c>
      <c r="E34" s="12">
        <f t="array" ref="E34:G36">MINVERSE(B34:D36)</f>
        <v>0.49999999999999989</v>
      </c>
      <c r="F34" s="12">
        <v>0.5</v>
      </c>
      <c r="G34" s="12">
        <v>1</v>
      </c>
      <c r="H34" s="28">
        <f>INDEX(Table1[q11],MATCH($A34, Table1[Ply_ID],0))</f>
        <v>2599.3234198092136</v>
      </c>
      <c r="I34" s="29">
        <f>INDEX(Table1[q12],MATCH($A34, Table1[Ply_ID],0))</f>
        <v>317.87246007087509</v>
      </c>
      <c r="J34" s="30">
        <f>INDEX(Table1[q16],MATCH($A34, Table1[Ply_ID],0))</f>
        <v>0</v>
      </c>
      <c r="K34" s="31">
        <f t="array" ref="K34:M36">MMULT(MMULT(E34:G36,H34:J36),TRANSPOSE(E34:G36))</f>
        <v>1702.7602774317313</v>
      </c>
      <c r="L34" s="31">
        <v>1137.3602774317314</v>
      </c>
      <c r="M34" s="31">
        <v>-38.537662508312614</v>
      </c>
      <c r="N34" s="28">
        <f t="array" ref="N34:P36">$K34:$M36*((INDEX(Table1[zk], MATCH($A34,Table1[Ply_ID],0))) - (INDEX(Table1[zk1], MATCH($A34,Table1[Ply_ID],0))))</f>
        <v>432.50111046765977</v>
      </c>
      <c r="O34" s="29">
        <v>288.88951046765982</v>
      </c>
      <c r="P34" s="30">
        <v>-9.7885662771114035</v>
      </c>
      <c r="Q34" s="28">
        <f t="array" ref="Q34:S36">1/2 * $K34:$M36*((INDEX(Table1[zk], MATCH($A34,Table1[Ply_ID],0)))^2 - (INDEX(Table1[zk1], MATCH($A34,Table1[Ply_ID],0)))^2)</f>
        <v>54.927641029392795</v>
      </c>
      <c r="R34" s="29">
        <v>36.688967829392794</v>
      </c>
      <c r="S34" s="30">
        <v>-1.2431479171931483</v>
      </c>
      <c r="T34" s="28">
        <f t="array" ref="T34:V36">1/3 * $K34:$M36*((INDEX(Table1[zk], MATCH($A34,Table1[Ply_ID],0)))^3 - (INDEX(Table1[zk1], MATCH($A34,Table1[Ply_ID],0)))^3)</f>
        <v>9.3010805476438456</v>
      </c>
      <c r="U34" s="29">
        <v>6.2126652191105132</v>
      </c>
      <c r="V34" s="30">
        <v>-0.21050638064470645</v>
      </c>
      <c r="W34" s="52">
        <f t="array" ref="W34:W36">MMULT(B34:D36, ($AH$32:$AH$34 + (INDEX(Table1[z_mid],MATCH(A34, Table1[Ply_ID],0)))*$AH$35:$AH$37))</f>
        <v>5.776879301093803E-5</v>
      </c>
      <c r="Y34" s="49">
        <v>6.1529788433401396E-10</v>
      </c>
      <c r="Z34" s="50">
        <v>-6.2732427467917022E-10</v>
      </c>
      <c r="AA34" s="51">
        <v>4.7380628554003065E-4</v>
      </c>
      <c r="AB34" s="49">
        <v>1.7269813655391753E-7</v>
      </c>
      <c r="AC34" s="50">
        <v>1.7891460035938942E-7</v>
      </c>
      <c r="AD34" s="51">
        <v>-2.2871160058442765E-9</v>
      </c>
      <c r="AG34" s="42">
        <v>0</v>
      </c>
      <c r="AH34" s="42">
        <v>6.1529788433401396E-10</v>
      </c>
      <c r="AI34" s="54">
        <v>2.5416317689798169E-7</v>
      </c>
      <c r="AJ34" s="26"/>
      <c r="AK34" s="26">
        <v>-1.1776199999999999E-5</v>
      </c>
      <c r="AL34" s="26">
        <v>-1.1776199999999999E-5</v>
      </c>
    </row>
    <row r="35" spans="1:38" x14ac:dyDescent="0.25">
      <c r="A35">
        <f>INDEX(Table1[theta],MATCH(A34,Table1[Ply_ID],0))</f>
        <v>-45</v>
      </c>
      <c r="B35" s="7">
        <f>INDEX(Table1[t21],MATCH($A34, Table1[Ply_ID],0))</f>
        <v>0.49999999999999989</v>
      </c>
      <c r="C35" s="3">
        <f>INDEX(Table1[t22],MATCH($A34, Table1[Ply_ID],0))</f>
        <v>0.50000000000000011</v>
      </c>
      <c r="D35" s="8">
        <f>INDEX(Table1[t23],MATCH($A34, Table1[Ply_ID],0))</f>
        <v>1</v>
      </c>
      <c r="E35" s="13">
        <v>0.5</v>
      </c>
      <c r="F35" s="13">
        <v>0.5</v>
      </c>
      <c r="G35" s="13">
        <v>-1</v>
      </c>
      <c r="H35" s="32">
        <f>I34</f>
        <v>317.87246007087509</v>
      </c>
      <c r="I35" s="33">
        <f>INDEX(Table1[q22],MATCH($A34, Table1[Ply_ID],0))</f>
        <v>2445.1727697759625</v>
      </c>
      <c r="J35" s="34">
        <f>INDEX(Table1[q26],MATCH($A34, Table1[Ply_ID],0))</f>
        <v>0</v>
      </c>
      <c r="K35" s="35">
        <v>1137.3602774317314</v>
      </c>
      <c r="L35" s="35">
        <v>1702.7602774317318</v>
      </c>
      <c r="M35" s="35">
        <v>-38.537662508312856</v>
      </c>
      <c r="N35" s="32">
        <v>288.88951046765982</v>
      </c>
      <c r="O35" s="33">
        <v>432.50111046765988</v>
      </c>
      <c r="P35" s="34">
        <v>-9.7885662771114657</v>
      </c>
      <c r="Q35" s="32">
        <v>36.688967829392794</v>
      </c>
      <c r="R35" s="33">
        <v>54.927641029392809</v>
      </c>
      <c r="S35" s="34">
        <v>-1.2431479171931561</v>
      </c>
      <c r="T35" s="32">
        <v>6.2126652191105132</v>
      </c>
      <c r="U35" s="33">
        <v>9.3010805476438474</v>
      </c>
      <c r="V35" s="34">
        <v>-0.21050638064470775</v>
      </c>
      <c r="W35" s="53">
        <v>5.7816123221072773E-5</v>
      </c>
      <c r="X35" s="15" t="s">
        <v>43</v>
      </c>
      <c r="Y35" s="43">
        <f t="array" ref="Y35:AA37">-MMULT(D_prime, C_star)</f>
        <v>5.078116692126218E-7</v>
      </c>
      <c r="Z35" s="44">
        <v>-1.0282740449151163E-8</v>
      </c>
      <c r="AA35" s="45">
        <v>1.7269813655391753E-7</v>
      </c>
      <c r="AB35" s="43">
        <f t="array" ref="AB35:AD37">MINVERSE(D_star)</f>
        <v>2.1781526535993626E-4</v>
      </c>
      <c r="AC35" s="44">
        <v>-7.1215116600447656E-5</v>
      </c>
      <c r="AD35" s="45">
        <v>-9.5277757419579058E-7</v>
      </c>
      <c r="AE35" t="s">
        <v>44</v>
      </c>
      <c r="AG35" s="42">
        <v>0</v>
      </c>
      <c r="AH35" s="42">
        <v>5.078116692126218E-7</v>
      </c>
      <c r="AJ35" s="26"/>
    </row>
    <row r="36" spans="1:38" ht="15.75" thickBot="1" x14ac:dyDescent="0.3">
      <c r="B36" s="9">
        <f>INDEX(Table1[t31],MATCH($A34, Table1[Ply_ID],0))</f>
        <v>0.5</v>
      </c>
      <c r="C36" s="10">
        <f>INDEX(Table1[t32],MATCH($A34, Table1[Ply_ID],0))</f>
        <v>-0.5</v>
      </c>
      <c r="D36" s="11">
        <f>INDEX(Table1[t33],MATCH($A34, Table1[Ply_ID],0))</f>
        <v>0</v>
      </c>
      <c r="E36" s="14">
        <v>-0.5</v>
      </c>
      <c r="F36" s="14">
        <v>0.5</v>
      </c>
      <c r="G36" s="14">
        <v>2.2204460492503136E-16</v>
      </c>
      <c r="H36" s="36">
        <f>J34</f>
        <v>0</v>
      </c>
      <c r="I36" s="37">
        <f>J35</f>
        <v>0</v>
      </c>
      <c r="J36" s="38">
        <f>INDEX(Table1[q66],MATCH($A34, Table1[Ply_ID],0))</f>
        <v>282.7</v>
      </c>
      <c r="K36" s="39">
        <v>-38.537662508312614</v>
      </c>
      <c r="L36" s="39">
        <v>-38.537662508312856</v>
      </c>
      <c r="M36" s="39">
        <v>1102.1878173608566</v>
      </c>
      <c r="N36" s="36">
        <v>-9.7885662771114035</v>
      </c>
      <c r="O36" s="37">
        <v>-9.7885662771114657</v>
      </c>
      <c r="P36" s="38">
        <v>279.95570560965757</v>
      </c>
      <c r="Q36" s="36">
        <v>-1.2431479171931483</v>
      </c>
      <c r="R36" s="37">
        <v>-1.2431479171931561</v>
      </c>
      <c r="S36" s="38">
        <v>35.554374612426514</v>
      </c>
      <c r="T36" s="36">
        <v>-0.21050638064470645</v>
      </c>
      <c r="U36" s="37">
        <v>-0.21050638064470775</v>
      </c>
      <c r="V36" s="38">
        <v>6.0205407677042224</v>
      </c>
      <c r="W36" s="54">
        <v>1.1848371588367944E-4</v>
      </c>
      <c r="Y36" s="46">
        <v>1.4502949656324789E-8</v>
      </c>
      <c r="Z36" s="47">
        <v>-5.222408514218419E-7</v>
      </c>
      <c r="AA36" s="48">
        <v>1.7891460035938942E-7</v>
      </c>
      <c r="AB36" s="46">
        <v>-7.1215116600447656E-5</v>
      </c>
      <c r="AC36" s="47">
        <v>2.2309230272018422E-4</v>
      </c>
      <c r="AD36" s="48">
        <v>-9.8871150830104544E-7</v>
      </c>
      <c r="AG36" s="42">
        <v>0</v>
      </c>
      <c r="AH36" s="42">
        <v>1.4502949656324789E-8</v>
      </c>
      <c r="AJ36" s="26"/>
    </row>
    <row r="37" spans="1:38" ht="15.75" thickBot="1" x14ac:dyDescent="0.3">
      <c r="A37" s="1">
        <v>7</v>
      </c>
      <c r="B37" s="4">
        <f>INDEX(Table1[t11],MATCH($A37, Table1[Ply_ID],0))</f>
        <v>0.50000000000000011</v>
      </c>
      <c r="C37" s="5">
        <f>INDEX(Table1[t12],MATCH($A37, Table1[Ply_ID],0))</f>
        <v>0.49999999999999989</v>
      </c>
      <c r="D37" s="6">
        <f>INDEX(Table1[t13],MATCH($A37, Table1[Ply_ID],0))</f>
        <v>1</v>
      </c>
      <c r="E37" s="12">
        <f t="array" ref="E37:G39">MINVERSE(B37:D39)</f>
        <v>0.49999999999999989</v>
      </c>
      <c r="F37" s="12">
        <v>0.5</v>
      </c>
      <c r="G37" s="12">
        <v>-1</v>
      </c>
      <c r="H37" s="28">
        <f>INDEX(Table1[q11],MATCH($A37, Table1[Ply_ID],0))</f>
        <v>2599.3234198092136</v>
      </c>
      <c r="I37" s="29">
        <f>INDEX(Table1[q12],MATCH($A37, Table1[Ply_ID],0))</f>
        <v>317.87246007087509</v>
      </c>
      <c r="J37" s="30">
        <f>INDEX(Table1[q16],MATCH($A37, Table1[Ply_ID],0))</f>
        <v>0</v>
      </c>
      <c r="K37" s="31">
        <f t="array" ref="K37:M39">MMULT(MMULT(E37:G39,H37:J39),TRANSPOSE(E37:G39))</f>
        <v>1702.7602774317313</v>
      </c>
      <c r="L37" s="31">
        <v>1137.3602774317314</v>
      </c>
      <c r="M37" s="31">
        <v>38.537662508312614</v>
      </c>
      <c r="N37" s="28">
        <f t="array" ref="N37:P39">$K37:$M39*((INDEX(Table1[zk], MATCH($A37,Table1[Ply_ID],0))) - (INDEX(Table1[zk1], MATCH($A37,Table1[Ply_ID],0))))</f>
        <v>432.50111046765977</v>
      </c>
      <c r="O37" s="29">
        <v>288.88951046765982</v>
      </c>
      <c r="P37" s="30">
        <v>9.7885662771114035</v>
      </c>
      <c r="Q37" s="28">
        <f t="array" ref="Q37:S39">1/2 * $K37:$M39*((INDEX(Table1[zk], MATCH($A37,Table1[Ply_ID],0)))^2 - (INDEX(Table1[zk1], MATCH($A37,Table1[Ply_ID],0)))^2)</f>
        <v>-54.927641029392795</v>
      </c>
      <c r="R37" s="29">
        <v>-36.688967829392794</v>
      </c>
      <c r="S37" s="30">
        <v>-1.2431479171931483</v>
      </c>
      <c r="T37" s="28">
        <f t="array" ref="T37:V39">1/3 * $K37:$M39*((INDEX(Table1[zk], MATCH($A37,Table1[Ply_ID],0)))^3 - (INDEX(Table1[zk1], MATCH($A37,Table1[Ply_ID],0)))^3)</f>
        <v>9.3010805476438456</v>
      </c>
      <c r="U37" s="29">
        <v>6.2126652191105132</v>
      </c>
      <c r="V37" s="30">
        <v>0.21050638064470645</v>
      </c>
      <c r="W37" s="52">
        <f t="array" ref="W37:W39">MMULT(B37:D39, ($AH$32:$AH$34 + (INDEX(Table1[z_mid],MATCH(A37, Table1[Ply_ID],0)))*$AH$35:$AH$37))</f>
        <v>5.7703689650110328E-5</v>
      </c>
      <c r="Y37" s="49">
        <v>1.814945447484951E-7</v>
      </c>
      <c r="Z37" s="50">
        <v>1.8835589276602748E-7</v>
      </c>
      <c r="AA37" s="51">
        <v>-2.2871160058442757E-9</v>
      </c>
      <c r="AB37" s="49">
        <v>-9.5277757419579037E-7</v>
      </c>
      <c r="AC37" s="50">
        <v>-9.8871150830104523E-7</v>
      </c>
      <c r="AD37" s="51">
        <v>6.4375758158877379E-4</v>
      </c>
      <c r="AG37" s="42">
        <v>0</v>
      </c>
      <c r="AH37" s="42">
        <v>1.814945447484951E-7</v>
      </c>
      <c r="AI37" s="42">
        <f>AI32*2</f>
        <v>3.538421896391697E-4</v>
      </c>
      <c r="AJ37" s="26"/>
    </row>
    <row r="38" spans="1:38" x14ac:dyDescent="0.25">
      <c r="A38">
        <f>INDEX(Table1[theta],MATCH(A37,Table1[Ply_ID],0))</f>
        <v>45</v>
      </c>
      <c r="B38" s="7">
        <f>INDEX(Table1[t21],MATCH($A37, Table1[Ply_ID],0))</f>
        <v>0.49999999999999989</v>
      </c>
      <c r="C38" s="3">
        <f>INDEX(Table1[t22],MATCH($A37, Table1[Ply_ID],0))</f>
        <v>0.50000000000000011</v>
      </c>
      <c r="D38" s="8">
        <f>INDEX(Table1[t23],MATCH($A37, Table1[Ply_ID],0))</f>
        <v>-1</v>
      </c>
      <c r="E38" s="13">
        <v>0.5</v>
      </c>
      <c r="F38" s="13">
        <v>0.5</v>
      </c>
      <c r="G38" s="13">
        <v>1</v>
      </c>
      <c r="H38" s="32">
        <f>I37</f>
        <v>317.87246007087509</v>
      </c>
      <c r="I38" s="33">
        <f>INDEX(Table1[q22],MATCH($A37, Table1[Ply_ID],0))</f>
        <v>2445.1727697759625</v>
      </c>
      <c r="J38" s="34">
        <f>INDEX(Table1[q26],MATCH($A37, Table1[Ply_ID],0))</f>
        <v>0</v>
      </c>
      <c r="K38" s="35">
        <v>1137.3602774317314</v>
      </c>
      <c r="L38" s="35">
        <v>1702.7602774317318</v>
      </c>
      <c r="M38" s="35">
        <v>38.537662508312856</v>
      </c>
      <c r="N38" s="32">
        <v>288.88951046765982</v>
      </c>
      <c r="O38" s="33">
        <v>432.50111046765988</v>
      </c>
      <c r="P38" s="34">
        <v>9.7885662771114657</v>
      </c>
      <c r="Q38" s="32">
        <v>-36.688967829392794</v>
      </c>
      <c r="R38" s="33">
        <v>-54.927641029392809</v>
      </c>
      <c r="S38" s="34">
        <v>-1.2431479171931561</v>
      </c>
      <c r="T38" s="32">
        <v>6.2126652191105132</v>
      </c>
      <c r="U38" s="33">
        <v>9.3010805476438474</v>
      </c>
      <c r="V38" s="34">
        <v>0.21050638064470775</v>
      </c>
      <c r="W38" s="53">
        <v>5.7748558668707741E-5</v>
      </c>
      <c r="AI38" s="42">
        <f t="shared" ref="AI38:AI39" si="1">AI33*2</f>
        <v>-1.21345678043221E-4</v>
      </c>
    </row>
    <row r="39" spans="1:38" ht="15.75" thickBot="1" x14ac:dyDescent="0.3">
      <c r="B39" s="9">
        <f>INDEX(Table1[t31],MATCH($A37, Table1[Ply_ID],0))</f>
        <v>-0.5</v>
      </c>
      <c r="C39" s="10">
        <f>INDEX(Table1[t32],MATCH($A37, Table1[Ply_ID],0))</f>
        <v>0.5</v>
      </c>
      <c r="D39" s="11">
        <f>INDEX(Table1[t33],MATCH($A37, Table1[Ply_ID],0))</f>
        <v>0</v>
      </c>
      <c r="E39" s="14">
        <v>0.5</v>
      </c>
      <c r="F39" s="14">
        <v>-0.5</v>
      </c>
      <c r="G39" s="14">
        <v>2.2204460492503136E-16</v>
      </c>
      <c r="H39" s="36">
        <f>J37</f>
        <v>0</v>
      </c>
      <c r="I39" s="37">
        <f>J38</f>
        <v>0</v>
      </c>
      <c r="J39" s="38">
        <f>INDEX(Table1[q66],MATCH($A37, Table1[Ply_ID],0))</f>
        <v>282.7</v>
      </c>
      <c r="K39" s="39">
        <v>38.537662508312614</v>
      </c>
      <c r="L39" s="39">
        <v>38.537662508312856</v>
      </c>
      <c r="M39" s="39">
        <v>1102.1878173608566</v>
      </c>
      <c r="N39" s="36">
        <v>9.7885662771114035</v>
      </c>
      <c r="O39" s="37">
        <v>9.7885662771114657</v>
      </c>
      <c r="P39" s="38">
        <v>279.95570560965757</v>
      </c>
      <c r="Q39" s="36">
        <v>-1.2431479171931483</v>
      </c>
      <c r="R39" s="37">
        <v>-1.2431479171931561</v>
      </c>
      <c r="S39" s="38">
        <v>-35.554374612426514</v>
      </c>
      <c r="T39" s="36">
        <v>0.21050638064470645</v>
      </c>
      <c r="U39" s="37">
        <v>0.21050638064470775</v>
      </c>
      <c r="V39" s="38">
        <v>6.0205407677042224</v>
      </c>
      <c r="W39" s="54">
        <v>-1.1842106567629577E-4</v>
      </c>
      <c r="AI39" s="42">
        <f t="shared" si="1"/>
        <v>5.0832635379596338E-7</v>
      </c>
    </row>
    <row r="40" spans="1:38" ht="15.75" thickBot="1" x14ac:dyDescent="0.3">
      <c r="A40" s="1">
        <v>8</v>
      </c>
      <c r="B40" s="4">
        <f>INDEX(Table1[t11],MATCH($A40, Table1[Ply_ID],0))</f>
        <v>1</v>
      </c>
      <c r="C40" s="5">
        <f>INDEX(Table1[t12],MATCH($A40, Table1[Ply_ID],0))</f>
        <v>0</v>
      </c>
      <c r="D40" s="6">
        <f>INDEX(Table1[t13],MATCH($A40, Table1[Ply_ID],0))</f>
        <v>0</v>
      </c>
      <c r="E40" s="12">
        <f t="array" ref="E40:G42">MINVERSE(B40:D42)</f>
        <v>1</v>
      </c>
      <c r="F40" s="12">
        <v>0</v>
      </c>
      <c r="G40" s="12">
        <v>0</v>
      </c>
      <c r="H40" s="28">
        <f>INDEX(Table1[q11],MATCH($A40, Table1[Ply_ID],0))</f>
        <v>2599.3234198092136</v>
      </c>
      <c r="I40" s="29">
        <f>INDEX(Table1[q12],MATCH($A40, Table1[Ply_ID],0))</f>
        <v>317.87246007087509</v>
      </c>
      <c r="J40" s="30">
        <f>INDEX(Table1[q16],MATCH($A40, Table1[Ply_ID],0))</f>
        <v>0</v>
      </c>
      <c r="K40" s="31">
        <f t="array" ref="K40:M42">MMULT(MMULT(E40:G42,H40:J42),TRANSPOSE(E40:G42))</f>
        <v>2599.3234198092136</v>
      </c>
      <c r="L40" s="31">
        <v>317.87246007087509</v>
      </c>
      <c r="M40" s="31">
        <v>0</v>
      </c>
      <c r="N40" s="28">
        <f t="array" ref="N40:P42">$K40:$M42*((INDEX(Table1[zk], MATCH($A40,Table1[Ply_ID],0))) - (INDEX(Table1[zk1], MATCH($A40,Table1[Ply_ID],0))))</f>
        <v>660.22814863154031</v>
      </c>
      <c r="O40" s="29">
        <v>80.739604858002281</v>
      </c>
      <c r="P40" s="30">
        <v>0</v>
      </c>
      <c r="Q40" s="28">
        <f t="array" ref="Q40:S42">1/2 * $K40:$M42*((INDEX(Table1[zk], MATCH($A40,Table1[Ply_ID],0)))^2 - (INDEX(Table1[zk1], MATCH($A40,Table1[Ply_ID],0)))^2)</f>
        <v>-251.54692462861684</v>
      </c>
      <c r="R40" s="29">
        <v>-30.761789450898867</v>
      </c>
      <c r="S40" s="30">
        <v>0</v>
      </c>
      <c r="T40" s="28">
        <f t="array" ref="T40:V42">1/3 * $K40:$M42*((INDEX(Table1[zk], MATCH($A40,Table1[Ply_ID],0)))^3 - (INDEX(Table1[zk1], MATCH($A40,Table1[Ply_ID],0)))^3)</f>
        <v>99.388984886595708</v>
      </c>
      <c r="U40" s="29">
        <v>12.154324809710706</v>
      </c>
      <c r="V40" s="30">
        <v>0</v>
      </c>
      <c r="W40" s="52">
        <f t="array" ref="W40:W42">MMULT(B40:D42, ($AH$32:$AH$34 + (INDEX(Table1[z_mid],MATCH(A40, Table1[Ply_ID],0)))*$AH$35:$AH$37))</f>
        <v>1.760182056717248E-4</v>
      </c>
    </row>
    <row r="41" spans="1:38" x14ac:dyDescent="0.25">
      <c r="A41">
        <f>INDEX(Table1[theta],MATCH(A40,Table1[Ply_ID],0))</f>
        <v>0</v>
      </c>
      <c r="B41" s="7">
        <f>INDEX(Table1[t21],MATCH($A40, Table1[Ply_ID],0))</f>
        <v>0</v>
      </c>
      <c r="C41" s="3">
        <f>INDEX(Table1[t22],MATCH($A40, Table1[Ply_ID],0))</f>
        <v>1</v>
      </c>
      <c r="D41" s="8">
        <f>INDEX(Table1[t23],MATCH($A40, Table1[Ply_ID],0))</f>
        <v>0</v>
      </c>
      <c r="E41" s="13">
        <v>0</v>
      </c>
      <c r="F41" s="13">
        <v>1</v>
      </c>
      <c r="G41" s="13">
        <v>0</v>
      </c>
      <c r="H41" s="32">
        <f>I40</f>
        <v>317.87246007087509</v>
      </c>
      <c r="I41" s="33">
        <f>INDEX(Table1[q22],MATCH($A40, Table1[Ply_ID],0))</f>
        <v>2445.1727697759625</v>
      </c>
      <c r="J41" s="34">
        <f>INDEX(Table1[q26],MATCH($A40, Table1[Ply_ID],0))</f>
        <v>0</v>
      </c>
      <c r="K41" s="35">
        <v>317.87246007087509</v>
      </c>
      <c r="L41" s="35">
        <v>2445.1727697759625</v>
      </c>
      <c r="M41" s="35">
        <v>0</v>
      </c>
      <c r="N41" s="32">
        <v>80.739604858002281</v>
      </c>
      <c r="O41" s="33">
        <v>621.07388352309442</v>
      </c>
      <c r="P41" s="34">
        <v>0</v>
      </c>
      <c r="Q41" s="32">
        <v>-30.761789450898867</v>
      </c>
      <c r="R41" s="33">
        <v>-236.629149622299</v>
      </c>
      <c r="S41" s="34">
        <v>0</v>
      </c>
      <c r="T41" s="32">
        <v>12.154324809710706</v>
      </c>
      <c r="U41" s="33">
        <v>93.494806228543908</v>
      </c>
      <c r="V41" s="34">
        <v>0</v>
      </c>
      <c r="W41" s="53">
        <v>-6.0698625266099443E-5</v>
      </c>
    </row>
    <row r="42" spans="1:38" ht="15.75" thickBot="1" x14ac:dyDescent="0.3">
      <c r="B42" s="9">
        <f>INDEX(Table1[t31],MATCH($A40, Table1[Ply_ID],0))</f>
        <v>0</v>
      </c>
      <c r="C42" s="10">
        <f>INDEX(Table1[t32],MATCH($A40, Table1[Ply_ID],0))</f>
        <v>0</v>
      </c>
      <c r="D42" s="11">
        <f>INDEX(Table1[t33],MATCH($A40, Table1[Ply_ID],0))</f>
        <v>1</v>
      </c>
      <c r="E42" s="14">
        <v>0</v>
      </c>
      <c r="F42" s="14">
        <v>0</v>
      </c>
      <c r="G42" s="14">
        <v>1</v>
      </c>
      <c r="H42" s="36">
        <f>J40</f>
        <v>0</v>
      </c>
      <c r="I42" s="37">
        <f>J41</f>
        <v>0</v>
      </c>
      <c r="J42" s="38">
        <f>INDEX(Table1[q66],MATCH($A40, Table1[Ply_ID],0))</f>
        <v>282.7</v>
      </c>
      <c r="K42" s="39">
        <v>0</v>
      </c>
      <c r="L42" s="39">
        <v>0</v>
      </c>
      <c r="M42" s="39">
        <v>282.7</v>
      </c>
      <c r="N42" s="36">
        <v>0</v>
      </c>
      <c r="O42" s="37">
        <v>0</v>
      </c>
      <c r="P42" s="38">
        <v>71.805800000000005</v>
      </c>
      <c r="Q42" s="36">
        <v>0</v>
      </c>
      <c r="R42" s="37">
        <v>0</v>
      </c>
      <c r="S42" s="38">
        <v>-27.358009799999998</v>
      </c>
      <c r="T42" s="36">
        <v>0</v>
      </c>
      <c r="U42" s="37">
        <v>0</v>
      </c>
      <c r="V42" s="38">
        <v>10.809453649866665</v>
      </c>
      <c r="W42" s="54">
        <v>-6.8534123664842612E-8</v>
      </c>
    </row>
    <row r="43" spans="1:38" ht="15.75" thickBot="1" x14ac:dyDescent="0.3">
      <c r="A43" s="1">
        <v>9</v>
      </c>
      <c r="B43" s="4">
        <f>INDEX(Table1[t11],MATCH($A43, Table1[Ply_ID],0))</f>
        <v>3.7524718414124473E-33</v>
      </c>
      <c r="C43" s="5">
        <f>INDEX(Table1[t12],MATCH($A43, Table1[Ply_ID],0))</f>
        <v>1</v>
      </c>
      <c r="D43" s="6">
        <f>INDEX(Table1[t13],MATCH($A43, Table1[Ply_ID],0))</f>
        <v>1.22514845490862E-16</v>
      </c>
      <c r="E43" s="12">
        <f t="array" ref="E43:G45">MINVERSE(B43:D45)</f>
        <v>3.7524718414124473E-33</v>
      </c>
      <c r="F43" s="12">
        <v>1</v>
      </c>
      <c r="G43" s="12">
        <v>-1.22514845490862E-16</v>
      </c>
      <c r="H43" s="28">
        <f>INDEX(Table1[q11],MATCH($A43, Table1[Ply_ID],0))</f>
        <v>2599.3234198092136</v>
      </c>
      <c r="I43" s="29">
        <f>INDEX(Table1[q12],MATCH($A43, Table1[Ply_ID],0))</f>
        <v>317.87246007087509</v>
      </c>
      <c r="J43" s="30">
        <f>INDEX(Table1[q16],MATCH($A43, Table1[Ply_ID],0))</f>
        <v>0</v>
      </c>
      <c r="K43" s="31">
        <f t="array" ref="K43:M45">MMULT(MMULT(E43:G45,H43:J45),TRANSPOSE(E43:G45))</f>
        <v>2445.1727697759625</v>
      </c>
      <c r="L43" s="31">
        <v>317.87246007087509</v>
      </c>
      <c r="M43" s="31">
        <v>-9.5677987557824137E-14</v>
      </c>
      <c r="N43" s="28">
        <f t="array" ref="N43:P45">$K43:$M45*((INDEX(Table1[zk], MATCH($A43,Table1[Ply_ID],0))) - (INDEX(Table1[zk1], MATCH($A43,Table1[Ply_ID],0))))</f>
        <v>621.07388352309442</v>
      </c>
      <c r="O43" s="29">
        <v>80.739604858002281</v>
      </c>
      <c r="P43" s="30">
        <v>-2.4302208839687331E-14</v>
      </c>
      <c r="Q43" s="28">
        <f t="array" ref="Q43:S45">1/2 * $K43:$M45*((INDEX(Table1[zk], MATCH($A43,Table1[Ply_ID],0)))^2 - (INDEX(Table1[zk1], MATCH($A43,Table1[Ply_ID],0)))^2)</f>
        <v>-394.38191603716501</v>
      </c>
      <c r="R43" s="29">
        <v>-51.26964908483145</v>
      </c>
      <c r="S43" s="30">
        <v>1.5431902613201456E-14</v>
      </c>
      <c r="T43" s="28">
        <f t="array" ref="T43:V45">1/3 * $K43:$M45*((INDEX(Table1[zk], MATCH($A43,Table1[Ply_ID],0)))^3 - (INDEX(Table1[zk1], MATCH($A43,Table1[Ply_ID],0)))^3)</f>
        <v>253.77161690604783</v>
      </c>
      <c r="U43" s="29">
        <v>32.990310197786208</v>
      </c>
      <c r="V43" s="30">
        <v>-9.9299149348413652E-15</v>
      </c>
      <c r="W43" s="52">
        <f t="array" ref="W43:W45">MMULT(B43:D45, ($AH$32:$AH$34 + (INDEX(Table1[z_mid],MATCH(A43, Table1[Ply_ID],0)))*$AH$35:$AH$37))</f>
        <v>-6.0702309015312155E-5</v>
      </c>
    </row>
    <row r="44" spans="1:38" x14ac:dyDescent="0.25">
      <c r="A44">
        <f>INDEX(Table1[theta],MATCH(A43,Table1[Ply_ID],0))</f>
        <v>90</v>
      </c>
      <c r="B44" s="7">
        <f>INDEX(Table1[t21],MATCH($A43, Table1[Ply_ID],0))</f>
        <v>1</v>
      </c>
      <c r="C44" s="3">
        <f>INDEX(Table1[t22],MATCH($A43, Table1[Ply_ID],0))</f>
        <v>3.7524718414124473E-33</v>
      </c>
      <c r="D44" s="8">
        <f>INDEX(Table1[t23],MATCH($A43, Table1[Ply_ID],0))</f>
        <v>-1.22514845490862E-16</v>
      </c>
      <c r="E44" s="13">
        <v>1</v>
      </c>
      <c r="F44" s="13">
        <v>3.7524718414124473E-33</v>
      </c>
      <c r="G44" s="13">
        <v>1.22514845490862E-16</v>
      </c>
      <c r="H44" s="32">
        <f>I43</f>
        <v>317.87246007087509</v>
      </c>
      <c r="I44" s="33">
        <f>INDEX(Table1[q22],MATCH($A43, Table1[Ply_ID],0))</f>
        <v>2445.1727697759625</v>
      </c>
      <c r="J44" s="34">
        <f>INDEX(Table1[q26],MATCH($A43, Table1[Ply_ID],0))</f>
        <v>0</v>
      </c>
      <c r="K44" s="35">
        <v>317.87246007087509</v>
      </c>
      <c r="L44" s="35">
        <v>2599.3234198092136</v>
      </c>
      <c r="M44" s="35">
        <v>1.05120859093394E-13</v>
      </c>
      <c r="N44" s="32">
        <v>80.739604858002281</v>
      </c>
      <c r="O44" s="33">
        <v>660.22814863154031</v>
      </c>
      <c r="P44" s="34">
        <v>2.6700698209722076E-14</v>
      </c>
      <c r="Q44" s="32">
        <v>-51.26964908483145</v>
      </c>
      <c r="R44" s="33">
        <v>-419.24487438102813</v>
      </c>
      <c r="S44" s="34">
        <v>-1.6954943363173521E-14</v>
      </c>
      <c r="T44" s="32">
        <v>32.990310197786208</v>
      </c>
      <c r="U44" s="33">
        <v>269.77010183504558</v>
      </c>
      <c r="V44" s="34">
        <v>1.0909940889423387E-14</v>
      </c>
      <c r="W44" s="53">
        <v>1.758892215077448E-4</v>
      </c>
    </row>
    <row r="45" spans="1:38" ht="15.75" thickBot="1" x14ac:dyDescent="0.3">
      <c r="B45" s="9">
        <f>INDEX(Table1[t31],MATCH($A43, Table1[Ply_ID],0))</f>
        <v>-6.1257422745431001E-17</v>
      </c>
      <c r="C45" s="10">
        <f>INDEX(Table1[t32],MATCH($A43, Table1[Ply_ID],0))</f>
        <v>6.1257422745431001E-17</v>
      </c>
      <c r="D45" s="11">
        <f>INDEX(Table1[t33],MATCH($A43, Table1[Ply_ID],0))</f>
        <v>-1</v>
      </c>
      <c r="E45" s="14">
        <v>6.1257422745431001E-17</v>
      </c>
      <c r="F45" s="14">
        <v>-6.1257422745431001E-17</v>
      </c>
      <c r="G45" s="14">
        <v>-1</v>
      </c>
      <c r="H45" s="36">
        <f>J43</f>
        <v>0</v>
      </c>
      <c r="I45" s="37">
        <f>J44</f>
        <v>0</v>
      </c>
      <c r="J45" s="38">
        <f>INDEX(Table1[q66],MATCH($A43, Table1[Ply_ID],0))</f>
        <v>282.7</v>
      </c>
      <c r="K45" s="39">
        <v>-9.5677987557824137E-14</v>
      </c>
      <c r="L45" s="39">
        <v>1.05120859093394E-13</v>
      </c>
      <c r="M45" s="39">
        <v>282.7</v>
      </c>
      <c r="N45" s="36">
        <v>-2.4302208839687331E-14</v>
      </c>
      <c r="O45" s="37">
        <v>2.6700698209722076E-14</v>
      </c>
      <c r="P45" s="38">
        <v>71.805800000000005</v>
      </c>
      <c r="Q45" s="36">
        <v>1.5431902613201456E-14</v>
      </c>
      <c r="R45" s="37">
        <v>-1.6954943363173521E-14</v>
      </c>
      <c r="S45" s="38">
        <v>-45.596683000000006</v>
      </c>
      <c r="T45" s="36">
        <v>-9.9299149348413652E-15</v>
      </c>
      <c r="U45" s="37">
        <v>1.0909940889423387E-14</v>
      </c>
      <c r="V45" s="38">
        <v>29.339945621066668</v>
      </c>
      <c r="W45" s="54">
        <v>1.1463373803094588E-7</v>
      </c>
    </row>
    <row r="46" spans="1:38" ht="15.75" thickBot="1" x14ac:dyDescent="0.3">
      <c r="A46" s="1">
        <v>10</v>
      </c>
      <c r="B46" s="4">
        <f>INDEX(Table1[t11],MATCH($A46, Table1[Ply_ID],0))</f>
        <v>0.50000000000000011</v>
      </c>
      <c r="C46" s="5">
        <f>INDEX(Table1[t12],MATCH($A46, Table1[Ply_ID],0))</f>
        <v>0.49999999999999989</v>
      </c>
      <c r="D46" s="6">
        <f>INDEX(Table1[t13],MATCH($A46, Table1[Ply_ID],0))</f>
        <v>-1</v>
      </c>
      <c r="E46" s="12">
        <f t="array" ref="E46:G48">MINVERSE(B46:D48)</f>
        <v>0.49999999999999989</v>
      </c>
      <c r="F46" s="12">
        <v>0.5</v>
      </c>
      <c r="G46" s="12">
        <v>1</v>
      </c>
      <c r="H46" s="28">
        <f>INDEX(Table1[q11],MATCH($A46, Table1[Ply_ID],0))</f>
        <v>2599.3234198092136</v>
      </c>
      <c r="I46" s="29">
        <f>INDEX(Table1[q12],MATCH($A46, Table1[Ply_ID],0))</f>
        <v>317.87246007087509</v>
      </c>
      <c r="J46" s="30">
        <f>INDEX(Table1[q16],MATCH($A46, Table1[Ply_ID],0))</f>
        <v>0</v>
      </c>
      <c r="K46" s="31">
        <f t="array" ref="K46:M48">MMULT(MMULT(E46:G48,H46:J48),TRANSPOSE(E46:G48))</f>
        <v>1702.7602774317313</v>
      </c>
      <c r="L46" s="31">
        <v>1137.3602774317314</v>
      </c>
      <c r="M46" s="31">
        <v>-38.537662508312614</v>
      </c>
      <c r="N46" s="28">
        <f t="array" ref="N46:P48">$K46:$M48*((INDEX(Table1[zk], MATCH($A46,Table1[Ply_ID],0))) - (INDEX(Table1[zk1], MATCH($A46,Table1[Ply_ID],0))))</f>
        <v>432.50111046765977</v>
      </c>
      <c r="O46" s="29">
        <v>288.88951046765982</v>
      </c>
      <c r="P46" s="30">
        <v>-9.7885662771114035</v>
      </c>
      <c r="Q46" s="28">
        <f t="array" ref="Q46:S48">1/2 * $K46:$M48*((INDEX(Table1[zk], MATCH($A46,Table1[Ply_ID],0)))^2 - (INDEX(Table1[zk1], MATCH($A46,Table1[Ply_ID],0)))^2)</f>
        <v>-384.49348720574955</v>
      </c>
      <c r="R46" s="29">
        <v>-256.82277480574953</v>
      </c>
      <c r="S46" s="30">
        <v>8.702035420352038</v>
      </c>
      <c r="T46" s="28">
        <f t="array" ref="T46:V48">1/3 * $K46:$M48*((INDEX(Table1[zk], MATCH($A46,Table1[Ply_ID],0)))^3 - (INDEX(Table1[zk1], MATCH($A46,Table1[Ply_ID],0)))^3)</f>
        <v>344.13998026282223</v>
      </c>
      <c r="U46" s="29">
        <v>229.86861310708895</v>
      </c>
      <c r="V46" s="30">
        <v>-7.7887360838541371</v>
      </c>
      <c r="W46" s="52">
        <f t="array" ref="W46:W48">MMULT(B46:D48, ($AH$32:$AH$34 + (INDEX(Table1[z_mid],MATCH(A46, Table1[Ply_ID],0)))*$AH$35:$AH$37))</f>
        <v>5.768785564201707E-5</v>
      </c>
    </row>
    <row r="47" spans="1:38" x14ac:dyDescent="0.25">
      <c r="A47">
        <f>INDEX(Table1[theta],MATCH(A46,Table1[Ply_ID],0))</f>
        <v>-45</v>
      </c>
      <c r="B47" s="7">
        <f>INDEX(Table1[t21],MATCH($A46, Table1[Ply_ID],0))</f>
        <v>0.49999999999999989</v>
      </c>
      <c r="C47" s="3">
        <f>INDEX(Table1[t22],MATCH($A46, Table1[Ply_ID],0))</f>
        <v>0.50000000000000011</v>
      </c>
      <c r="D47" s="8">
        <f>INDEX(Table1[t23],MATCH($A46, Table1[Ply_ID],0))</f>
        <v>1</v>
      </c>
      <c r="E47" s="13">
        <v>0.5</v>
      </c>
      <c r="F47" s="13">
        <v>0.5</v>
      </c>
      <c r="G47" s="13">
        <v>-1</v>
      </c>
      <c r="H47" s="32">
        <f>I46</f>
        <v>317.87246007087509</v>
      </c>
      <c r="I47" s="33">
        <f>INDEX(Table1[q22],MATCH($A46, Table1[Ply_ID],0))</f>
        <v>2445.1727697759625</v>
      </c>
      <c r="J47" s="34">
        <f>INDEX(Table1[q26],MATCH($A46, Table1[Ply_ID],0))</f>
        <v>0</v>
      </c>
      <c r="K47" s="35">
        <v>1137.3602774317314</v>
      </c>
      <c r="L47" s="35">
        <v>1702.7602774317318</v>
      </c>
      <c r="M47" s="35">
        <v>-38.537662508312856</v>
      </c>
      <c r="N47" s="32">
        <v>288.88951046765982</v>
      </c>
      <c r="O47" s="33">
        <v>432.50111046765988</v>
      </c>
      <c r="P47" s="34">
        <v>-9.7885662771114657</v>
      </c>
      <c r="Q47" s="32">
        <v>-256.82277480574953</v>
      </c>
      <c r="R47" s="33">
        <v>-384.49348720574966</v>
      </c>
      <c r="S47" s="34">
        <v>8.7020354203520931</v>
      </c>
      <c r="T47" s="32">
        <v>229.86861310708895</v>
      </c>
      <c r="U47" s="33">
        <v>344.13998026282229</v>
      </c>
      <c r="V47" s="34">
        <v>-7.7887360838541859</v>
      </c>
      <c r="W47" s="53">
        <v>5.7366388937222875E-5</v>
      </c>
    </row>
    <row r="48" spans="1:38" ht="15.75" thickBot="1" x14ac:dyDescent="0.3">
      <c r="B48" s="9">
        <f>INDEX(Table1[t31],MATCH($A46, Table1[Ply_ID],0))</f>
        <v>0.5</v>
      </c>
      <c r="C48" s="10">
        <f>INDEX(Table1[t32],MATCH($A46, Table1[Ply_ID],0))</f>
        <v>-0.5</v>
      </c>
      <c r="D48" s="11">
        <f>INDEX(Table1[t33],MATCH($A46, Table1[Ply_ID],0))</f>
        <v>0</v>
      </c>
      <c r="E48" s="14">
        <v>-0.5</v>
      </c>
      <c r="F48" s="14">
        <v>0.5</v>
      </c>
      <c r="G48" s="14">
        <v>2.2204460492503136E-16</v>
      </c>
      <c r="H48" s="36">
        <f>J46</f>
        <v>0</v>
      </c>
      <c r="I48" s="37">
        <f>J47</f>
        <v>0</v>
      </c>
      <c r="J48" s="38">
        <f>INDEX(Table1[q66],MATCH($A46, Table1[Ply_ID],0))</f>
        <v>282.7</v>
      </c>
      <c r="K48" s="39">
        <v>-38.537662508312614</v>
      </c>
      <c r="L48" s="39">
        <v>-38.537662508312856</v>
      </c>
      <c r="M48" s="39">
        <v>1102.1878173608566</v>
      </c>
      <c r="N48" s="36">
        <v>-9.7885662771114035</v>
      </c>
      <c r="O48" s="37">
        <v>-9.7885662771114657</v>
      </c>
      <c r="P48" s="38">
        <v>279.95570560965757</v>
      </c>
      <c r="Q48" s="36">
        <v>8.702035420352038</v>
      </c>
      <c r="R48" s="37">
        <v>8.7020354203520931</v>
      </c>
      <c r="S48" s="38">
        <v>-248.88062228698558</v>
      </c>
      <c r="T48" s="36">
        <v>-7.7887360838541371</v>
      </c>
      <c r="U48" s="37">
        <v>-7.7887360838541859</v>
      </c>
      <c r="V48" s="38">
        <v>222.7600084050562</v>
      </c>
      <c r="W48" s="54">
        <v>1.1823311505414483E-4</v>
      </c>
    </row>
    <row r="49" spans="1:23" ht="15.75" thickBot="1" x14ac:dyDescent="0.3">
      <c r="A49" s="1">
        <v>11</v>
      </c>
      <c r="B49" s="4">
        <f>INDEX(Table1[t11],MATCH($A49, Table1[Ply_ID],0))</f>
        <v>0.50000000000000011</v>
      </c>
      <c r="C49" s="5">
        <f>INDEX(Table1[t12],MATCH($A49, Table1[Ply_ID],0))</f>
        <v>0.49999999999999989</v>
      </c>
      <c r="D49" s="6">
        <f>INDEX(Table1[t13],MATCH($A49, Table1[Ply_ID],0))</f>
        <v>1</v>
      </c>
      <c r="E49" s="12">
        <f t="array" ref="E49:G51">MINVERSE(B49:D51)</f>
        <v>0.49999999999999989</v>
      </c>
      <c r="F49" s="12">
        <v>0.5</v>
      </c>
      <c r="G49" s="12">
        <v>-1</v>
      </c>
      <c r="H49" s="28">
        <f>INDEX(Table1[q11],MATCH($A49, Table1[Ply_ID],0))</f>
        <v>2599.3234198092136</v>
      </c>
      <c r="I49" s="29">
        <f>INDEX(Table1[q12],MATCH($A49, Table1[Ply_ID],0))</f>
        <v>317.87246007087509</v>
      </c>
      <c r="J49" s="30">
        <f>INDEX(Table1[q16],MATCH($A49, Table1[Ply_ID],0))</f>
        <v>0</v>
      </c>
      <c r="K49" s="31">
        <f t="array" ref="K49:M51">MMULT(MMULT(E49:G51,H49:J51),TRANSPOSE(E49:G51))</f>
        <v>1702.7602774317313</v>
      </c>
      <c r="L49" s="31">
        <v>1137.3602774317314</v>
      </c>
      <c r="M49" s="31">
        <v>38.537662508312614</v>
      </c>
      <c r="N49" s="28">
        <f t="array" ref="N49:P51">$K49:$M51*((INDEX(Table1[zk], MATCH($A49,Table1[Ply_ID],0))) - (INDEX(Table1[zk1], MATCH($A49,Table1[Ply_ID],0))))</f>
        <v>432.50111046765977</v>
      </c>
      <c r="O49" s="29">
        <v>288.88951046765982</v>
      </c>
      <c r="P49" s="30">
        <v>9.7885662771114035</v>
      </c>
      <c r="Q49" s="28">
        <f t="array" ref="Q49:S51">1/2 * $K49:$M51*((INDEX(Table1[zk], MATCH($A49,Table1[Ply_ID],0)))^2 - (INDEX(Table1[zk1], MATCH($A49,Table1[Ply_ID],0)))^2)</f>
        <v>-494.34876926453506</v>
      </c>
      <c r="R49" s="29">
        <v>-330.20071046453512</v>
      </c>
      <c r="S49" s="30">
        <v>-11.188331254738333</v>
      </c>
      <c r="T49" s="28">
        <f t="array" ref="T49:V51">1/3 * $K49:$M51*((INDEX(Table1[zk], MATCH($A49,Table1[Ply_ID],0)))^3 - (INDEX(Table1[zk1], MATCH($A49,Table1[Ply_ID],0)))^3)</f>
        <v>567.36591340627444</v>
      </c>
      <c r="U49" s="29">
        <v>378.97257836574124</v>
      </c>
      <c r="V49" s="30">
        <v>12.840889219327092</v>
      </c>
      <c r="W49" s="52">
        <f t="array" ref="W49:W51">MMULT(B49:D51, ($AH$32:$AH$34 + (INDEX(Table1[z_mid],MATCH(A49, Table1[Ply_ID],0)))*$AH$35:$AH$37))</f>
        <v>5.7253955366260443E-5</v>
      </c>
    </row>
    <row r="50" spans="1:23" x14ac:dyDescent="0.25">
      <c r="A50">
        <f>INDEX(Table1[theta],MATCH(A49,Table1[Ply_ID],0))</f>
        <v>45</v>
      </c>
      <c r="B50" s="7">
        <f>INDEX(Table1[t21],MATCH($A49, Table1[Ply_ID],0))</f>
        <v>0.49999999999999989</v>
      </c>
      <c r="C50" s="3">
        <f>INDEX(Table1[t22],MATCH($A49, Table1[Ply_ID],0))</f>
        <v>0.50000000000000011</v>
      </c>
      <c r="D50" s="8">
        <f>INDEX(Table1[t23],MATCH($A49, Table1[Ply_ID],0))</f>
        <v>-1</v>
      </c>
      <c r="E50" s="13">
        <v>0.5</v>
      </c>
      <c r="F50" s="13">
        <v>0.5</v>
      </c>
      <c r="G50" s="13">
        <v>1</v>
      </c>
      <c r="H50" s="32">
        <f>I49</f>
        <v>317.87246007087509</v>
      </c>
      <c r="I50" s="33">
        <f>INDEX(Table1[q22],MATCH($A49, Table1[Ply_ID],0))</f>
        <v>2445.1727697759625</v>
      </c>
      <c r="J50" s="34">
        <f>INDEX(Table1[q26],MATCH($A49, Table1[Ply_ID],0))</f>
        <v>0</v>
      </c>
      <c r="K50" s="35">
        <v>1137.3602774317314</v>
      </c>
      <c r="L50" s="35">
        <v>1702.7602774317318</v>
      </c>
      <c r="M50" s="35">
        <v>38.537662508312856</v>
      </c>
      <c r="N50" s="32">
        <v>288.88951046765982</v>
      </c>
      <c r="O50" s="33">
        <v>432.50111046765988</v>
      </c>
      <c r="P50" s="34">
        <v>9.7885662771114657</v>
      </c>
      <c r="Q50" s="32">
        <v>-330.20071046453512</v>
      </c>
      <c r="R50" s="33">
        <v>-494.34876926453518</v>
      </c>
      <c r="S50" s="34">
        <v>-11.188331254738404</v>
      </c>
      <c r="T50" s="32">
        <v>378.97257836574124</v>
      </c>
      <c r="U50" s="33">
        <v>567.36591340627456</v>
      </c>
      <c r="V50" s="34">
        <v>12.840889219327172</v>
      </c>
      <c r="W50" s="53">
        <v>5.7667621299786794E-5</v>
      </c>
    </row>
    <row r="51" spans="1:23" ht="15.75" thickBot="1" x14ac:dyDescent="0.3">
      <c r="B51" s="9">
        <f>INDEX(Table1[t31],MATCH($A49, Table1[Ply_ID],0))</f>
        <v>-0.5</v>
      </c>
      <c r="C51" s="10">
        <f>INDEX(Table1[t32],MATCH($A49, Table1[Ply_ID],0))</f>
        <v>0.5</v>
      </c>
      <c r="D51" s="11">
        <f>INDEX(Table1[t33],MATCH($A49, Table1[Ply_ID],0))</f>
        <v>0</v>
      </c>
      <c r="E51" s="14">
        <v>0.5</v>
      </c>
      <c r="F51" s="14">
        <v>-0.5</v>
      </c>
      <c r="G51" s="14">
        <v>2.2204460492503136E-16</v>
      </c>
      <c r="H51" s="36">
        <f>J49</f>
        <v>0</v>
      </c>
      <c r="I51" s="37">
        <f>J50</f>
        <v>0</v>
      </c>
      <c r="J51" s="38">
        <f>INDEX(Table1[q66],MATCH($A49, Table1[Ply_ID],0))</f>
        <v>282.7</v>
      </c>
      <c r="K51" s="39">
        <v>38.537662508312614</v>
      </c>
      <c r="L51" s="39">
        <v>38.537662508312856</v>
      </c>
      <c r="M51" s="39">
        <v>1102.1878173608566</v>
      </c>
      <c r="N51" s="36">
        <v>9.7885662771114035</v>
      </c>
      <c r="O51" s="37">
        <v>9.7885662771114657</v>
      </c>
      <c r="P51" s="38">
        <v>279.95570560965757</v>
      </c>
      <c r="Q51" s="36">
        <v>-11.188331254738333</v>
      </c>
      <c r="R51" s="37">
        <v>-11.188331254738404</v>
      </c>
      <c r="S51" s="38">
        <v>-319.98937151183856</v>
      </c>
      <c r="T51" s="36">
        <v>12.840889219327092</v>
      </c>
      <c r="U51" s="37">
        <v>12.840889219327172</v>
      </c>
      <c r="V51" s="38">
        <v>367.25298682995748</v>
      </c>
      <c r="W51" s="54">
        <v>-1.1817046484676118E-4</v>
      </c>
    </row>
    <row r="52" spans="1:23" ht="15.75" thickBot="1" x14ac:dyDescent="0.3">
      <c r="A52" s="1">
        <v>12</v>
      </c>
      <c r="B52" s="4">
        <f>INDEX(Table1[t11],MATCH($A52, Table1[Ply_ID],0))</f>
        <v>1</v>
      </c>
      <c r="C52" s="5">
        <f>INDEX(Table1[t12],MATCH($A52, Table1[Ply_ID],0))</f>
        <v>0</v>
      </c>
      <c r="D52" s="6">
        <f>INDEX(Table1[t13],MATCH($A52, Table1[Ply_ID],0))</f>
        <v>0</v>
      </c>
      <c r="E52" s="12">
        <f t="array" ref="E52:G54">MINVERSE(B52:D54)</f>
        <v>1</v>
      </c>
      <c r="F52" s="12">
        <v>0</v>
      </c>
      <c r="G52" s="12">
        <v>0</v>
      </c>
      <c r="H52" s="28">
        <f>INDEX(Table1[q11],MATCH($A52, Table1[Ply_ID],0))</f>
        <v>2599.3234198092136</v>
      </c>
      <c r="I52" s="29">
        <f>INDEX(Table1[q12],MATCH($A52, Table1[Ply_ID],0))</f>
        <v>317.87246007087509</v>
      </c>
      <c r="J52" s="30">
        <f>INDEX(Table1[q16],MATCH($A52, Table1[Ply_ID],0))</f>
        <v>0</v>
      </c>
      <c r="K52" s="31">
        <f t="array" ref="K52:M54">MMULT(MMULT(E52:G54,H52:J54),TRANSPOSE(E52:G54))</f>
        <v>2599.3234198092136</v>
      </c>
      <c r="L52" s="31">
        <v>317.87246007087509</v>
      </c>
      <c r="M52" s="31">
        <v>0</v>
      </c>
      <c r="N52" s="28">
        <f t="array" ref="N52:P54">$K52:$M54*((INDEX(Table1[zk], MATCH($A52,Table1[Ply_ID],0))) - (INDEX(Table1[zk1], MATCH($A52,Table1[Ply_ID],0))))</f>
        <v>660.22814863154031</v>
      </c>
      <c r="O52" s="29">
        <v>80.739604858002281</v>
      </c>
      <c r="P52" s="30">
        <v>0</v>
      </c>
      <c r="Q52" s="28">
        <f t="array" ref="Q52:S54">1/2 * $K52:$M54*((INDEX(Table1[zk], MATCH($A52,Table1[Ply_ID],0)))^2 - (INDEX(Table1[zk1], MATCH($A52,Table1[Ply_ID],0)))^2)</f>
        <v>-922.33872363826197</v>
      </c>
      <c r="R52" s="29">
        <v>-112.7932279866292</v>
      </c>
      <c r="S52" s="30">
        <v>0</v>
      </c>
      <c r="T52" s="28">
        <f t="array" ref="T52:V54">1/3 * $K52:$M54*((INDEX(Table1[zk], MATCH($A52,Table1[Ply_ID],0)))^3 - (INDEX(Table1[zk1], MATCH($A52,Table1[Ply_ID],0)))^3)</f>
        <v>1292.056803525745</v>
      </c>
      <c r="U52" s="29">
        <v>158.00622252623927</v>
      </c>
      <c r="V52" s="30">
        <v>0</v>
      </c>
      <c r="W52" s="52">
        <f t="array" ref="W52:W54">MMULT(B52:D54, ($AH$32:$AH$34 + (INDEX(Table1[z_mid],MATCH(A52, Table1[Ply_ID],0)))*$AH$35:$AH$37))</f>
        <v>1.7550226901580479E-4</v>
      </c>
    </row>
    <row r="53" spans="1:23" x14ac:dyDescent="0.25">
      <c r="A53">
        <f>INDEX(Table1[theta],MATCH(A52,Table1[Ply_ID],0))</f>
        <v>0</v>
      </c>
      <c r="B53" s="7">
        <f>INDEX(Table1[t21],MATCH($A52, Table1[Ply_ID],0))</f>
        <v>0</v>
      </c>
      <c r="C53" s="3">
        <f>INDEX(Table1[t22],MATCH($A52, Table1[Ply_ID],0))</f>
        <v>1</v>
      </c>
      <c r="D53" s="8">
        <f>INDEX(Table1[t23],MATCH($A52, Table1[Ply_ID],0))</f>
        <v>0</v>
      </c>
      <c r="E53" s="13">
        <v>0</v>
      </c>
      <c r="F53" s="13">
        <v>1</v>
      </c>
      <c r="G53" s="13">
        <v>0</v>
      </c>
      <c r="H53" s="32">
        <f>I52</f>
        <v>317.87246007087509</v>
      </c>
      <c r="I53" s="33">
        <f>INDEX(Table1[q22],MATCH($A52, Table1[Ply_ID],0))</f>
        <v>2445.1727697759625</v>
      </c>
      <c r="J53" s="34">
        <f>INDEX(Table1[q26],MATCH($A52, Table1[Ply_ID],0))</f>
        <v>0</v>
      </c>
      <c r="K53" s="35">
        <v>317.87246007087509</v>
      </c>
      <c r="L53" s="35">
        <v>2445.1727697759625</v>
      </c>
      <c r="M53" s="35">
        <v>0</v>
      </c>
      <c r="N53" s="32">
        <v>80.739604858002281</v>
      </c>
      <c r="O53" s="33">
        <v>621.07388352309442</v>
      </c>
      <c r="P53" s="34">
        <v>0</v>
      </c>
      <c r="Q53" s="32">
        <v>-112.7932279866292</v>
      </c>
      <c r="R53" s="33">
        <v>-867.64021528176318</v>
      </c>
      <c r="S53" s="34">
        <v>0</v>
      </c>
      <c r="T53" s="32">
        <v>158.00622252623927</v>
      </c>
      <c r="U53" s="33">
        <v>1215.4324809710715</v>
      </c>
      <c r="V53" s="34">
        <v>0</v>
      </c>
      <c r="W53" s="53">
        <v>-6.071336026295027E-5</v>
      </c>
    </row>
    <row r="54" spans="1:23" ht="15.75" thickBot="1" x14ac:dyDescent="0.3">
      <c r="B54" s="9">
        <f>INDEX(Table1[t31],MATCH($A52, Table1[Ply_ID],0))</f>
        <v>0</v>
      </c>
      <c r="C54" s="10">
        <f>INDEX(Table1[t32],MATCH($A52, Table1[Ply_ID],0))</f>
        <v>0</v>
      </c>
      <c r="D54" s="11">
        <f>INDEX(Table1[t33],MATCH($A52, Table1[Ply_ID],0))</f>
        <v>1</v>
      </c>
      <c r="E54" s="14">
        <v>0</v>
      </c>
      <c r="F54" s="14">
        <v>0</v>
      </c>
      <c r="G54" s="14">
        <v>1</v>
      </c>
      <c r="H54" s="36">
        <f>J52</f>
        <v>0</v>
      </c>
      <c r="I54" s="37">
        <f>J53</f>
        <v>0</v>
      </c>
      <c r="J54" s="38">
        <f>INDEX(Table1[q66],MATCH($A52, Table1[Ply_ID],0))</f>
        <v>282.7</v>
      </c>
      <c r="K54" s="39">
        <v>0</v>
      </c>
      <c r="L54" s="39">
        <v>0</v>
      </c>
      <c r="M54" s="39">
        <v>282.7</v>
      </c>
      <c r="N54" s="36">
        <v>0</v>
      </c>
      <c r="O54" s="37">
        <v>0</v>
      </c>
      <c r="P54" s="38">
        <v>71.805800000000005</v>
      </c>
      <c r="Q54" s="36">
        <v>0</v>
      </c>
      <c r="R54" s="37">
        <v>0</v>
      </c>
      <c r="S54" s="38">
        <v>-100.31270260000002</v>
      </c>
      <c r="T54" s="36">
        <v>0</v>
      </c>
      <c r="U54" s="37">
        <v>0</v>
      </c>
      <c r="V54" s="38">
        <v>140.52289744826672</v>
      </c>
      <c r="W54" s="54">
        <v>-2.5293258112931368E-7</v>
      </c>
    </row>
    <row r="55" spans="1:23" x14ac:dyDescent="0.25">
      <c r="N55" s="16">
        <f>N19+N22+N25+N28+N31+N34+N37+N40+N43+N46+N49+N52</f>
        <v>6438.9127592698624</v>
      </c>
      <c r="O55" s="17">
        <f t="shared" ref="O55:V55" si="2">O19+O22+O25+O28+O31+O34+O37+O40+O43+O46+O49+O52</f>
        <v>2217.7746919539727</v>
      </c>
      <c r="P55" s="18">
        <f t="shared" si="2"/>
        <v>-7.2830630415410269E-14</v>
      </c>
      <c r="Q55" s="16">
        <f t="shared" si="2"/>
        <v>-14.917775006318266</v>
      </c>
      <c r="R55" s="17">
        <f t="shared" si="2"/>
        <v>0</v>
      </c>
      <c r="S55" s="18">
        <f t="shared" si="2"/>
        <v>-2.486295834386306</v>
      </c>
      <c r="T55" s="16">
        <f t="shared" si="2"/>
        <v>5126.1545804122052</v>
      </c>
      <c r="U55" s="17">
        <f t="shared" si="2"/>
        <v>1636.4094284513537</v>
      </c>
      <c r="V55" s="18">
        <f t="shared" si="2"/>
        <v>10.104306270945887</v>
      </c>
    </row>
    <row r="56" spans="1:23" x14ac:dyDescent="0.25">
      <c r="N56" s="19">
        <f t="shared" ref="N56:V56" si="3">N20+N23+N26+N29+N32+N35+N38+N41+N44+N47+N50+N53</f>
        <v>2217.7746919539727</v>
      </c>
      <c r="O56" s="20">
        <f t="shared" si="3"/>
        <v>6438.9127592698633</v>
      </c>
      <c r="P56" s="21">
        <f t="shared" si="3"/>
        <v>7.9936057773011271E-14</v>
      </c>
      <c r="Q56" s="19">
        <f t="shared" si="3"/>
        <v>0</v>
      </c>
      <c r="R56" s="20">
        <f t="shared" si="3"/>
        <v>14.917775006317925</v>
      </c>
      <c r="S56" s="21">
        <f t="shared" si="3"/>
        <v>-2.4862958343863024</v>
      </c>
      <c r="T56" s="19">
        <f t="shared" si="3"/>
        <v>1636.4094284513537</v>
      </c>
      <c r="U56" s="20">
        <f t="shared" si="3"/>
        <v>5004.9029051608541</v>
      </c>
      <c r="V56" s="21">
        <f t="shared" si="3"/>
        <v>10.104306270945997</v>
      </c>
    </row>
    <row r="57" spans="1:23" ht="15.75" thickBot="1" x14ac:dyDescent="0.3">
      <c r="N57" s="22">
        <f t="shared" ref="N57:V57" si="4">N21+N24+N27+N30+N33+N36+N39+N42+N45+N48+N51+N54</f>
        <v>-7.2830630415410269E-14</v>
      </c>
      <c r="O57" s="23">
        <f t="shared" si="4"/>
        <v>7.9936057773011271E-14</v>
      </c>
      <c r="P57" s="24">
        <f t="shared" si="4"/>
        <v>2110.5690336579455</v>
      </c>
      <c r="Q57" s="22">
        <f t="shared" si="4"/>
        <v>-2.486295834386306</v>
      </c>
      <c r="R57" s="23">
        <f t="shared" si="4"/>
        <v>-2.4862958343863024</v>
      </c>
      <c r="S57" s="24">
        <f t="shared" si="4"/>
        <v>0</v>
      </c>
      <c r="T57" s="22">
        <f t="shared" si="4"/>
        <v>10.104306270945887</v>
      </c>
      <c r="U57" s="23">
        <f t="shared" si="4"/>
        <v>10.104306270945997</v>
      </c>
      <c r="V57" s="24">
        <f t="shared" si="4"/>
        <v>1553.4116654438362</v>
      </c>
    </row>
    <row r="58" spans="1:23" x14ac:dyDescent="0.25">
      <c r="N58" s="40"/>
      <c r="O58" s="40"/>
      <c r="P58" s="40"/>
      <c r="Q58" s="40"/>
      <c r="R58" s="40"/>
      <c r="S58" s="40"/>
      <c r="T58" s="40"/>
      <c r="U58" s="40"/>
      <c r="V58" s="4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Sheet1</vt:lpstr>
      <vt:lpstr>layup</vt:lpstr>
      <vt:lpstr>A_mat</vt:lpstr>
      <vt:lpstr>A_prime</vt:lpstr>
      <vt:lpstr>A_star</vt:lpstr>
      <vt:lpstr>B_mat</vt:lpstr>
      <vt:lpstr>B_prime</vt:lpstr>
      <vt:lpstr>B_star</vt:lpstr>
      <vt:lpstr>C_prime</vt:lpstr>
      <vt:lpstr>C_star</vt:lpstr>
      <vt:lpstr>D_mat</vt:lpstr>
      <vt:lpstr>D_prime</vt:lpstr>
      <vt:lpstr>D_star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Andy</dc:creator>
  <cp:lastModifiedBy>Perez, Andy</cp:lastModifiedBy>
  <dcterms:created xsi:type="dcterms:W3CDTF">2019-01-29T20:31:59Z</dcterms:created>
  <dcterms:modified xsi:type="dcterms:W3CDTF">2019-02-01T18:16:41Z</dcterms:modified>
</cp:coreProperties>
</file>