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dddaefcf1a0c033e/Desktop/"/>
    </mc:Choice>
  </mc:AlternateContent>
  <xr:revisionPtr revIDLastSave="0" documentId="8_{C5051C8C-FB38-45BB-BC34-59D3E5935492}" xr6:coauthVersionLast="47" xr6:coauthVersionMax="47" xr10:uidLastSave="{00000000-0000-0000-0000-000000000000}"/>
  <bookViews>
    <workbookView xWindow="-103" yWindow="-103" windowWidth="26537" windowHeight="15943" xr2:uid="{B77E6034-C4AE-4F90-8230-B62BFFB8661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9" i="1" l="1"/>
  <c r="B112" i="1"/>
  <c r="L111" i="1"/>
  <c r="K111" i="1"/>
  <c r="J111" i="1"/>
  <c r="I111" i="1"/>
  <c r="H111" i="1"/>
  <c r="G111" i="1"/>
  <c r="F111" i="1"/>
  <c r="E111" i="1"/>
  <c r="D111" i="1"/>
  <c r="C111" i="1"/>
  <c r="N45" i="1"/>
  <c r="N44" i="1"/>
  <c r="N43" i="1"/>
  <c r="N42" i="1"/>
  <c r="N41" i="1"/>
  <c r="G37" i="1"/>
  <c r="G38" i="1" s="1"/>
  <c r="G39" i="1" s="1"/>
  <c r="G40" i="1" s="1"/>
  <c r="G41" i="1" s="1"/>
  <c r="G42" i="1" s="1"/>
  <c r="G43" i="1" s="1"/>
  <c r="G44" i="1" s="1"/>
  <c r="G45" i="1" s="1"/>
  <c r="E37" i="1"/>
  <c r="C37" i="1"/>
  <c r="B37" i="1"/>
  <c r="B38" i="1" s="1"/>
  <c r="B39" i="1" s="1"/>
  <c r="B40" i="1" s="1"/>
  <c r="A37" i="1"/>
  <c r="A38" i="1" s="1"/>
  <c r="A39" i="1" s="1"/>
  <c r="A40" i="1" s="1"/>
  <c r="A41" i="1" s="1"/>
  <c r="A42" i="1" s="1"/>
  <c r="A43" i="1" s="1"/>
  <c r="A44" i="1" s="1"/>
  <c r="A45" i="1" s="1"/>
  <c r="F36" i="1"/>
  <c r="H36" i="1" s="1"/>
  <c r="D36" i="1"/>
  <c r="I36" i="1" s="1"/>
  <c r="H61" i="1"/>
  <c r="C182" i="1"/>
  <c r="D182" i="1" s="1"/>
  <c r="E182" i="1" s="1"/>
  <c r="F182" i="1" s="1"/>
  <c r="G182" i="1" s="1"/>
  <c r="H182" i="1" s="1"/>
  <c r="I182" i="1" s="1"/>
  <c r="J182" i="1" s="1"/>
  <c r="K182" i="1" s="1"/>
  <c r="L182" i="1" s="1"/>
  <c r="B145" i="1"/>
  <c r="C145" i="1"/>
  <c r="D145" i="1" s="1"/>
  <c r="E145" i="1" s="1"/>
  <c r="F145" i="1" s="1"/>
  <c r="G145" i="1" s="1"/>
  <c r="H145" i="1" s="1"/>
  <c r="I145" i="1" s="1"/>
  <c r="J145" i="1" s="1"/>
  <c r="K145" i="1" s="1"/>
  <c r="L145" i="1" s="1"/>
  <c r="C108" i="1"/>
  <c r="D108" i="1" s="1"/>
  <c r="F254" i="1"/>
  <c r="B254" i="1"/>
  <c r="B256" i="1" s="1"/>
  <c r="C250" i="1"/>
  <c r="D250" i="1" s="1"/>
  <c r="E250" i="1" s="1"/>
  <c r="F250" i="1" s="1"/>
  <c r="G250" i="1" s="1"/>
  <c r="H250" i="1" s="1"/>
  <c r="I250" i="1" s="1"/>
  <c r="J250" i="1" s="1"/>
  <c r="K250" i="1" s="1"/>
  <c r="L250" i="1" s="1"/>
  <c r="L222" i="1"/>
  <c r="F221" i="1"/>
  <c r="B221" i="1"/>
  <c r="B223" i="1" s="1"/>
  <c r="C217" i="1"/>
  <c r="D217" i="1" s="1"/>
  <c r="E217" i="1" s="1"/>
  <c r="F217" i="1" s="1"/>
  <c r="G217" i="1" s="1"/>
  <c r="H217" i="1" s="1"/>
  <c r="I217" i="1" s="1"/>
  <c r="J217" i="1" s="1"/>
  <c r="K217" i="1" s="1"/>
  <c r="L217" i="1" s="1"/>
  <c r="C206" i="1"/>
  <c r="C207" i="1" s="1"/>
  <c r="C208" i="1" s="1"/>
  <c r="C209" i="1" s="1"/>
  <c r="C210" i="1" s="1"/>
  <c r="C211" i="1" s="1"/>
  <c r="C212" i="1" s="1"/>
  <c r="C213" i="1" s="1"/>
  <c r="C214" i="1" s="1"/>
  <c r="N214" i="1"/>
  <c r="N213" i="1"/>
  <c r="N212" i="1"/>
  <c r="N211" i="1"/>
  <c r="N210" i="1"/>
  <c r="G206" i="1"/>
  <c r="G207" i="1" s="1"/>
  <c r="G208" i="1" s="1"/>
  <c r="G209" i="1" s="1"/>
  <c r="G210" i="1" s="1"/>
  <c r="G211" i="1" s="1"/>
  <c r="G212" i="1" s="1"/>
  <c r="G213" i="1" s="1"/>
  <c r="G214" i="1" s="1"/>
  <c r="E206" i="1"/>
  <c r="E207" i="1" s="1"/>
  <c r="E208" i="1" s="1"/>
  <c r="E209" i="1" s="1"/>
  <c r="E210" i="1" s="1"/>
  <c r="B206" i="1"/>
  <c r="B207" i="1" s="1"/>
  <c r="B208" i="1" s="1"/>
  <c r="B209" i="1" s="1"/>
  <c r="A206" i="1"/>
  <c r="A207" i="1" s="1"/>
  <c r="A208" i="1" s="1"/>
  <c r="A209" i="1" s="1"/>
  <c r="A210" i="1" s="1"/>
  <c r="A211" i="1" s="1"/>
  <c r="A212" i="1" s="1"/>
  <c r="A213" i="1" s="1"/>
  <c r="A214" i="1" s="1"/>
  <c r="F205" i="1"/>
  <c r="H205" i="1" s="1"/>
  <c r="D205" i="1"/>
  <c r="I72" i="1"/>
  <c r="I70" i="1"/>
  <c r="N247" i="1"/>
  <c r="N246" i="1"/>
  <c r="N245" i="1"/>
  <c r="N244" i="1"/>
  <c r="N243" i="1"/>
  <c r="G239" i="1"/>
  <c r="G240" i="1" s="1"/>
  <c r="G241" i="1" s="1"/>
  <c r="G242" i="1" s="1"/>
  <c r="G243" i="1" s="1"/>
  <c r="G244" i="1" s="1"/>
  <c r="G245" i="1" s="1"/>
  <c r="G246" i="1" s="1"/>
  <c r="G247" i="1" s="1"/>
  <c r="E239" i="1"/>
  <c r="E240" i="1" s="1"/>
  <c r="C239" i="1"/>
  <c r="C240" i="1" s="1"/>
  <c r="C241" i="1" s="1"/>
  <c r="C242" i="1" s="1"/>
  <c r="C243" i="1" s="1"/>
  <c r="C244" i="1" s="1"/>
  <c r="C245" i="1" s="1"/>
  <c r="C246" i="1" s="1"/>
  <c r="C247" i="1" s="1"/>
  <c r="B239" i="1"/>
  <c r="A239" i="1"/>
  <c r="A240" i="1" s="1"/>
  <c r="A241" i="1" s="1"/>
  <c r="A242" i="1" s="1"/>
  <c r="A243" i="1" s="1"/>
  <c r="A244" i="1" s="1"/>
  <c r="A245" i="1" s="1"/>
  <c r="A246" i="1" s="1"/>
  <c r="A247" i="1" s="1"/>
  <c r="F238" i="1"/>
  <c r="H238" i="1" s="1"/>
  <c r="D238" i="1"/>
  <c r="F135" i="1"/>
  <c r="B135" i="1"/>
  <c r="B172" i="1"/>
  <c r="B174" i="1" s="1"/>
  <c r="B183" i="1" s="1"/>
  <c r="F172" i="1"/>
  <c r="B98" i="1"/>
  <c r="B100" i="1" s="1"/>
  <c r="B109" i="1" s="1"/>
  <c r="B111" i="1" s="1"/>
  <c r="F98" i="1"/>
  <c r="L160" i="1"/>
  <c r="E83" i="1"/>
  <c r="E84" i="1" s="1"/>
  <c r="E85" i="1" s="1"/>
  <c r="E86" i="1" s="1"/>
  <c r="E87" i="1" s="1"/>
  <c r="E88" i="1" s="1"/>
  <c r="E89" i="1" s="1"/>
  <c r="E90" i="1" s="1"/>
  <c r="E91" i="1" s="1"/>
  <c r="C83" i="1"/>
  <c r="C84" i="1" s="1"/>
  <c r="C85" i="1" s="1"/>
  <c r="C86" i="1" s="1"/>
  <c r="C87" i="1" s="1"/>
  <c r="C88" i="1" s="1"/>
  <c r="C89" i="1" s="1"/>
  <c r="C90" i="1" s="1"/>
  <c r="C91" i="1" s="1"/>
  <c r="B83" i="1"/>
  <c r="B84" i="1" s="1"/>
  <c r="B85" i="1" s="1"/>
  <c r="B86" i="1" s="1"/>
  <c r="C168" i="1"/>
  <c r="D168" i="1" s="1"/>
  <c r="E168" i="1" s="1"/>
  <c r="F168" i="1" s="1"/>
  <c r="G168" i="1" s="1"/>
  <c r="H168" i="1" s="1"/>
  <c r="I168" i="1" s="1"/>
  <c r="J168" i="1" s="1"/>
  <c r="K168" i="1" s="1"/>
  <c r="L168" i="1" s="1"/>
  <c r="C131" i="1"/>
  <c r="D131" i="1" s="1"/>
  <c r="E131" i="1" s="1"/>
  <c r="F131" i="1" s="1"/>
  <c r="G131" i="1" s="1"/>
  <c r="H131" i="1" s="1"/>
  <c r="I131" i="1" s="1"/>
  <c r="J131" i="1" s="1"/>
  <c r="K131" i="1" s="1"/>
  <c r="L131" i="1" s="1"/>
  <c r="J161" i="1"/>
  <c r="N161" i="1" s="1"/>
  <c r="J162" i="1"/>
  <c r="N162" i="1" s="1"/>
  <c r="J163" i="1"/>
  <c r="N163" i="1" s="1"/>
  <c r="J164" i="1"/>
  <c r="N164" i="1" s="1"/>
  <c r="J165" i="1"/>
  <c r="N165" i="1" s="1"/>
  <c r="N124" i="1"/>
  <c r="N125" i="1"/>
  <c r="N126" i="1"/>
  <c r="N127" i="1"/>
  <c r="N128" i="1"/>
  <c r="D37" i="1" l="1"/>
  <c r="F37" i="1"/>
  <c r="H37" i="1" s="1"/>
  <c r="B41" i="1"/>
  <c r="E38" i="1"/>
  <c r="C38" i="1"/>
  <c r="C39" i="1" s="1"/>
  <c r="C40" i="1" s="1"/>
  <c r="C41" i="1" s="1"/>
  <c r="C42" i="1" s="1"/>
  <c r="C43" i="1" s="1"/>
  <c r="C44" i="1" s="1"/>
  <c r="C45" i="1" s="1"/>
  <c r="B87" i="1"/>
  <c r="B88" i="1" s="1"/>
  <c r="B89" i="1" s="1"/>
  <c r="B90" i="1" s="1"/>
  <c r="B91" i="1" s="1"/>
  <c r="I73" i="1"/>
  <c r="L136" i="1" s="1"/>
  <c r="L255" i="1" s="1"/>
  <c r="I205" i="1"/>
  <c r="E108" i="1"/>
  <c r="L135" i="1"/>
  <c r="D239" i="1"/>
  <c r="L254" i="1"/>
  <c r="L221" i="1"/>
  <c r="F207" i="1"/>
  <c r="H207" i="1" s="1"/>
  <c r="D207" i="1"/>
  <c r="I207" i="1" s="1"/>
  <c r="D206" i="1"/>
  <c r="F206" i="1"/>
  <c r="H206" i="1" s="1"/>
  <c r="D209" i="1"/>
  <c r="B210" i="1"/>
  <c r="D208" i="1"/>
  <c r="F208" i="1"/>
  <c r="H208" i="1" s="1"/>
  <c r="F210" i="1"/>
  <c r="H210" i="1" s="1"/>
  <c r="E211" i="1"/>
  <c r="F209" i="1"/>
  <c r="H209" i="1" s="1"/>
  <c r="L98" i="1"/>
  <c r="I238" i="1"/>
  <c r="B240" i="1"/>
  <c r="D240" i="1" s="1"/>
  <c r="L172" i="1"/>
  <c r="B137" i="1"/>
  <c r="B146" i="1" s="1"/>
  <c r="F240" i="1"/>
  <c r="H240" i="1" s="1"/>
  <c r="E241" i="1"/>
  <c r="F239" i="1"/>
  <c r="H239" i="1" s="1"/>
  <c r="C94" i="1"/>
  <c r="D94" i="1" s="1"/>
  <c r="E94" i="1" s="1"/>
  <c r="F94" i="1" s="1"/>
  <c r="G94" i="1" s="1"/>
  <c r="H94" i="1" s="1"/>
  <c r="I94" i="1" s="1"/>
  <c r="J94" i="1" s="1"/>
  <c r="K94" i="1" s="1"/>
  <c r="L94" i="1" s="1"/>
  <c r="N91" i="1"/>
  <c r="N87" i="1"/>
  <c r="N88" i="1"/>
  <c r="N89" i="1"/>
  <c r="N90" i="1"/>
  <c r="B73" i="1"/>
  <c r="G157" i="1"/>
  <c r="G158" i="1" s="1"/>
  <c r="G159" i="1" s="1"/>
  <c r="G160" i="1" s="1"/>
  <c r="G161" i="1" s="1"/>
  <c r="G162" i="1" s="1"/>
  <c r="G163" i="1" s="1"/>
  <c r="G164" i="1" s="1"/>
  <c r="G165" i="1" s="1"/>
  <c r="F156" i="1"/>
  <c r="H156" i="1" s="1"/>
  <c r="E157" i="1"/>
  <c r="E158" i="1" s="1"/>
  <c r="C157" i="1"/>
  <c r="C158" i="1" s="1"/>
  <c r="C159" i="1" s="1"/>
  <c r="C160" i="1" s="1"/>
  <c r="C161" i="1" s="1"/>
  <c r="C162" i="1" s="1"/>
  <c r="C163" i="1" s="1"/>
  <c r="C164" i="1" s="1"/>
  <c r="C165" i="1" s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G120" i="1"/>
  <c r="G121" i="1" s="1"/>
  <c r="G122" i="1" s="1"/>
  <c r="G123" i="1" s="1"/>
  <c r="G124" i="1" s="1"/>
  <c r="G125" i="1" s="1"/>
  <c r="G126" i="1" s="1"/>
  <c r="G127" i="1" s="1"/>
  <c r="G128" i="1" s="1"/>
  <c r="F119" i="1"/>
  <c r="H119" i="1" s="1"/>
  <c r="E120" i="1"/>
  <c r="E121" i="1" s="1"/>
  <c r="D119" i="1"/>
  <c r="B119" i="1"/>
  <c r="B120" i="1" s="1"/>
  <c r="C120" i="1"/>
  <c r="C121" i="1" s="1"/>
  <c r="C122" i="1" s="1"/>
  <c r="C123" i="1" s="1"/>
  <c r="C124" i="1" s="1"/>
  <c r="C125" i="1" s="1"/>
  <c r="C126" i="1" s="1"/>
  <c r="C127" i="1" s="1"/>
  <c r="C128" i="1" s="1"/>
  <c r="A119" i="1"/>
  <c r="A120" i="1" s="1"/>
  <c r="A121" i="1" s="1"/>
  <c r="A122" i="1" s="1"/>
  <c r="A123" i="1" s="1"/>
  <c r="A124" i="1" s="1"/>
  <c r="A125" i="1" s="1"/>
  <c r="A126" i="1" s="1"/>
  <c r="A127" i="1" s="1"/>
  <c r="A128" i="1" s="1"/>
  <c r="D82" i="1"/>
  <c r="D61" i="1"/>
  <c r="G83" i="1"/>
  <c r="G84" i="1" s="1"/>
  <c r="G85" i="1" s="1"/>
  <c r="G86" i="1" s="1"/>
  <c r="G87" i="1" s="1"/>
  <c r="G88" i="1" s="1"/>
  <c r="G89" i="1" s="1"/>
  <c r="G90" i="1" s="1"/>
  <c r="G91" i="1" s="1"/>
  <c r="F82" i="1"/>
  <c r="H82" i="1" s="1"/>
  <c r="A83" i="1"/>
  <c r="A84" i="1" s="1"/>
  <c r="A85" i="1" s="1"/>
  <c r="A86" i="1" s="1"/>
  <c r="A87" i="1" s="1"/>
  <c r="A88" i="1" s="1"/>
  <c r="A89" i="1" s="1"/>
  <c r="A90" i="1" s="1"/>
  <c r="A91" i="1" s="1"/>
  <c r="J36" i="1" l="1"/>
  <c r="J39" i="1"/>
  <c r="N39" i="1" s="1"/>
  <c r="J37" i="1"/>
  <c r="N37" i="1" s="1"/>
  <c r="J40" i="1"/>
  <c r="N40" i="1" s="1"/>
  <c r="J38" i="1"/>
  <c r="N38" i="1" s="1"/>
  <c r="I37" i="1"/>
  <c r="K37" i="1" s="1"/>
  <c r="L37" i="1" s="1"/>
  <c r="M37" i="1" s="1"/>
  <c r="O37" i="1" s="1"/>
  <c r="F38" i="1"/>
  <c r="H38" i="1" s="1"/>
  <c r="E39" i="1"/>
  <c r="D39" i="1"/>
  <c r="D41" i="1"/>
  <c r="B42" i="1"/>
  <c r="D40" i="1"/>
  <c r="D38" i="1"/>
  <c r="F63" i="1"/>
  <c r="B110" i="1" s="1"/>
  <c r="L99" i="1"/>
  <c r="L173" i="1"/>
  <c r="F108" i="1"/>
  <c r="I239" i="1"/>
  <c r="J208" i="1"/>
  <c r="N208" i="1" s="1"/>
  <c r="J207" i="1"/>
  <c r="N207" i="1" s="1"/>
  <c r="J206" i="1"/>
  <c r="N206" i="1" s="1"/>
  <c r="J205" i="1"/>
  <c r="J209" i="1"/>
  <c r="N209" i="1" s="1"/>
  <c r="I206" i="1"/>
  <c r="F211" i="1"/>
  <c r="H211" i="1" s="1"/>
  <c r="E212" i="1"/>
  <c r="I208" i="1"/>
  <c r="D210" i="1"/>
  <c r="I210" i="1" s="1"/>
  <c r="K210" i="1" s="1"/>
  <c r="L210" i="1" s="1"/>
  <c r="M210" i="1" s="1"/>
  <c r="O210" i="1" s="1"/>
  <c r="H218" i="1" s="1"/>
  <c r="H223" i="1" s="1"/>
  <c r="B211" i="1"/>
  <c r="I209" i="1"/>
  <c r="J83" i="1"/>
  <c r="N83" i="1" s="1"/>
  <c r="J238" i="1"/>
  <c r="J242" i="1"/>
  <c r="N242" i="1" s="1"/>
  <c r="J239" i="1"/>
  <c r="N239" i="1" s="1"/>
  <c r="J241" i="1"/>
  <c r="N241" i="1" s="1"/>
  <c r="J240" i="1"/>
  <c r="N240" i="1" s="1"/>
  <c r="B241" i="1"/>
  <c r="D241" i="1" s="1"/>
  <c r="I240" i="1"/>
  <c r="F241" i="1"/>
  <c r="H241" i="1" s="1"/>
  <c r="E242" i="1"/>
  <c r="I82" i="1"/>
  <c r="J82" i="1"/>
  <c r="J86" i="1"/>
  <c r="J85" i="1"/>
  <c r="J84" i="1"/>
  <c r="D120" i="1"/>
  <c r="B156" i="1"/>
  <c r="D156" i="1" s="1"/>
  <c r="I156" i="1" s="1"/>
  <c r="I119" i="1"/>
  <c r="F120" i="1"/>
  <c r="H120" i="1" s="1"/>
  <c r="E122" i="1"/>
  <c r="F121" i="1"/>
  <c r="H121" i="1" s="1"/>
  <c r="F157" i="1"/>
  <c r="H157" i="1" s="1"/>
  <c r="E159" i="1"/>
  <c r="F158" i="1"/>
  <c r="H158" i="1" s="1"/>
  <c r="B121" i="1"/>
  <c r="D83" i="1"/>
  <c r="F83" i="1"/>
  <c r="H83" i="1" s="1"/>
  <c r="D84" i="1"/>
  <c r="F91" i="1"/>
  <c r="H91" i="1" s="1"/>
  <c r="F90" i="1"/>
  <c r="H90" i="1" s="1"/>
  <c r="F89" i="1"/>
  <c r="H89" i="1" s="1"/>
  <c r="F88" i="1"/>
  <c r="H88" i="1" s="1"/>
  <c r="F87" i="1"/>
  <c r="H87" i="1" s="1"/>
  <c r="F86" i="1"/>
  <c r="H86" i="1" s="1"/>
  <c r="F85" i="1"/>
  <c r="H85" i="1" s="1"/>
  <c r="F84" i="1"/>
  <c r="H84" i="1" s="1"/>
  <c r="K208" i="1" l="1"/>
  <c r="L208" i="1" s="1"/>
  <c r="M208" i="1" s="1"/>
  <c r="O208" i="1" s="1"/>
  <c r="F218" i="1" s="1"/>
  <c r="F223" i="1" s="1"/>
  <c r="K207" i="1"/>
  <c r="L207" i="1" s="1"/>
  <c r="M207" i="1" s="1"/>
  <c r="O207" i="1" s="1"/>
  <c r="E218" i="1" s="1"/>
  <c r="E223" i="1" s="1"/>
  <c r="N36" i="1"/>
  <c r="K36" i="1"/>
  <c r="L36" i="1" s="1"/>
  <c r="M36" i="1" s="1"/>
  <c r="O36" i="1" s="1"/>
  <c r="E40" i="1"/>
  <c r="F39" i="1"/>
  <c r="H39" i="1" s="1"/>
  <c r="I39" i="1" s="1"/>
  <c r="K39" i="1" s="1"/>
  <c r="L39" i="1" s="1"/>
  <c r="M39" i="1" s="1"/>
  <c r="O39" i="1" s="1"/>
  <c r="I38" i="1"/>
  <c r="K38" i="1" s="1"/>
  <c r="L38" i="1" s="1"/>
  <c r="M38" i="1" s="1"/>
  <c r="O38" i="1" s="1"/>
  <c r="B43" i="1"/>
  <c r="D42" i="1"/>
  <c r="B192" i="1"/>
  <c r="B147" i="1"/>
  <c r="B148" i="1" s="1"/>
  <c r="B184" i="1"/>
  <c r="B185" i="1" s="1"/>
  <c r="K209" i="1"/>
  <c r="L209" i="1" s="1"/>
  <c r="M209" i="1" s="1"/>
  <c r="O209" i="1" s="1"/>
  <c r="G218" i="1" s="1"/>
  <c r="G223" i="1" s="1"/>
  <c r="G108" i="1"/>
  <c r="K206" i="1"/>
  <c r="L206" i="1" s="1"/>
  <c r="M206" i="1" s="1"/>
  <c r="O206" i="1" s="1"/>
  <c r="D218" i="1" s="1"/>
  <c r="D223" i="1" s="1"/>
  <c r="K240" i="1"/>
  <c r="L240" i="1" s="1"/>
  <c r="M240" i="1" s="1"/>
  <c r="O240" i="1" s="1"/>
  <c r="E251" i="1" s="1"/>
  <c r="E256" i="1" s="1"/>
  <c r="J120" i="1"/>
  <c r="J156" i="1" s="1"/>
  <c r="N156" i="1" s="1"/>
  <c r="K239" i="1"/>
  <c r="L239" i="1" s="1"/>
  <c r="M239" i="1" s="1"/>
  <c r="O239" i="1" s="1"/>
  <c r="D251" i="1" s="1"/>
  <c r="D256" i="1" s="1"/>
  <c r="N205" i="1"/>
  <c r="K205" i="1"/>
  <c r="L205" i="1" s="1"/>
  <c r="M205" i="1" s="1"/>
  <c r="O205" i="1" s="1"/>
  <c r="C218" i="1" s="1"/>
  <c r="C223" i="1" s="1"/>
  <c r="D211" i="1"/>
  <c r="I211" i="1" s="1"/>
  <c r="K211" i="1" s="1"/>
  <c r="L211" i="1" s="1"/>
  <c r="M211" i="1" s="1"/>
  <c r="O211" i="1" s="1"/>
  <c r="I218" i="1" s="1"/>
  <c r="I223" i="1" s="1"/>
  <c r="B212" i="1"/>
  <c r="E213" i="1"/>
  <c r="F212" i="1"/>
  <c r="H212" i="1" s="1"/>
  <c r="I120" i="1"/>
  <c r="B242" i="1"/>
  <c r="D242" i="1" s="1"/>
  <c r="I241" i="1"/>
  <c r="K241" i="1" s="1"/>
  <c r="L241" i="1" s="1"/>
  <c r="M241" i="1" s="1"/>
  <c r="O241" i="1" s="1"/>
  <c r="F251" i="1" s="1"/>
  <c r="F256" i="1" s="1"/>
  <c r="N238" i="1"/>
  <c r="K238" i="1"/>
  <c r="L238" i="1" s="1"/>
  <c r="M238" i="1" s="1"/>
  <c r="O238" i="1" s="1"/>
  <c r="C251" i="1" s="1"/>
  <c r="C256" i="1" s="1"/>
  <c r="B243" i="1"/>
  <c r="F242" i="1"/>
  <c r="H242" i="1" s="1"/>
  <c r="E243" i="1"/>
  <c r="N84" i="1"/>
  <c r="J121" i="1"/>
  <c r="N85" i="1"/>
  <c r="J122" i="1"/>
  <c r="N86" i="1"/>
  <c r="J123" i="1"/>
  <c r="N82" i="1"/>
  <c r="J119" i="1"/>
  <c r="N119" i="1" s="1"/>
  <c r="K82" i="1"/>
  <c r="L82" i="1" s="1"/>
  <c r="B157" i="1"/>
  <c r="D157" i="1" s="1"/>
  <c r="I157" i="1" s="1"/>
  <c r="F122" i="1"/>
  <c r="H122" i="1" s="1"/>
  <c r="E123" i="1"/>
  <c r="E160" i="1"/>
  <c r="F159" i="1"/>
  <c r="H159" i="1" s="1"/>
  <c r="D121" i="1"/>
  <c r="I121" i="1" s="1"/>
  <c r="B122" i="1"/>
  <c r="I84" i="1"/>
  <c r="K84" i="1" s="1"/>
  <c r="L84" i="1" s="1"/>
  <c r="M84" i="1" s="1"/>
  <c r="I83" i="1"/>
  <c r="K83" i="1" s="1"/>
  <c r="L83" i="1" s="1"/>
  <c r="D85" i="1"/>
  <c r="I85" i="1" s="1"/>
  <c r="K85" i="1" s="1"/>
  <c r="L85" i="1" s="1"/>
  <c r="M85" i="1" s="1"/>
  <c r="D43" i="1" l="1"/>
  <c r="B44" i="1"/>
  <c r="E41" i="1"/>
  <c r="F40" i="1"/>
  <c r="H40" i="1" s="1"/>
  <c r="I40" i="1" s="1"/>
  <c r="K40" i="1" s="1"/>
  <c r="L40" i="1" s="1"/>
  <c r="M40" i="1" s="1"/>
  <c r="O40" i="1" s="1"/>
  <c r="H108" i="1"/>
  <c r="K120" i="1"/>
  <c r="L120" i="1" s="1"/>
  <c r="M120" i="1" s="1"/>
  <c r="N120" i="1"/>
  <c r="F213" i="1"/>
  <c r="H213" i="1" s="1"/>
  <c r="E214" i="1"/>
  <c r="F214" i="1" s="1"/>
  <c r="H214" i="1" s="1"/>
  <c r="B213" i="1"/>
  <c r="D212" i="1"/>
  <c r="I212" i="1" s="1"/>
  <c r="K212" i="1" s="1"/>
  <c r="L212" i="1" s="1"/>
  <c r="M212" i="1" s="1"/>
  <c r="O212" i="1" s="1"/>
  <c r="J218" i="1" s="1"/>
  <c r="J223" i="1" s="1"/>
  <c r="I242" i="1"/>
  <c r="K242" i="1" s="1"/>
  <c r="L242" i="1" s="1"/>
  <c r="M242" i="1" s="1"/>
  <c r="O242" i="1" s="1"/>
  <c r="G251" i="1" s="1"/>
  <c r="G256" i="1" s="1"/>
  <c r="B244" i="1"/>
  <c r="D243" i="1"/>
  <c r="E244" i="1"/>
  <c r="F243" i="1"/>
  <c r="H243" i="1" s="1"/>
  <c r="M83" i="1"/>
  <c r="O83" i="1" s="1"/>
  <c r="D95" i="1" s="1"/>
  <c r="D100" i="1" s="1"/>
  <c r="D109" i="1" s="1"/>
  <c r="D110" i="1" s="1"/>
  <c r="M82" i="1"/>
  <c r="O82" i="1" s="1"/>
  <c r="C95" i="1" s="1"/>
  <c r="C100" i="1" s="1"/>
  <c r="C109" i="1" s="1"/>
  <c r="C110" i="1" s="1"/>
  <c r="K121" i="1"/>
  <c r="L121" i="1" s="1"/>
  <c r="M121" i="1" s="1"/>
  <c r="N123" i="1"/>
  <c r="J159" i="1"/>
  <c r="J158" i="1"/>
  <c r="N158" i="1" s="1"/>
  <c r="N122" i="1"/>
  <c r="O85" i="1"/>
  <c r="F95" i="1" s="1"/>
  <c r="F100" i="1" s="1"/>
  <c r="F109" i="1" s="1"/>
  <c r="F110" i="1" s="1"/>
  <c r="J157" i="1"/>
  <c r="N157" i="1" s="1"/>
  <c r="N121" i="1"/>
  <c r="K156" i="1"/>
  <c r="M156" i="1" s="1"/>
  <c r="O156" i="1" s="1"/>
  <c r="C169" i="1" s="1"/>
  <c r="C174" i="1" s="1"/>
  <c r="C183" i="1" s="1"/>
  <c r="C184" i="1" s="1"/>
  <c r="C185" i="1" s="1"/>
  <c r="O84" i="1"/>
  <c r="E95" i="1" s="1"/>
  <c r="E100" i="1" s="1"/>
  <c r="E109" i="1" s="1"/>
  <c r="E110" i="1" s="1"/>
  <c r="K119" i="1"/>
  <c r="L119" i="1" s="1"/>
  <c r="B158" i="1"/>
  <c r="B159" i="1" s="1"/>
  <c r="F123" i="1"/>
  <c r="H123" i="1" s="1"/>
  <c r="E124" i="1"/>
  <c r="E161" i="1"/>
  <c r="F160" i="1"/>
  <c r="H160" i="1" s="1"/>
  <c r="D122" i="1"/>
  <c r="I122" i="1" s="1"/>
  <c r="K122" i="1" s="1"/>
  <c r="L122" i="1" s="1"/>
  <c r="M122" i="1" s="1"/>
  <c r="B123" i="1"/>
  <c r="D86" i="1"/>
  <c r="I86" i="1" s="1"/>
  <c r="K86" i="1" s="1"/>
  <c r="L86" i="1" s="1"/>
  <c r="F41" i="1" l="1"/>
  <c r="H41" i="1" s="1"/>
  <c r="I41" i="1" s="1"/>
  <c r="K41" i="1" s="1"/>
  <c r="L41" i="1" s="1"/>
  <c r="M41" i="1" s="1"/>
  <c r="O41" i="1" s="1"/>
  <c r="E42" i="1"/>
  <c r="D44" i="1"/>
  <c r="B45" i="1"/>
  <c r="D45" i="1" s="1"/>
  <c r="O120" i="1"/>
  <c r="D132" i="1" s="1"/>
  <c r="D137" i="1" s="1"/>
  <c r="D146" i="1" s="1"/>
  <c r="D147" i="1" s="1"/>
  <c r="I108" i="1"/>
  <c r="D213" i="1"/>
  <c r="I213" i="1" s="1"/>
  <c r="K213" i="1" s="1"/>
  <c r="L213" i="1" s="1"/>
  <c r="M213" i="1" s="1"/>
  <c r="O213" i="1" s="1"/>
  <c r="K218" i="1" s="1"/>
  <c r="K223" i="1" s="1"/>
  <c r="B214" i="1"/>
  <c r="D214" i="1" s="1"/>
  <c r="I214" i="1" s="1"/>
  <c r="K214" i="1" s="1"/>
  <c r="L214" i="1" s="1"/>
  <c r="M214" i="1" s="1"/>
  <c r="O214" i="1" s="1"/>
  <c r="L218" i="1" s="1"/>
  <c r="L223" i="1" s="1"/>
  <c r="E226" i="1" s="1"/>
  <c r="M119" i="1"/>
  <c r="O119" i="1" s="1"/>
  <c r="C132" i="1" s="1"/>
  <c r="C137" i="1" s="1"/>
  <c r="C146" i="1" s="1"/>
  <c r="C147" i="1" s="1"/>
  <c r="C148" i="1" s="1"/>
  <c r="D158" i="1"/>
  <c r="I158" i="1" s="1"/>
  <c r="K158" i="1" s="1"/>
  <c r="M158" i="1" s="1"/>
  <c r="O158" i="1" s="1"/>
  <c r="E169" i="1" s="1"/>
  <c r="E174" i="1" s="1"/>
  <c r="E183" i="1" s="1"/>
  <c r="E184" i="1" s="1"/>
  <c r="I243" i="1"/>
  <c r="K243" i="1" s="1"/>
  <c r="L243" i="1" s="1"/>
  <c r="M243" i="1" s="1"/>
  <c r="O243" i="1" s="1"/>
  <c r="H251" i="1" s="1"/>
  <c r="H256" i="1" s="1"/>
  <c r="D244" i="1"/>
  <c r="B245" i="1"/>
  <c r="F244" i="1"/>
  <c r="H244" i="1" s="1"/>
  <c r="E245" i="1"/>
  <c r="M86" i="1"/>
  <c r="O86" i="1" s="1"/>
  <c r="G95" i="1" s="1"/>
  <c r="G100" i="1" s="1"/>
  <c r="G109" i="1" s="1"/>
  <c r="G110" i="1" s="1"/>
  <c r="O121" i="1"/>
  <c r="E132" i="1" s="1"/>
  <c r="E137" i="1" s="1"/>
  <c r="E146" i="1" s="1"/>
  <c r="E147" i="1" s="1"/>
  <c r="N159" i="1"/>
  <c r="J160" i="1"/>
  <c r="N160" i="1" s="1"/>
  <c r="K157" i="1"/>
  <c r="M157" i="1" s="1"/>
  <c r="O157" i="1" s="1"/>
  <c r="D169" i="1" s="1"/>
  <c r="D174" i="1" s="1"/>
  <c r="D183" i="1" s="1"/>
  <c r="D184" i="1" s="1"/>
  <c r="D185" i="1" s="1"/>
  <c r="O122" i="1"/>
  <c r="F132" i="1" s="1"/>
  <c r="F137" i="1" s="1"/>
  <c r="F146" i="1" s="1"/>
  <c r="F147" i="1" s="1"/>
  <c r="F124" i="1"/>
  <c r="H124" i="1" s="1"/>
  <c r="E125" i="1"/>
  <c r="B160" i="1"/>
  <c r="D159" i="1"/>
  <c r="I159" i="1" s="1"/>
  <c r="K159" i="1" s="1"/>
  <c r="M159" i="1" s="1"/>
  <c r="E162" i="1"/>
  <c r="F161" i="1"/>
  <c r="H161" i="1" s="1"/>
  <c r="D123" i="1"/>
  <c r="I123" i="1" s="1"/>
  <c r="K123" i="1" s="1"/>
  <c r="L123" i="1" s="1"/>
  <c r="B124" i="1"/>
  <c r="D87" i="1"/>
  <c r="I87" i="1" s="1"/>
  <c r="K87" i="1" s="1"/>
  <c r="L87" i="1" s="1"/>
  <c r="F42" i="1" l="1"/>
  <c r="H42" i="1" s="1"/>
  <c r="I42" i="1" s="1"/>
  <c r="K42" i="1" s="1"/>
  <c r="L42" i="1" s="1"/>
  <c r="M42" i="1" s="1"/>
  <c r="O42" i="1" s="1"/>
  <c r="E43" i="1"/>
  <c r="D148" i="1"/>
  <c r="E148" i="1" s="1"/>
  <c r="F148" i="1" s="1"/>
  <c r="E185" i="1"/>
  <c r="J108" i="1"/>
  <c r="B226" i="1"/>
  <c r="M123" i="1"/>
  <c r="O123" i="1" s="1"/>
  <c r="G132" i="1" s="1"/>
  <c r="G137" i="1" s="1"/>
  <c r="G146" i="1" s="1"/>
  <c r="G147" i="1" s="1"/>
  <c r="I244" i="1"/>
  <c r="K244" i="1" s="1"/>
  <c r="L244" i="1" s="1"/>
  <c r="M244" i="1" s="1"/>
  <c r="O244" i="1" s="1"/>
  <c r="I251" i="1" s="1"/>
  <c r="I256" i="1" s="1"/>
  <c r="F245" i="1"/>
  <c r="H245" i="1" s="1"/>
  <c r="E246" i="1"/>
  <c r="D245" i="1"/>
  <c r="B246" i="1"/>
  <c r="M87" i="1"/>
  <c r="O87" i="1" s="1"/>
  <c r="H95" i="1" s="1"/>
  <c r="H100" i="1" s="1"/>
  <c r="H109" i="1" s="1"/>
  <c r="H110" i="1" s="1"/>
  <c r="O159" i="1"/>
  <c r="F169" i="1" s="1"/>
  <c r="F174" i="1" s="1"/>
  <c r="F183" i="1" s="1"/>
  <c r="F184" i="1" s="1"/>
  <c r="E126" i="1"/>
  <c r="F125" i="1"/>
  <c r="H125" i="1" s="1"/>
  <c r="B161" i="1"/>
  <c r="D160" i="1"/>
  <c r="I160" i="1" s="1"/>
  <c r="K160" i="1" s="1"/>
  <c r="M160" i="1" s="1"/>
  <c r="E163" i="1"/>
  <c r="F162" i="1"/>
  <c r="H162" i="1" s="1"/>
  <c r="D124" i="1"/>
  <c r="I124" i="1" s="1"/>
  <c r="K124" i="1" s="1"/>
  <c r="L124" i="1" s="1"/>
  <c r="B125" i="1"/>
  <c r="D88" i="1"/>
  <c r="I88" i="1" s="1"/>
  <c r="K88" i="1" s="1"/>
  <c r="L88" i="1" s="1"/>
  <c r="E44" i="1" l="1"/>
  <c r="F43" i="1"/>
  <c r="H43" i="1" s="1"/>
  <c r="I43" i="1" s="1"/>
  <c r="K43" i="1" s="1"/>
  <c r="L43" i="1" s="1"/>
  <c r="M43" i="1" s="1"/>
  <c r="O43" i="1" s="1"/>
  <c r="F185" i="1"/>
  <c r="G148" i="1"/>
  <c r="K108" i="1"/>
  <c r="M124" i="1"/>
  <c r="O124" i="1" s="1"/>
  <c r="H132" i="1" s="1"/>
  <c r="H137" i="1" s="1"/>
  <c r="H146" i="1" s="1"/>
  <c r="H147" i="1" s="1"/>
  <c r="B247" i="1"/>
  <c r="D247" i="1" s="1"/>
  <c r="D246" i="1"/>
  <c r="I245" i="1"/>
  <c r="K245" i="1" s="1"/>
  <c r="L245" i="1" s="1"/>
  <c r="M245" i="1" s="1"/>
  <c r="O245" i="1" s="1"/>
  <c r="J251" i="1" s="1"/>
  <c r="J256" i="1" s="1"/>
  <c r="E247" i="1"/>
  <c r="F247" i="1" s="1"/>
  <c r="H247" i="1" s="1"/>
  <c r="F246" i="1"/>
  <c r="H246" i="1" s="1"/>
  <c r="M88" i="1"/>
  <c r="O88" i="1" s="1"/>
  <c r="I95" i="1" s="1"/>
  <c r="I100" i="1" s="1"/>
  <c r="I109" i="1" s="1"/>
  <c r="I110" i="1" s="1"/>
  <c r="O160" i="1"/>
  <c r="G169" i="1" s="1"/>
  <c r="G174" i="1" s="1"/>
  <c r="G183" i="1" s="1"/>
  <c r="G184" i="1" s="1"/>
  <c r="F126" i="1"/>
  <c r="H126" i="1" s="1"/>
  <c r="E127" i="1"/>
  <c r="B162" i="1"/>
  <c r="D161" i="1"/>
  <c r="I161" i="1" s="1"/>
  <c r="K161" i="1" s="1"/>
  <c r="M161" i="1" s="1"/>
  <c r="E164" i="1"/>
  <c r="F163" i="1"/>
  <c r="H163" i="1" s="1"/>
  <c r="B126" i="1"/>
  <c r="D125" i="1"/>
  <c r="I125" i="1" s="1"/>
  <c r="K125" i="1" s="1"/>
  <c r="L125" i="1" s="1"/>
  <c r="D89" i="1"/>
  <c r="I89" i="1" s="1"/>
  <c r="K89" i="1" s="1"/>
  <c r="L89" i="1" s="1"/>
  <c r="F44" i="1" l="1"/>
  <c r="H44" i="1" s="1"/>
  <c r="I44" i="1" s="1"/>
  <c r="K44" i="1" s="1"/>
  <c r="L44" i="1" s="1"/>
  <c r="M44" i="1" s="1"/>
  <c r="O44" i="1" s="1"/>
  <c r="E45" i="1"/>
  <c r="F45" i="1" s="1"/>
  <c r="H45" i="1" s="1"/>
  <c r="I45" i="1" s="1"/>
  <c r="K45" i="1" s="1"/>
  <c r="L45" i="1" s="1"/>
  <c r="M45" i="1" s="1"/>
  <c r="O45" i="1" s="1"/>
  <c r="G185" i="1"/>
  <c r="H148" i="1"/>
  <c r="L108" i="1"/>
  <c r="M125" i="1"/>
  <c r="O125" i="1" s="1"/>
  <c r="I132" i="1" s="1"/>
  <c r="I137" i="1" s="1"/>
  <c r="I146" i="1" s="1"/>
  <c r="I147" i="1" s="1"/>
  <c r="I246" i="1"/>
  <c r="K246" i="1" s="1"/>
  <c r="L246" i="1" s="1"/>
  <c r="M246" i="1" s="1"/>
  <c r="O246" i="1" s="1"/>
  <c r="K251" i="1" s="1"/>
  <c r="K256" i="1" s="1"/>
  <c r="I247" i="1"/>
  <c r="K247" i="1" s="1"/>
  <c r="L247" i="1" s="1"/>
  <c r="M247" i="1" s="1"/>
  <c r="O247" i="1" s="1"/>
  <c r="L251" i="1" s="1"/>
  <c r="L256" i="1" s="1"/>
  <c r="M89" i="1"/>
  <c r="O89" i="1" s="1"/>
  <c r="J95" i="1" s="1"/>
  <c r="J100" i="1" s="1"/>
  <c r="J109" i="1" s="1"/>
  <c r="J110" i="1" s="1"/>
  <c r="O161" i="1"/>
  <c r="H169" i="1" s="1"/>
  <c r="H174" i="1" s="1"/>
  <c r="H183" i="1" s="1"/>
  <c r="H184" i="1" s="1"/>
  <c r="L161" i="1"/>
  <c r="F127" i="1"/>
  <c r="H127" i="1" s="1"/>
  <c r="E128" i="1"/>
  <c r="F128" i="1" s="1"/>
  <c r="H128" i="1" s="1"/>
  <c r="B163" i="1"/>
  <c r="D162" i="1"/>
  <c r="I162" i="1" s="1"/>
  <c r="K162" i="1" s="1"/>
  <c r="M162" i="1" s="1"/>
  <c r="E165" i="1"/>
  <c r="F165" i="1" s="1"/>
  <c r="H165" i="1" s="1"/>
  <c r="F164" i="1"/>
  <c r="H164" i="1" s="1"/>
  <c r="B127" i="1"/>
  <c r="D126" i="1"/>
  <c r="I126" i="1" s="1"/>
  <c r="K126" i="1" s="1"/>
  <c r="L126" i="1" s="1"/>
  <c r="D91" i="1"/>
  <c r="I91" i="1" s="1"/>
  <c r="K91" i="1" s="1"/>
  <c r="L91" i="1" s="1"/>
  <c r="D90" i="1"/>
  <c r="I90" i="1" s="1"/>
  <c r="K90" i="1" s="1"/>
  <c r="L90" i="1" s="1"/>
  <c r="H185" i="1" l="1"/>
  <c r="I148" i="1"/>
  <c r="B259" i="1"/>
  <c r="M126" i="1"/>
  <c r="O126" i="1" s="1"/>
  <c r="J132" i="1" s="1"/>
  <c r="J137" i="1" s="1"/>
  <c r="J146" i="1" s="1"/>
  <c r="J147" i="1" s="1"/>
  <c r="M90" i="1"/>
  <c r="O90" i="1" s="1"/>
  <c r="K95" i="1" s="1"/>
  <c r="K100" i="1" s="1"/>
  <c r="K109" i="1" s="1"/>
  <c r="K110" i="1" s="1"/>
  <c r="M91" i="1"/>
  <c r="O91" i="1" s="1"/>
  <c r="L95" i="1" s="1"/>
  <c r="L100" i="1" s="1"/>
  <c r="L109" i="1" s="1"/>
  <c r="L110" i="1" s="1"/>
  <c r="O162" i="1"/>
  <c r="I169" i="1" s="1"/>
  <c r="I174" i="1" s="1"/>
  <c r="I183" i="1" s="1"/>
  <c r="I184" i="1" s="1"/>
  <c r="L162" i="1"/>
  <c r="B164" i="1"/>
  <c r="D163" i="1"/>
  <c r="I163" i="1" s="1"/>
  <c r="K163" i="1" s="1"/>
  <c r="M163" i="1" s="1"/>
  <c r="B128" i="1"/>
  <c r="D128" i="1" s="1"/>
  <c r="I128" i="1" s="1"/>
  <c r="K128" i="1" s="1"/>
  <c r="L128" i="1" s="1"/>
  <c r="D127" i="1"/>
  <c r="I127" i="1" s="1"/>
  <c r="K127" i="1" s="1"/>
  <c r="L127" i="1" s="1"/>
  <c r="I185" i="1" l="1"/>
  <c r="J148" i="1"/>
  <c r="B193" i="1"/>
  <c r="M127" i="1"/>
  <c r="O127" i="1" s="1"/>
  <c r="K132" i="1" s="1"/>
  <c r="K137" i="1" s="1"/>
  <c r="K146" i="1" s="1"/>
  <c r="K147" i="1" s="1"/>
  <c r="M128" i="1"/>
  <c r="O128" i="1" s="1"/>
  <c r="L132" i="1" s="1"/>
  <c r="B103" i="1"/>
  <c r="B104" i="1"/>
  <c r="E227" i="1" s="1"/>
  <c r="E228" i="1" s="1"/>
  <c r="O163" i="1"/>
  <c r="J169" i="1" s="1"/>
  <c r="J174" i="1" s="1"/>
  <c r="J183" i="1" s="1"/>
  <c r="J184" i="1" s="1"/>
  <c r="L163" i="1"/>
  <c r="B165" i="1"/>
  <c r="D165" i="1" s="1"/>
  <c r="I165" i="1" s="1"/>
  <c r="K165" i="1" s="1"/>
  <c r="M165" i="1" s="1"/>
  <c r="D164" i="1"/>
  <c r="I164" i="1" s="1"/>
  <c r="K164" i="1" s="1"/>
  <c r="M164" i="1" s="1"/>
  <c r="B105" i="1" l="1"/>
  <c r="B194" i="1"/>
  <c r="B195" i="1"/>
  <c r="L137" i="1"/>
  <c r="L146" i="1" s="1"/>
  <c r="L147" i="1" s="1"/>
  <c r="J185" i="1"/>
  <c r="K148" i="1"/>
  <c r="B227" i="1"/>
  <c r="B228" i="1" s="1"/>
  <c r="B229" i="1" s="1"/>
  <c r="O164" i="1"/>
  <c r="K169" i="1" s="1"/>
  <c r="K174" i="1" s="1"/>
  <c r="K183" i="1" s="1"/>
  <c r="K184" i="1" s="1"/>
  <c r="L164" i="1"/>
  <c r="O165" i="1"/>
  <c r="L169" i="1" s="1"/>
  <c r="L174" i="1" s="1"/>
  <c r="L183" i="1" s="1"/>
  <c r="L184" i="1" s="1"/>
  <c r="L165" i="1"/>
  <c r="B196" i="1" l="1"/>
  <c r="B141" i="1"/>
  <c r="B140" i="1"/>
  <c r="B142" i="1" s="1"/>
  <c r="L148" i="1"/>
  <c r="K185" i="1"/>
  <c r="L185" i="1" s="1"/>
  <c r="B177" i="1"/>
  <c r="B179" i="1" s="1"/>
  <c r="B178" i="1"/>
</calcChain>
</file>

<file path=xl/sharedStrings.xml><?xml version="1.0" encoding="utf-8"?>
<sst xmlns="http://schemas.openxmlformats.org/spreadsheetml/2006/main" count="361" uniqueCount="164">
  <si>
    <t>Qualitative factors of the Business (Summary)</t>
  </si>
  <si>
    <t>Product</t>
  </si>
  <si>
    <t>Scarves</t>
  </si>
  <si>
    <t>Market</t>
  </si>
  <si>
    <t>Dallas-Fort Worth</t>
  </si>
  <si>
    <t>Sales Channel</t>
  </si>
  <si>
    <t>Retail Outlets/ Malls</t>
  </si>
  <si>
    <t>Online</t>
  </si>
  <si>
    <t>Yes</t>
  </si>
  <si>
    <t>Quantitative Factors of the Business and Projection</t>
  </si>
  <si>
    <t>Weighted Average Cost of Capital (Required Rate of Return for Discounting Purposes)</t>
  </si>
  <si>
    <t>(Question 2)</t>
  </si>
  <si>
    <t>Legend</t>
  </si>
  <si>
    <t>Risk Free Rate</t>
  </si>
  <si>
    <t>Cost of Debt</t>
  </si>
  <si>
    <t>NOPAT</t>
  </si>
  <si>
    <t>Net Operating Profit After Taxes</t>
  </si>
  <si>
    <r>
      <t>Beta (</t>
    </r>
    <r>
      <rPr>
        <b/>
        <sz val="11"/>
        <color theme="1"/>
        <rFont val="Aptos Narrow"/>
        <family val="2"/>
      </rPr>
      <t>β</t>
    </r>
    <r>
      <rPr>
        <b/>
        <sz val="10.8"/>
        <color theme="1"/>
        <rFont val="Aptos Narrow"/>
        <family val="2"/>
      </rPr>
      <t>)</t>
    </r>
  </si>
  <si>
    <t>Tax Rate</t>
  </si>
  <si>
    <t>EBIT</t>
  </si>
  <si>
    <t>Earnings Before Interest and Taxes</t>
  </si>
  <si>
    <t>S&amp;P 500</t>
  </si>
  <si>
    <t>VC</t>
  </si>
  <si>
    <t>Variable Costs</t>
  </si>
  <si>
    <t>Required Rate of Return on Equity</t>
  </si>
  <si>
    <t>Required Rate of Return on Debt</t>
  </si>
  <si>
    <t>FC</t>
  </si>
  <si>
    <t>Fixed Costs</t>
  </si>
  <si>
    <t>Weight of Equity</t>
  </si>
  <si>
    <t>Weight of Debt</t>
  </si>
  <si>
    <t>WC</t>
  </si>
  <si>
    <t>Working Capital</t>
  </si>
  <si>
    <t>Weighted Average Cost of Capital</t>
  </si>
  <si>
    <t>CAPEX</t>
  </si>
  <si>
    <t>Capital Expenditure</t>
  </si>
  <si>
    <r>
      <t xml:space="preserve">So, the required discount rate for all (Base, Optimistic and Pessimistic) Scenarios will be </t>
    </r>
    <r>
      <rPr>
        <b/>
        <sz val="14"/>
        <color rgb="FF9C5700"/>
        <rFont val="Aptos Narrow"/>
        <family val="2"/>
        <scheme val="minor"/>
      </rPr>
      <t>9.914%</t>
    </r>
  </si>
  <si>
    <t>OCF</t>
  </si>
  <si>
    <t>Operating Cashflow</t>
  </si>
  <si>
    <t>TV</t>
  </si>
  <si>
    <t>Terminal Value</t>
  </si>
  <si>
    <t>Δ</t>
  </si>
  <si>
    <t>Change</t>
  </si>
  <si>
    <t>PV</t>
  </si>
  <si>
    <t>Present Value</t>
  </si>
  <si>
    <r>
      <t xml:space="preserve">Depreciation Table </t>
    </r>
    <r>
      <rPr>
        <i/>
        <sz val="11"/>
        <color theme="1"/>
        <rFont val="Aptos Narrow"/>
        <family val="2"/>
        <scheme val="minor"/>
      </rPr>
      <t>(all cases)</t>
    </r>
  </si>
  <si>
    <r>
      <rPr>
        <b/>
        <sz val="11"/>
        <color theme="1"/>
        <rFont val="Aptos Narrow"/>
        <family val="2"/>
        <scheme val="minor"/>
      </rPr>
      <t xml:space="preserve">Assumed increments over the years </t>
    </r>
    <r>
      <rPr>
        <i/>
        <sz val="11"/>
        <color theme="1"/>
        <rFont val="Aptos Narrow"/>
        <family val="2"/>
        <scheme val="minor"/>
      </rPr>
      <t>(all cases)</t>
    </r>
  </si>
  <si>
    <r>
      <rPr>
        <b/>
        <sz val="11"/>
        <color theme="1"/>
        <rFont val="Aptos Narrow"/>
        <family val="2"/>
        <scheme val="minor"/>
      </rPr>
      <t xml:space="preserve">Terminal Value of Business Table </t>
    </r>
    <r>
      <rPr>
        <i/>
        <sz val="11"/>
        <color theme="1"/>
        <rFont val="Aptos Narrow"/>
        <family val="2"/>
        <scheme val="minor"/>
      </rPr>
      <t>(all cases)</t>
    </r>
  </si>
  <si>
    <t>NPV</t>
  </si>
  <si>
    <t>Net Present Value</t>
  </si>
  <si>
    <t>IRR</t>
  </si>
  <si>
    <t>Internal Rate of Return</t>
  </si>
  <si>
    <t>Useful Life</t>
  </si>
  <si>
    <t>5 years</t>
  </si>
  <si>
    <t>Price Growth</t>
  </si>
  <si>
    <t>MV (year 10)</t>
  </si>
  <si>
    <t>MV</t>
  </si>
  <si>
    <t>Market Value</t>
  </si>
  <si>
    <t>Investment</t>
  </si>
  <si>
    <t>Sales Growth</t>
  </si>
  <si>
    <t>BV (after 5 years)</t>
  </si>
  <si>
    <t>BV</t>
  </si>
  <si>
    <t>Book Value</t>
  </si>
  <si>
    <t>Salvage Value</t>
  </si>
  <si>
    <t>VC growth</t>
  </si>
  <si>
    <t>PI</t>
  </si>
  <si>
    <t>Profitability Index</t>
  </si>
  <si>
    <t xml:space="preserve">Per year </t>
  </si>
  <si>
    <t>FC Growth</t>
  </si>
  <si>
    <t>FCF</t>
  </si>
  <si>
    <t>Free Cashflow</t>
  </si>
  <si>
    <t>DCF</t>
  </si>
  <si>
    <t>Discounted Cashflow</t>
  </si>
  <si>
    <t>(Interest is assumed to be 0% for all cases)</t>
  </si>
  <si>
    <t>CCF</t>
  </si>
  <si>
    <t>Cumulative Cashflow</t>
  </si>
  <si>
    <t>BASE CASE</t>
  </si>
  <si>
    <t>(Question 3)</t>
  </si>
  <si>
    <t>Year</t>
  </si>
  <si>
    <t>Price</t>
  </si>
  <si>
    <t>Items sold</t>
  </si>
  <si>
    <t>Revenue</t>
  </si>
  <si>
    <t>VC per unit</t>
  </si>
  <si>
    <t>Total VC</t>
  </si>
  <si>
    <t>Total FC</t>
  </si>
  <si>
    <t>Total cost</t>
  </si>
  <si>
    <t>Gross Profit</t>
  </si>
  <si>
    <t>(-) Depreciation</t>
  </si>
  <si>
    <t>Taxable income</t>
  </si>
  <si>
    <t>(+) Depreciation</t>
  </si>
  <si>
    <t>ΔWC</t>
  </si>
  <si>
    <t>NPV,IRR, PI and Payback Period for Base Case</t>
  </si>
  <si>
    <t>(Question 8)</t>
  </si>
  <si>
    <t>Payback Period</t>
  </si>
  <si>
    <t>OPTIMISTIC CASE</t>
  </si>
  <si>
    <t>(Question 4)</t>
  </si>
  <si>
    <t>NPV,IRR, PI and Payback Period for Optimistic Case</t>
  </si>
  <si>
    <t>(Question 9)</t>
  </si>
  <si>
    <t>PESSIMISTIC CASE</t>
  </si>
  <si>
    <t>(Question 5)</t>
  </si>
  <si>
    <t>NPV,IRR, PI and Payback Period for Pessimistic Case</t>
  </si>
  <si>
    <t>(Question 10)</t>
  </si>
  <si>
    <r>
      <rPr>
        <b/>
        <sz val="18"/>
        <color rgb="FF000000"/>
        <rFont val="Aptos Narrow"/>
        <scheme val="minor"/>
      </rPr>
      <t xml:space="preserve">SENSITIVITY ANALYSIS (based on the </t>
    </r>
    <r>
      <rPr>
        <b/>
        <i/>
        <sz val="18"/>
        <color rgb="FF000000"/>
        <rFont val="Aptos Narrow"/>
        <scheme val="minor"/>
      </rPr>
      <t>BASE CASE</t>
    </r>
    <r>
      <rPr>
        <b/>
        <sz val="18"/>
        <color rgb="FF000000"/>
        <rFont val="Aptos Narrow"/>
        <scheme val="minor"/>
      </rPr>
      <t>)</t>
    </r>
  </si>
  <si>
    <t>(Question 6)</t>
  </si>
  <si>
    <r>
      <rPr>
        <b/>
        <sz val="11"/>
        <color theme="1"/>
        <rFont val="Aptos Narrow"/>
        <family val="2"/>
        <scheme val="minor"/>
      </rPr>
      <t xml:space="preserve">1. </t>
    </r>
    <r>
      <rPr>
        <b/>
        <sz val="11"/>
        <color theme="1"/>
        <rFont val="Aptos Narrow"/>
        <family val="2"/>
      </rPr>
      <t xml:space="preserve">Δ </t>
    </r>
    <r>
      <rPr>
        <b/>
        <sz val="10.8"/>
        <color theme="1"/>
        <rFont val="Aptos Narrow"/>
        <family val="2"/>
      </rPr>
      <t>WACC</t>
    </r>
  </si>
  <si>
    <t>We assume that the WACC changes by 1% (increase)</t>
  </si>
  <si>
    <t>New WACC</t>
  </si>
  <si>
    <t>Previous NPV</t>
  </si>
  <si>
    <t>%change</t>
  </si>
  <si>
    <t>CONCLUSION</t>
  </si>
  <si>
    <t>This concludes that the NPV is sensitive to the change in future rates by  the relation of Present Value of Cashflow being inversely proportional to the change in interest rates</t>
  </si>
  <si>
    <r>
      <t xml:space="preserve">2. </t>
    </r>
    <r>
      <rPr>
        <b/>
        <sz val="11"/>
        <color theme="1"/>
        <rFont val="Aptos Narrow"/>
        <family val="2"/>
      </rPr>
      <t>Δ SALES</t>
    </r>
  </si>
  <si>
    <t>We assume that the change in unit sales changes by 2% (decrease)</t>
  </si>
  <si>
    <t>New Sales Growth</t>
  </si>
  <si>
    <t>Previous IRR</t>
  </si>
  <si>
    <t>% change</t>
  </si>
  <si>
    <r>
      <t xml:space="preserve">BREAK-EVEN ANALYSIS (based on the </t>
    </r>
    <r>
      <rPr>
        <b/>
        <i/>
        <sz val="18"/>
        <color theme="1"/>
        <rFont val="Aptos Narrow"/>
        <family val="2"/>
        <scheme val="minor"/>
      </rPr>
      <t>BASE CASE</t>
    </r>
    <r>
      <rPr>
        <b/>
        <sz val="18"/>
        <color theme="1"/>
        <rFont val="Aptos Narrow"/>
        <family val="2"/>
        <scheme val="minor"/>
      </rPr>
      <t>)</t>
    </r>
  </si>
  <si>
    <t>(Question 7)</t>
  </si>
  <si>
    <t>PESSIMISTIC</t>
  </si>
  <si>
    <t>Product being produced</t>
  </si>
  <si>
    <t>SCARVES</t>
  </si>
  <si>
    <t>SAME AS BASE</t>
  </si>
  <si>
    <t>Target Market</t>
  </si>
  <si>
    <t>Dallas / Ft Worth</t>
  </si>
  <si>
    <t>Primary Sales Channel</t>
  </si>
  <si>
    <t>Retail Outlets / Malls</t>
  </si>
  <si>
    <t>Online Presence</t>
  </si>
  <si>
    <t>yes</t>
  </si>
  <si>
    <t>Price of the product (year 1)</t>
  </si>
  <si>
    <t>Annual growth rate on price</t>
  </si>
  <si>
    <t>Number of items sold (year 1)</t>
  </si>
  <si>
    <t>Annual growth rate on units sold</t>
  </si>
  <si>
    <t>Variable cost per unit</t>
  </si>
  <si>
    <t>Variable cost increase each year</t>
  </si>
  <si>
    <t>Fixed costs increasing each year</t>
  </si>
  <si>
    <t>Depreciation Method (all CAPEX)</t>
  </si>
  <si>
    <t>straight line</t>
  </si>
  <si>
    <t>Depreciation period (all CAPEX)</t>
  </si>
  <si>
    <t xml:space="preserve">Tax rate </t>
  </si>
  <si>
    <t>Initital Working Capital</t>
  </si>
  <si>
    <t>Add'tnl Working Capital One time (year 4)</t>
  </si>
  <si>
    <t>Initial Investmnet for Equipment (year 0)</t>
  </si>
  <si>
    <t>Suplemental Capital Required (year 3)</t>
  </si>
  <si>
    <t>Market Vale of All Equipment Year 10</t>
  </si>
  <si>
    <t>Risk Free Rate (rfr)</t>
  </si>
  <si>
    <t>Beta (b)</t>
  </si>
  <si>
    <t>S&amp;P 500 Avg Return (MR)</t>
  </si>
  <si>
    <t xml:space="preserve">Cost on Debt </t>
  </si>
  <si>
    <t>Tax Shield Eligible</t>
  </si>
  <si>
    <t>% of Equity in Cap Structure</t>
  </si>
  <si>
    <t>% of Debt in Cap Structure</t>
  </si>
  <si>
    <t>GROUP 10</t>
  </si>
  <si>
    <t xml:space="preserve"> Camila Cruz</t>
  </si>
  <si>
    <t>Jonathan Soto</t>
  </si>
  <si>
    <t>Gabriel Lazaro Reyna IV</t>
  </si>
  <si>
    <t>Salon Sharma</t>
  </si>
  <si>
    <t>Discounted Cashflow Model (A Model Preview)</t>
  </si>
  <si>
    <t>(Question 1)</t>
  </si>
  <si>
    <t>Payback Period (years)</t>
  </si>
  <si>
    <t>10&lt;</t>
  </si>
  <si>
    <r>
      <t xml:space="preserve">A </t>
    </r>
    <r>
      <rPr>
        <b/>
        <sz val="11"/>
        <color theme="1"/>
        <rFont val="Aptos Narrow"/>
        <family val="2"/>
        <scheme val="minor"/>
      </rPr>
      <t>2%</t>
    </r>
    <r>
      <rPr>
        <sz val="11"/>
        <color theme="1"/>
        <rFont val="Aptos Narrow"/>
        <family val="2"/>
        <scheme val="minor"/>
      </rPr>
      <t xml:space="preserve"> decrease in unit sales resulted in a change of </t>
    </r>
    <r>
      <rPr>
        <b/>
        <sz val="11"/>
        <color theme="1"/>
        <rFont val="Aptos Narrow"/>
        <family val="2"/>
        <scheme val="minor"/>
      </rPr>
      <t>-55.91%</t>
    </r>
    <r>
      <rPr>
        <sz val="11"/>
        <color theme="1"/>
        <rFont val="Aptos Narrow"/>
        <family val="2"/>
        <scheme val="minor"/>
      </rPr>
      <t xml:space="preserve"> in NPV of the project and also </t>
    </r>
    <r>
      <rPr>
        <b/>
        <sz val="11"/>
        <color theme="1"/>
        <rFont val="Aptos Narrow"/>
        <family val="2"/>
        <scheme val="minor"/>
      </rPr>
      <t>-4.82%</t>
    </r>
    <r>
      <rPr>
        <sz val="11"/>
        <color theme="1"/>
        <rFont val="Aptos Narrow"/>
        <family val="2"/>
        <scheme val="minor"/>
      </rPr>
      <t xml:space="preserve"> change in the IRR.</t>
    </r>
  </si>
  <si>
    <r>
      <t xml:space="preserve">A </t>
    </r>
    <r>
      <rPr>
        <b/>
        <sz val="11"/>
        <color theme="1"/>
        <rFont val="Aptos Narrow"/>
        <family val="2"/>
        <scheme val="minor"/>
      </rPr>
      <t>1%</t>
    </r>
    <r>
      <rPr>
        <sz val="11"/>
        <color theme="1"/>
        <rFont val="Aptos Narrow"/>
        <family val="2"/>
        <scheme val="minor"/>
      </rPr>
      <t xml:space="preserve"> increase in WACC resulted in a change of value of  -</t>
    </r>
    <r>
      <rPr>
        <b/>
        <sz val="11"/>
        <color theme="1"/>
        <rFont val="Aptos Narrow"/>
        <family val="2"/>
        <scheme val="minor"/>
      </rPr>
      <t xml:space="preserve">$790451.66 </t>
    </r>
    <r>
      <rPr>
        <sz val="11"/>
        <color theme="1"/>
        <rFont val="Aptos Narrow"/>
        <family val="2"/>
        <scheme val="minor"/>
      </rPr>
      <t xml:space="preserve"> which is a </t>
    </r>
    <r>
      <rPr>
        <sz val="11"/>
        <color rgb="FFFF0000"/>
        <rFont val="Aptos Narrow"/>
        <family val="2"/>
        <scheme val="minor"/>
      </rPr>
      <t>loss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 xml:space="preserve">13.46% </t>
    </r>
    <r>
      <rPr>
        <sz val="11"/>
        <color theme="1"/>
        <rFont val="Aptos Narrow"/>
        <family val="2"/>
        <scheme val="minor"/>
      </rPr>
      <t>of the initial NPV of base case.</t>
    </r>
  </si>
  <si>
    <t>OPTIMISTIC</t>
  </si>
  <si>
    <t>This concludes that the NPV and IRR are very sensitive to the change in expected sales growth or decline.</t>
  </si>
  <si>
    <r>
      <rPr>
        <sz val="11"/>
        <color theme="1"/>
        <rFont val="Aptos Narrow"/>
        <family val="2"/>
        <scheme val="minor"/>
      </rPr>
      <t xml:space="preserve">For NPV to be 0, the number of items sold (based on base case) must be </t>
    </r>
    <r>
      <rPr>
        <b/>
        <sz val="11"/>
        <color theme="1"/>
        <rFont val="Aptos Narrow"/>
        <family val="2"/>
        <scheme val="minor"/>
      </rPr>
      <t>377146.49.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</si>
</sst>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%"/>
    <numFmt numFmtId="165" formatCode="&quot;$&quot;#,##0.00&quot; &quot;;[Red]&quot;(&quot;&quot;$&quot;#,##0.00&quot;)&quot;"/>
    <numFmt numFmtId="166" formatCode="0.0%"/>
    <numFmt numFmtId="167" formatCode="&quot;$&quot;#,##0&quot; &quot;;[Red]&quot;(&quot;&quot;$&quot;#,##0&quot;)&quot;"/>
    <numFmt numFmtId="168" formatCode="0.000"/>
  </numFmts>
  <fonts count="24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rgb="FF9C5700"/>
      <name val="Aptos Narrow"/>
      <family val="2"/>
      <scheme val="minor"/>
    </font>
    <font>
      <b/>
      <sz val="11"/>
      <color theme="1"/>
      <name val="Aptos Narrow"/>
      <family val="2"/>
    </font>
    <font>
      <b/>
      <sz val="8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6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i/>
      <sz val="18"/>
      <color theme="1"/>
      <name val="Aptos Narrow"/>
      <family val="2"/>
      <scheme val="minor"/>
    </font>
    <font>
      <b/>
      <sz val="10.8"/>
      <color theme="1"/>
      <name val="Aptos Narrow"/>
      <family val="2"/>
    </font>
    <font>
      <b/>
      <sz val="18"/>
      <color rgb="FF000000"/>
      <name val="Aptos Narrow"/>
      <scheme val="minor"/>
    </font>
    <font>
      <b/>
      <i/>
      <sz val="18"/>
      <color rgb="FF000000"/>
      <name val="Aptos Narrow"/>
      <scheme val="minor"/>
    </font>
    <font>
      <b/>
      <sz val="18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8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BC2E6"/>
        <bgColor rgb="FF9BC2E6"/>
      </patternFill>
    </fill>
    <fill>
      <patternFill patternType="solid">
        <fgColor rgb="FFC6E0B4"/>
        <bgColor rgb="FFC6E0B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4" borderId="0" applyNumberFormat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81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2" xfId="0" applyBorder="1"/>
    <xf numFmtId="0" fontId="0" fillId="3" borderId="0" xfId="0" applyFill="1"/>
    <xf numFmtId="8" fontId="0" fillId="0" borderId="0" xfId="0" applyNumberFormat="1"/>
    <xf numFmtId="0" fontId="1" fillId="4" borderId="4" xfId="1" applyBorder="1"/>
    <xf numFmtId="0" fontId="0" fillId="5" borderId="2" xfId="0" applyFill="1" applyBorder="1"/>
    <xf numFmtId="2" fontId="0" fillId="0" borderId="0" xfId="0" applyNumberFormat="1"/>
    <xf numFmtId="2" fontId="0" fillId="0" borderId="2" xfId="0" applyNumberFormat="1" applyBorder="1"/>
    <xf numFmtId="0" fontId="2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44" fontId="2" fillId="0" borderId="0" xfId="0" applyNumberFormat="1" applyFont="1"/>
    <xf numFmtId="44" fontId="2" fillId="0" borderId="5" xfId="0" applyNumberFormat="1" applyFont="1" applyBorder="1"/>
    <xf numFmtId="44" fontId="0" fillId="6" borderId="6" xfId="0" applyNumberFormat="1" applyFill="1" applyBorder="1"/>
    <xf numFmtId="0" fontId="0" fillId="0" borderId="7" xfId="0" applyBorder="1"/>
    <xf numFmtId="0" fontId="2" fillId="2" borderId="1" xfId="0" applyFont="1" applyFill="1" applyBorder="1"/>
    <xf numFmtId="0" fontId="2" fillId="2" borderId="2" xfId="0" applyFont="1" applyFill="1" applyBorder="1"/>
    <xf numFmtId="0" fontId="4" fillId="2" borderId="2" xfId="0" applyFont="1" applyFill="1" applyBorder="1"/>
    <xf numFmtId="0" fontId="10" fillId="2" borderId="2" xfId="0" applyFont="1" applyFill="1" applyBorder="1"/>
    <xf numFmtId="0" fontId="9" fillId="2" borderId="2" xfId="0" applyFont="1" applyFill="1" applyBorder="1"/>
    <xf numFmtId="0" fontId="2" fillId="2" borderId="3" xfId="0" applyFont="1" applyFill="1" applyBorder="1"/>
    <xf numFmtId="0" fontId="2" fillId="7" borderId="0" xfId="0" applyFont="1" applyFill="1"/>
    <xf numFmtId="0" fontId="0" fillId="7" borderId="0" xfId="0" applyFill="1"/>
    <xf numFmtId="0" fontId="0" fillId="8" borderId="0" xfId="0" applyFill="1"/>
    <xf numFmtId="164" fontId="2" fillId="3" borderId="0" xfId="0" applyNumberFormat="1" applyFont="1" applyFill="1"/>
    <xf numFmtId="0" fontId="0" fillId="6" borderId="8" xfId="0" applyFill="1" applyBorder="1"/>
    <xf numFmtId="0" fontId="0" fillId="0" borderId="0" xfId="0" applyAlignment="1">
      <alignment horizontal="center"/>
    </xf>
    <xf numFmtId="0" fontId="4" fillId="3" borderId="0" xfId="0" applyFont="1" applyFill="1"/>
    <xf numFmtId="0" fontId="8" fillId="0" borderId="0" xfId="0" applyFont="1"/>
    <xf numFmtId="44" fontId="4" fillId="0" borderId="0" xfId="0" applyNumberFormat="1" applyFont="1"/>
    <xf numFmtId="0" fontId="0" fillId="9" borderId="0" xfId="0" applyFill="1"/>
    <xf numFmtId="0" fontId="3" fillId="9" borderId="0" xfId="0" applyFont="1" applyFill="1"/>
    <xf numFmtId="0" fontId="13" fillId="9" borderId="0" xfId="0" applyFont="1" applyFill="1"/>
    <xf numFmtId="0" fontId="11" fillId="3" borderId="0" xfId="0" applyFont="1" applyFill="1"/>
    <xf numFmtId="0" fontId="12" fillId="0" borderId="0" xfId="0" applyFont="1"/>
    <xf numFmtId="10" fontId="0" fillId="3" borderId="0" xfId="0" applyNumberFormat="1" applyFill="1"/>
    <xf numFmtId="0" fontId="2" fillId="0" borderId="5" xfId="0" applyFont="1" applyBorder="1"/>
    <xf numFmtId="164" fontId="0" fillId="0" borderId="0" xfId="0" applyNumberFormat="1"/>
    <xf numFmtId="0" fontId="14" fillId="0" borderId="0" xfId="0" applyFont="1"/>
    <xf numFmtId="0" fontId="19" fillId="9" borderId="0" xfId="0" applyFont="1" applyFill="1"/>
    <xf numFmtId="2" fontId="0" fillId="3" borderId="0" xfId="0" applyNumberFormat="1" applyFill="1"/>
    <xf numFmtId="0" fontId="2" fillId="9" borderId="0" xfId="0" applyFont="1" applyFill="1"/>
    <xf numFmtId="0" fontId="2" fillId="10" borderId="0" xfId="0" applyFont="1" applyFill="1"/>
    <xf numFmtId="0" fontId="7" fillId="9" borderId="0" xfId="0" applyFont="1" applyFill="1"/>
    <xf numFmtId="0" fontId="11" fillId="0" borderId="0" xfId="0" applyFont="1"/>
    <xf numFmtId="0" fontId="2" fillId="8" borderId="0" xfId="0" applyFont="1" applyFill="1"/>
    <xf numFmtId="0" fontId="0" fillId="6" borderId="0" xfId="0" applyFill="1"/>
    <xf numFmtId="2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22" fillId="11" borderId="0" xfId="0" applyFont="1" applyFill="1"/>
    <xf numFmtId="0" fontId="22" fillId="11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0" fontId="22" fillId="13" borderId="0" xfId="0" applyFont="1" applyFill="1" applyAlignment="1">
      <alignment horizontal="center"/>
    </xf>
    <xf numFmtId="0" fontId="22" fillId="14" borderId="0" xfId="0" applyFont="1" applyFill="1" applyAlignment="1">
      <alignment horizontal="center"/>
    </xf>
    <xf numFmtId="165" fontId="22" fillId="12" borderId="0" xfId="2" applyNumberFormat="1" applyFont="1" applyFill="1" applyAlignment="1">
      <alignment horizontal="center"/>
    </xf>
    <xf numFmtId="166" fontId="22" fillId="12" borderId="0" xfId="3" applyNumberFormat="1" applyFont="1" applyFill="1" applyAlignment="1">
      <alignment horizontal="center"/>
    </xf>
    <xf numFmtId="10" fontId="22" fillId="12" borderId="0" xfId="3" applyNumberFormat="1" applyFont="1" applyFill="1" applyAlignment="1">
      <alignment horizontal="center"/>
    </xf>
    <xf numFmtId="165" fontId="22" fillId="13" borderId="0" xfId="0" applyNumberFormat="1" applyFont="1" applyFill="1" applyAlignment="1">
      <alignment horizontal="center"/>
    </xf>
    <xf numFmtId="165" fontId="22" fillId="14" borderId="0" xfId="0" applyNumberFormat="1" applyFont="1" applyFill="1" applyAlignment="1">
      <alignment horizontal="center"/>
    </xf>
    <xf numFmtId="167" fontId="22" fillId="12" borderId="0" xfId="0" applyNumberFormat="1" applyFont="1" applyFill="1" applyAlignment="1">
      <alignment horizontal="center"/>
    </xf>
    <xf numFmtId="167" fontId="22" fillId="13" borderId="0" xfId="0" applyNumberFormat="1" applyFont="1" applyFill="1" applyAlignment="1">
      <alignment horizontal="center"/>
    </xf>
    <xf numFmtId="167" fontId="22" fillId="14" borderId="0" xfId="0" applyNumberFormat="1" applyFont="1" applyFill="1" applyAlignment="1">
      <alignment horizontal="center"/>
    </xf>
    <xf numFmtId="9" fontId="22" fillId="12" borderId="0" xfId="0" applyNumberFormat="1" applyFont="1" applyFill="1" applyAlignment="1">
      <alignment horizontal="center"/>
    </xf>
    <xf numFmtId="10" fontId="22" fillId="12" borderId="0" xfId="0" applyNumberFormat="1" applyFont="1" applyFill="1" applyAlignment="1">
      <alignment horizontal="center"/>
    </xf>
    <xf numFmtId="0" fontId="12" fillId="3" borderId="0" xfId="0" applyFont="1" applyFill="1"/>
    <xf numFmtId="0" fontId="0" fillId="15" borderId="0" xfId="0" applyFill="1"/>
    <xf numFmtId="0" fontId="3" fillId="15" borderId="0" xfId="0" applyFont="1" applyFill="1"/>
    <xf numFmtId="0" fontId="1" fillId="4" borderId="9" xfId="1" applyBorder="1"/>
    <xf numFmtId="0" fontId="1" fillId="6" borderId="10" xfId="1" applyFill="1" applyBorder="1"/>
    <xf numFmtId="0" fontId="2" fillId="3" borderId="0" xfId="0" applyFont="1" applyFill="1"/>
    <xf numFmtId="10" fontId="2" fillId="3" borderId="0" xfId="0" applyNumberFormat="1" applyFont="1" applyFill="1"/>
    <xf numFmtId="0" fontId="5" fillId="3" borderId="0" xfId="0" applyFont="1" applyFill="1"/>
    <xf numFmtId="2" fontId="0" fillId="9" borderId="0" xfId="0" applyNumberFormat="1" applyFill="1"/>
    <xf numFmtId="2" fontId="2" fillId="3" borderId="0" xfId="0" applyNumberFormat="1" applyFont="1" applyFill="1"/>
    <xf numFmtId="168" fontId="2" fillId="3" borderId="0" xfId="0" applyNumberFormat="1" applyFont="1" applyFill="1"/>
    <xf numFmtId="2" fontId="0" fillId="3" borderId="0" xfId="0" applyNumberFormat="1" applyFill="1" applyAlignment="1">
      <alignment horizontal="left" indent="1"/>
    </xf>
    <xf numFmtId="0" fontId="1" fillId="0" borderId="10" xfId="1" applyFill="1" applyBorder="1"/>
  </cellXfs>
  <cellStyles count="4">
    <cellStyle name="Currency" xfId="2" builtinId="4"/>
    <cellStyle name="Neutral" xfId="1" builtinId="28"/>
    <cellStyle name="Normal" xfId="0" builtinId="0"/>
    <cellStyle name="Percent" xfId="3" builtinId="5"/>
  </cellStyles>
  <dxfs count="15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</font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3" formatCode="0%"/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14" formatCode="0.00%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/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numFmt numFmtId="2" formatCode="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/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AA7D58-D4BB-4905-BD4F-8AE696604C03}" name="Table2" displayName="Table2" ref="A58:C64" headerRowCount="0" totalsRowShown="0">
  <tableColumns count="3">
    <tableColumn id="1" xr3:uid="{4F28E49D-324C-4105-BF5A-E86F489F088A}" name="Description of the Required Data" headerRowDxfId="149" dataDxfId="148"/>
    <tableColumn id="2" xr3:uid="{A21B8F69-D6CD-4D9A-B8D7-8BE0ED4FBA58}" name="Description of the Required Data2" headerRowDxfId="147"/>
    <tableColumn id="3" xr3:uid="{590E52B5-D198-4917-A9DF-012EBFB80A4D}" name="Description of the Required Data3" headerRowDxfId="14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330C34B-C45F-4AA7-B872-B8D038054A73}" name="Table613" displayName="Table613" ref="A131:L137" headerRowCount="0" totalsRowShown="0">
  <tableColumns count="12">
    <tableColumn id="1" xr3:uid="{DE653149-47B1-4033-8BFA-A0A0A7459EBA}" name="Column1" dataDxfId="83"/>
    <tableColumn id="2" xr3:uid="{45D6E530-BB2C-44AE-84D6-32DF0B1AB093}" name="Column2"/>
    <tableColumn id="3" xr3:uid="{ADB26037-00AD-4D39-9C0B-BDF2F4CEE98C}" name="Column3" dataDxfId="82">
      <calculatedColumnFormula>Table613[[#This Row],[Column2]]+1</calculatedColumnFormula>
    </tableColumn>
    <tableColumn id="4" xr3:uid="{FA21865F-245A-4BF4-9FD4-51AF5503CB04}" name="Column4"/>
    <tableColumn id="5" xr3:uid="{05ACA1BC-6F83-43AD-9F51-CD9D562F3230}" name="Column5"/>
    <tableColumn id="6" xr3:uid="{D8C9D172-B86A-4F77-A28C-8396ECCA342D}" name="Column6"/>
    <tableColumn id="7" xr3:uid="{D4A38BAD-3C83-41FE-8676-47BF43C669F7}" name="Column7"/>
    <tableColumn id="8" xr3:uid="{B4CD8336-E027-4883-BC05-7900520643CF}" name="Column8"/>
    <tableColumn id="9" xr3:uid="{B4D757C0-02EB-4AFE-8BF4-70FAD771E797}" name="Column9"/>
    <tableColumn id="10" xr3:uid="{ED1B4068-1529-4ACC-B654-FF87C0F89252}" name="Column10"/>
    <tableColumn id="11" xr3:uid="{945CA2C6-93C9-48D4-9AA6-B237273620EC}" name="Column11"/>
    <tableColumn id="12" xr3:uid="{F55D0108-B2B5-47BF-AF7E-6179E44134F6}" name="Column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426858-EDFF-457C-AD06-1A61A42FB208}" name="Table61314" displayName="Table61314" ref="A168:L174" headerRowCount="0" totalsRowShown="0">
  <tableColumns count="12">
    <tableColumn id="1" xr3:uid="{E34505A9-EB6A-487F-8362-FA2127226002}" name="Column1" dataDxfId="81"/>
    <tableColumn id="2" xr3:uid="{5DC48FBF-4C13-45C2-BCEC-7D33C2C1539B}" name="Column2"/>
    <tableColumn id="3" xr3:uid="{C286F82D-5CE6-4EF9-A095-034E124BCD02}" name="Column3" dataDxfId="80">
      <calculatedColumnFormula>Table61314[[#This Row],[Column2]]+1</calculatedColumnFormula>
    </tableColumn>
    <tableColumn id="4" xr3:uid="{90E7C578-86D8-421B-8868-71D05810E5F2}" name="Column4"/>
    <tableColumn id="5" xr3:uid="{C5A7D126-EF2B-43D4-ABC6-3F59D2E87D8A}" name="Column5"/>
    <tableColumn id="6" xr3:uid="{1CADE009-77C5-4118-8CD2-56C7BAFFBBFC}" name="Column6"/>
    <tableColumn id="7" xr3:uid="{0465217D-302B-46E9-A9CA-08DD8BFE8985}" name="Column7"/>
    <tableColumn id="8" xr3:uid="{B7F937B6-2D08-4A78-B65D-196738BBC088}" name="Column8"/>
    <tableColumn id="9" xr3:uid="{6426683E-C67F-42C5-B55F-1054ACE48093}" name="Column9"/>
    <tableColumn id="10" xr3:uid="{DB9CD6A2-D584-41EB-A7B8-205259F8FFE6}" name="Column10"/>
    <tableColumn id="11" xr3:uid="{5741602E-3A2D-4B72-9B8C-25A9522C754D}" name="Column11"/>
    <tableColumn id="12" xr3:uid="{AFA368AD-C7F1-499E-8CD2-3805F2616C7C}" name="Column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DA0493-CFC7-4C2E-9B92-2BF6490F8FE6}" name="Table14" displayName="Table14" ref="D70:E74" headerRowCount="0" totalsRowShown="0">
  <tableColumns count="2">
    <tableColumn id="1" xr3:uid="{A4FA0F9F-2F5E-4022-8B95-2DE3B0767D6E}" name="Column1" headerRowDxfId="79" dataDxfId="78"/>
    <tableColumn id="2" xr3:uid="{1C904DA8-7B41-4F3A-8205-1B5B7CBA4883}" name="Column2" headerRowDxfId="77" dataDxfId="7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2C9AF-668B-4DF1-8FB9-226E5264C59B}" name="Table9" displayName="Table9" ref="A140:B142" headerRowCount="0" totalsRowShown="0">
  <tableColumns count="2">
    <tableColumn id="1" xr3:uid="{17729C00-EBAA-495A-A291-D409EF509995}" name="Column1" headerRowDxfId="75" dataDxfId="74"/>
    <tableColumn id="2" xr3:uid="{65B8933B-1DB2-432D-B7D0-147E3EB938E7}" name="Column2" dataDxfId="73">
      <calculatedColumnFormula>IRR(B136:L136)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3C7475-0CEB-4072-B838-3C9D1AA3A553}" name="Table10" displayName="Table10" ref="A177:B179" headerRowCount="0" totalsRowShown="0">
  <tableColumns count="2">
    <tableColumn id="1" xr3:uid="{1A4A45D9-D067-418D-85CB-722165D1D441}" name="Column1" headerRowDxfId="72" dataDxfId="71"/>
    <tableColumn id="2" xr3:uid="{52ED5671-6716-43D6-BD46-046524DB839E}" name="Column2" dataDxfId="7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DB86A12-9603-4CD6-A769-DC91208865A7}" name="Table17" displayName="Table17" ref="A103:B105" headerRowCount="0" totalsRowShown="0">
  <tableColumns count="2">
    <tableColumn id="1" xr3:uid="{9B624920-AF30-4901-B3F6-B7877047B984}" name="Column1" headerRowDxfId="69" dataDxfId="68"/>
    <tableColumn id="2" xr3:uid="{F6472683-AE3F-4130-B094-EE1EF2538ED5}" name="Column2" dataDxfId="6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42AA219-CF6E-409E-ACF9-3CD91DD5AE18}" name="Table18" displayName="Table18" ref="A193:B195" headerRowCount="0" totalsRowCount="1">
  <tableColumns count="2">
    <tableColumn id="1" xr3:uid="{41FF93AC-A7B4-42DD-92FE-4586BFCBA6F0}" name="Column1" totalsRowLabel="Δ" totalsRowDxfId="66"/>
    <tableColumn id="2" xr3:uid="{8E9DA32F-4280-48D1-AFCC-3DDED1D40E59}" name="Column2" totalsRowFunction="custom" dataDxfId="65" totalsRowDxfId="64">
      <calculatedColumnFormula>NPV(B192,C100:L100)+B100</calculatedColumnFormula>
      <totalsRowFormula>B193-B194</totalsRow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32A4651-12CC-4104-A5FD-2237B3C8572D}" name="Table19" displayName="Table19" ref="A226:B229" headerRowCount="0" totalsRowShown="0">
  <tableColumns count="2">
    <tableColumn id="1" xr3:uid="{8FD1211B-453C-48F4-B5C3-9FF098850BDC}" name="Column1" dataDxfId="63"/>
    <tableColumn id="2" xr3:uid="{7957E85B-EA9A-47CE-A873-B1ABC8C83A3B}" name="Column2" dataDxfId="62">
      <calculatedColumnFormula>NPV(F63,C223:L223)+B223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A957A49-45BC-4C4B-9D99-F2FA7B963735}" name="Table421" displayName="Table421" ref="A236:O247" headerRowCount="0" totalsRowShown="0">
  <tableColumns count="15">
    <tableColumn id="1" xr3:uid="{F2D54419-AAE1-457B-B63F-09E381E0DBF8}" name="Column1" dataDxfId="61" totalsRowDxfId="60">
      <calculatedColumnFormula>A236+1</calculatedColumnFormula>
    </tableColumn>
    <tableColumn id="2" xr3:uid="{CC2C8F1C-A9BB-4B24-BDE4-B1F85263B54D}" name="Column2">
      <calculatedColumnFormula>B236*(1+0.035)</calculatedColumnFormula>
    </tableColumn>
    <tableColumn id="3" xr3:uid="{1756A0CF-DC11-4B72-AB3A-396478B890C9}" name="Column3">
      <calculatedColumnFormula>C236*(1+0.0275)</calculatedColumnFormula>
    </tableColumn>
    <tableColumn id="4" xr3:uid="{9BBDD429-7EC7-423A-8C51-37944091C186}" name="Column4">
      <calculatedColumnFormula>B237*C237</calculatedColumnFormula>
    </tableColumn>
    <tableColumn id="5" xr3:uid="{3D9A10CC-7574-4ADC-9F0B-A5ACB3B34E75}" name="Column5">
      <calculatedColumnFormula>E236*(1+0.0425)</calculatedColumnFormula>
    </tableColumn>
    <tableColumn id="6" xr3:uid="{EF3CD891-3C42-4A27-BBC9-4DC32EDFD352}" name="Column6">
      <calculatedColumnFormula>E237*C237</calculatedColumnFormula>
    </tableColumn>
    <tableColumn id="7" xr3:uid="{1091CF0D-FB82-4C92-BC73-FE901D90B199}" name="Column7">
      <calculatedColumnFormula>G236*(1+0.0325)</calculatedColumnFormula>
    </tableColumn>
    <tableColumn id="8" xr3:uid="{03F1C4E0-3D99-4A3A-91FB-502EF69D8E10}" name="Column8">
      <calculatedColumnFormula>F237+G237</calculatedColumnFormula>
    </tableColumn>
    <tableColumn id="9" xr3:uid="{10A18E62-482F-432B-878E-E0E23B15221E}" name="Column9" headerRowDxfId="59">
      <calculatedColumnFormula>D237-H237</calculatedColumnFormula>
    </tableColumn>
    <tableColumn id="10" xr3:uid="{60AAA0DE-B236-4A3E-A2F7-4429F2EFBE53}" name="Column10" headerRowDxfId="58"/>
    <tableColumn id="11" xr3:uid="{2C078CB9-E61A-46DC-AD7C-EBCC0443EE74}" name="Column11" headerRowDxfId="57"/>
    <tableColumn id="12" xr3:uid="{9408C138-A57E-411A-90D1-0B488973A77F}" name="Column12" headerRowDxfId="56"/>
    <tableColumn id="13" xr3:uid="{12897CE0-3C06-4231-A747-896B0CD96EBA}" name="Column13" headerRowDxfId="55"/>
    <tableColumn id="14" xr3:uid="{C02331EF-D3FB-4412-80CB-1EB8644EF6AD}" name="Column14" dataDxfId="54" totalsRowDxfId="53">
      <calculatedColumnFormula array="1">+Depreciation</calculatedColumnFormula>
    </tableColumn>
    <tableColumn id="15" xr3:uid="{DF5FB9A5-E0B9-4804-9018-2C46AC36075A}" name="Column15" headerRowDxfId="5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2358658-9A09-4C4F-B783-1D4793218BE5}" name="Table22" displayName="Table22" ref="H70:I73" headerRowCount="0" totalsRowShown="0">
  <tableColumns count="2">
    <tableColumn id="1" xr3:uid="{BD6C7FA2-779C-485A-86A4-E3AF6436471A}" name="Column1" dataDxfId="51"/>
    <tableColumn id="2" xr3:uid="{D36ADC16-AC71-402C-82D2-D2C299743E2B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140CE3-5567-4EB7-85BB-356355004021}" name="Table3" displayName="Table3" ref="D58:H63" headerRowCount="0" totalsRowShown="0">
  <tableColumns count="5">
    <tableColumn id="1" xr3:uid="{E053A008-572C-48B2-AE46-BA0182FEF132}" name="Column1" headerRowDxfId="145"/>
    <tableColumn id="2" xr3:uid="{D6534BC5-551B-456E-BB9F-C3FC603CC5F0}" name="Column2"/>
    <tableColumn id="3" xr3:uid="{38D9E333-D862-4684-8586-7096DDA71B7B}" name="Column3" headerRowDxfId="144"/>
    <tableColumn id="4" xr3:uid="{7059A8AC-1C49-41B6-A92D-E8741CA1132A}" name="Column4" headerRowDxfId="143"/>
    <tableColumn id="5" xr3:uid="{E92B2800-CCBD-4616-8003-D57A3C2547D1}" name="Column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9F1E962-1E07-48BF-9B94-EC8F4B841EFC}" name="Table416" displayName="Table416" ref="A203:O214" headerRowCount="0" totalsRowShown="0">
  <tableColumns count="15">
    <tableColumn id="1" xr3:uid="{6A3D349D-B0CD-474E-9AF2-3F95DEA68005}" name="Column1" dataDxfId="50" totalsRowDxfId="49">
      <calculatedColumnFormula>A202+1</calculatedColumnFormula>
    </tableColumn>
    <tableColumn id="2" xr3:uid="{5BA14BE9-DDAA-4610-8FAE-7D751B89A21F}" name="Column2">
      <calculatedColumnFormula>B202*(1+0.035)</calculatedColumnFormula>
    </tableColumn>
    <tableColumn id="3" xr3:uid="{CA7AFE85-74C6-4FE9-B0EE-70DD32FB03EB}" name="Column3">
      <calculatedColumnFormula>C202*(1+0.0275)</calculatedColumnFormula>
    </tableColumn>
    <tableColumn id="4" xr3:uid="{E389CAB2-7B43-4313-A390-B98DE9298DCC}" name="Column4">
      <calculatedColumnFormula>B203*C203</calculatedColumnFormula>
    </tableColumn>
    <tableColumn id="5" xr3:uid="{3A4D50C0-6A8E-4259-97D2-BF64CAECDADC}" name="Column5">
      <calculatedColumnFormula>E202*(1+0.0425)</calculatedColumnFormula>
    </tableColumn>
    <tableColumn id="6" xr3:uid="{E7EAC929-3065-44C5-A367-C5F9D768258F}" name="Column6">
      <calculatedColumnFormula>E203*C203</calculatedColumnFormula>
    </tableColumn>
    <tableColumn id="7" xr3:uid="{8994FE8D-88A6-47B5-8AE4-98BB4DFBA6B0}" name="Column7">
      <calculatedColumnFormula>G202*(1+0.0325)</calculatedColumnFormula>
    </tableColumn>
    <tableColumn id="8" xr3:uid="{305DA70B-9A6B-4173-BB72-DF13C887E94D}" name="Column8">
      <calculatedColumnFormula>F203+G203</calculatedColumnFormula>
    </tableColumn>
    <tableColumn id="9" xr3:uid="{AE85E00A-DEEC-4296-9CD3-9602ECA765B1}" name="Column9" headerRowDxfId="48">
      <calculatedColumnFormula>D203-H203</calculatedColumnFormula>
    </tableColumn>
    <tableColumn id="10" xr3:uid="{2C17F781-870B-4EA7-82C3-F5AD9BA46A25}" name="Column10" headerRowDxfId="47"/>
    <tableColumn id="11" xr3:uid="{49D70806-11A8-4E04-B9BD-03F9A6B923D9}" name="Column11" headerRowDxfId="46"/>
    <tableColumn id="12" xr3:uid="{F42DD8A5-16B2-444D-BB4D-A70E5A40A1E9}" name="Column12" headerRowDxfId="45"/>
    <tableColumn id="13" xr3:uid="{C21FC1CB-62B9-4A9D-BA25-A1324D65AFD1}" name="Column13" headerRowDxfId="44"/>
    <tableColumn id="14" xr3:uid="{C5273A37-EFBB-4B5A-A635-2A9AECC4DE44}" name="Column14" dataDxfId="43" totalsRowDxfId="42">
      <calculatedColumnFormula array="1">+Depreciation</calculatedColumnFormula>
    </tableColumn>
    <tableColumn id="15" xr3:uid="{EAF01673-A775-42DF-BC88-A093212CDEE3}" name="Column15" headerRowDxfId="4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98D31CA-0C6C-4CAB-9973-6A89DE8EE29A}" name="Table617" displayName="Table617" ref="A217:L223" headerRowCount="0" totalsRowShown="0">
  <tableColumns count="12">
    <tableColumn id="1" xr3:uid="{51000A3A-41AD-43AB-AFCC-BCE040589FCE}" name="Column1" dataDxfId="40"/>
    <tableColumn id="2" xr3:uid="{E2FB3A06-925B-4A1B-9B54-DB4E435AAD43}" name="Column2"/>
    <tableColumn id="3" xr3:uid="{A8B076C1-E89C-4902-A872-8A6C39A7FBB0}" name="Column3" dataDxfId="39">
      <calculatedColumnFormula>Table617[[#This Row],[Column2]]+1</calculatedColumnFormula>
    </tableColumn>
    <tableColumn id="4" xr3:uid="{C3111166-005C-49D1-B2FB-25BB3F804328}" name="Column4"/>
    <tableColumn id="5" xr3:uid="{88B3C9E1-F778-459F-A1A3-3DC0E9A7B209}" name="Column5"/>
    <tableColumn id="6" xr3:uid="{D954A493-DF59-492C-9948-364A9D5B9719}" name="Column6"/>
    <tableColumn id="7" xr3:uid="{09E826B6-3603-458E-9B3D-556AEA430B63}" name="Column7"/>
    <tableColumn id="8" xr3:uid="{906E46D4-AEA7-4042-A228-6D0D53BE043D}" name="Column8"/>
    <tableColumn id="9" xr3:uid="{F45FBBB3-F6A7-4FFA-AEBF-CC93CB06CB58}" name="Column9"/>
    <tableColumn id="10" xr3:uid="{48AF6E33-5DEC-4F70-A66F-E20148DAF3D9}" name="Column10"/>
    <tableColumn id="11" xr3:uid="{7AF72C11-E6E4-47F2-A01A-3A67774AFA50}" name="Column11"/>
    <tableColumn id="12" xr3:uid="{D79013C3-A5EE-489E-99D2-5C17AC987A34}" name="Column1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FAD3A7B-D02F-4EF6-A36C-292F098AF1B1}" name="Table21" displayName="Table21" ref="D227:E228" headerRowCount="0" totalsRowShown="0">
  <tableColumns count="2">
    <tableColumn id="1" xr3:uid="{8FA10702-C0BF-40F9-997D-E823DF2DC20E}" name="IRR" headerRowDxfId="38"/>
    <tableColumn id="2" xr3:uid="{4928AFB8-BF85-400E-A8D3-57018C259C72}" name="15.13%" headerRowDxfId="37" dataDxfId="36">
      <calculatedColumnFormula>-(E226-E224)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7638ED9-267E-4543-B5CE-46A10A17186B}" name="Table625" displayName="Table625" ref="A250:L256" headerRowCount="0" totalsRowShown="0">
  <tableColumns count="12">
    <tableColumn id="1" xr3:uid="{0F02F566-11E5-4554-9312-47A3016C456C}" name="Column1" dataDxfId="35"/>
    <tableColumn id="2" xr3:uid="{1268192C-F774-419F-A899-D812826FD2CC}" name="Column2"/>
    <tableColumn id="3" xr3:uid="{38696009-6BA9-4CBA-9502-1F44FE0D4BB9}" name="Column3" dataDxfId="34">
      <calculatedColumnFormula>Table625[[#This Row],[Column2]]+1</calculatedColumnFormula>
    </tableColumn>
    <tableColumn id="4" xr3:uid="{569A58AD-31CD-474D-9F3B-F15F6D9AE821}" name="Column4"/>
    <tableColumn id="5" xr3:uid="{9030573A-3146-4B4B-858F-182CD03CA843}" name="Column5"/>
    <tableColumn id="6" xr3:uid="{5923F744-51CA-4C02-9C45-BE1E13A829F4}" name="Column6"/>
    <tableColumn id="7" xr3:uid="{53A0500B-393A-46ED-B39A-CE8B51FC1DE4}" name="Column7"/>
    <tableColumn id="8" xr3:uid="{A1770F71-3462-4AA5-AF77-E9664AA82A7F}" name="Column8"/>
    <tableColumn id="9" xr3:uid="{660B5B4A-3058-4FD2-BF41-C0549E232295}" name="Column9"/>
    <tableColumn id="10" xr3:uid="{8C6845E2-7491-4A63-90BF-6F42B20F98D9}" name="Column10"/>
    <tableColumn id="11" xr3:uid="{2BB38982-DECC-429B-A13F-276990160BFB}" name="Column11"/>
    <tableColumn id="12" xr3:uid="{37DB3C74-29F8-42B6-A803-817F53A1B03E}" name="Column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DA88B85-FED2-46A2-B10A-F242D0D5FD8D}" name="Table25" displayName="Table25" ref="A108:L112" headerRowCount="0" totalsRowShown="0">
  <tableColumns count="12">
    <tableColumn id="1" xr3:uid="{D5E98228-65D5-461F-9B81-C6924D69C016}" name="Column1" dataDxfId="33"/>
    <tableColumn id="2" xr3:uid="{78745C60-579F-4764-BB21-E52139247CA8}" name="Column2"/>
    <tableColumn id="3" xr3:uid="{8C960F5E-6F41-469B-AAF6-9C142EE97991}" name="Column3"/>
    <tableColumn id="4" xr3:uid="{DAAB832D-8FF1-411F-9215-B31184BB056E}" name="Column4"/>
    <tableColumn id="5" xr3:uid="{6F944155-062B-4F22-9C84-4473B7B5FD1A}" name="Column5"/>
    <tableColumn id="6" xr3:uid="{A1DD0910-6044-44A5-9D82-54D42BD8B41E}" name="Column6"/>
    <tableColumn id="7" xr3:uid="{7764195D-B99B-41C2-BDF1-3603359DB5F2}" name="Column7"/>
    <tableColumn id="8" xr3:uid="{3B8E2E0C-687B-4B54-AD78-9B55C891F6C6}" name="Column8"/>
    <tableColumn id="9" xr3:uid="{C66C8146-58A5-42B6-B3CB-FEA4C0D5503D}" name="Column9"/>
    <tableColumn id="10" xr3:uid="{968957F2-F845-4D55-9C5B-7645F518458A}" name="Column10"/>
    <tableColumn id="11" xr3:uid="{BF22EC23-2C52-45BE-A8F5-2F2E17D66C4A}" name="Column11"/>
    <tableColumn id="12" xr3:uid="{7C46CBF1-D4B9-4BCF-A540-62413B295502}" name="Column1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26D6268-C40F-4839-B3E0-D476D9B4E9D9}" name="Table26" displayName="Table26" ref="A145:L149" headerRowCount="0" totalsRowShown="0" headerRowDxfId="32">
  <tableColumns count="12">
    <tableColumn id="1" xr3:uid="{B3DE958B-D5B5-4D8F-AEEB-98A6442A1767}" name="Column1" headerRowDxfId="31" dataDxfId="30"/>
    <tableColumn id="2" xr3:uid="{C0349564-4B79-4441-AD68-0D24F6F9BFBD}" name="Column2" headerRowDxfId="29"/>
    <tableColumn id="3" xr3:uid="{F3F02402-A3DE-4F06-B89A-51D80221F6A3}" name="Column3" headerRowDxfId="28"/>
    <tableColumn id="4" xr3:uid="{F2E3C8CC-7EAA-4267-A5BC-8564922EE4D8}" name="Column4" headerRowDxfId="27"/>
    <tableColumn id="5" xr3:uid="{9D19CE99-12C8-41BF-A590-58CE11E7CA2E}" name="Column5" headerRowDxfId="26"/>
    <tableColumn id="6" xr3:uid="{D7D981CC-3E38-4680-A605-7781220AC989}" name="Column6" headerRowDxfId="25"/>
    <tableColumn id="7" xr3:uid="{549241B5-1DBA-494B-BAE1-83AEBD5D7D9F}" name="Column7" headerRowDxfId="24"/>
    <tableColumn id="8" xr3:uid="{FF94ABD9-5ECB-4B28-A751-30B8B8F5BAB3}" name="Column8" headerRowDxfId="23"/>
    <tableColumn id="9" xr3:uid="{582354AD-F429-43BE-B8C6-D9E5ED3FB1B8}" name="Column9" headerRowDxfId="22"/>
    <tableColumn id="10" xr3:uid="{745CFD82-5C69-47F2-B676-862F5A04DC1F}" name="Column10" headerRowDxfId="21"/>
    <tableColumn id="11" xr3:uid="{7271A58F-0AEC-4B00-86BA-6719592FCB87}" name="Column11" headerRowDxfId="20"/>
    <tableColumn id="12" xr3:uid="{02E995A1-04A8-4F51-A284-FA984CA6C2CD}" name="Column12" headerRowDxfId="19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0AB5114-43EC-4FF4-AF14-17DFB5A2A3B0}" name="Table28" displayName="Table28" ref="A182:L186" headerRowCount="0" totalsRowShown="0">
  <tableColumns count="12">
    <tableColumn id="1" xr3:uid="{A09CE23B-E5CD-4D5E-BABF-1234B4E0A507}" name="Column1" dataDxfId="18"/>
    <tableColumn id="2" xr3:uid="{CED5987B-018D-45F2-8E89-9CE46AAECC4B}" name="Column2"/>
    <tableColumn id="3" xr3:uid="{DC70416E-F026-4875-B9E0-C60021133957}" name="Column3"/>
    <tableColumn id="4" xr3:uid="{21705678-8025-41D0-B32C-FE918797C923}" name="Column4"/>
    <tableColumn id="5" xr3:uid="{85A12278-2195-4CA9-A022-5D31B55553DE}" name="Column5"/>
    <tableColumn id="6" xr3:uid="{A8C7059E-A40D-4CC6-B57D-AB90FCB1BB8C}" name="Column6"/>
    <tableColumn id="7" xr3:uid="{95FDD07D-B7F0-42A1-840B-121116AD8EA0}" name="Column7"/>
    <tableColumn id="8" xr3:uid="{0FAB539A-4281-4FEF-98F3-263F211F00AB}" name="Column8"/>
    <tableColumn id="9" xr3:uid="{1B67FBD6-7BFD-4F4A-A5DB-0A312396A7CF}" name="Column9"/>
    <tableColumn id="10" xr3:uid="{7C232DEC-43C9-4A41-9F36-1FDD5B948958}" name="Column10"/>
    <tableColumn id="11" xr3:uid="{D9BD182B-4951-492B-838F-45DDCCA47BE8}" name="Column11"/>
    <tableColumn id="12" xr3:uid="{D2E06F2B-7945-4221-BB17-71D0146A1EC4}" name="Column1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E56803-815D-4E88-8BCC-6496AB39B370}" name="Table424" displayName="Table424" ref="A34:O45" headerRowCount="0" totalsRowShown="0">
  <tableColumns count="15">
    <tableColumn id="1" xr3:uid="{AC5D15DD-E127-4F0F-AAA0-6681E98649CA}" name="Column1" dataDxfId="17" totalsRowDxfId="16">
      <calculatedColumnFormula>A29+1</calculatedColumnFormula>
    </tableColumn>
    <tableColumn id="2" xr3:uid="{F0D3CB7E-0A16-40DC-B94C-B13B0B504290}" name="Column2">
      <calculatedColumnFormula>B29*(1+0.035)</calculatedColumnFormula>
    </tableColumn>
    <tableColumn id="3" xr3:uid="{15334221-2E08-43CB-B380-1BB62A7F66B7}" name="Column3">
      <calculatedColumnFormula>C29*(1+0.0275)</calculatedColumnFormula>
    </tableColumn>
    <tableColumn id="4" xr3:uid="{29499407-4D22-447A-B17A-7EA0707FE568}" name="Column4">
      <calculatedColumnFormula>B30*C30</calculatedColumnFormula>
    </tableColumn>
    <tableColumn id="5" xr3:uid="{8AD93211-F918-465C-A665-9553E647B4F0}" name="Column5">
      <calculatedColumnFormula>E29*(1+0.0425)</calculatedColumnFormula>
    </tableColumn>
    <tableColumn id="6" xr3:uid="{9CB08C70-B852-4D76-9B9D-ED7A44E3D5A7}" name="Column6">
      <calculatedColumnFormula>E30*C30</calculatedColumnFormula>
    </tableColumn>
    <tableColumn id="7" xr3:uid="{8B6D2CAF-8271-413C-991D-9D8830727970}" name="Column7">
      <calculatedColumnFormula>G29*(1+0.0325)</calculatedColumnFormula>
    </tableColumn>
    <tableColumn id="8" xr3:uid="{975E7EF6-8302-4A1F-BA2B-82EDA1E816FC}" name="Column8">
      <calculatedColumnFormula>F30+G30</calculatedColumnFormula>
    </tableColumn>
    <tableColumn id="9" xr3:uid="{D24AC307-1899-46E5-B519-62F53FACD3CA}" name="Column9" headerRowDxfId="15">
      <calculatedColumnFormula>D30-H30</calculatedColumnFormula>
    </tableColumn>
    <tableColumn id="10" xr3:uid="{07F551B5-B550-49E7-971F-DBDCF39CE630}" name="Column10" headerRowDxfId="14"/>
    <tableColumn id="11" xr3:uid="{03A5B645-ECF6-4B09-9FF1-D5153915139D}" name="Column11" headerRowDxfId="13"/>
    <tableColumn id="12" xr3:uid="{0584E787-0BE6-494E-9976-1D1C0AE51089}" name="Column12" headerRowDxfId="12"/>
    <tableColumn id="13" xr3:uid="{0AD83E12-3452-49D1-AF79-EEEE27473322}" name="Column13" headerRowDxfId="11"/>
    <tableColumn id="14" xr3:uid="{FA34B7F7-E30B-4F27-9105-8E0A292118F3}" name="Column14" dataDxfId="10" totalsRowDxfId="9">
      <calculatedColumnFormula array="1">+Depreciation</calculatedColumnFormula>
    </tableColumn>
    <tableColumn id="15" xr3:uid="{5E511E26-4EFC-4351-9331-99B90C3BDF50}" name="Column15" headerRowDxfId="8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DC47F25-54BF-433B-8AF6-B85A2B6FB0BC}" name="Table27" displayName="Table27" ref="A259:C260" headerRowCount="0" totalsRowShown="0" headerRowDxfId="7" dataDxfId="6">
  <tableColumns count="3">
    <tableColumn id="1" xr3:uid="{0F606A41-815E-4B41-987C-0F6780F6180C}" name="Column1" headerRowDxfId="5" dataDxfId="4"/>
    <tableColumn id="2" xr3:uid="{5E5AD421-1DD9-4634-B1C9-6D0819E87B4F}" name="Column2" headerRowDxfId="3" dataDxfId="2">
      <calculatedColumnFormula>NPV(F63,C256:L256)+B256</calculatedColumnFormula>
    </tableColumn>
    <tableColumn id="3" xr3:uid="{0D7891DB-F60D-41ED-9388-B471F2598003}" name="Column3" headerRowDxfId="1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27C6D8-69C7-4800-93C6-0B8168D069CE}" name="Table4" displayName="Table4" ref="A80:O91" headerRowCount="0" totalsRowShown="0">
  <tableColumns count="15">
    <tableColumn id="1" xr3:uid="{BA4C607C-4C59-4B3C-BA35-24E3C42E804E}" name="Column1" dataDxfId="142" totalsRowDxfId="141">
      <calculatedColumnFormula>A79+1</calculatedColumnFormula>
    </tableColumn>
    <tableColumn id="2" xr3:uid="{29E9DDD4-F7B7-48E0-8FB7-5374313E6070}" name="Column2">
      <calculatedColumnFormula>B79*(1+0.035)</calculatedColumnFormula>
    </tableColumn>
    <tableColumn id="3" xr3:uid="{B1AFCEE5-F0C6-43B8-AC1A-001E777A3779}" name="Column3">
      <calculatedColumnFormula>C79*(1+0.0275)</calculatedColumnFormula>
    </tableColumn>
    <tableColumn id="4" xr3:uid="{2C6B20F8-102F-4CD6-A86A-1E6501753A03}" name="Column4">
      <calculatedColumnFormula>B80*C80</calculatedColumnFormula>
    </tableColumn>
    <tableColumn id="5" xr3:uid="{715B9D8D-4F03-4016-9134-FA239CD1B418}" name="Column5">
      <calculatedColumnFormula>E79*(1+0.0425)</calculatedColumnFormula>
    </tableColumn>
    <tableColumn id="6" xr3:uid="{11C306E5-B86B-48DC-9966-73A0E88BF3BA}" name="Column6">
      <calculatedColumnFormula>E80*C80</calculatedColumnFormula>
    </tableColumn>
    <tableColumn id="7" xr3:uid="{DFF07E23-D653-4007-9CCD-9A3E5C4DD274}" name="Column7">
      <calculatedColumnFormula>G79*(1+0.0325)</calculatedColumnFormula>
    </tableColumn>
    <tableColumn id="8" xr3:uid="{BA6D70F6-73E2-4746-A55F-AD8751DC9695}" name="Column8">
      <calculatedColumnFormula>F80+G80</calculatedColumnFormula>
    </tableColumn>
    <tableColumn id="9" xr3:uid="{5B4F85F7-D601-4581-8FE9-1387ED0D2F3B}" name="Column9" headerRowDxfId="140">
      <calculatedColumnFormula>D80-H80</calculatedColumnFormula>
    </tableColumn>
    <tableColumn id="10" xr3:uid="{B805EF08-A8F6-41E9-9624-CE2BF16F62B3}" name="Column10" headerRowDxfId="139"/>
    <tableColumn id="11" xr3:uid="{86FB9EF4-EB0D-4243-B082-08A2715F7213}" name="Column11" headerRowDxfId="138"/>
    <tableColumn id="12" xr3:uid="{82970934-ED5D-4336-A7E7-DA32C7531865}" name="Column12" headerRowDxfId="137"/>
    <tableColumn id="13" xr3:uid="{4BD1A63B-B837-4EDB-B83D-3BF7664B396B}" name="Column13" headerRowDxfId="136"/>
    <tableColumn id="14" xr3:uid="{EDDBD8CF-967B-425D-A523-0C0182BA747D}" name="Column14" dataDxfId="135" totalsRowDxfId="134">
      <calculatedColumnFormula array="1">+Depreciation</calculatedColumnFormula>
    </tableColumn>
    <tableColumn id="15" xr3:uid="{3C5374BE-666F-46CC-8DAA-60E8B8ED3667}" name="Column15" headerRowDxfId="1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C7A0EC-0D40-4648-B47D-87A269841CB9}" name="Table1" displayName="Table1" ref="A49:B52" headerRowCount="0" totalsRowShown="0">
  <tableColumns count="2">
    <tableColumn id="1" xr3:uid="{57A18F73-5196-4988-B1FD-632640789159}" name="Column1" dataDxfId="132"/>
    <tableColumn id="2" xr3:uid="{D895ADE5-E116-4A67-B85D-712AA8DF124C}" name="Column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3C1960-3C59-4634-AC79-EB43C8C73142}" name="Table5" displayName="Table5" ref="G11:J28" headerRowCount="0" totalsRowShown="0">
  <tableColumns count="4">
    <tableColumn id="1" xr3:uid="{EFC0BC48-56FF-4FFC-819A-194C80DD23E5}" name="Column1" dataDxfId="131"/>
    <tableColumn id="2" xr3:uid="{F88EC6AB-DBCF-4AEC-8110-78438C39C1BA}" name="Column2"/>
    <tableColumn id="3" xr3:uid="{4A7258EF-0FB6-4FA8-9739-2743C39BB097}" name="Column3"/>
    <tableColumn id="4" xr3:uid="{DAB9BFD8-6A54-46CB-8880-0D081A013799}" name="Column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2CBD62-37ED-4F7D-BA03-2F675B67666D}" name="Table6" displayName="Table6" ref="A94:L100" headerRowCount="0" totalsRowShown="0">
  <tableColumns count="12">
    <tableColumn id="1" xr3:uid="{A251535F-F84E-4EA7-AB3A-E7C8EC980A0E}" name="Column1" dataDxfId="130"/>
    <tableColumn id="2" xr3:uid="{14BDB336-6D9F-4E84-8DC4-01C7ABD0D159}" name="Column2"/>
    <tableColumn id="3" xr3:uid="{EF94631E-9880-44C5-8E86-4FA6825866DB}" name="Column3" dataDxfId="129">
      <calculatedColumnFormula>Table6[[#This Row],[Column2]]+1</calculatedColumnFormula>
    </tableColumn>
    <tableColumn id="4" xr3:uid="{03C562DA-FD17-41E1-8246-FEEE06979AED}" name="Column4"/>
    <tableColumn id="5" xr3:uid="{D4F64C28-18C5-4CBA-A0EC-378B94640532}" name="Column5"/>
    <tableColumn id="6" xr3:uid="{D21EECD1-4F0C-4D58-B18E-581A6A1DFFF7}" name="Column6"/>
    <tableColumn id="7" xr3:uid="{45828810-230B-4664-B220-ED550DA33E1E}" name="Column7"/>
    <tableColumn id="8" xr3:uid="{0A22B970-BB8C-44B1-8D22-C576AA5A9560}" name="Column8"/>
    <tableColumn id="9" xr3:uid="{C809663F-513A-4274-87F5-EB8A9C331433}" name="Column9"/>
    <tableColumn id="10" xr3:uid="{2C3EC3BA-A508-4AAA-A16D-229F1EB7DFF0}" name="Column10"/>
    <tableColumn id="11" xr3:uid="{266FC194-3160-4635-881F-E806D51D9F98}" name="Column11"/>
    <tableColumn id="12" xr3:uid="{DFC0DFF8-7EDA-4E26-8B2D-242EA8DDF88F}" name="Column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895A04-1451-4C52-ACEE-61003BBEC091}" name="Table7" displayName="Table7" ref="A70:B73" headerRowCount="0" totalsRowShown="0">
  <tableColumns count="2">
    <tableColumn id="1" xr3:uid="{17E3FF5B-76AC-4DB0-9DBC-AFFDE9C41E1A}" name="Method" dataDxfId="128"/>
    <tableColumn id="2" xr3:uid="{5925AA7E-A25F-4807-9EEA-CC8FC5DBC6D8}" name="Straight Line" headerRowDxfId="12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A8D50C7-BD31-4B2F-A4C7-D9EADBBB9DFB}" name="Table8" displayName="Table8" ref="A118:O128" headerRowCount="0" totalsRowShown="0" headerRowBorderDxfId="126" tableBorderDxfId="125">
  <tableColumns count="15">
    <tableColumn id="1" xr3:uid="{25DE9E2D-3DAB-40BB-B55F-1F6BDDC351F1}" name="Year" headerRowDxfId="124" dataDxfId="123">
      <calculatedColumnFormula>A117+1</calculatedColumnFormula>
    </tableColumn>
    <tableColumn id="2" xr3:uid="{AB3C84B7-65D7-4561-9A8B-55525E90BD90}" name="Price" headerRowDxfId="122" dataDxfId="121">
      <calculatedColumnFormula>B117*(1+0.035)</calculatedColumnFormula>
    </tableColumn>
    <tableColumn id="3" xr3:uid="{8AFABF38-C96F-4009-8AF9-D3E1262CE265}" name="Items sold" headerRowDxfId="120">
      <calculatedColumnFormula>C117*(1+0.0275)</calculatedColumnFormula>
    </tableColumn>
    <tableColumn id="4" xr3:uid="{A0AA912E-AD81-4FFC-80C4-FDC0E34B08A5}" name="Revenue" headerRowDxfId="119">
      <calculatedColumnFormula>B118*C118</calculatedColumnFormula>
    </tableColumn>
    <tableColumn id="5" xr3:uid="{93F7748C-D2B6-4F7B-93B3-B3C492A536FB}" name="VC per unit" headerRowDxfId="118" dataDxfId="117">
      <calculatedColumnFormula>E117*(1.0425)</calculatedColumnFormula>
    </tableColumn>
    <tableColumn id="6" xr3:uid="{56D0E2F0-5139-4FF9-8590-E5A27AFDDA24}" name="Total VC" headerRowDxfId="116" dataDxfId="115">
      <calculatedColumnFormula>E118*C118</calculatedColumnFormula>
    </tableColumn>
    <tableColumn id="7" xr3:uid="{85456C69-5432-456E-A0E9-0B685292B1FE}" name="Total FC" headerRowDxfId="114">
      <calculatedColumnFormula>G117*1.0325</calculatedColumnFormula>
    </tableColumn>
    <tableColumn id="8" xr3:uid="{BD319D38-BDFB-4100-88FF-BCF1DD5EFD28}" name="Total cost" headerRowDxfId="113">
      <calculatedColumnFormula>F118+G118</calculatedColumnFormula>
    </tableColumn>
    <tableColumn id="9" xr3:uid="{3B7C4C20-25FA-49F9-9852-43BB13F84E1F}" name="Gross Profit" headerRowDxfId="112">
      <calculatedColumnFormula>D118-H118</calculatedColumnFormula>
    </tableColumn>
    <tableColumn id="10" xr3:uid="{6E344648-B75E-4697-B98D-58812CA27994}" name="(-) Depreciation" headerRowDxfId="111"/>
    <tableColumn id="11" xr3:uid="{D3C8706D-DEFE-47BB-93E4-BA8714CDE080}" name="EBIT" headerRowDxfId="110">
      <calculatedColumnFormula>I118-J118</calculatedColumnFormula>
    </tableColumn>
    <tableColumn id="12" xr3:uid="{FA4327F3-9445-408C-9E65-B9556265D38B}" name="Taxable income" headerRowDxfId="109">
      <calculatedColumnFormula>K118</calculatedColumnFormula>
    </tableColumn>
    <tableColumn id="13" xr3:uid="{4FE82F69-D18E-434F-9D4C-3D1749D188F4}" name="NOPAT" headerRowDxfId="108">
      <calculatedColumnFormula>L118*(1-21%)</calculatedColumnFormula>
    </tableColumn>
    <tableColumn id="14" xr3:uid="{036CDF27-7007-4B98-A357-5FFAFBF153D6}" name="(+) Depreciation" headerRowDxfId="107">
      <calculatedColumnFormula>J118</calculatedColumnFormula>
    </tableColumn>
    <tableColumn id="15" xr3:uid="{D64EA9BD-74E7-4948-997E-DDA8FDC4E210}" name="OCF" headerRowDxfId="106">
      <calculatedColumnFormula>M118+N118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58AB739-7CCA-49DB-9CC3-D2821EA149C6}" name="Table11" displayName="Table11" ref="A154:O165" headerRowCount="0" totalsRowShown="0" headerRowBorderDxfId="105" tableBorderDxfId="104">
  <tableColumns count="15">
    <tableColumn id="1" xr3:uid="{F1E808D2-B41F-406B-8F4A-0536E5A3069A}" name="Column1" headerRowDxfId="103">
      <calculatedColumnFormula>A154+1</calculatedColumnFormula>
    </tableColumn>
    <tableColumn id="2" xr3:uid="{3653B05C-77D1-499A-B5C8-282CBCC0E4FC}" name="Column2" headerRowDxfId="102" dataDxfId="101">
      <calculatedColumnFormula>B154*(1.035)</calculatedColumnFormula>
    </tableColumn>
    <tableColumn id="3" xr3:uid="{24A3B546-4B0F-438E-AE08-7DD6906D12B7}" name="Column3" headerRowDxfId="100">
      <calculatedColumnFormula>C154*(1+0.0275)</calculatedColumnFormula>
    </tableColumn>
    <tableColumn id="4" xr3:uid="{4C3DEA0D-5C6E-41A3-9047-6E66F92F5353}" name="Column4" headerRowDxfId="99">
      <calculatedColumnFormula>B155*C155</calculatedColumnFormula>
    </tableColumn>
    <tableColumn id="5" xr3:uid="{CA8B7ECF-58C8-4346-8B40-3BA30C111569}" name="Column5" headerRowDxfId="98" dataDxfId="97">
      <calculatedColumnFormula>E154*(1.0425)</calculatedColumnFormula>
    </tableColumn>
    <tableColumn id="6" xr3:uid="{0DAB0EE2-5DBC-4A5B-BB75-612B48BD62B3}" name="Column6" headerRowDxfId="96" dataDxfId="95">
      <calculatedColumnFormula>E155*C155</calculatedColumnFormula>
    </tableColumn>
    <tableColumn id="7" xr3:uid="{3EAE0B30-B0D6-4192-BF92-791B3CB43712}" name="Column7" headerRowDxfId="94">
      <calculatedColumnFormula>G154*1.0325</calculatedColumnFormula>
    </tableColumn>
    <tableColumn id="8" xr3:uid="{FC1C54F2-8CD3-47BE-BE05-0CA6605AAAE0}" name="Column8" headerRowDxfId="93">
      <calculatedColumnFormula>F155+G155</calculatedColumnFormula>
    </tableColumn>
    <tableColumn id="9" xr3:uid="{A0A6D50B-F1EC-4F61-860E-21D7E665F4CB}" name="Column9" headerRowDxfId="92">
      <calculatedColumnFormula>D155-H155</calculatedColumnFormula>
    </tableColumn>
    <tableColumn id="10" xr3:uid="{ED9E1D14-6B35-4DF8-BE46-A487CDA915CB}" name="Column10" headerRowDxfId="91" dataDxfId="90">
      <calculatedColumnFormula>J118</calculatedColumnFormula>
    </tableColumn>
    <tableColumn id="11" xr3:uid="{1B3E1A48-F117-4849-8194-D991B4D5BD24}" name="Column11" headerRowDxfId="89">
      <calculatedColumnFormula>I155-J155</calculatedColumnFormula>
    </tableColumn>
    <tableColumn id="12" xr3:uid="{0C673467-4394-465B-B269-E5643DFDB233}" name="Column12" headerRowDxfId="88">
      <calculatedColumnFormula>K155</calculatedColumnFormula>
    </tableColumn>
    <tableColumn id="13" xr3:uid="{2B46F94C-EB61-4446-9785-C5B741A4821A}" name="Column13" headerRowDxfId="87">
      <calculatedColumnFormula>K155*(1-21%)</calculatedColumnFormula>
    </tableColumn>
    <tableColumn id="14" xr3:uid="{B8C16568-DFE5-49CE-BD35-5D4367A26D7D}" name="Column14" headerRowDxfId="86">
      <calculatedColumnFormula>J155</calculatedColumnFormula>
    </tableColumn>
    <tableColumn id="15" xr3:uid="{39017A04-B7AB-4865-AD71-84A0C53BAB08}" name="Column15" headerRowDxfId="85" dataDxfId="84">
      <calculatedColumnFormula>M155+N155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0FA2-2152-4C83-9176-78897ABBC3F1}">
  <dimension ref="A1:P260"/>
  <sheetViews>
    <sheetView tabSelected="1" zoomScale="98" zoomScaleNormal="98" workbookViewId="0">
      <selection activeCell="O36" sqref="O36"/>
    </sheetView>
  </sheetViews>
  <sheetFormatPr defaultRowHeight="14.6" x14ac:dyDescent="0.4"/>
  <cols>
    <col min="1" max="1" width="38.84375" bestFit="1" customWidth="1"/>
    <col min="2" max="2" width="20" bestFit="1" customWidth="1"/>
    <col min="3" max="4" width="14" bestFit="1" customWidth="1"/>
    <col min="5" max="5" width="13.15234375" customWidth="1"/>
    <col min="6" max="6" width="14.3046875" bestFit="1" customWidth="1"/>
    <col min="7" max="7" width="10.84375" customWidth="1"/>
    <col min="8" max="8" width="11.84375" customWidth="1"/>
    <col min="9" max="9" width="11.69140625" customWidth="1"/>
    <col min="10" max="10" width="13.69140625" customWidth="1"/>
    <col min="11" max="11" width="11.84375" customWidth="1"/>
    <col min="12" max="12" width="14" customWidth="1"/>
    <col min="13" max="13" width="12.53515625" customWidth="1"/>
    <col min="14" max="14" width="13.84375" customWidth="1"/>
    <col min="15" max="15" width="11.84375" customWidth="1"/>
    <col min="16" max="16" width="15.3046875" bestFit="1" customWidth="1"/>
    <col min="17" max="17" width="14.15234375" bestFit="1" customWidth="1"/>
    <col min="18" max="18" width="13.69140625" bestFit="1" customWidth="1"/>
  </cols>
  <sheetData>
    <row r="1" spans="1:8" ht="23.6" x14ac:dyDescent="0.65">
      <c r="A1" s="53"/>
      <c r="B1" s="54" t="s">
        <v>75</v>
      </c>
      <c r="C1" s="54" t="s">
        <v>161</v>
      </c>
      <c r="D1" s="54" t="s">
        <v>117</v>
      </c>
      <c r="G1" s="70" t="s">
        <v>150</v>
      </c>
      <c r="H1" s="69"/>
    </row>
    <row r="2" spans="1:8" ht="15.9" x14ac:dyDescent="0.45">
      <c r="A2" s="53" t="s">
        <v>118</v>
      </c>
      <c r="B2" s="55" t="s">
        <v>119</v>
      </c>
      <c r="C2" s="56" t="s">
        <v>120</v>
      </c>
      <c r="D2" s="57" t="s">
        <v>120</v>
      </c>
      <c r="G2" s="68" t="s">
        <v>151</v>
      </c>
      <c r="H2" s="68"/>
    </row>
    <row r="3" spans="1:8" ht="15.9" x14ac:dyDescent="0.45">
      <c r="A3" s="53" t="s">
        <v>121</v>
      </c>
      <c r="B3" s="55" t="s">
        <v>122</v>
      </c>
      <c r="C3" s="56" t="s">
        <v>120</v>
      </c>
      <c r="D3" s="57" t="s">
        <v>120</v>
      </c>
      <c r="G3" s="68" t="s">
        <v>152</v>
      </c>
      <c r="H3" s="68"/>
    </row>
    <row r="4" spans="1:8" ht="15.9" x14ac:dyDescent="0.45">
      <c r="A4" s="53" t="s">
        <v>123</v>
      </c>
      <c r="B4" s="55" t="s">
        <v>124</v>
      </c>
      <c r="C4" s="56" t="s">
        <v>120</v>
      </c>
      <c r="D4" s="57" t="s">
        <v>120</v>
      </c>
      <c r="G4" s="68" t="s">
        <v>153</v>
      </c>
      <c r="H4" s="68"/>
    </row>
    <row r="5" spans="1:8" ht="15.9" x14ac:dyDescent="0.45">
      <c r="A5" s="53" t="s">
        <v>125</v>
      </c>
      <c r="B5" s="55" t="s">
        <v>126</v>
      </c>
      <c r="C5" s="56" t="s">
        <v>120</v>
      </c>
      <c r="D5" s="57" t="s">
        <v>120</v>
      </c>
      <c r="G5" s="68" t="s">
        <v>154</v>
      </c>
      <c r="H5" s="68"/>
    </row>
    <row r="6" spans="1:8" ht="15.9" x14ac:dyDescent="0.45">
      <c r="A6" s="53" t="s">
        <v>127</v>
      </c>
      <c r="B6" s="58">
        <v>18.05</v>
      </c>
      <c r="C6" s="56" t="s">
        <v>120</v>
      </c>
      <c r="D6" s="57" t="s">
        <v>120</v>
      </c>
    </row>
    <row r="7" spans="1:8" ht="15.9" x14ac:dyDescent="0.45">
      <c r="A7" s="53" t="s">
        <v>128</v>
      </c>
      <c r="B7" s="59">
        <v>3.5000000000000003E-2</v>
      </c>
      <c r="C7" s="56" t="s">
        <v>120</v>
      </c>
      <c r="D7" s="57" t="s">
        <v>120</v>
      </c>
    </row>
    <row r="8" spans="1:8" ht="15.9" x14ac:dyDescent="0.45">
      <c r="A8" s="53" t="s">
        <v>129</v>
      </c>
      <c r="B8" s="55">
        <v>455000</v>
      </c>
      <c r="C8" s="56">
        <v>490000</v>
      </c>
      <c r="D8" s="57">
        <v>375000</v>
      </c>
    </row>
    <row r="9" spans="1:8" ht="15.9" x14ac:dyDescent="0.45">
      <c r="A9" s="53" t="s">
        <v>130</v>
      </c>
      <c r="B9" s="60">
        <v>2.75E-2</v>
      </c>
      <c r="C9" s="56" t="s">
        <v>120</v>
      </c>
      <c r="D9" s="57" t="s">
        <v>120</v>
      </c>
      <c r="G9" s="75" t="s">
        <v>12</v>
      </c>
    </row>
    <row r="10" spans="1:8" ht="15.9" x14ac:dyDescent="0.45">
      <c r="A10" s="53" t="s">
        <v>131</v>
      </c>
      <c r="B10" s="58">
        <v>5.75</v>
      </c>
      <c r="C10" s="61">
        <v>4.9000000000000004</v>
      </c>
      <c r="D10" s="62">
        <v>6.1</v>
      </c>
    </row>
    <row r="11" spans="1:8" ht="15.9" x14ac:dyDescent="0.45">
      <c r="A11" s="53" t="s">
        <v>132</v>
      </c>
      <c r="B11" s="60">
        <v>4.2500000000000003E-2</v>
      </c>
      <c r="C11" s="56" t="s">
        <v>120</v>
      </c>
      <c r="D11" s="57" t="s">
        <v>120</v>
      </c>
      <c r="G11" s="10" t="s">
        <v>15</v>
      </c>
      <c r="H11" t="s">
        <v>16</v>
      </c>
    </row>
    <row r="12" spans="1:8" ht="15.9" x14ac:dyDescent="0.45">
      <c r="A12" s="53" t="s">
        <v>27</v>
      </c>
      <c r="B12" s="55">
        <v>3550000</v>
      </c>
      <c r="C12" s="64">
        <v>3275000</v>
      </c>
      <c r="D12" s="65">
        <v>4100000</v>
      </c>
      <c r="G12" s="10" t="s">
        <v>19</v>
      </c>
      <c r="H12" t="s">
        <v>20</v>
      </c>
    </row>
    <row r="13" spans="1:8" ht="15.9" x14ac:dyDescent="0.45">
      <c r="A13" s="53" t="s">
        <v>133</v>
      </c>
      <c r="B13" s="60">
        <v>3.2500000000000001E-2</v>
      </c>
      <c r="C13" s="56" t="s">
        <v>120</v>
      </c>
      <c r="D13" s="57" t="s">
        <v>120</v>
      </c>
      <c r="G13" s="10" t="s">
        <v>22</v>
      </c>
      <c r="H13" t="s">
        <v>23</v>
      </c>
    </row>
    <row r="14" spans="1:8" ht="15.9" x14ac:dyDescent="0.45">
      <c r="A14" s="53" t="s">
        <v>134</v>
      </c>
      <c r="B14" s="55" t="s">
        <v>135</v>
      </c>
      <c r="C14" s="56" t="s">
        <v>120</v>
      </c>
      <c r="D14" s="57" t="s">
        <v>120</v>
      </c>
      <c r="G14" s="10" t="s">
        <v>26</v>
      </c>
      <c r="H14" t="s">
        <v>27</v>
      </c>
    </row>
    <row r="15" spans="1:8" ht="15.9" x14ac:dyDescent="0.45">
      <c r="A15" s="53" t="s">
        <v>136</v>
      </c>
      <c r="B15" s="55" t="s">
        <v>52</v>
      </c>
      <c r="C15" s="56" t="s">
        <v>120</v>
      </c>
      <c r="D15" s="57" t="s">
        <v>120</v>
      </c>
      <c r="G15" s="10" t="s">
        <v>30</v>
      </c>
      <c r="H15" t="s">
        <v>31</v>
      </c>
    </row>
    <row r="16" spans="1:8" ht="15.9" x14ac:dyDescent="0.45">
      <c r="A16" s="53" t="s">
        <v>137</v>
      </c>
      <c r="B16" s="66">
        <v>0.21</v>
      </c>
      <c r="C16" s="56" t="s">
        <v>120</v>
      </c>
      <c r="D16" s="57" t="s">
        <v>120</v>
      </c>
      <c r="G16" s="10" t="s">
        <v>33</v>
      </c>
      <c r="H16" t="s">
        <v>34</v>
      </c>
    </row>
    <row r="17" spans="1:10" ht="15.9" x14ac:dyDescent="0.45">
      <c r="A17" s="53" t="s">
        <v>138</v>
      </c>
      <c r="B17" s="63">
        <v>550000</v>
      </c>
      <c r="C17" s="64">
        <v>475000</v>
      </c>
      <c r="D17" s="65">
        <v>615000</v>
      </c>
      <c r="G17" s="10" t="s">
        <v>36</v>
      </c>
      <c r="H17" t="s">
        <v>37</v>
      </c>
    </row>
    <row r="18" spans="1:10" ht="15.9" x14ac:dyDescent="0.45">
      <c r="A18" s="53" t="s">
        <v>139</v>
      </c>
      <c r="B18" s="63">
        <v>150000</v>
      </c>
      <c r="C18" s="56" t="s">
        <v>120</v>
      </c>
      <c r="D18" s="57" t="s">
        <v>120</v>
      </c>
      <c r="G18" s="10" t="s">
        <v>38</v>
      </c>
      <c r="H18" t="s">
        <v>39</v>
      </c>
      <c r="J18" s="5"/>
    </row>
    <row r="19" spans="1:10" ht="15.9" x14ac:dyDescent="0.45">
      <c r="A19" s="53" t="s">
        <v>140</v>
      </c>
      <c r="B19" s="55">
        <v>9500000</v>
      </c>
      <c r="C19" s="64">
        <v>8575000</v>
      </c>
      <c r="D19" s="65">
        <v>9800000</v>
      </c>
      <c r="G19" s="12" t="s">
        <v>40</v>
      </c>
      <c r="H19" t="s">
        <v>41</v>
      </c>
    </row>
    <row r="20" spans="1:10" ht="15.9" x14ac:dyDescent="0.45">
      <c r="A20" s="53" t="s">
        <v>141</v>
      </c>
      <c r="B20" s="55">
        <v>1500000</v>
      </c>
      <c r="C20" s="56" t="s">
        <v>120</v>
      </c>
      <c r="D20" s="57" t="s">
        <v>120</v>
      </c>
      <c r="G20" s="10" t="s">
        <v>42</v>
      </c>
      <c r="H20" t="s">
        <v>43</v>
      </c>
    </row>
    <row r="21" spans="1:10" ht="15.9" x14ac:dyDescent="0.45">
      <c r="A21" s="53" t="s">
        <v>142</v>
      </c>
      <c r="B21" s="55">
        <v>2000000</v>
      </c>
      <c r="C21" s="56" t="s">
        <v>120</v>
      </c>
      <c r="D21" s="57" t="s">
        <v>120</v>
      </c>
      <c r="G21" s="10" t="s">
        <v>47</v>
      </c>
      <c r="H21" t="s">
        <v>48</v>
      </c>
    </row>
    <row r="22" spans="1:10" ht="15.9" x14ac:dyDescent="0.45">
      <c r="A22" s="53" t="s">
        <v>143</v>
      </c>
      <c r="B22" s="67">
        <v>3.5000000000000003E-2</v>
      </c>
      <c r="C22" s="56" t="s">
        <v>120</v>
      </c>
      <c r="D22" s="57" t="s">
        <v>120</v>
      </c>
      <c r="G22" s="10" t="s">
        <v>49</v>
      </c>
      <c r="H22" t="s">
        <v>50</v>
      </c>
    </row>
    <row r="23" spans="1:10" ht="15.9" x14ac:dyDescent="0.45">
      <c r="A23" s="53" t="s">
        <v>144</v>
      </c>
      <c r="B23" s="55">
        <v>1.05</v>
      </c>
      <c r="C23" s="56" t="s">
        <v>120</v>
      </c>
      <c r="D23" s="57" t="s">
        <v>120</v>
      </c>
      <c r="G23" s="10" t="s">
        <v>55</v>
      </c>
      <c r="H23" t="s">
        <v>56</v>
      </c>
    </row>
    <row r="24" spans="1:10" ht="15.9" x14ac:dyDescent="0.45">
      <c r="A24" s="53" t="s">
        <v>145</v>
      </c>
      <c r="B24" s="66">
        <v>0.11</v>
      </c>
      <c r="C24" s="56" t="s">
        <v>120</v>
      </c>
      <c r="D24" s="57" t="s">
        <v>120</v>
      </c>
      <c r="G24" s="10" t="s">
        <v>60</v>
      </c>
      <c r="H24" t="s">
        <v>61</v>
      </c>
    </row>
    <row r="25" spans="1:10" ht="15.9" x14ac:dyDescent="0.45">
      <c r="A25" s="53" t="s">
        <v>146</v>
      </c>
      <c r="B25" s="66">
        <v>7.0000000000000007E-2</v>
      </c>
      <c r="C25" s="56" t="s">
        <v>120</v>
      </c>
      <c r="D25" s="57" t="s">
        <v>120</v>
      </c>
      <c r="G25" s="10" t="s">
        <v>64</v>
      </c>
      <c r="H25" t="s">
        <v>65</v>
      </c>
    </row>
    <row r="26" spans="1:10" ht="15.9" x14ac:dyDescent="0.45">
      <c r="A26" s="53" t="s">
        <v>147</v>
      </c>
      <c r="B26" s="55" t="s">
        <v>8</v>
      </c>
      <c r="C26" s="56" t="s">
        <v>120</v>
      </c>
      <c r="D26" s="57" t="s">
        <v>120</v>
      </c>
      <c r="G26" s="10" t="s">
        <v>68</v>
      </c>
      <c r="H26" t="s">
        <v>69</v>
      </c>
    </row>
    <row r="27" spans="1:10" ht="15.9" x14ac:dyDescent="0.45">
      <c r="A27" s="53" t="s">
        <v>148</v>
      </c>
      <c r="B27" s="66">
        <v>0.75</v>
      </c>
      <c r="C27" s="56" t="s">
        <v>120</v>
      </c>
      <c r="D27" s="57" t="s">
        <v>120</v>
      </c>
      <c r="G27" s="10" t="s">
        <v>70</v>
      </c>
      <c r="H27" t="s">
        <v>71</v>
      </c>
    </row>
    <row r="28" spans="1:10" ht="15.9" x14ac:dyDescent="0.45">
      <c r="A28" s="53" t="s">
        <v>149</v>
      </c>
      <c r="B28" s="66">
        <v>0.25</v>
      </c>
      <c r="C28" s="56" t="s">
        <v>120</v>
      </c>
      <c r="D28" s="57" t="s">
        <v>120</v>
      </c>
      <c r="G28" s="10" t="s">
        <v>73</v>
      </c>
      <c r="H28" t="s">
        <v>74</v>
      </c>
    </row>
    <row r="32" spans="1:10" ht="23.6" x14ac:dyDescent="0.65">
      <c r="A32" s="35" t="s">
        <v>155</v>
      </c>
      <c r="B32" s="34"/>
      <c r="C32" s="34"/>
      <c r="D32" s="34"/>
      <c r="E32" s="34"/>
      <c r="F32" s="46" t="s">
        <v>156</v>
      </c>
    </row>
    <row r="34" spans="1:16" x14ac:dyDescent="0.4">
      <c r="A34" s="10" t="s">
        <v>77</v>
      </c>
      <c r="B34" s="10" t="s">
        <v>78</v>
      </c>
      <c r="C34" s="10" t="s">
        <v>79</v>
      </c>
      <c r="D34" s="10" t="s">
        <v>80</v>
      </c>
      <c r="E34" s="10" t="s">
        <v>81</v>
      </c>
      <c r="F34" s="10" t="s">
        <v>82</v>
      </c>
      <c r="G34" s="10" t="s">
        <v>83</v>
      </c>
      <c r="H34" s="10" t="s">
        <v>84</v>
      </c>
      <c r="I34" s="11" t="s">
        <v>85</v>
      </c>
      <c r="J34" s="14" t="s">
        <v>86</v>
      </c>
      <c r="K34" s="10" t="s">
        <v>19</v>
      </c>
      <c r="L34" s="11" t="s">
        <v>87</v>
      </c>
      <c r="M34" s="13" t="s">
        <v>15</v>
      </c>
      <c r="N34" s="14" t="s">
        <v>88</v>
      </c>
      <c r="O34" s="10" t="s">
        <v>36</v>
      </c>
    </row>
    <row r="35" spans="1:16" x14ac:dyDescent="0.4">
      <c r="A35" s="25">
        <v>0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spans="1:16" x14ac:dyDescent="0.4">
      <c r="A36" s="10">
        <v>1</v>
      </c>
      <c r="B36">
        <v>18.05</v>
      </c>
      <c r="C36">
        <v>455000</v>
      </c>
      <c r="D36">
        <f t="shared" ref="D36:D45" si="0">B36*C36</f>
        <v>8212750</v>
      </c>
      <c r="E36">
        <v>5.75</v>
      </c>
      <c r="F36">
        <f t="shared" ref="F36:F45" si="1">E36*C36</f>
        <v>2616250</v>
      </c>
      <c r="G36">
        <v>3550000</v>
      </c>
      <c r="H36">
        <f>F36+G36</f>
        <v>6166250</v>
      </c>
      <c r="I36">
        <f>D36-H36</f>
        <v>2046500</v>
      </c>
      <c r="J36">
        <f>$B$73</f>
        <v>1900000</v>
      </c>
      <c r="K36" s="8">
        <f>Table424[[#This Row],[Column9]]-Table424[[#This Row],[Column10]]</f>
        <v>146500</v>
      </c>
      <c r="L36" s="8">
        <f>Table424[[#This Row],[Column11]]</f>
        <v>146500</v>
      </c>
      <c r="M36" s="8">
        <f>Table424[[#This Row],[Column12]]*(1-$E$74)</f>
        <v>115735</v>
      </c>
      <c r="N36">
        <f>Table424[[#This Row],[Column10]]</f>
        <v>1900000</v>
      </c>
      <c r="O36" s="4">
        <f>Table424[[#This Row],[Column13]]+Table424[[#This Row],[Column14]]</f>
        <v>2015735</v>
      </c>
    </row>
    <row r="37" spans="1:16" x14ac:dyDescent="0.4">
      <c r="A37" s="10">
        <f>A36+1</f>
        <v>2</v>
      </c>
      <c r="B37" s="8">
        <f t="shared" ref="B37:B45" si="2">B36*(1+$E$70)</f>
        <v>18.681750000000001</v>
      </c>
      <c r="C37" s="8">
        <f t="shared" ref="C37:C45" si="3">C36*(1+$E$71)</f>
        <v>467512.50000000006</v>
      </c>
      <c r="D37">
        <f t="shared" si="0"/>
        <v>8733951.6468750015</v>
      </c>
      <c r="E37" s="8">
        <f>E36*(1+0.0425)</f>
        <v>5.9943749999999998</v>
      </c>
      <c r="F37" s="8">
        <f t="shared" si="1"/>
        <v>2802445.2421875005</v>
      </c>
      <c r="G37">
        <f>G36*(1+0.0325)</f>
        <v>3665375</v>
      </c>
      <c r="H37">
        <f t="shared" ref="H37:H45" si="4">F37+G37</f>
        <v>6467820.2421875</v>
      </c>
      <c r="I37">
        <f t="shared" ref="I37:I45" si="5">D37-H37</f>
        <v>2266131.4046875015</v>
      </c>
      <c r="J37">
        <f>$B$73</f>
        <v>1900000</v>
      </c>
      <c r="K37" s="8">
        <f>Table424[[#This Row],[Column9]]-Table424[[#This Row],[Column10]]</f>
        <v>366131.40468750149</v>
      </c>
      <c r="L37" s="8">
        <f>Table424[[#This Row],[Column11]]</f>
        <v>366131.40468750149</v>
      </c>
      <c r="M37" s="8">
        <f>Table424[[#This Row],[Column12]]*(1-$E$74)</f>
        <v>289243.8097031262</v>
      </c>
      <c r="N37">
        <f>Table424[[#This Row],[Column10]]</f>
        <v>1900000</v>
      </c>
      <c r="O37" s="4">
        <f>Table424[[#This Row],[Column13]]+Table424[[#This Row],[Column14]]</f>
        <v>2189243.8097031261</v>
      </c>
    </row>
    <row r="38" spans="1:16" x14ac:dyDescent="0.4">
      <c r="A38" s="10">
        <f t="shared" ref="A38:A45" si="6">A37+1</f>
        <v>3</v>
      </c>
      <c r="B38" s="8">
        <f t="shared" si="2"/>
        <v>19.335611249999999</v>
      </c>
      <c r="C38" s="8">
        <f t="shared" si="3"/>
        <v>480369.09375000012</v>
      </c>
      <c r="D38">
        <f t="shared" si="0"/>
        <v>9288230.053264806</v>
      </c>
      <c r="E38" s="8">
        <f t="shared" ref="E38:E45" si="7">E37*(1+0.0425)</f>
        <v>6.2491359374999993</v>
      </c>
      <c r="F38" s="8">
        <f t="shared" si="1"/>
        <v>3001891.767017432</v>
      </c>
      <c r="G38">
        <f t="shared" ref="G38:G45" si="8">G37*(1+0.0325)</f>
        <v>3784499.6875</v>
      </c>
      <c r="H38">
        <f t="shared" si="4"/>
        <v>6786391.4545174316</v>
      </c>
      <c r="I38">
        <f t="shared" si="5"/>
        <v>2501838.5987473745</v>
      </c>
      <c r="J38">
        <f>$B$73</f>
        <v>1900000</v>
      </c>
      <c r="K38" s="8">
        <f>Table424[[#This Row],[Column9]]-Table424[[#This Row],[Column10]]</f>
        <v>601838.59874737449</v>
      </c>
      <c r="L38" s="8">
        <f>Table424[[#This Row],[Column11]]</f>
        <v>601838.59874737449</v>
      </c>
      <c r="M38" s="8">
        <f>Table424[[#This Row],[Column12]]*(1-$E$74)</f>
        <v>475452.49301042588</v>
      </c>
      <c r="N38">
        <f>Table424[[#This Row],[Column10]]</f>
        <v>1900000</v>
      </c>
      <c r="O38" s="4">
        <f>Table424[[#This Row],[Column13]]+Table424[[#This Row],[Column14]]</f>
        <v>2375452.4930104259</v>
      </c>
    </row>
    <row r="39" spans="1:16" x14ac:dyDescent="0.4">
      <c r="A39" s="10">
        <f t="shared" si="6"/>
        <v>4</v>
      </c>
      <c r="B39" s="8">
        <f t="shared" si="2"/>
        <v>20.012357643749997</v>
      </c>
      <c r="C39" s="8">
        <f t="shared" si="3"/>
        <v>493579.24382812518</v>
      </c>
      <c r="D39">
        <f t="shared" si="0"/>
        <v>9877684.3530201241</v>
      </c>
      <c r="E39" s="8">
        <f t="shared" si="7"/>
        <v>6.5147242148437492</v>
      </c>
      <c r="F39" s="8">
        <f t="shared" si="1"/>
        <v>3215532.651711354</v>
      </c>
      <c r="G39">
        <f t="shared" si="8"/>
        <v>3907495.9273437499</v>
      </c>
      <c r="H39">
        <f t="shared" si="4"/>
        <v>7123028.5790551044</v>
      </c>
      <c r="I39">
        <f t="shared" si="5"/>
        <v>2754655.7739650197</v>
      </c>
      <c r="J39">
        <f>$B$73</f>
        <v>1900000</v>
      </c>
      <c r="K39" s="8">
        <f>Table424[[#This Row],[Column9]]-Table424[[#This Row],[Column10]]</f>
        <v>854655.77396501973</v>
      </c>
      <c r="L39" s="8">
        <f>Table424[[#This Row],[Column11]]</f>
        <v>854655.77396501973</v>
      </c>
      <c r="M39" s="8">
        <f>Table424[[#This Row],[Column12]]*(1-$E$74)</f>
        <v>675178.06143236568</v>
      </c>
      <c r="N39">
        <f>Table424[[#This Row],[Column10]]</f>
        <v>1900000</v>
      </c>
      <c r="O39" s="4">
        <f>Table424[[#This Row],[Column13]]+Table424[[#This Row],[Column14]]</f>
        <v>2575178.0614323658</v>
      </c>
    </row>
    <row r="40" spans="1:16" x14ac:dyDescent="0.4">
      <c r="A40" s="10">
        <f t="shared" si="6"/>
        <v>5</v>
      </c>
      <c r="B40" s="8">
        <f t="shared" si="2"/>
        <v>20.712790161281244</v>
      </c>
      <c r="C40" s="8">
        <f t="shared" si="3"/>
        <v>507152.67303339869</v>
      </c>
      <c r="D40">
        <f t="shared" si="0"/>
        <v>10504546.896273665</v>
      </c>
      <c r="E40" s="8">
        <f t="shared" si="7"/>
        <v>6.7915999939746081</v>
      </c>
      <c r="F40" s="8">
        <f t="shared" si="1"/>
        <v>3444378.091117837</v>
      </c>
      <c r="G40">
        <f t="shared" si="8"/>
        <v>4034489.5449824217</v>
      </c>
      <c r="H40">
        <f t="shared" si="4"/>
        <v>7478867.6361002587</v>
      </c>
      <c r="I40">
        <f t="shared" si="5"/>
        <v>3025679.2601734065</v>
      </c>
      <c r="J40">
        <f>$B$73</f>
        <v>1900000</v>
      </c>
      <c r="K40" s="8">
        <f>Table424[[#This Row],[Column9]]-Table424[[#This Row],[Column10]]</f>
        <v>1125679.2601734065</v>
      </c>
      <c r="L40" s="8">
        <f>Table424[[#This Row],[Column11]]</f>
        <v>1125679.2601734065</v>
      </c>
      <c r="M40" s="8">
        <f>Table424[[#This Row],[Column12]]*(1-$E$74)</f>
        <v>889286.61553699116</v>
      </c>
      <c r="N40">
        <f>Table424[[#This Row],[Column10]]</f>
        <v>1900000</v>
      </c>
      <c r="O40" s="4">
        <f>Table424[[#This Row],[Column13]]+Table424[[#This Row],[Column14]]</f>
        <v>2789286.615536991</v>
      </c>
    </row>
    <row r="41" spans="1:16" x14ac:dyDescent="0.4">
      <c r="A41" s="10">
        <f t="shared" si="6"/>
        <v>6</v>
      </c>
      <c r="B41" s="8">
        <f t="shared" si="2"/>
        <v>21.437737816926088</v>
      </c>
      <c r="C41" s="8">
        <f t="shared" si="3"/>
        <v>521099.37154181721</v>
      </c>
      <c r="D41">
        <f t="shared" si="0"/>
        <v>11171191.703678433</v>
      </c>
      <c r="E41" s="8">
        <f t="shared" si="7"/>
        <v>7.0802429937185289</v>
      </c>
      <c r="F41" s="8">
        <f t="shared" si="1"/>
        <v>3689510.1743900799</v>
      </c>
      <c r="G41">
        <f t="shared" si="8"/>
        <v>4165610.4551943503</v>
      </c>
      <c r="H41">
        <f t="shared" si="4"/>
        <v>7855120.6295844298</v>
      </c>
      <c r="I41">
        <f t="shared" si="5"/>
        <v>3316071.0740940031</v>
      </c>
      <c r="J41">
        <v>0</v>
      </c>
      <c r="K41" s="8">
        <f>Table424[[#This Row],[Column9]]-Table424[[#This Row],[Column10]]</f>
        <v>3316071.0740940031</v>
      </c>
      <c r="L41" s="8">
        <f>Table424[[#This Row],[Column11]]</f>
        <v>3316071.0740940031</v>
      </c>
      <c r="M41" s="8">
        <f>Table424[[#This Row],[Column12]]*(1-$E$74)</f>
        <v>2619696.1485342626</v>
      </c>
      <c r="N41">
        <f>Table424[[#This Row],[Column10]]</f>
        <v>0</v>
      </c>
      <c r="O41" s="4">
        <f>Table424[[#This Row],[Column13]]+Table424[[#This Row],[Column14]]</f>
        <v>2619696.1485342626</v>
      </c>
    </row>
    <row r="42" spans="1:16" x14ac:dyDescent="0.4">
      <c r="A42" s="10">
        <f t="shared" si="6"/>
        <v>7</v>
      </c>
      <c r="B42" s="8">
        <f t="shared" si="2"/>
        <v>22.188058640518499</v>
      </c>
      <c r="C42" s="8">
        <f t="shared" si="3"/>
        <v>535429.60425921727</v>
      </c>
      <c r="D42">
        <f t="shared" si="0"/>
        <v>11880143.457173126</v>
      </c>
      <c r="E42" s="8">
        <f t="shared" si="7"/>
        <v>7.3811533209515661</v>
      </c>
      <c r="F42" s="8">
        <f t="shared" si="1"/>
        <v>3952088.0016137045</v>
      </c>
      <c r="G42">
        <f t="shared" si="8"/>
        <v>4300992.7949881665</v>
      </c>
      <c r="H42">
        <f t="shared" si="4"/>
        <v>8253080.796601871</v>
      </c>
      <c r="I42" s="8">
        <f t="shared" si="5"/>
        <v>3627062.6605712548</v>
      </c>
      <c r="J42">
        <v>0</v>
      </c>
      <c r="K42" s="8">
        <f>Table424[[#This Row],[Column9]]-Table424[[#This Row],[Column10]]</f>
        <v>3627062.6605712548</v>
      </c>
      <c r="L42" s="8">
        <f>Table424[[#This Row],[Column11]]</f>
        <v>3627062.6605712548</v>
      </c>
      <c r="M42" s="8">
        <f>Table424[[#This Row],[Column12]]*(1-$E$74)</f>
        <v>2865379.5018512914</v>
      </c>
      <c r="N42">
        <f>Table424[[#This Row],[Column10]]</f>
        <v>0</v>
      </c>
      <c r="O42" s="4">
        <f>Table424[[#This Row],[Column13]]+Table424[[#This Row],[Column14]]</f>
        <v>2865379.5018512914</v>
      </c>
      <c r="P42" s="16"/>
    </row>
    <row r="43" spans="1:16" x14ac:dyDescent="0.4">
      <c r="A43" s="10">
        <f t="shared" si="6"/>
        <v>8</v>
      </c>
      <c r="B43" s="8">
        <f t="shared" si="2"/>
        <v>22.964640692936644</v>
      </c>
      <c r="C43" s="8">
        <f t="shared" si="3"/>
        <v>550153.91837634577</v>
      </c>
      <c r="D43">
        <f t="shared" si="0"/>
        <v>12634087.061323974</v>
      </c>
      <c r="E43" s="8">
        <f t="shared" si="7"/>
        <v>7.6948523370920077</v>
      </c>
      <c r="F43" s="8">
        <f t="shared" si="1"/>
        <v>4233353.1645785496</v>
      </c>
      <c r="G43">
        <f t="shared" si="8"/>
        <v>4440775.0608252818</v>
      </c>
      <c r="H43">
        <f t="shared" si="4"/>
        <v>8674128.2254038304</v>
      </c>
      <c r="I43">
        <f t="shared" si="5"/>
        <v>3959958.8359201439</v>
      </c>
      <c r="J43">
        <v>0</v>
      </c>
      <c r="K43" s="8">
        <f>Table424[[#This Row],[Column9]]-Table424[[#This Row],[Column10]]</f>
        <v>3959958.8359201439</v>
      </c>
      <c r="L43" s="8">
        <f>Table424[[#This Row],[Column11]]</f>
        <v>3959958.8359201439</v>
      </c>
      <c r="M43" s="8">
        <f>Table424[[#This Row],[Column12]]*(1-$E$74)</f>
        <v>3128367.4803769137</v>
      </c>
      <c r="N43">
        <f>Table424[[#This Row],[Column10]]</f>
        <v>0</v>
      </c>
      <c r="O43" s="4">
        <f>Table424[[#This Row],[Column13]]+Table424[[#This Row],[Column14]]</f>
        <v>3128367.4803769137</v>
      </c>
      <c r="P43" s="17"/>
    </row>
    <row r="44" spans="1:16" x14ac:dyDescent="0.4">
      <c r="A44" s="10">
        <f t="shared" si="6"/>
        <v>9</v>
      </c>
      <c r="B44" s="8">
        <f t="shared" si="2"/>
        <v>23.768403117189425</v>
      </c>
      <c r="C44" s="8">
        <f t="shared" si="3"/>
        <v>565283.15113169537</v>
      </c>
      <c r="D44">
        <f t="shared" si="0"/>
        <v>13435877.811453249</v>
      </c>
      <c r="E44" s="8">
        <f t="shared" si="7"/>
        <v>8.0218835614184183</v>
      </c>
      <c r="F44" s="8">
        <f t="shared" si="1"/>
        <v>4534635.61761015</v>
      </c>
      <c r="G44">
        <f t="shared" si="8"/>
        <v>4585100.2503021033</v>
      </c>
      <c r="H44">
        <f t="shared" si="4"/>
        <v>9119735.8679122534</v>
      </c>
      <c r="I44">
        <f t="shared" si="5"/>
        <v>4316141.9435409959</v>
      </c>
      <c r="J44">
        <v>0</v>
      </c>
      <c r="K44" s="8">
        <f>Table424[[#This Row],[Column9]]-Table424[[#This Row],[Column10]]</f>
        <v>4316141.9435409959</v>
      </c>
      <c r="L44" s="8">
        <f>Table424[[#This Row],[Column11]]</f>
        <v>4316141.9435409959</v>
      </c>
      <c r="M44" s="8">
        <f>Table424[[#This Row],[Column12]]*(1-$E$74)</f>
        <v>3409752.1353973867</v>
      </c>
      <c r="N44">
        <f>Table424[[#This Row],[Column10]]</f>
        <v>0</v>
      </c>
      <c r="O44" s="4">
        <f>Table424[[#This Row],[Column13]]+Table424[[#This Row],[Column14]]</f>
        <v>3409752.1353973867</v>
      </c>
    </row>
    <row r="45" spans="1:16" x14ac:dyDescent="0.4">
      <c r="A45" s="10">
        <f t="shared" si="6"/>
        <v>10</v>
      </c>
      <c r="B45" s="8">
        <f t="shared" si="2"/>
        <v>24.600297226291055</v>
      </c>
      <c r="C45" s="8">
        <f t="shared" si="3"/>
        <v>580828.43778781709</v>
      </c>
      <c r="D45">
        <f t="shared" si="0"/>
        <v>14288552.207062604</v>
      </c>
      <c r="E45" s="8">
        <f t="shared" si="7"/>
        <v>8.3628136127787016</v>
      </c>
      <c r="F45" s="8">
        <f t="shared" si="1"/>
        <v>4857359.9662209442</v>
      </c>
      <c r="G45">
        <f t="shared" si="8"/>
        <v>4734116.008436922</v>
      </c>
      <c r="H45">
        <f t="shared" si="4"/>
        <v>9591475.9746578671</v>
      </c>
      <c r="I45">
        <f t="shared" si="5"/>
        <v>4697076.2324047368</v>
      </c>
      <c r="J45">
        <v>0</v>
      </c>
      <c r="K45" s="8">
        <f>Table424[[#This Row],[Column9]]-Table424[[#This Row],[Column10]]</f>
        <v>4697076.2324047368</v>
      </c>
      <c r="L45" s="8">
        <f>Table424[[#This Row],[Column11]]</f>
        <v>4697076.2324047368</v>
      </c>
      <c r="M45" s="8">
        <f>Table424[[#This Row],[Column12]]*(1-$E$74)</f>
        <v>3710690.2235997422</v>
      </c>
      <c r="N45">
        <f>Table424[[#This Row],[Column10]]</f>
        <v>0</v>
      </c>
      <c r="O45" s="4">
        <f>Table424[[#This Row],[Column13]]+Table424[[#This Row],[Column14]]</f>
        <v>3710690.2235997422</v>
      </c>
    </row>
    <row r="47" spans="1:16" ht="23.6" x14ac:dyDescent="0.65">
      <c r="A47" s="35" t="s">
        <v>0</v>
      </c>
      <c r="B47" s="34"/>
      <c r="C47" s="34"/>
    </row>
    <row r="49" spans="1:8" x14ac:dyDescent="0.4">
      <c r="A49" s="10" t="s">
        <v>1</v>
      </c>
      <c r="B49" t="s">
        <v>2</v>
      </c>
    </row>
    <row r="50" spans="1:8" x14ac:dyDescent="0.4">
      <c r="A50" s="10" t="s">
        <v>3</v>
      </c>
      <c r="B50" t="s">
        <v>4</v>
      </c>
    </row>
    <row r="51" spans="1:8" x14ac:dyDescent="0.4">
      <c r="A51" s="11" t="s">
        <v>5</v>
      </c>
      <c r="B51" t="s">
        <v>6</v>
      </c>
    </row>
    <row r="52" spans="1:8" x14ac:dyDescent="0.4">
      <c r="A52" s="10" t="s">
        <v>7</v>
      </c>
      <c r="B52" t="s">
        <v>8</v>
      </c>
    </row>
    <row r="54" spans="1:8" ht="23.6" x14ac:dyDescent="0.65">
      <c r="A54" s="35" t="s">
        <v>9</v>
      </c>
      <c r="B54" s="34"/>
      <c r="C54" s="34"/>
    </row>
    <row r="56" spans="1:8" x14ac:dyDescent="0.4">
      <c r="A56" s="45" t="s">
        <v>10</v>
      </c>
      <c r="B56" s="34"/>
      <c r="C56" s="34"/>
      <c r="D56" s="34"/>
      <c r="E56" s="34"/>
      <c r="F56" s="34"/>
      <c r="G56" s="46" t="s">
        <v>11</v>
      </c>
    </row>
    <row r="58" spans="1:8" x14ac:dyDescent="0.4">
      <c r="A58" s="11" t="s">
        <v>13</v>
      </c>
      <c r="D58" s="1">
        <v>3.5000000000000003E-2</v>
      </c>
      <c r="F58" s="11" t="s">
        <v>14</v>
      </c>
      <c r="H58" s="2">
        <v>7.0000000000000007E-2</v>
      </c>
    </row>
    <row r="59" spans="1:8" x14ac:dyDescent="0.4">
      <c r="A59" s="10" t="s">
        <v>17</v>
      </c>
      <c r="D59">
        <v>1.05</v>
      </c>
      <c r="F59" s="13" t="s">
        <v>18</v>
      </c>
      <c r="H59" s="2">
        <v>0.21</v>
      </c>
    </row>
    <row r="60" spans="1:8" x14ac:dyDescent="0.4">
      <c r="A60" s="10" t="s">
        <v>21</v>
      </c>
      <c r="D60" s="2">
        <v>0.11</v>
      </c>
      <c r="F60" s="10"/>
    </row>
    <row r="61" spans="1:8" x14ac:dyDescent="0.4">
      <c r="A61" s="11" t="s">
        <v>24</v>
      </c>
      <c r="D61" s="41">
        <f>D58+(D59*(D60-D58))</f>
        <v>0.11375</v>
      </c>
      <c r="F61" s="32" t="s">
        <v>25</v>
      </c>
      <c r="H61" s="1">
        <f>H58*(1-H59)</f>
        <v>5.5300000000000009E-2</v>
      </c>
    </row>
    <row r="62" spans="1:8" x14ac:dyDescent="0.4">
      <c r="A62" s="10" t="s">
        <v>28</v>
      </c>
      <c r="D62" s="2">
        <v>0.75</v>
      </c>
      <c r="F62" s="10" t="s">
        <v>29</v>
      </c>
      <c r="H62" s="2">
        <v>0.25</v>
      </c>
    </row>
    <row r="63" spans="1:8" ht="15" thickBot="1" x14ac:dyDescent="0.45">
      <c r="A63" s="31" t="s">
        <v>32</v>
      </c>
      <c r="B63" s="4"/>
      <c r="C63" s="4"/>
      <c r="D63" s="4"/>
      <c r="E63" s="4"/>
      <c r="F63" s="28">
        <f>(D62*D61)+(H62*H61)</f>
        <v>9.9137500000000003E-2</v>
      </c>
      <c r="G63" s="4"/>
      <c r="H63" s="4"/>
    </row>
    <row r="64" spans="1:8" ht="19.3" thickTop="1" thickBot="1" x14ac:dyDescent="0.55000000000000004">
      <c r="A64" s="6" t="s">
        <v>35</v>
      </c>
      <c r="B64" s="6"/>
      <c r="C64" s="6"/>
      <c r="D64" s="71"/>
      <c r="E64" s="80"/>
      <c r="F64" s="72"/>
      <c r="G64" s="72"/>
    </row>
    <row r="65" spans="1:15" ht="15" thickTop="1" x14ac:dyDescent="0.4"/>
    <row r="68" spans="1:15" x14ac:dyDescent="0.4">
      <c r="A68" s="73" t="s">
        <v>44</v>
      </c>
      <c r="D68" s="4" t="s">
        <v>45</v>
      </c>
      <c r="E68" s="4"/>
      <c r="F68" s="4"/>
      <c r="H68" s="4" t="s">
        <v>46</v>
      </c>
      <c r="I68" s="4"/>
      <c r="J68" s="4"/>
    </row>
    <row r="70" spans="1:15" x14ac:dyDescent="0.4">
      <c r="A70" s="10" t="s">
        <v>51</v>
      </c>
      <c r="B70" t="s">
        <v>52</v>
      </c>
      <c r="D70" s="33" t="s">
        <v>53</v>
      </c>
      <c r="E70" s="1">
        <v>3.5000000000000003E-2</v>
      </c>
      <c r="H70" s="40" t="s">
        <v>54</v>
      </c>
      <c r="I70">
        <f>B72</f>
        <v>2000000</v>
      </c>
    </row>
    <row r="71" spans="1:15" x14ac:dyDescent="0.4">
      <c r="A71" s="10" t="s">
        <v>57</v>
      </c>
      <c r="B71">
        <v>9500000</v>
      </c>
      <c r="D71" s="33" t="s">
        <v>58</v>
      </c>
      <c r="E71" s="1">
        <v>2.75E-2</v>
      </c>
      <c r="H71" s="11" t="s">
        <v>59</v>
      </c>
      <c r="I71">
        <v>0</v>
      </c>
    </row>
    <row r="72" spans="1:15" x14ac:dyDescent="0.4">
      <c r="A72" s="11" t="s">
        <v>62</v>
      </c>
      <c r="B72">
        <v>2000000</v>
      </c>
      <c r="D72" s="15" t="s">
        <v>63</v>
      </c>
      <c r="E72" s="1">
        <v>4.2500000000000003E-2</v>
      </c>
      <c r="H72" s="10" t="s">
        <v>18</v>
      </c>
      <c r="I72" s="2">
        <f>H59</f>
        <v>0.21</v>
      </c>
    </row>
    <row r="73" spans="1:15" x14ac:dyDescent="0.4">
      <c r="A73" s="10" t="s">
        <v>66</v>
      </c>
      <c r="B73" s="4">
        <f>B71/5</f>
        <v>1900000</v>
      </c>
      <c r="D73" s="15" t="s">
        <v>67</v>
      </c>
      <c r="E73" s="1">
        <v>3.2500000000000001E-2</v>
      </c>
      <c r="H73" s="10" t="s">
        <v>38</v>
      </c>
      <c r="I73" s="4">
        <f>I70*(1-I72)</f>
        <v>1580000</v>
      </c>
    </row>
    <row r="74" spans="1:15" x14ac:dyDescent="0.4">
      <c r="D74" s="10" t="s">
        <v>18</v>
      </c>
      <c r="E74" s="1">
        <v>0.21</v>
      </c>
    </row>
    <row r="75" spans="1:15" x14ac:dyDescent="0.4">
      <c r="D75" s="37" t="s">
        <v>72</v>
      </c>
      <c r="E75" s="4"/>
      <c r="F75" s="4"/>
    </row>
    <row r="78" spans="1:15" ht="23.6" x14ac:dyDescent="0.65">
      <c r="A78" s="35" t="s">
        <v>75</v>
      </c>
      <c r="B78" s="34"/>
      <c r="C78" s="46" t="s">
        <v>76</v>
      </c>
    </row>
    <row r="80" spans="1:15" x14ac:dyDescent="0.4">
      <c r="A80" s="10" t="s">
        <v>77</v>
      </c>
      <c r="B80" s="10" t="s">
        <v>78</v>
      </c>
      <c r="C80" s="10" t="s">
        <v>79</v>
      </c>
      <c r="D80" s="10" t="s">
        <v>80</v>
      </c>
      <c r="E80" s="10" t="s">
        <v>81</v>
      </c>
      <c r="F80" s="10" t="s">
        <v>82</v>
      </c>
      <c r="G80" s="10" t="s">
        <v>83</v>
      </c>
      <c r="H80" s="10" t="s">
        <v>84</v>
      </c>
      <c r="I80" s="11" t="s">
        <v>85</v>
      </c>
      <c r="J80" s="14" t="s">
        <v>86</v>
      </c>
      <c r="K80" s="10" t="s">
        <v>19</v>
      </c>
      <c r="L80" s="11" t="s">
        <v>87</v>
      </c>
      <c r="M80" s="13" t="s">
        <v>15</v>
      </c>
      <c r="N80" s="14" t="s">
        <v>88</v>
      </c>
      <c r="O80" s="10" t="s">
        <v>36</v>
      </c>
    </row>
    <row r="81" spans="1:15" x14ac:dyDescent="0.4">
      <c r="A81" s="25">
        <v>0</v>
      </c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</row>
    <row r="82" spans="1:15" x14ac:dyDescent="0.4">
      <c r="A82" s="10">
        <v>1</v>
      </c>
      <c r="B82">
        <v>18.05</v>
      </c>
      <c r="C82" s="8">
        <v>455000</v>
      </c>
      <c r="D82" s="8">
        <f t="shared" ref="D82:D91" si="9">B82*C82</f>
        <v>8212750</v>
      </c>
      <c r="E82" s="8">
        <v>5.75</v>
      </c>
      <c r="F82" s="8">
        <f t="shared" ref="F82:F91" si="10">E82*C82</f>
        <v>2616250</v>
      </c>
      <c r="G82" s="8">
        <v>3550000</v>
      </c>
      <c r="H82" s="8">
        <f>F82+G82</f>
        <v>6166250</v>
      </c>
      <c r="I82" s="8">
        <f>D82-H82</f>
        <v>2046500</v>
      </c>
      <c r="J82" s="8">
        <f>$B$73</f>
        <v>1900000</v>
      </c>
      <c r="K82" s="8">
        <f>Table4[[#This Row],[Column9]]-Table4[[#This Row],[Column10]]</f>
        <v>146500</v>
      </c>
      <c r="L82" s="8">
        <f>Table4[[#This Row],[Column11]]</f>
        <v>146500</v>
      </c>
      <c r="M82" s="8">
        <f>Table4[[#This Row],[Column12]]*(1-$E$74)</f>
        <v>115735</v>
      </c>
      <c r="N82" s="8">
        <f>Table4[[#This Row],[Column10]]</f>
        <v>1900000</v>
      </c>
      <c r="O82" s="44">
        <f>Table4[[#This Row],[Column13]]+Table4[[#This Row],[Column14]]</f>
        <v>2015735</v>
      </c>
    </row>
    <row r="83" spans="1:15" x14ac:dyDescent="0.4">
      <c r="A83" s="10">
        <f>A82+1</f>
        <v>2</v>
      </c>
      <c r="B83" s="8">
        <f t="shared" ref="B83:B91" si="11">B82*(1+$E$70)</f>
        <v>18.681750000000001</v>
      </c>
      <c r="C83" s="8">
        <f t="shared" ref="C83:C91" si="12">C82*(1+$E$71)</f>
        <v>467512.50000000006</v>
      </c>
      <c r="D83" s="8">
        <f t="shared" si="9"/>
        <v>8733951.6468750015</v>
      </c>
      <c r="E83" s="8">
        <f>E82*(1+0.0425)</f>
        <v>5.9943749999999998</v>
      </c>
      <c r="F83" s="8">
        <f t="shared" si="10"/>
        <v>2802445.2421875005</v>
      </c>
      <c r="G83" s="8">
        <f>G82*(1+0.0325)</f>
        <v>3665375</v>
      </c>
      <c r="H83" s="8">
        <f t="shared" ref="H83:H91" si="13">F83+G83</f>
        <v>6467820.2421875</v>
      </c>
      <c r="I83" s="8">
        <f t="shared" ref="I83:I91" si="14">D83-H83</f>
        <v>2266131.4046875015</v>
      </c>
      <c r="J83" s="8">
        <f>$B$73</f>
        <v>1900000</v>
      </c>
      <c r="K83" s="8">
        <f>Table4[[#This Row],[Column9]]-Table4[[#This Row],[Column10]]</f>
        <v>366131.40468750149</v>
      </c>
      <c r="L83" s="8">
        <f>Table4[[#This Row],[Column11]]</f>
        <v>366131.40468750149</v>
      </c>
      <c r="M83" s="8">
        <f>Table4[[#This Row],[Column12]]*(1-$E$74)</f>
        <v>289243.8097031262</v>
      </c>
      <c r="N83" s="8">
        <f>Table4[[#This Row],[Column10]]</f>
        <v>1900000</v>
      </c>
      <c r="O83" s="44">
        <f>Table4[[#This Row],[Column13]]+Table4[[#This Row],[Column14]]</f>
        <v>2189243.8097031261</v>
      </c>
    </row>
    <row r="84" spans="1:15" x14ac:dyDescent="0.4">
      <c r="A84" s="10">
        <f t="shared" ref="A84:A91" si="15">A83+1</f>
        <v>3</v>
      </c>
      <c r="B84" s="8">
        <f t="shared" si="11"/>
        <v>19.335611249999999</v>
      </c>
      <c r="C84" s="8">
        <f t="shared" si="12"/>
        <v>480369.09375000012</v>
      </c>
      <c r="D84" s="8">
        <f t="shared" si="9"/>
        <v>9288230.053264806</v>
      </c>
      <c r="E84" s="8">
        <f t="shared" ref="E84:E91" si="16">E83*(1+0.0425)</f>
        <v>6.2491359374999993</v>
      </c>
      <c r="F84" s="8">
        <f t="shared" si="10"/>
        <v>3001891.767017432</v>
      </c>
      <c r="G84" s="8">
        <f t="shared" ref="G84:G91" si="17">G83*(1+0.0325)</f>
        <v>3784499.6875</v>
      </c>
      <c r="H84" s="8">
        <f t="shared" si="13"/>
        <v>6786391.4545174316</v>
      </c>
      <c r="I84" s="8">
        <f t="shared" si="14"/>
        <v>2501838.5987473745</v>
      </c>
      <c r="J84" s="8">
        <f>$B$73</f>
        <v>1900000</v>
      </c>
      <c r="K84" s="8">
        <f>Table4[[#This Row],[Column9]]-Table4[[#This Row],[Column10]]</f>
        <v>601838.59874737449</v>
      </c>
      <c r="L84" s="8">
        <f>Table4[[#This Row],[Column11]]</f>
        <v>601838.59874737449</v>
      </c>
      <c r="M84" s="8">
        <f>Table4[[#This Row],[Column12]]*(1-$E$74)</f>
        <v>475452.49301042588</v>
      </c>
      <c r="N84" s="8">
        <f>Table4[[#This Row],[Column10]]</f>
        <v>1900000</v>
      </c>
      <c r="O84" s="44">
        <f>Table4[[#This Row],[Column13]]+Table4[[#This Row],[Column14]]</f>
        <v>2375452.4930104259</v>
      </c>
    </row>
    <row r="85" spans="1:15" x14ac:dyDescent="0.4">
      <c r="A85" s="10">
        <f t="shared" si="15"/>
        <v>4</v>
      </c>
      <c r="B85" s="8">
        <f t="shared" si="11"/>
        <v>20.012357643749997</v>
      </c>
      <c r="C85" s="8">
        <f t="shared" si="12"/>
        <v>493579.24382812518</v>
      </c>
      <c r="D85" s="8">
        <f t="shared" si="9"/>
        <v>9877684.3530201241</v>
      </c>
      <c r="E85" s="8">
        <f t="shared" si="16"/>
        <v>6.5147242148437492</v>
      </c>
      <c r="F85" s="8">
        <f t="shared" si="10"/>
        <v>3215532.651711354</v>
      </c>
      <c r="G85" s="8">
        <f t="shared" si="17"/>
        <v>3907495.9273437499</v>
      </c>
      <c r="H85" s="8">
        <f t="shared" si="13"/>
        <v>7123028.5790551044</v>
      </c>
      <c r="I85" s="8">
        <f t="shared" si="14"/>
        <v>2754655.7739650197</v>
      </c>
      <c r="J85" s="8">
        <f>$B$73</f>
        <v>1900000</v>
      </c>
      <c r="K85" s="8">
        <f>Table4[[#This Row],[Column9]]-Table4[[#This Row],[Column10]]</f>
        <v>854655.77396501973</v>
      </c>
      <c r="L85" s="8">
        <f>Table4[[#This Row],[Column11]]</f>
        <v>854655.77396501973</v>
      </c>
      <c r="M85" s="8">
        <f>Table4[[#This Row],[Column12]]*(1-$E$74)</f>
        <v>675178.06143236568</v>
      </c>
      <c r="N85" s="8">
        <f>Table4[[#This Row],[Column10]]</f>
        <v>1900000</v>
      </c>
      <c r="O85" s="44">
        <f>Table4[[#This Row],[Column13]]+Table4[[#This Row],[Column14]]</f>
        <v>2575178.0614323658</v>
      </c>
    </row>
    <row r="86" spans="1:15" x14ac:dyDescent="0.4">
      <c r="A86" s="10">
        <f t="shared" si="15"/>
        <v>5</v>
      </c>
      <c r="B86" s="8">
        <f t="shared" si="11"/>
        <v>20.712790161281244</v>
      </c>
      <c r="C86" s="8">
        <f t="shared" si="12"/>
        <v>507152.67303339869</v>
      </c>
      <c r="D86" s="8">
        <f t="shared" si="9"/>
        <v>10504546.896273665</v>
      </c>
      <c r="E86" s="8">
        <f t="shared" si="16"/>
        <v>6.7915999939746081</v>
      </c>
      <c r="F86" s="8">
        <f t="shared" si="10"/>
        <v>3444378.091117837</v>
      </c>
      <c r="G86" s="8">
        <f t="shared" si="17"/>
        <v>4034489.5449824217</v>
      </c>
      <c r="H86" s="8">
        <f t="shared" si="13"/>
        <v>7478867.6361002587</v>
      </c>
      <c r="I86" s="8">
        <f t="shared" si="14"/>
        <v>3025679.2601734065</v>
      </c>
      <c r="J86" s="8">
        <f>$B$73</f>
        <v>1900000</v>
      </c>
      <c r="K86" s="8">
        <f>Table4[[#This Row],[Column9]]-Table4[[#This Row],[Column10]]</f>
        <v>1125679.2601734065</v>
      </c>
      <c r="L86" s="8">
        <f>Table4[[#This Row],[Column11]]</f>
        <v>1125679.2601734065</v>
      </c>
      <c r="M86" s="8">
        <f>Table4[[#This Row],[Column12]]*(1-$E$74)</f>
        <v>889286.61553699116</v>
      </c>
      <c r="N86" s="8">
        <f>Table4[[#This Row],[Column10]]</f>
        <v>1900000</v>
      </c>
      <c r="O86" s="44">
        <f>Table4[[#This Row],[Column13]]+Table4[[#This Row],[Column14]]</f>
        <v>2789286.615536991</v>
      </c>
    </row>
    <row r="87" spans="1:15" x14ac:dyDescent="0.4">
      <c r="A87" s="10">
        <f t="shared" si="15"/>
        <v>6</v>
      </c>
      <c r="B87" s="8">
        <f t="shared" si="11"/>
        <v>21.437737816926088</v>
      </c>
      <c r="C87" s="8">
        <f t="shared" si="12"/>
        <v>521099.37154181721</v>
      </c>
      <c r="D87" s="8">
        <f t="shared" si="9"/>
        <v>11171191.703678433</v>
      </c>
      <c r="E87" s="8">
        <f t="shared" si="16"/>
        <v>7.0802429937185289</v>
      </c>
      <c r="F87" s="8">
        <f t="shared" si="10"/>
        <v>3689510.1743900799</v>
      </c>
      <c r="G87" s="8">
        <f t="shared" si="17"/>
        <v>4165610.4551943503</v>
      </c>
      <c r="H87" s="8">
        <f t="shared" si="13"/>
        <v>7855120.6295844298</v>
      </c>
      <c r="I87" s="8">
        <f t="shared" si="14"/>
        <v>3316071.0740940031</v>
      </c>
      <c r="J87" s="8">
        <v>0</v>
      </c>
      <c r="K87" s="8">
        <f>Table4[[#This Row],[Column9]]-Table4[[#This Row],[Column10]]</f>
        <v>3316071.0740940031</v>
      </c>
      <c r="L87" s="8">
        <f>Table4[[#This Row],[Column11]]</f>
        <v>3316071.0740940031</v>
      </c>
      <c r="M87" s="8">
        <f>Table4[[#This Row],[Column12]]*(1-$E$74)</f>
        <v>2619696.1485342626</v>
      </c>
      <c r="N87" s="8">
        <f>Table4[[#This Row],[Column10]]</f>
        <v>0</v>
      </c>
      <c r="O87" s="44">
        <f>Table4[[#This Row],[Column13]]+Table4[[#This Row],[Column14]]</f>
        <v>2619696.1485342626</v>
      </c>
    </row>
    <row r="88" spans="1:15" x14ac:dyDescent="0.4">
      <c r="A88" s="10">
        <f t="shared" si="15"/>
        <v>7</v>
      </c>
      <c r="B88" s="8">
        <f t="shared" si="11"/>
        <v>22.188058640518499</v>
      </c>
      <c r="C88" s="8">
        <f t="shared" si="12"/>
        <v>535429.60425921727</v>
      </c>
      <c r="D88" s="8">
        <f t="shared" si="9"/>
        <v>11880143.457173126</v>
      </c>
      <c r="E88" s="8">
        <f t="shared" si="16"/>
        <v>7.3811533209515661</v>
      </c>
      <c r="F88" s="8">
        <f t="shared" si="10"/>
        <v>3952088.0016137045</v>
      </c>
      <c r="G88" s="8">
        <f t="shared" si="17"/>
        <v>4300992.7949881665</v>
      </c>
      <c r="H88" s="8">
        <f t="shared" si="13"/>
        <v>8253080.796601871</v>
      </c>
      <c r="I88" s="8">
        <f t="shared" si="14"/>
        <v>3627062.6605712548</v>
      </c>
      <c r="J88" s="8">
        <v>0</v>
      </c>
      <c r="K88" s="8">
        <f>Table4[[#This Row],[Column9]]-Table4[[#This Row],[Column10]]</f>
        <v>3627062.6605712548</v>
      </c>
      <c r="L88" s="8">
        <f>Table4[[#This Row],[Column11]]</f>
        <v>3627062.6605712548</v>
      </c>
      <c r="M88" s="8">
        <f>Table4[[#This Row],[Column12]]*(1-$E$74)</f>
        <v>2865379.5018512914</v>
      </c>
      <c r="N88" s="8">
        <f>Table4[[#This Row],[Column10]]</f>
        <v>0</v>
      </c>
      <c r="O88" s="44">
        <f>Table4[[#This Row],[Column13]]+Table4[[#This Row],[Column14]]</f>
        <v>2865379.5018512914</v>
      </c>
    </row>
    <row r="89" spans="1:15" x14ac:dyDescent="0.4">
      <c r="A89" s="10">
        <f t="shared" si="15"/>
        <v>8</v>
      </c>
      <c r="B89" s="8">
        <f t="shared" si="11"/>
        <v>22.964640692936644</v>
      </c>
      <c r="C89" s="8">
        <f t="shared" si="12"/>
        <v>550153.91837634577</v>
      </c>
      <c r="D89" s="8">
        <f t="shared" si="9"/>
        <v>12634087.061323974</v>
      </c>
      <c r="E89" s="8">
        <f t="shared" si="16"/>
        <v>7.6948523370920077</v>
      </c>
      <c r="F89" s="8">
        <f t="shared" si="10"/>
        <v>4233353.1645785496</v>
      </c>
      <c r="G89" s="8">
        <f t="shared" si="17"/>
        <v>4440775.0608252818</v>
      </c>
      <c r="H89" s="8">
        <f t="shared" si="13"/>
        <v>8674128.2254038304</v>
      </c>
      <c r="I89" s="8">
        <f t="shared" si="14"/>
        <v>3959958.8359201439</v>
      </c>
      <c r="J89" s="8">
        <v>0</v>
      </c>
      <c r="K89" s="8">
        <f>Table4[[#This Row],[Column9]]-Table4[[#This Row],[Column10]]</f>
        <v>3959958.8359201439</v>
      </c>
      <c r="L89" s="8">
        <f>Table4[[#This Row],[Column11]]</f>
        <v>3959958.8359201439</v>
      </c>
      <c r="M89" s="8">
        <f>Table4[[#This Row],[Column12]]*(1-$E$74)</f>
        <v>3128367.4803769137</v>
      </c>
      <c r="N89" s="8">
        <f>Table4[[#This Row],[Column10]]</f>
        <v>0</v>
      </c>
      <c r="O89" s="44">
        <f>Table4[[#This Row],[Column13]]+Table4[[#This Row],[Column14]]</f>
        <v>3128367.4803769137</v>
      </c>
    </row>
    <row r="90" spans="1:15" x14ac:dyDescent="0.4">
      <c r="A90" s="10">
        <f t="shared" si="15"/>
        <v>9</v>
      </c>
      <c r="B90" s="8">
        <f t="shared" si="11"/>
        <v>23.768403117189425</v>
      </c>
      <c r="C90" s="8">
        <f t="shared" si="12"/>
        <v>565283.15113169537</v>
      </c>
      <c r="D90" s="8">
        <f t="shared" si="9"/>
        <v>13435877.811453249</v>
      </c>
      <c r="E90" s="8">
        <f t="shared" si="16"/>
        <v>8.0218835614184183</v>
      </c>
      <c r="F90" s="8">
        <f t="shared" si="10"/>
        <v>4534635.61761015</v>
      </c>
      <c r="G90" s="8">
        <f t="shared" si="17"/>
        <v>4585100.2503021033</v>
      </c>
      <c r="H90" s="8">
        <f t="shared" si="13"/>
        <v>9119735.8679122534</v>
      </c>
      <c r="I90" s="8">
        <f t="shared" si="14"/>
        <v>4316141.9435409959</v>
      </c>
      <c r="J90" s="8">
        <v>0</v>
      </c>
      <c r="K90" s="8">
        <f>Table4[[#This Row],[Column9]]-Table4[[#This Row],[Column10]]</f>
        <v>4316141.9435409959</v>
      </c>
      <c r="L90" s="8">
        <f>Table4[[#This Row],[Column11]]</f>
        <v>4316141.9435409959</v>
      </c>
      <c r="M90" s="8">
        <f>Table4[[#This Row],[Column12]]*(1-$E$74)</f>
        <v>3409752.1353973867</v>
      </c>
      <c r="N90" s="8">
        <f>Table4[[#This Row],[Column10]]</f>
        <v>0</v>
      </c>
      <c r="O90" s="44">
        <f>Table4[[#This Row],[Column13]]+Table4[[#This Row],[Column14]]</f>
        <v>3409752.1353973867</v>
      </c>
    </row>
    <row r="91" spans="1:15" x14ac:dyDescent="0.4">
      <c r="A91" s="10">
        <f t="shared" si="15"/>
        <v>10</v>
      </c>
      <c r="B91" s="8">
        <f t="shared" si="11"/>
        <v>24.600297226291055</v>
      </c>
      <c r="C91" s="8">
        <f t="shared" si="12"/>
        <v>580828.43778781709</v>
      </c>
      <c r="D91" s="8">
        <f t="shared" si="9"/>
        <v>14288552.207062604</v>
      </c>
      <c r="E91" s="8">
        <f t="shared" si="16"/>
        <v>8.3628136127787016</v>
      </c>
      <c r="F91" s="8">
        <f t="shared" si="10"/>
        <v>4857359.9662209442</v>
      </c>
      <c r="G91" s="8">
        <f t="shared" si="17"/>
        <v>4734116.008436922</v>
      </c>
      <c r="H91" s="8">
        <f t="shared" si="13"/>
        <v>9591475.9746578671</v>
      </c>
      <c r="I91" s="8">
        <f t="shared" si="14"/>
        <v>4697076.2324047368</v>
      </c>
      <c r="J91" s="8">
        <v>0</v>
      </c>
      <c r="K91" s="8">
        <f>Table4[[#This Row],[Column9]]-Table4[[#This Row],[Column10]]</f>
        <v>4697076.2324047368</v>
      </c>
      <c r="L91" s="8">
        <f>Table4[[#This Row],[Column11]]</f>
        <v>4697076.2324047368</v>
      </c>
      <c r="M91" s="8">
        <f>Table4[[#This Row],[Column12]]*(1-$E$74)</f>
        <v>3710690.2235997422</v>
      </c>
      <c r="N91" s="8">
        <f>Table4[[#This Row],[Column10]]</f>
        <v>0</v>
      </c>
      <c r="O91" s="44">
        <f>Table4[[#This Row],[Column13]]+Table4[[#This Row],[Column14]]</f>
        <v>3710690.2235997422</v>
      </c>
    </row>
    <row r="94" spans="1:15" x14ac:dyDescent="0.4">
      <c r="A94" s="10" t="s">
        <v>77</v>
      </c>
      <c r="B94" s="10">
        <v>0</v>
      </c>
      <c r="C94" s="10">
        <f>Table6[[#This Row],[Column2]]+1</f>
        <v>1</v>
      </c>
      <c r="D94" s="10">
        <f>Table6[[#This Row],[Column3]]+1</f>
        <v>2</v>
      </c>
      <c r="E94" s="10">
        <f>Table6[[#This Row],[Column4]]+1</f>
        <v>3</v>
      </c>
      <c r="F94" s="10">
        <f>Table6[[#This Row],[Column5]]+1</f>
        <v>4</v>
      </c>
      <c r="G94" s="10">
        <f>Table6[[#This Row],[Column6]]+1</f>
        <v>5</v>
      </c>
      <c r="H94" s="10">
        <f>Table6[[#This Row],[Column7]]+1</f>
        <v>6</v>
      </c>
      <c r="I94" s="10">
        <f>Table6[[#This Row],[Column8]]+1</f>
        <v>7</v>
      </c>
      <c r="J94" s="10">
        <f>Table6[[#This Row],[Column9]]+1</f>
        <v>8</v>
      </c>
      <c r="K94" s="10">
        <f>Table6[[#This Row],[Column10]]+1</f>
        <v>9</v>
      </c>
      <c r="L94" s="10">
        <f>Table6[[#This Row],[Column11]]+1</f>
        <v>10</v>
      </c>
    </row>
    <row r="95" spans="1:15" x14ac:dyDescent="0.4">
      <c r="A95" s="10" t="s">
        <v>36</v>
      </c>
      <c r="B95">
        <v>0</v>
      </c>
      <c r="C95" s="8">
        <f>O82</f>
        <v>2015735</v>
      </c>
      <c r="D95" s="8">
        <f>O83</f>
        <v>2189243.8097031261</v>
      </c>
      <c r="E95" s="8">
        <f>O84</f>
        <v>2375452.4930104259</v>
      </c>
      <c r="F95" s="8">
        <f>O85</f>
        <v>2575178.0614323658</v>
      </c>
      <c r="G95" s="8">
        <f>O86</f>
        <v>2789286.615536991</v>
      </c>
      <c r="H95" s="8">
        <f>O87</f>
        <v>2619696.1485342626</v>
      </c>
      <c r="I95" s="8">
        <f>O88</f>
        <v>2865379.5018512914</v>
      </c>
      <c r="J95" s="8">
        <f>O89</f>
        <v>3128367.4803769137</v>
      </c>
      <c r="K95" s="8">
        <f>O90</f>
        <v>3409752.1353973867</v>
      </c>
      <c r="L95" s="8">
        <f>O91</f>
        <v>3710690.2235997422</v>
      </c>
    </row>
    <row r="96" spans="1:15" x14ac:dyDescent="0.4">
      <c r="A96" s="10" t="s">
        <v>33</v>
      </c>
      <c r="B96">
        <v>-9500000</v>
      </c>
      <c r="E96">
        <v>-1500000</v>
      </c>
    </row>
    <row r="97" spans="1:12" x14ac:dyDescent="0.4">
      <c r="A97" s="10" t="s">
        <v>30</v>
      </c>
      <c r="B97">
        <v>550000</v>
      </c>
      <c r="F97">
        <v>150000</v>
      </c>
      <c r="L97">
        <v>0</v>
      </c>
    </row>
    <row r="98" spans="1:12" x14ac:dyDescent="0.4">
      <c r="A98" s="12" t="s">
        <v>89</v>
      </c>
      <c r="B98">
        <f>-B97</f>
        <v>-550000</v>
      </c>
      <c r="F98">
        <f>-F97</f>
        <v>-150000</v>
      </c>
      <c r="L98">
        <f>-(Table6[[#This Row],[Column2]]+Table6[[#This Row],[Column6]])</f>
        <v>700000</v>
      </c>
    </row>
    <row r="99" spans="1:12" x14ac:dyDescent="0.4">
      <c r="A99" s="12" t="s">
        <v>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>I73</f>
        <v>1580000</v>
      </c>
    </row>
    <row r="100" spans="1:12" x14ac:dyDescent="0.4">
      <c r="A100" s="12" t="s">
        <v>68</v>
      </c>
      <c r="B100" s="4">
        <f>B95+B96+B98+B99</f>
        <v>-10050000</v>
      </c>
      <c r="C100" s="4">
        <f t="shared" ref="C100:L100" si="18">C95+C96+C98+C99</f>
        <v>2015735</v>
      </c>
      <c r="D100" s="4">
        <f t="shared" si="18"/>
        <v>2189243.8097031261</v>
      </c>
      <c r="E100" s="4">
        <f t="shared" si="18"/>
        <v>875452.49301042594</v>
      </c>
      <c r="F100" s="4">
        <f t="shared" si="18"/>
        <v>2425178.0614323658</v>
      </c>
      <c r="G100" s="4">
        <f t="shared" si="18"/>
        <v>2789286.615536991</v>
      </c>
      <c r="H100" s="4">
        <f t="shared" si="18"/>
        <v>2619696.1485342626</v>
      </c>
      <c r="I100" s="4">
        <f t="shared" si="18"/>
        <v>2865379.5018512914</v>
      </c>
      <c r="J100" s="4">
        <f t="shared" si="18"/>
        <v>3128367.4803769137</v>
      </c>
      <c r="K100" s="4">
        <f t="shared" si="18"/>
        <v>3409752.1353973867</v>
      </c>
      <c r="L100" s="44">
        <f t="shared" si="18"/>
        <v>5990690.2235997422</v>
      </c>
    </row>
    <row r="101" spans="1:12" x14ac:dyDescent="0.4">
      <c r="A101" s="12"/>
    </row>
    <row r="102" spans="1:12" x14ac:dyDescent="0.4">
      <c r="A102" s="45" t="s">
        <v>90</v>
      </c>
      <c r="B102" s="34"/>
      <c r="C102" s="34"/>
      <c r="D102" s="34"/>
      <c r="E102" s="46" t="s">
        <v>91</v>
      </c>
    </row>
    <row r="103" spans="1:12" x14ac:dyDescent="0.4">
      <c r="A103" s="10" t="s">
        <v>47</v>
      </c>
      <c r="B103" s="4">
        <f>NPV(F63,C100:L100)+B100</f>
        <v>5872694.7850955166</v>
      </c>
    </row>
    <row r="104" spans="1:12" x14ac:dyDescent="0.4">
      <c r="A104" s="10" t="s">
        <v>49</v>
      </c>
      <c r="B104" s="39">
        <f>IRR(B100:L100)</f>
        <v>0.19951275912519417</v>
      </c>
    </row>
    <row r="105" spans="1:12" x14ac:dyDescent="0.4">
      <c r="A105" s="10" t="s">
        <v>64</v>
      </c>
      <c r="B105" s="4">
        <f>(-(B100)+B103)/-B100</f>
        <v>1.5843477398104993</v>
      </c>
    </row>
    <row r="107" spans="1:12" x14ac:dyDescent="0.4">
      <c r="A107" s="10" t="s">
        <v>92</v>
      </c>
    </row>
    <row r="108" spans="1:12" x14ac:dyDescent="0.4">
      <c r="A108" s="10" t="s">
        <v>77</v>
      </c>
      <c r="B108" s="10">
        <v>0</v>
      </c>
      <c r="C108" s="10">
        <f>B108+1</f>
        <v>1</v>
      </c>
      <c r="D108" s="10">
        <f t="shared" ref="D108:L108" si="19">C108+1</f>
        <v>2</v>
      </c>
      <c r="E108" s="10">
        <f t="shared" si="19"/>
        <v>3</v>
      </c>
      <c r="F108" s="10">
        <f t="shared" si="19"/>
        <v>4</v>
      </c>
      <c r="G108" s="10">
        <f t="shared" si="19"/>
        <v>5</v>
      </c>
      <c r="H108" s="10">
        <f t="shared" si="19"/>
        <v>6</v>
      </c>
      <c r="I108" s="10">
        <f t="shared" si="19"/>
        <v>7</v>
      </c>
      <c r="J108" s="10">
        <f t="shared" si="19"/>
        <v>8</v>
      </c>
      <c r="K108" s="10">
        <f t="shared" si="19"/>
        <v>9</v>
      </c>
      <c r="L108" s="10">
        <f t="shared" si="19"/>
        <v>10</v>
      </c>
    </row>
    <row r="109" spans="1:12" x14ac:dyDescent="0.4">
      <c r="A109" s="10" t="s">
        <v>68</v>
      </c>
      <c r="B109">
        <f t="shared" ref="B109:L109" si="20">B100</f>
        <v>-10050000</v>
      </c>
      <c r="C109" s="8">
        <f t="shared" si="20"/>
        <v>2015735</v>
      </c>
      <c r="D109" s="8">
        <f t="shared" si="20"/>
        <v>2189243.8097031261</v>
      </c>
      <c r="E109" s="8">
        <f t="shared" si="20"/>
        <v>875452.49301042594</v>
      </c>
      <c r="F109" s="8">
        <f t="shared" si="20"/>
        <v>2425178.0614323658</v>
      </c>
      <c r="G109" s="8">
        <f t="shared" si="20"/>
        <v>2789286.615536991</v>
      </c>
      <c r="H109" s="8">
        <f t="shared" si="20"/>
        <v>2619696.1485342626</v>
      </c>
      <c r="I109" s="8">
        <f t="shared" si="20"/>
        <v>2865379.5018512914</v>
      </c>
      <c r="J109" s="8">
        <f t="shared" si="20"/>
        <v>3128367.4803769137</v>
      </c>
      <c r="K109" s="8">
        <f t="shared" si="20"/>
        <v>3409752.1353973867</v>
      </c>
      <c r="L109" s="8">
        <f t="shared" si="20"/>
        <v>5990690.2235997422</v>
      </c>
    </row>
    <row r="110" spans="1:12" x14ac:dyDescent="0.4">
      <c r="A110" s="10" t="s">
        <v>70</v>
      </c>
      <c r="B110">
        <f t="shared" ref="B110:L110" si="21">B109/(1+$F$63)^B108</f>
        <v>-10050000</v>
      </c>
      <c r="C110" s="8">
        <f t="shared" si="21"/>
        <v>1833924.3270291477</v>
      </c>
      <c r="D110" s="8">
        <f t="shared" si="21"/>
        <v>1812133.0447093917</v>
      </c>
      <c r="E110" s="8">
        <f t="shared" si="21"/>
        <v>659290.02976744832</v>
      </c>
      <c r="F110" s="8">
        <f t="shared" si="21"/>
        <v>1661634.6117678068</v>
      </c>
      <c r="G110" s="8">
        <f t="shared" si="21"/>
        <v>1738733.4799553754</v>
      </c>
      <c r="H110" s="8">
        <f t="shared" si="21"/>
        <v>1485726.1597426832</v>
      </c>
      <c r="I110" s="8">
        <f t="shared" si="21"/>
        <v>1478488.5758476164</v>
      </c>
      <c r="J110" s="8">
        <f t="shared" si="21"/>
        <v>1468593.3619501162</v>
      </c>
      <c r="K110" s="8">
        <f t="shared" si="21"/>
        <v>1456312.5192297017</v>
      </c>
      <c r="L110" s="8">
        <f t="shared" si="21"/>
        <v>2327858.6750962255</v>
      </c>
    </row>
    <row r="111" spans="1:12" x14ac:dyDescent="0.4">
      <c r="A111" s="10" t="s">
        <v>73</v>
      </c>
      <c r="B111" s="4">
        <f>B109</f>
        <v>-10050000</v>
      </c>
      <c r="C111" s="44">
        <f>B110+C110</f>
        <v>-8216075.6729708519</v>
      </c>
      <c r="D111" s="44">
        <f>Table25[[#This Row],[Column3]]+D110</f>
        <v>-6403942.62826146</v>
      </c>
      <c r="E111" s="44">
        <f>Table25[[#This Row],[Column4]]+E110</f>
        <v>-5744652.5984940119</v>
      </c>
      <c r="F111" s="44">
        <f>Table25[[#This Row],[Column5]]+F110</f>
        <v>-4083017.9867262049</v>
      </c>
      <c r="G111" s="4">
        <f>Table25[[#This Row],[Column6]]+G110</f>
        <v>-2344284.5067708297</v>
      </c>
      <c r="H111" s="44">
        <f>Table25[[#This Row],[Column7]]+H110</f>
        <v>-858558.3470281465</v>
      </c>
      <c r="I111" s="76">
        <f>Table25[[#This Row],[Column8]]+I110</f>
        <v>619930.22881946992</v>
      </c>
      <c r="J111" s="76">
        <f>Table25[[#This Row],[Column9]]+J110</f>
        <v>2088523.5907695862</v>
      </c>
      <c r="K111" s="76">
        <f>Table25[[#This Row],[Column10]]+K110</f>
        <v>3544836.1099992879</v>
      </c>
      <c r="L111" s="76">
        <f>Table25[[#This Row],[Column11]]+L110</f>
        <v>5872694.7850955129</v>
      </c>
    </row>
    <row r="112" spans="1:12" x14ac:dyDescent="0.4">
      <c r="A112" s="10" t="s">
        <v>157</v>
      </c>
      <c r="B112" s="77">
        <f>H108+(-H111/I110)</f>
        <v>6.5807000209899735</v>
      </c>
    </row>
    <row r="115" spans="1:15" ht="23.6" x14ac:dyDescent="0.65">
      <c r="A115" s="35" t="s">
        <v>93</v>
      </c>
      <c r="B115" s="34"/>
      <c r="C115" s="34"/>
      <c r="D115" s="46" t="s">
        <v>94</v>
      </c>
    </row>
    <row r="117" spans="1:15" x14ac:dyDescent="0.4">
      <c r="A117" s="19" t="s">
        <v>77</v>
      </c>
      <c r="B117" s="20" t="s">
        <v>78</v>
      </c>
      <c r="C117" s="20" t="s">
        <v>79</v>
      </c>
      <c r="D117" s="20" t="s">
        <v>80</v>
      </c>
      <c r="E117" s="20" t="s">
        <v>81</v>
      </c>
      <c r="F117" s="20" t="s">
        <v>82</v>
      </c>
      <c r="G117" s="20" t="s">
        <v>83</v>
      </c>
      <c r="H117" s="20" t="s">
        <v>84</v>
      </c>
      <c r="I117" s="21" t="s">
        <v>85</v>
      </c>
      <c r="J117" s="22" t="s">
        <v>86</v>
      </c>
      <c r="K117" s="20" t="s">
        <v>19</v>
      </c>
      <c r="L117" s="21" t="s">
        <v>87</v>
      </c>
      <c r="M117" s="23" t="s">
        <v>15</v>
      </c>
      <c r="N117" s="22" t="s">
        <v>88</v>
      </c>
      <c r="O117" s="24" t="s">
        <v>36</v>
      </c>
    </row>
    <row r="118" spans="1:15" x14ac:dyDescent="0.4">
      <c r="A118" s="10">
        <v>0</v>
      </c>
      <c r="B118" s="3"/>
    </row>
    <row r="119" spans="1:15" x14ac:dyDescent="0.4">
      <c r="A119" s="10">
        <f>A118+1</f>
        <v>1</v>
      </c>
      <c r="B119" s="7">
        <f>18.05</f>
        <v>18.05</v>
      </c>
      <c r="C119" s="8">
        <v>490000</v>
      </c>
      <c r="D119" s="8">
        <f>C119*18.05</f>
        <v>8844500</v>
      </c>
      <c r="E119" s="8">
        <v>4.9000000000000004</v>
      </c>
      <c r="F119" s="8">
        <f>E119*C119</f>
        <v>2401000</v>
      </c>
      <c r="G119" s="8">
        <v>3275000</v>
      </c>
      <c r="H119" s="8">
        <f>F119+G119</f>
        <v>5676000</v>
      </c>
      <c r="I119" s="8">
        <f>D119-H119</f>
        <v>3168500</v>
      </c>
      <c r="J119" s="8">
        <f>J82</f>
        <v>1900000</v>
      </c>
      <c r="K119" s="8">
        <f>I119-J119</f>
        <v>1268500</v>
      </c>
      <c r="L119" s="8">
        <f>K119</f>
        <v>1268500</v>
      </c>
      <c r="M119" s="8">
        <f t="shared" ref="M119:M128" si="22">L119*(1-$E$74)</f>
        <v>1002115</v>
      </c>
      <c r="N119" s="8">
        <f>J119</f>
        <v>1900000</v>
      </c>
      <c r="O119" s="44">
        <f>M119+N119</f>
        <v>2902115</v>
      </c>
    </row>
    <row r="120" spans="1:15" x14ac:dyDescent="0.4">
      <c r="A120" s="10">
        <f t="shared" ref="A120:A128" si="23">A119+1</f>
        <v>2</v>
      </c>
      <c r="B120" s="9">
        <f>B119*(1.035)</f>
        <v>18.681750000000001</v>
      </c>
      <c r="C120" s="8">
        <f>C119*(1+0.0275)</f>
        <v>503475.00000000006</v>
      </c>
      <c r="D120" s="8">
        <f>B120*C120</f>
        <v>9405794.0812500007</v>
      </c>
      <c r="E120" s="8">
        <f>E119*(1.0425)</f>
        <v>5.10825</v>
      </c>
      <c r="F120" s="8">
        <f t="shared" ref="F120:F128" si="24">E120*C120</f>
        <v>2571876.1687500002</v>
      </c>
      <c r="G120" s="8">
        <f>G119*1.0325</f>
        <v>3381437.5</v>
      </c>
      <c r="H120" s="8">
        <f t="shared" ref="H120:H128" si="25">F120+G120</f>
        <v>5953313.6687500002</v>
      </c>
      <c r="I120" s="8">
        <f t="shared" ref="I120:I128" si="26">D120-H120</f>
        <v>3452480.4125000006</v>
      </c>
      <c r="J120" s="8">
        <f>J83</f>
        <v>1900000</v>
      </c>
      <c r="K120" s="8">
        <f t="shared" ref="K120:K128" si="27">I120-J120</f>
        <v>1552480.4125000006</v>
      </c>
      <c r="L120" s="8">
        <f t="shared" ref="L120:L128" si="28">K120</f>
        <v>1552480.4125000006</v>
      </c>
      <c r="M120" s="8">
        <f t="shared" si="22"/>
        <v>1226459.5258750005</v>
      </c>
      <c r="N120" s="8">
        <f t="shared" ref="N120:N128" si="29">J120</f>
        <v>1900000</v>
      </c>
      <c r="O120" s="44">
        <f t="shared" ref="O120:O128" si="30">M120+N120</f>
        <v>3126459.5258750003</v>
      </c>
    </row>
    <row r="121" spans="1:15" x14ac:dyDescent="0.4">
      <c r="A121" s="10">
        <f t="shared" si="23"/>
        <v>3</v>
      </c>
      <c r="B121" s="9">
        <f t="shared" ref="B121:B128" si="31">B120*(1+0.035)</f>
        <v>19.335611249999999</v>
      </c>
      <c r="C121" s="8">
        <f t="shared" ref="C121:C128" si="32">C120*(1+0.0275)</f>
        <v>517320.56250000012</v>
      </c>
      <c r="D121" s="8">
        <f t="shared" ref="D121:D128" si="33">B121*C121</f>
        <v>10002709.28813133</v>
      </c>
      <c r="E121" s="8">
        <f t="shared" ref="E121:E128" si="34">E120*(1.0425)</f>
        <v>5.3253506249999996</v>
      </c>
      <c r="F121" s="8">
        <f t="shared" si="24"/>
        <v>2754913.3808347271</v>
      </c>
      <c r="G121" s="8">
        <f t="shared" ref="G121:G128" si="35">G120*1.0325</f>
        <v>3491334.21875</v>
      </c>
      <c r="H121" s="8">
        <f t="shared" si="25"/>
        <v>6246247.5995847266</v>
      </c>
      <c r="I121" s="8">
        <f t="shared" si="26"/>
        <v>3756461.6885466035</v>
      </c>
      <c r="J121" s="8">
        <f>J84</f>
        <v>1900000</v>
      </c>
      <c r="K121" s="8">
        <f t="shared" si="27"/>
        <v>1856461.6885466035</v>
      </c>
      <c r="L121" s="8">
        <f t="shared" si="28"/>
        <v>1856461.6885466035</v>
      </c>
      <c r="M121" s="8">
        <f t="shared" si="22"/>
        <v>1466604.7339518168</v>
      </c>
      <c r="N121" s="8">
        <f t="shared" si="29"/>
        <v>1900000</v>
      </c>
      <c r="O121" s="44">
        <f t="shared" si="30"/>
        <v>3366604.7339518168</v>
      </c>
    </row>
    <row r="122" spans="1:15" x14ac:dyDescent="0.4">
      <c r="A122" s="10">
        <f t="shared" si="23"/>
        <v>4</v>
      </c>
      <c r="B122" s="9">
        <f t="shared" si="31"/>
        <v>20.012357643749997</v>
      </c>
      <c r="C122" s="8">
        <f t="shared" si="32"/>
        <v>531546.8779687502</v>
      </c>
      <c r="D122" s="8">
        <f t="shared" si="33"/>
        <v>10637506.226329366</v>
      </c>
      <c r="E122" s="8">
        <f t="shared" si="34"/>
        <v>5.5516780265624996</v>
      </c>
      <c r="F122" s="8">
        <f t="shared" si="24"/>
        <v>2950977.1225070087</v>
      </c>
      <c r="G122" s="8">
        <f t="shared" si="35"/>
        <v>3604802.5808593747</v>
      </c>
      <c r="H122" s="8">
        <f t="shared" si="25"/>
        <v>6555779.7033663839</v>
      </c>
      <c r="I122" s="8">
        <f t="shared" si="26"/>
        <v>4081726.5229629818</v>
      </c>
      <c r="J122" s="8">
        <f>J85</f>
        <v>1900000</v>
      </c>
      <c r="K122" s="8">
        <f t="shared" si="27"/>
        <v>2181726.5229629818</v>
      </c>
      <c r="L122" s="8">
        <f t="shared" si="28"/>
        <v>2181726.5229629818</v>
      </c>
      <c r="M122" s="8">
        <f t="shared" si="22"/>
        <v>1723563.9531407556</v>
      </c>
      <c r="N122" s="8">
        <f t="shared" si="29"/>
        <v>1900000</v>
      </c>
      <c r="O122" s="44">
        <f t="shared" si="30"/>
        <v>3623563.9531407556</v>
      </c>
    </row>
    <row r="123" spans="1:15" x14ac:dyDescent="0.4">
      <c r="A123" s="10">
        <f t="shared" si="23"/>
        <v>5</v>
      </c>
      <c r="B123" s="9">
        <f t="shared" si="31"/>
        <v>20.712790161281244</v>
      </c>
      <c r="C123" s="8">
        <f t="shared" si="32"/>
        <v>546164.41711289086</v>
      </c>
      <c r="D123" s="8">
        <f t="shared" si="33"/>
        <v>11312588.965217791</v>
      </c>
      <c r="E123" s="8">
        <f t="shared" si="34"/>
        <v>5.787624342691406</v>
      </c>
      <c r="F123" s="8">
        <f t="shared" si="24"/>
        <v>3160994.4755944298</v>
      </c>
      <c r="G123" s="8">
        <f t="shared" si="35"/>
        <v>3721958.6647373042</v>
      </c>
      <c r="H123" s="8">
        <f t="shared" si="25"/>
        <v>6882953.140331734</v>
      </c>
      <c r="I123" s="8">
        <f t="shared" si="26"/>
        <v>4429635.8248860575</v>
      </c>
      <c r="J123" s="8">
        <f>J86</f>
        <v>1900000</v>
      </c>
      <c r="K123" s="8">
        <f t="shared" si="27"/>
        <v>2529635.8248860575</v>
      </c>
      <c r="L123" s="8">
        <f t="shared" si="28"/>
        <v>2529635.8248860575</v>
      </c>
      <c r="M123" s="8">
        <f t="shared" si="22"/>
        <v>1998412.3016599854</v>
      </c>
      <c r="N123" s="8">
        <f t="shared" si="29"/>
        <v>1900000</v>
      </c>
      <c r="O123" s="44">
        <f t="shared" si="30"/>
        <v>3898412.3016599854</v>
      </c>
    </row>
    <row r="124" spans="1:15" x14ac:dyDescent="0.4">
      <c r="A124" s="10">
        <f t="shared" si="23"/>
        <v>6</v>
      </c>
      <c r="B124" s="9">
        <f t="shared" si="31"/>
        <v>21.437737816926088</v>
      </c>
      <c r="C124" s="8">
        <f t="shared" si="32"/>
        <v>561183.93858349544</v>
      </c>
      <c r="D124" s="8">
        <f t="shared" si="33"/>
        <v>12030514.142422928</v>
      </c>
      <c r="E124" s="8">
        <f t="shared" si="34"/>
        <v>6.0335983772557906</v>
      </c>
      <c r="F124" s="8">
        <f t="shared" si="24"/>
        <v>3385958.5011793915</v>
      </c>
      <c r="G124" s="8">
        <f t="shared" si="35"/>
        <v>3842922.3213412664</v>
      </c>
      <c r="H124" s="8">
        <f t="shared" si="25"/>
        <v>7228880.8225206584</v>
      </c>
      <c r="I124" s="8">
        <f t="shared" si="26"/>
        <v>4801633.3199022692</v>
      </c>
      <c r="J124" s="8">
        <v>0</v>
      </c>
      <c r="K124" s="8">
        <f t="shared" si="27"/>
        <v>4801633.3199022692</v>
      </c>
      <c r="L124" s="8">
        <f t="shared" si="28"/>
        <v>4801633.3199022692</v>
      </c>
      <c r="M124" s="8">
        <f t="shared" si="22"/>
        <v>3793290.3227227926</v>
      </c>
      <c r="N124" s="8">
        <f t="shared" si="29"/>
        <v>0</v>
      </c>
      <c r="O124" s="44">
        <f t="shared" si="30"/>
        <v>3793290.3227227926</v>
      </c>
    </row>
    <row r="125" spans="1:15" x14ac:dyDescent="0.4">
      <c r="A125" s="10">
        <f t="shared" si="23"/>
        <v>7</v>
      </c>
      <c r="B125" s="9">
        <f t="shared" si="31"/>
        <v>22.188058640518499</v>
      </c>
      <c r="C125" s="8">
        <f t="shared" si="32"/>
        <v>576616.49689454166</v>
      </c>
      <c r="D125" s="8">
        <f t="shared" si="33"/>
        <v>12794000.646186443</v>
      </c>
      <c r="E125" s="8">
        <f t="shared" si="34"/>
        <v>6.2900263082891614</v>
      </c>
      <c r="F125" s="8">
        <f t="shared" si="24"/>
        <v>3626932.9352602027</v>
      </c>
      <c r="G125" s="8">
        <f t="shared" si="35"/>
        <v>3967817.2967848573</v>
      </c>
      <c r="H125" s="8">
        <f t="shared" si="25"/>
        <v>7594750.23204506</v>
      </c>
      <c r="I125" s="8">
        <f t="shared" si="26"/>
        <v>5199250.414141383</v>
      </c>
      <c r="J125" s="8">
        <v>0</v>
      </c>
      <c r="K125" s="8">
        <f t="shared" si="27"/>
        <v>5199250.414141383</v>
      </c>
      <c r="L125" s="8">
        <f t="shared" si="28"/>
        <v>5199250.414141383</v>
      </c>
      <c r="M125" s="8">
        <f t="shared" si="22"/>
        <v>4107407.8271716926</v>
      </c>
      <c r="N125" s="8">
        <f t="shared" si="29"/>
        <v>0</v>
      </c>
      <c r="O125" s="44">
        <f t="shared" si="30"/>
        <v>4107407.8271716926</v>
      </c>
    </row>
    <row r="126" spans="1:15" x14ac:dyDescent="0.4">
      <c r="A126" s="10">
        <f t="shared" si="23"/>
        <v>8</v>
      </c>
      <c r="B126" s="9">
        <f t="shared" si="31"/>
        <v>22.964640692936644</v>
      </c>
      <c r="C126" s="8">
        <f t="shared" si="32"/>
        <v>592473.45055914158</v>
      </c>
      <c r="D126" s="8">
        <f t="shared" si="33"/>
        <v>13605939.912195049</v>
      </c>
      <c r="E126" s="8">
        <f t="shared" si="34"/>
        <v>6.5573524263914509</v>
      </c>
      <c r="F126" s="8">
        <f t="shared" si="24"/>
        <v>3885057.2185965022</v>
      </c>
      <c r="G126" s="8">
        <f t="shared" si="35"/>
        <v>4096771.3589303652</v>
      </c>
      <c r="H126" s="8">
        <f t="shared" si="25"/>
        <v>7981828.5775268674</v>
      </c>
      <c r="I126" s="8">
        <f t="shared" si="26"/>
        <v>5624111.3346681818</v>
      </c>
      <c r="J126" s="8">
        <v>0</v>
      </c>
      <c r="K126" s="8">
        <f t="shared" si="27"/>
        <v>5624111.3346681818</v>
      </c>
      <c r="L126" s="8">
        <f t="shared" si="28"/>
        <v>5624111.3346681818</v>
      </c>
      <c r="M126" s="8">
        <f t="shared" si="22"/>
        <v>4443047.9543878641</v>
      </c>
      <c r="N126" s="8">
        <f t="shared" si="29"/>
        <v>0</v>
      </c>
      <c r="O126" s="44">
        <f t="shared" si="30"/>
        <v>4443047.9543878641</v>
      </c>
    </row>
    <row r="127" spans="1:15" x14ac:dyDescent="0.4">
      <c r="A127" s="10">
        <f t="shared" si="23"/>
        <v>9</v>
      </c>
      <c r="B127" s="9">
        <f t="shared" si="31"/>
        <v>23.768403117189425</v>
      </c>
      <c r="C127" s="8">
        <f t="shared" si="32"/>
        <v>608766.47044951806</v>
      </c>
      <c r="D127" s="8">
        <f t="shared" si="33"/>
        <v>14469406.873872729</v>
      </c>
      <c r="E127" s="8">
        <f t="shared" si="34"/>
        <v>6.8360399045130871</v>
      </c>
      <c r="F127" s="8">
        <f t="shared" si="24"/>
        <v>4161551.8845224925</v>
      </c>
      <c r="G127" s="8">
        <f t="shared" si="35"/>
        <v>4229916.4280956015</v>
      </c>
      <c r="H127" s="8">
        <f t="shared" si="25"/>
        <v>8391468.3126180936</v>
      </c>
      <c r="I127" s="8">
        <f t="shared" si="26"/>
        <v>6077938.5612546355</v>
      </c>
      <c r="J127" s="8">
        <v>0</v>
      </c>
      <c r="K127" s="8">
        <f t="shared" si="27"/>
        <v>6077938.5612546355</v>
      </c>
      <c r="L127" s="8">
        <f t="shared" si="28"/>
        <v>6077938.5612546355</v>
      </c>
      <c r="M127" s="8">
        <f t="shared" si="22"/>
        <v>4801571.4633911625</v>
      </c>
      <c r="N127" s="8">
        <f t="shared" si="29"/>
        <v>0</v>
      </c>
      <c r="O127" s="44">
        <f t="shared" si="30"/>
        <v>4801571.4633911625</v>
      </c>
    </row>
    <row r="128" spans="1:15" x14ac:dyDescent="0.4">
      <c r="A128" s="10">
        <f t="shared" si="23"/>
        <v>10</v>
      </c>
      <c r="B128" s="9">
        <f t="shared" si="31"/>
        <v>24.600297226291055</v>
      </c>
      <c r="C128" s="8">
        <f t="shared" si="32"/>
        <v>625507.54838687985</v>
      </c>
      <c r="D128" s="8">
        <f t="shared" si="33"/>
        <v>15387671.607605878</v>
      </c>
      <c r="E128" s="8">
        <f t="shared" si="34"/>
        <v>7.1265716004548931</v>
      </c>
      <c r="F128" s="8">
        <f t="shared" si="24"/>
        <v>4457724.3302041031</v>
      </c>
      <c r="G128" s="8">
        <f t="shared" si="35"/>
        <v>4367388.7120087082</v>
      </c>
      <c r="H128" s="8">
        <f t="shared" si="25"/>
        <v>8825113.0422128104</v>
      </c>
      <c r="I128" s="8">
        <f t="shared" si="26"/>
        <v>6562558.5653930679</v>
      </c>
      <c r="J128" s="8">
        <v>0</v>
      </c>
      <c r="K128" s="8">
        <f t="shared" si="27"/>
        <v>6562558.5653930679</v>
      </c>
      <c r="L128" s="8">
        <f t="shared" si="28"/>
        <v>6562558.5653930679</v>
      </c>
      <c r="M128" s="8">
        <f t="shared" si="22"/>
        <v>5184421.2666605236</v>
      </c>
      <c r="N128" s="8">
        <f t="shared" si="29"/>
        <v>0</v>
      </c>
      <c r="O128" s="44">
        <f t="shared" si="30"/>
        <v>5184421.2666605236</v>
      </c>
    </row>
    <row r="129" spans="1:15" x14ac:dyDescent="0.4">
      <c r="N129" s="18"/>
      <c r="O129" s="29"/>
    </row>
    <row r="130" spans="1:15" x14ac:dyDescent="0.4">
      <c r="O130" s="30"/>
    </row>
    <row r="131" spans="1:15" x14ac:dyDescent="0.4">
      <c r="A131" s="10" t="s">
        <v>77</v>
      </c>
      <c r="B131" s="10">
        <v>0</v>
      </c>
      <c r="C131" s="10">
        <f>Table613[[#This Row],[Column2]]+1</f>
        <v>1</v>
      </c>
      <c r="D131" s="10">
        <f>Table613[[#This Row],[Column3]]+1</f>
        <v>2</v>
      </c>
      <c r="E131" s="10">
        <f>Table613[[#This Row],[Column4]]+1</f>
        <v>3</v>
      </c>
      <c r="F131" s="10">
        <f>Table613[[#This Row],[Column5]]+1</f>
        <v>4</v>
      </c>
      <c r="G131" s="10">
        <f>Table613[[#This Row],[Column6]]+1</f>
        <v>5</v>
      </c>
      <c r="H131" s="10">
        <f>Table613[[#This Row],[Column7]]+1</f>
        <v>6</v>
      </c>
      <c r="I131" s="10">
        <f>Table613[[#This Row],[Column8]]+1</f>
        <v>7</v>
      </c>
      <c r="J131" s="10">
        <f>Table613[[#This Row],[Column9]]+1</f>
        <v>8</v>
      </c>
      <c r="K131" s="10">
        <f>Table613[[#This Row],[Column10]]+1</f>
        <v>9</v>
      </c>
      <c r="L131" s="10">
        <f>Table613[[#This Row],[Column11]]+1</f>
        <v>10</v>
      </c>
    </row>
    <row r="132" spans="1:15" x14ac:dyDescent="0.4">
      <c r="A132" s="10" t="s">
        <v>36</v>
      </c>
      <c r="B132">
        <v>0</v>
      </c>
      <c r="C132" s="8">
        <f>O119</f>
        <v>2902115</v>
      </c>
      <c r="D132" s="8">
        <f>O120</f>
        <v>3126459.5258750003</v>
      </c>
      <c r="E132" s="8">
        <f>O121</f>
        <v>3366604.7339518168</v>
      </c>
      <c r="F132" s="8">
        <f>O122</f>
        <v>3623563.9531407556</v>
      </c>
      <c r="G132" s="8">
        <f>O123</f>
        <v>3898412.3016599854</v>
      </c>
      <c r="H132" s="8">
        <f>O124</f>
        <v>3793290.3227227926</v>
      </c>
      <c r="I132" s="8">
        <f>O125</f>
        <v>4107407.8271716926</v>
      </c>
      <c r="J132" s="8">
        <f>O126</f>
        <v>4443047.9543878641</v>
      </c>
      <c r="K132" s="8">
        <f>O127</f>
        <v>4801571.4633911625</v>
      </c>
      <c r="L132" s="8">
        <f>O128</f>
        <v>5184421.2666605236</v>
      </c>
    </row>
    <row r="133" spans="1:15" x14ac:dyDescent="0.4">
      <c r="A133" s="10" t="s">
        <v>33</v>
      </c>
      <c r="B133">
        <v>-8575000</v>
      </c>
      <c r="E133">
        <v>-1500000</v>
      </c>
    </row>
    <row r="134" spans="1:15" x14ac:dyDescent="0.4">
      <c r="A134" s="10" t="s">
        <v>30</v>
      </c>
      <c r="B134">
        <v>475000</v>
      </c>
      <c r="F134">
        <v>150000</v>
      </c>
      <c r="L134">
        <v>0</v>
      </c>
    </row>
    <row r="135" spans="1:15" x14ac:dyDescent="0.4">
      <c r="A135" s="12" t="s">
        <v>89</v>
      </c>
      <c r="B135">
        <f>-B134</f>
        <v>-475000</v>
      </c>
      <c r="F135">
        <f>-F134</f>
        <v>-150000</v>
      </c>
      <c r="L135">
        <f>-(Table613[[#This Row],[Column2]]+Table613[[#This Row],[Column6]])</f>
        <v>625000</v>
      </c>
    </row>
    <row r="136" spans="1:15" x14ac:dyDescent="0.4">
      <c r="A136" s="12" t="s">
        <v>38</v>
      </c>
      <c r="B136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f>I73</f>
        <v>1580000</v>
      </c>
    </row>
    <row r="137" spans="1:15" x14ac:dyDescent="0.4">
      <c r="A137" s="12" t="s">
        <v>68</v>
      </c>
      <c r="B137" s="4">
        <f>B132+B133+B135+B136</f>
        <v>-9050000</v>
      </c>
      <c r="C137" s="44">
        <f t="shared" ref="C137:K137" si="36">C132+C133+C135+C136</f>
        <v>2902115</v>
      </c>
      <c r="D137" s="44">
        <f t="shared" si="36"/>
        <v>3126459.5258750003</v>
      </c>
      <c r="E137" s="44">
        <f t="shared" si="36"/>
        <v>1866604.7339518168</v>
      </c>
      <c r="F137" s="44">
        <f t="shared" si="36"/>
        <v>3473563.9531407556</v>
      </c>
      <c r="G137" s="44">
        <f t="shared" si="36"/>
        <v>3898412.3016599854</v>
      </c>
      <c r="H137" s="44">
        <f t="shared" si="36"/>
        <v>3793290.3227227926</v>
      </c>
      <c r="I137" s="44">
        <f t="shared" si="36"/>
        <v>4107407.8271716926</v>
      </c>
      <c r="J137" s="44">
        <f t="shared" si="36"/>
        <v>4443047.9543878641</v>
      </c>
      <c r="K137" s="44">
        <f t="shared" si="36"/>
        <v>4801571.4633911625</v>
      </c>
      <c r="L137" s="44">
        <f>L132+L135+L136</f>
        <v>7389421.2666605236</v>
      </c>
    </row>
    <row r="139" spans="1:15" x14ac:dyDescent="0.4">
      <c r="A139" s="47" t="s">
        <v>95</v>
      </c>
      <c r="B139" s="34"/>
      <c r="C139" s="34"/>
      <c r="D139" s="34"/>
      <c r="E139" s="46" t="s">
        <v>96</v>
      </c>
    </row>
    <row r="140" spans="1:15" x14ac:dyDescent="0.4">
      <c r="A140" s="10" t="s">
        <v>47</v>
      </c>
      <c r="B140" s="4">
        <f>NPV(F63,C137:L137)+B137</f>
        <v>13672611.946574766</v>
      </c>
    </row>
    <row r="141" spans="1:15" x14ac:dyDescent="0.4">
      <c r="A141" s="10" t="s">
        <v>49</v>
      </c>
      <c r="B141" s="39">
        <f>IRR(B137:L137)</f>
        <v>0.33866340748323576</v>
      </c>
    </row>
    <row r="142" spans="1:15" x14ac:dyDescent="0.4">
      <c r="A142" s="10" t="s">
        <v>64</v>
      </c>
      <c r="B142" s="4">
        <f>(-(B137)+B140)/-B137</f>
        <v>2.5107858504502505</v>
      </c>
    </row>
    <row r="144" spans="1:15" x14ac:dyDescent="0.4">
      <c r="A144" s="10" t="s">
        <v>92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1:15" x14ac:dyDescent="0.4">
      <c r="A145" s="10" t="s">
        <v>77</v>
      </c>
      <c r="B145" s="10">
        <f>0</f>
        <v>0</v>
      </c>
      <c r="C145" s="10">
        <f t="shared" ref="C145:L145" si="37">B145+1</f>
        <v>1</v>
      </c>
      <c r="D145" s="10">
        <f t="shared" si="37"/>
        <v>2</v>
      </c>
      <c r="E145" s="10">
        <f t="shared" si="37"/>
        <v>3</v>
      </c>
      <c r="F145" s="10">
        <f t="shared" si="37"/>
        <v>4</v>
      </c>
      <c r="G145" s="10">
        <f t="shared" si="37"/>
        <v>5</v>
      </c>
      <c r="H145" s="10">
        <f t="shared" si="37"/>
        <v>6</v>
      </c>
      <c r="I145" s="10">
        <f t="shared" si="37"/>
        <v>7</v>
      </c>
      <c r="J145" s="10">
        <f t="shared" si="37"/>
        <v>8</v>
      </c>
      <c r="K145" s="10">
        <f t="shared" si="37"/>
        <v>9</v>
      </c>
      <c r="L145" s="10">
        <f t="shared" si="37"/>
        <v>10</v>
      </c>
    </row>
    <row r="146" spans="1:15" x14ac:dyDescent="0.4">
      <c r="A146" s="10" t="s">
        <v>68</v>
      </c>
      <c r="B146">
        <f>B137</f>
        <v>-9050000</v>
      </c>
      <c r="C146" s="8">
        <f t="shared" ref="C146:L146" si="38">C137</f>
        <v>2902115</v>
      </c>
      <c r="D146" s="8">
        <f t="shared" si="38"/>
        <v>3126459.5258750003</v>
      </c>
      <c r="E146" s="8">
        <f t="shared" si="38"/>
        <v>1866604.7339518168</v>
      </c>
      <c r="F146" s="8">
        <f t="shared" si="38"/>
        <v>3473563.9531407556</v>
      </c>
      <c r="G146" s="8">
        <f t="shared" si="38"/>
        <v>3898412.3016599854</v>
      </c>
      <c r="H146" s="8">
        <f t="shared" si="38"/>
        <v>3793290.3227227926</v>
      </c>
      <c r="I146" s="8">
        <f t="shared" si="38"/>
        <v>4107407.8271716926</v>
      </c>
      <c r="J146" s="8">
        <f t="shared" si="38"/>
        <v>4443047.9543878641</v>
      </c>
      <c r="K146" s="8">
        <f t="shared" si="38"/>
        <v>4801571.4633911625</v>
      </c>
      <c r="L146" s="8">
        <f t="shared" si="38"/>
        <v>7389421.2666605236</v>
      </c>
    </row>
    <row r="147" spans="1:15" x14ac:dyDescent="0.4">
      <c r="A147" s="10" t="s">
        <v>70</v>
      </c>
      <c r="B147">
        <f t="shared" ref="B147:L147" si="39">B146/(1+$F$63)^B145</f>
        <v>-9050000</v>
      </c>
      <c r="C147" s="8">
        <f t="shared" si="39"/>
        <v>2640356.6432771147</v>
      </c>
      <c r="D147" s="8">
        <f t="shared" si="39"/>
        <v>2587907.5663814838</v>
      </c>
      <c r="E147" s="8">
        <f t="shared" si="39"/>
        <v>1405711.7895448124</v>
      </c>
      <c r="F147" s="8">
        <f t="shared" si="39"/>
        <v>2379946.5212540864</v>
      </c>
      <c r="G147" s="8">
        <f t="shared" si="39"/>
        <v>2430119.5688565546</v>
      </c>
      <c r="H147" s="8">
        <f t="shared" si="39"/>
        <v>2151314.6351424307</v>
      </c>
      <c r="I147" s="8">
        <f t="shared" si="39"/>
        <v>2119354.7119663851</v>
      </c>
      <c r="J147" s="8">
        <f t="shared" si="39"/>
        <v>2085762.2301629051</v>
      </c>
      <c r="K147" s="8">
        <f t="shared" si="39"/>
        <v>2050761.5675406517</v>
      </c>
      <c r="L147" s="8">
        <f t="shared" si="39"/>
        <v>2871376.7124483404</v>
      </c>
    </row>
    <row r="148" spans="1:15" x14ac:dyDescent="0.4">
      <c r="A148" s="10" t="s">
        <v>73</v>
      </c>
      <c r="B148" s="4">
        <f>B147</f>
        <v>-9050000</v>
      </c>
      <c r="C148" s="44">
        <f>Table26[[#This Row],[Column2]]+C147</f>
        <v>-6409643.3567228857</v>
      </c>
      <c r="D148" s="44">
        <f>Table26[[#This Row],[Column3]]+D147</f>
        <v>-3821735.7903414019</v>
      </c>
      <c r="E148" s="44">
        <f>Table26[[#This Row],[Column4]]+E147</f>
        <v>-2416024.0007965895</v>
      </c>
      <c r="F148" s="44">
        <f>Table26[[#This Row],[Column5]]+F147</f>
        <v>-36077.479542503133</v>
      </c>
      <c r="G148" s="76">
        <f>Table26[[#This Row],[Column6]]+G147</f>
        <v>2394042.0893140514</v>
      </c>
      <c r="H148" s="76">
        <f>Table26[[#This Row],[Column7]]+H147</f>
        <v>4545356.7244564816</v>
      </c>
      <c r="I148" s="76">
        <f>Table26[[#This Row],[Column8]]+I147</f>
        <v>6664711.4364228668</v>
      </c>
      <c r="J148" s="76">
        <f>Table26[[#This Row],[Column9]]+J147</f>
        <v>8750473.6665857714</v>
      </c>
      <c r="K148" s="76">
        <f>Table26[[#This Row],[Column10]]+K147</f>
        <v>10801235.234126423</v>
      </c>
      <c r="L148" s="76">
        <f>Table26[[#This Row],[Column11]]+L147</f>
        <v>13672611.946574762</v>
      </c>
    </row>
    <row r="149" spans="1:15" x14ac:dyDescent="0.4">
      <c r="A149" s="10" t="s">
        <v>157</v>
      </c>
      <c r="B149" s="78">
        <f>F145+(-F148/G147)</f>
        <v>4.0148459688999907</v>
      </c>
    </row>
    <row r="152" spans="1:15" ht="23.6" x14ac:dyDescent="0.65">
      <c r="A152" s="35" t="s">
        <v>97</v>
      </c>
      <c r="B152" s="36"/>
      <c r="C152" s="34"/>
      <c r="D152" s="46" t="s">
        <v>98</v>
      </c>
    </row>
    <row r="154" spans="1:15" x14ac:dyDescent="0.4">
      <c r="A154" s="19" t="s">
        <v>77</v>
      </c>
      <c r="B154" s="20" t="s">
        <v>78</v>
      </c>
      <c r="C154" s="20" t="s">
        <v>79</v>
      </c>
      <c r="D154" s="20" t="s">
        <v>80</v>
      </c>
      <c r="E154" s="20" t="s">
        <v>81</v>
      </c>
      <c r="F154" s="20" t="s">
        <v>82</v>
      </c>
      <c r="G154" s="20" t="s">
        <v>83</v>
      </c>
      <c r="H154" s="20" t="s">
        <v>84</v>
      </c>
      <c r="I154" s="21" t="s">
        <v>85</v>
      </c>
      <c r="J154" s="22" t="s">
        <v>86</v>
      </c>
      <c r="K154" s="20" t="s">
        <v>19</v>
      </c>
      <c r="L154" s="21" t="s">
        <v>87</v>
      </c>
      <c r="M154" s="23" t="s">
        <v>15</v>
      </c>
      <c r="N154" s="22" t="s">
        <v>88</v>
      </c>
      <c r="O154" s="24" t="s">
        <v>36</v>
      </c>
    </row>
    <row r="155" spans="1:15" x14ac:dyDescent="0.4">
      <c r="A155" s="49">
        <v>0</v>
      </c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 x14ac:dyDescent="0.4">
      <c r="A156" s="10">
        <f t="shared" ref="A156:A165" si="40">A155+1</f>
        <v>1</v>
      </c>
      <c r="B156">
        <f>B119</f>
        <v>18.05</v>
      </c>
      <c r="C156" s="8">
        <v>375000</v>
      </c>
      <c r="D156" s="8">
        <f>B156*C156</f>
        <v>6768750</v>
      </c>
      <c r="E156" s="8">
        <v>6.1</v>
      </c>
      <c r="F156" s="8">
        <f>E156*C156</f>
        <v>2287500</v>
      </c>
      <c r="G156" s="8">
        <v>4100000</v>
      </c>
      <c r="H156" s="8">
        <f>F156+G156</f>
        <v>6387500</v>
      </c>
      <c r="I156" s="8">
        <f>D156-H156</f>
        <v>381250</v>
      </c>
      <c r="J156" s="8">
        <f>J120</f>
        <v>1900000</v>
      </c>
      <c r="K156" s="8">
        <f>I156-J156</f>
        <v>-1518750</v>
      </c>
      <c r="L156" s="8">
        <v>0</v>
      </c>
      <c r="M156" s="8">
        <f>K156</f>
        <v>-1518750</v>
      </c>
      <c r="N156" s="8">
        <f>J156</f>
        <v>1900000</v>
      </c>
      <c r="O156" s="44">
        <f>M156+N156</f>
        <v>381250</v>
      </c>
    </row>
    <row r="157" spans="1:15" x14ac:dyDescent="0.4">
      <c r="A157" s="10">
        <f t="shared" si="40"/>
        <v>2</v>
      </c>
      <c r="B157" s="8">
        <f>B156*(1.035)</f>
        <v>18.681750000000001</v>
      </c>
      <c r="C157" s="8">
        <f>C156*(1+0.0275)</f>
        <v>385312.50000000006</v>
      </c>
      <c r="D157" s="8">
        <f t="shared" ref="D157:D165" si="41">B157*C157</f>
        <v>7198311.7968750019</v>
      </c>
      <c r="E157" s="8">
        <f>E156*(1.0425)</f>
        <v>6.3592499999999994</v>
      </c>
      <c r="F157" s="8">
        <f t="shared" ref="F157:F165" si="42">E157*C157</f>
        <v>2450298.515625</v>
      </c>
      <c r="G157" s="8">
        <f>G156*1.0325</f>
        <v>4233250</v>
      </c>
      <c r="H157" s="8">
        <f t="shared" ref="H157:H165" si="43">F157+G157</f>
        <v>6683548.515625</v>
      </c>
      <c r="I157" s="8">
        <f t="shared" ref="I157:I165" si="44">D157-H157</f>
        <v>514763.28125000186</v>
      </c>
      <c r="J157" s="8">
        <f>J121</f>
        <v>1900000</v>
      </c>
      <c r="K157" s="8">
        <f t="shared" ref="K157:K165" si="45">I157-J157</f>
        <v>-1385236.7187499981</v>
      </c>
      <c r="L157" s="8">
        <v>0</v>
      </c>
      <c r="M157" s="8">
        <f>K157</f>
        <v>-1385236.7187499981</v>
      </c>
      <c r="N157" s="8">
        <f t="shared" ref="N157:N165" si="46">J157</f>
        <v>1900000</v>
      </c>
      <c r="O157" s="44">
        <f t="shared" ref="O157:O164" si="47">M157+N157</f>
        <v>514763.28125000186</v>
      </c>
    </row>
    <row r="158" spans="1:15" x14ac:dyDescent="0.4">
      <c r="A158" s="10">
        <f t="shared" si="40"/>
        <v>3</v>
      </c>
      <c r="B158" s="8">
        <f t="shared" ref="B158:B165" si="48">B157*(1.035)</f>
        <v>19.335611249999999</v>
      </c>
      <c r="C158" s="8">
        <f t="shared" ref="C158:C165" si="49">C157*(1+0.0275)</f>
        <v>395908.59375000012</v>
      </c>
      <c r="D158" s="8">
        <f t="shared" si="41"/>
        <v>7655134.6592841819</v>
      </c>
      <c r="E158" s="8">
        <f t="shared" ref="E158:E165" si="50">E157*(1.0425)</f>
        <v>6.6295181249999997</v>
      </c>
      <c r="F158" s="8">
        <f t="shared" si="42"/>
        <v>2624683.1981088873</v>
      </c>
      <c r="G158" s="8">
        <f t="shared" ref="G158:G165" si="51">G157*1.0325</f>
        <v>4370830.625</v>
      </c>
      <c r="H158" s="8">
        <f t="shared" si="43"/>
        <v>6995513.8231088873</v>
      </c>
      <c r="I158" s="8">
        <f t="shared" si="44"/>
        <v>659620.83617529459</v>
      </c>
      <c r="J158" s="8">
        <f>J122</f>
        <v>1900000</v>
      </c>
      <c r="K158" s="8">
        <f t="shared" si="45"/>
        <v>-1240379.1638247054</v>
      </c>
      <c r="L158" s="8">
        <v>0</v>
      </c>
      <c r="M158" s="8">
        <f>K158</f>
        <v>-1240379.1638247054</v>
      </c>
      <c r="N158" s="8">
        <f t="shared" si="46"/>
        <v>1900000</v>
      </c>
      <c r="O158" s="44">
        <f t="shared" si="47"/>
        <v>659620.83617529459</v>
      </c>
    </row>
    <row r="159" spans="1:15" x14ac:dyDescent="0.4">
      <c r="A159" s="10">
        <f t="shared" si="40"/>
        <v>4</v>
      </c>
      <c r="B159" s="8">
        <f t="shared" si="48"/>
        <v>20.012357643749997</v>
      </c>
      <c r="C159" s="8">
        <f t="shared" si="49"/>
        <v>406796.08007812517</v>
      </c>
      <c r="D159" s="8">
        <f t="shared" si="41"/>
        <v>8140948.6425990043</v>
      </c>
      <c r="E159" s="8">
        <f t="shared" si="50"/>
        <v>6.9112726453124997</v>
      </c>
      <c r="F159" s="8">
        <f t="shared" si="42"/>
        <v>2811478.6204642998</v>
      </c>
      <c r="G159" s="8">
        <f t="shared" si="51"/>
        <v>4512882.6203124998</v>
      </c>
      <c r="H159" s="8">
        <f t="shared" si="43"/>
        <v>7324361.2407767996</v>
      </c>
      <c r="I159" s="8">
        <f t="shared" si="44"/>
        <v>816587.4018222047</v>
      </c>
      <c r="J159" s="8">
        <f>J123</f>
        <v>1900000</v>
      </c>
      <c r="K159" s="8">
        <f t="shared" si="45"/>
        <v>-1083412.5981777953</v>
      </c>
      <c r="L159" s="8">
        <v>0</v>
      </c>
      <c r="M159" s="8">
        <f>K159</f>
        <v>-1083412.5981777953</v>
      </c>
      <c r="N159" s="8">
        <f t="shared" si="46"/>
        <v>1900000</v>
      </c>
      <c r="O159" s="44">
        <f t="shared" si="47"/>
        <v>816587.4018222047</v>
      </c>
    </row>
    <row r="160" spans="1:15" x14ac:dyDescent="0.4">
      <c r="A160" s="10">
        <f t="shared" si="40"/>
        <v>5</v>
      </c>
      <c r="B160" s="8">
        <f t="shared" si="48"/>
        <v>20.712790161281244</v>
      </c>
      <c r="C160" s="8">
        <f t="shared" si="49"/>
        <v>417982.97228027362</v>
      </c>
      <c r="D160" s="8">
        <f t="shared" si="41"/>
        <v>8657593.5958299432</v>
      </c>
      <c r="E160" s="8">
        <f t="shared" si="50"/>
        <v>7.2050017327382809</v>
      </c>
      <c r="F160" s="8">
        <f t="shared" si="42"/>
        <v>3011568.0395344682</v>
      </c>
      <c r="G160" s="8">
        <f t="shared" si="51"/>
        <v>4659551.3054726562</v>
      </c>
      <c r="H160" s="8">
        <f t="shared" si="43"/>
        <v>7671119.3450071244</v>
      </c>
      <c r="I160" s="8">
        <f t="shared" si="44"/>
        <v>986474.25082281884</v>
      </c>
      <c r="J160" s="8">
        <f>J159</f>
        <v>1900000</v>
      </c>
      <c r="K160" s="8">
        <f t="shared" si="45"/>
        <v>-913525.74917718116</v>
      </c>
      <c r="L160" s="8">
        <f>0</f>
        <v>0</v>
      </c>
      <c r="M160" s="8">
        <f>K160</f>
        <v>-913525.74917718116</v>
      </c>
      <c r="N160" s="8">
        <f t="shared" si="46"/>
        <v>1900000</v>
      </c>
      <c r="O160" s="44">
        <f t="shared" si="47"/>
        <v>986474.25082281884</v>
      </c>
    </row>
    <row r="161" spans="1:15" x14ac:dyDescent="0.4">
      <c r="A161" s="10">
        <f t="shared" si="40"/>
        <v>6</v>
      </c>
      <c r="B161" s="8">
        <f t="shared" si="48"/>
        <v>21.437737816926088</v>
      </c>
      <c r="C161" s="8">
        <f t="shared" si="49"/>
        <v>429477.50401798118</v>
      </c>
      <c r="D161" s="8">
        <f t="shared" si="41"/>
        <v>9207026.1294053011</v>
      </c>
      <c r="E161" s="8">
        <f t="shared" si="50"/>
        <v>7.5112143063796575</v>
      </c>
      <c r="F161" s="8">
        <f t="shared" si="42"/>
        <v>3225897.5724480869</v>
      </c>
      <c r="G161" s="8">
        <f t="shared" si="51"/>
        <v>4810986.7229005173</v>
      </c>
      <c r="H161" s="8">
        <f t="shared" si="43"/>
        <v>8036884.2953486042</v>
      </c>
      <c r="I161" s="8">
        <f t="shared" si="44"/>
        <v>1170141.8340566969</v>
      </c>
      <c r="J161" s="8">
        <f>J125</f>
        <v>0</v>
      </c>
      <c r="K161" s="8">
        <f t="shared" si="45"/>
        <v>1170141.8340566969</v>
      </c>
      <c r="L161" s="8">
        <f t="shared" ref="L161:L165" si="52">K161</f>
        <v>1170141.8340566969</v>
      </c>
      <c r="M161" s="8">
        <f>K161*(1-$E$74)</f>
        <v>924412.04890479054</v>
      </c>
      <c r="N161" s="8">
        <f t="shared" si="46"/>
        <v>0</v>
      </c>
      <c r="O161" s="44">
        <f t="shared" si="47"/>
        <v>924412.04890479054</v>
      </c>
    </row>
    <row r="162" spans="1:15" x14ac:dyDescent="0.4">
      <c r="A162" s="10">
        <f t="shared" si="40"/>
        <v>7</v>
      </c>
      <c r="B162" s="8">
        <f t="shared" si="48"/>
        <v>22.188058640518499</v>
      </c>
      <c r="C162" s="8">
        <f t="shared" si="49"/>
        <v>441288.13537847571</v>
      </c>
      <c r="D162" s="8">
        <f t="shared" si="41"/>
        <v>9791327.0251426846</v>
      </c>
      <c r="E162" s="8">
        <f t="shared" si="50"/>
        <v>7.8304409144007927</v>
      </c>
      <c r="F162" s="8">
        <f t="shared" si="42"/>
        <v>3455480.6703072521</v>
      </c>
      <c r="G162" s="8">
        <f t="shared" si="51"/>
        <v>4967343.7913947841</v>
      </c>
      <c r="H162" s="8">
        <f t="shared" si="43"/>
        <v>8422824.4617020357</v>
      </c>
      <c r="I162" s="8">
        <f t="shared" si="44"/>
        <v>1368502.5634406488</v>
      </c>
      <c r="J162" s="8">
        <f>J126</f>
        <v>0</v>
      </c>
      <c r="K162" s="8">
        <f t="shared" si="45"/>
        <v>1368502.5634406488</v>
      </c>
      <c r="L162" s="8">
        <f t="shared" si="52"/>
        <v>1368502.5634406488</v>
      </c>
      <c r="M162" s="8">
        <f>K162*(1-$E$74)</f>
        <v>1081117.0251181126</v>
      </c>
      <c r="N162" s="8">
        <f t="shared" si="46"/>
        <v>0</v>
      </c>
      <c r="O162" s="44">
        <f t="shared" si="47"/>
        <v>1081117.0251181126</v>
      </c>
    </row>
    <row r="163" spans="1:15" x14ac:dyDescent="0.4">
      <c r="A163" s="10">
        <f t="shared" si="40"/>
        <v>8</v>
      </c>
      <c r="B163" s="8">
        <f t="shared" si="48"/>
        <v>22.964640692936644</v>
      </c>
      <c r="C163" s="8">
        <f t="shared" si="49"/>
        <v>453423.55910138384</v>
      </c>
      <c r="D163" s="8">
        <f t="shared" si="41"/>
        <v>10412709.116475804</v>
      </c>
      <c r="E163" s="8">
        <f t="shared" si="50"/>
        <v>8.1632346532628262</v>
      </c>
      <c r="F163" s="8">
        <f t="shared" si="42"/>
        <v>3701402.9102621819</v>
      </c>
      <c r="G163" s="8">
        <f t="shared" si="51"/>
        <v>5128782.464615114</v>
      </c>
      <c r="H163" s="8">
        <f t="shared" si="43"/>
        <v>8830185.3748772964</v>
      </c>
      <c r="I163" s="8">
        <f t="shared" si="44"/>
        <v>1582523.7415985074</v>
      </c>
      <c r="J163" s="8">
        <f>J127</f>
        <v>0</v>
      </c>
      <c r="K163" s="8">
        <f t="shared" si="45"/>
        <v>1582523.7415985074</v>
      </c>
      <c r="L163" s="8">
        <f t="shared" si="52"/>
        <v>1582523.7415985074</v>
      </c>
      <c r="M163" s="8">
        <f>K163*(1-$E$74)</f>
        <v>1250193.7558628209</v>
      </c>
      <c r="N163" s="8">
        <f t="shared" si="46"/>
        <v>0</v>
      </c>
      <c r="O163" s="44">
        <f t="shared" si="47"/>
        <v>1250193.7558628209</v>
      </c>
    </row>
    <row r="164" spans="1:15" x14ac:dyDescent="0.4">
      <c r="A164" s="10">
        <f t="shared" si="40"/>
        <v>9</v>
      </c>
      <c r="B164" s="8">
        <f t="shared" si="48"/>
        <v>23.768403117189425</v>
      </c>
      <c r="C164" s="8">
        <f t="shared" si="49"/>
        <v>465892.70697667194</v>
      </c>
      <c r="D164" s="8">
        <f t="shared" si="41"/>
        <v>11073525.668780148</v>
      </c>
      <c r="E164" s="8">
        <f t="shared" si="50"/>
        <v>8.5101721260264966</v>
      </c>
      <c r="F164" s="8">
        <f t="shared" si="42"/>
        <v>3964827.1286319038</v>
      </c>
      <c r="G164" s="8">
        <f t="shared" si="51"/>
        <v>5295467.8947151052</v>
      </c>
      <c r="H164" s="8">
        <f t="shared" si="43"/>
        <v>9260295.023347009</v>
      </c>
      <c r="I164" s="8">
        <f t="shared" si="44"/>
        <v>1813230.6454331391</v>
      </c>
      <c r="J164" s="8">
        <f>J128</f>
        <v>0</v>
      </c>
      <c r="K164" s="8">
        <f t="shared" si="45"/>
        <v>1813230.6454331391</v>
      </c>
      <c r="L164" s="8">
        <f t="shared" si="52"/>
        <v>1813230.6454331391</v>
      </c>
      <c r="M164" s="8">
        <f>K164*(1-$E$74)</f>
        <v>1432452.2098921798</v>
      </c>
      <c r="N164" s="8">
        <f t="shared" si="46"/>
        <v>0</v>
      </c>
      <c r="O164" s="44">
        <f t="shared" si="47"/>
        <v>1432452.2098921798</v>
      </c>
    </row>
    <row r="165" spans="1:15" x14ac:dyDescent="0.4">
      <c r="A165" s="10">
        <f t="shared" si="40"/>
        <v>10</v>
      </c>
      <c r="B165" s="8">
        <f t="shared" si="48"/>
        <v>24.600297226291055</v>
      </c>
      <c r="C165" s="8">
        <f t="shared" si="49"/>
        <v>478704.75641853048</v>
      </c>
      <c r="D165" s="8">
        <f t="shared" si="41"/>
        <v>11776279.291535111</v>
      </c>
      <c r="E165" s="8">
        <f t="shared" si="50"/>
        <v>8.8718544413826219</v>
      </c>
      <c r="F165" s="8">
        <f t="shared" si="42"/>
        <v>4246998.9193427255</v>
      </c>
      <c r="G165" s="8">
        <f t="shared" si="51"/>
        <v>5467570.6012933459</v>
      </c>
      <c r="H165" s="8">
        <f t="shared" si="43"/>
        <v>9714569.5206360705</v>
      </c>
      <c r="I165" s="8">
        <f t="shared" si="44"/>
        <v>2061709.7708990406</v>
      </c>
      <c r="J165" s="8">
        <f>J129</f>
        <v>0</v>
      </c>
      <c r="K165" s="8">
        <f t="shared" si="45"/>
        <v>2061709.7708990406</v>
      </c>
      <c r="L165" s="8">
        <f t="shared" si="52"/>
        <v>2061709.7708990406</v>
      </c>
      <c r="M165" s="8">
        <f>K165*(1-$E$74)</f>
        <v>1628750.7190102423</v>
      </c>
      <c r="N165" s="8">
        <f t="shared" si="46"/>
        <v>0</v>
      </c>
      <c r="O165" s="44">
        <f>M165+N165</f>
        <v>1628750.7190102423</v>
      </c>
    </row>
    <row r="168" spans="1:15" x14ac:dyDescent="0.4">
      <c r="A168" s="10" t="s">
        <v>77</v>
      </c>
      <c r="B168" s="10">
        <v>0</v>
      </c>
      <c r="C168" s="10">
        <f>Table61314[[#This Row],[Column2]]+1</f>
        <v>1</v>
      </c>
      <c r="D168" s="10">
        <f>Table61314[[#This Row],[Column3]]+1</f>
        <v>2</v>
      </c>
      <c r="E168" s="10">
        <f>Table61314[[#This Row],[Column4]]+1</f>
        <v>3</v>
      </c>
      <c r="F168" s="10">
        <f>Table61314[[#This Row],[Column5]]+1</f>
        <v>4</v>
      </c>
      <c r="G168" s="10">
        <f>Table61314[[#This Row],[Column6]]+1</f>
        <v>5</v>
      </c>
      <c r="H168" s="10">
        <f>Table61314[[#This Row],[Column7]]+1</f>
        <v>6</v>
      </c>
      <c r="I168" s="10">
        <f>Table61314[[#This Row],[Column8]]+1</f>
        <v>7</v>
      </c>
      <c r="J168" s="10">
        <f>Table61314[[#This Row],[Column9]]+1</f>
        <v>8</v>
      </c>
      <c r="K168" s="10">
        <f>Table61314[[#This Row],[Column10]]+1</f>
        <v>9</v>
      </c>
      <c r="L168" s="10">
        <f>Table61314[[#This Row],[Column11]]+1</f>
        <v>10</v>
      </c>
    </row>
    <row r="169" spans="1:15" x14ac:dyDescent="0.4">
      <c r="A169" s="10" t="s">
        <v>36</v>
      </c>
      <c r="B169">
        <v>0</v>
      </c>
      <c r="C169" s="8">
        <f>O156</f>
        <v>381250</v>
      </c>
      <c r="D169" s="8">
        <f>O157</f>
        <v>514763.28125000186</v>
      </c>
      <c r="E169" s="8">
        <f>O158</f>
        <v>659620.83617529459</v>
      </c>
      <c r="F169" s="8">
        <f>O159</f>
        <v>816587.4018222047</v>
      </c>
      <c r="G169" s="8">
        <f>O160</f>
        <v>986474.25082281884</v>
      </c>
      <c r="H169" s="8">
        <f>O161</f>
        <v>924412.04890479054</v>
      </c>
      <c r="I169" s="8">
        <f>O162</f>
        <v>1081117.0251181126</v>
      </c>
      <c r="J169" s="8">
        <f>O163</f>
        <v>1250193.7558628209</v>
      </c>
      <c r="K169" s="8">
        <f>O164</f>
        <v>1432452.2098921798</v>
      </c>
      <c r="L169" s="8">
        <f>O165</f>
        <v>1628750.7190102423</v>
      </c>
    </row>
    <row r="170" spans="1:15" x14ac:dyDescent="0.4">
      <c r="A170" s="10" t="s">
        <v>33</v>
      </c>
      <c r="B170">
        <v>-9800000</v>
      </c>
      <c r="E170">
        <v>-1500000</v>
      </c>
    </row>
    <row r="171" spans="1:15" x14ac:dyDescent="0.4">
      <c r="A171" s="10" t="s">
        <v>30</v>
      </c>
      <c r="B171">
        <v>615000</v>
      </c>
      <c r="F171">
        <v>150000</v>
      </c>
      <c r="L171">
        <v>0</v>
      </c>
    </row>
    <row r="172" spans="1:15" x14ac:dyDescent="0.4">
      <c r="A172" s="12" t="s">
        <v>89</v>
      </c>
      <c r="B172">
        <f>-B171</f>
        <v>-615000</v>
      </c>
      <c r="F172">
        <f>-F171</f>
        <v>-150000</v>
      </c>
      <c r="L172">
        <f>-(Table61314[[#This Row],[Column2]]+Table61314[[#This Row],[Column6]])</f>
        <v>765000</v>
      </c>
    </row>
    <row r="173" spans="1:15" x14ac:dyDescent="0.4">
      <c r="A173" s="12" t="s">
        <v>38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f>I73</f>
        <v>1580000</v>
      </c>
    </row>
    <row r="174" spans="1:15" x14ac:dyDescent="0.4">
      <c r="A174" s="12" t="s">
        <v>68</v>
      </c>
      <c r="B174" s="4">
        <f>B169+B170+B172+B173</f>
        <v>-10415000</v>
      </c>
      <c r="C174" s="4">
        <f t="shared" ref="C174:L174" si="53">C169+C170+C172+C173</f>
        <v>381250</v>
      </c>
      <c r="D174" s="44">
        <f t="shared" si="53"/>
        <v>514763.28125000186</v>
      </c>
      <c r="E174" s="44">
        <f t="shared" si="53"/>
        <v>-840379.16382470541</v>
      </c>
      <c r="F174" s="44">
        <f t="shared" si="53"/>
        <v>666587.4018222047</v>
      </c>
      <c r="G174" s="44">
        <f t="shared" si="53"/>
        <v>986474.25082281884</v>
      </c>
      <c r="H174" s="44">
        <f t="shared" si="53"/>
        <v>924412.04890479054</v>
      </c>
      <c r="I174" s="44">
        <f t="shared" si="53"/>
        <v>1081117.0251181126</v>
      </c>
      <c r="J174" s="44">
        <f t="shared" si="53"/>
        <v>1250193.7558628209</v>
      </c>
      <c r="K174" s="4">
        <f t="shared" si="53"/>
        <v>1432452.2098921798</v>
      </c>
      <c r="L174" s="44">
        <f t="shared" si="53"/>
        <v>3973750.7190102423</v>
      </c>
    </row>
    <row r="175" spans="1:15" x14ac:dyDescent="0.4">
      <c r="A175" s="12"/>
    </row>
    <row r="176" spans="1:15" x14ac:dyDescent="0.4">
      <c r="A176" s="45" t="s">
        <v>99</v>
      </c>
      <c r="B176" s="34"/>
      <c r="C176" s="34"/>
      <c r="D176" s="34"/>
      <c r="E176" s="46" t="s">
        <v>100</v>
      </c>
    </row>
    <row r="177" spans="1:12" x14ac:dyDescent="0.4">
      <c r="A177" s="10" t="s">
        <v>47</v>
      </c>
      <c r="B177" s="4">
        <f>NPV(F63,C174:L174)+B174</f>
        <v>-5378349.3279889766</v>
      </c>
    </row>
    <row r="178" spans="1:12" x14ac:dyDescent="0.4">
      <c r="A178" s="10" t="s">
        <v>49</v>
      </c>
      <c r="B178" s="39">
        <f>IRR(B174:L174)</f>
        <v>-5.3826418048863456E-4</v>
      </c>
    </row>
    <row r="179" spans="1:12" x14ac:dyDescent="0.4">
      <c r="A179" s="10" t="s">
        <v>64</v>
      </c>
      <c r="B179" s="4">
        <f>(-(B174)+B177)/-B174</f>
        <v>0.48359583984743382</v>
      </c>
    </row>
    <row r="181" spans="1:12" x14ac:dyDescent="0.4">
      <c r="A181" s="10" t="s">
        <v>92</v>
      </c>
    </row>
    <row r="182" spans="1:12" x14ac:dyDescent="0.4">
      <c r="A182" s="10" t="s">
        <v>77</v>
      </c>
      <c r="B182" s="10">
        <v>0</v>
      </c>
      <c r="C182" s="10">
        <f>B182+1</f>
        <v>1</v>
      </c>
      <c r="D182" s="10">
        <f t="shared" ref="D182:L182" si="54">C182+1</f>
        <v>2</v>
      </c>
      <c r="E182" s="10">
        <f t="shared" si="54"/>
        <v>3</v>
      </c>
      <c r="F182" s="10">
        <f t="shared" si="54"/>
        <v>4</v>
      </c>
      <c r="G182" s="10">
        <f t="shared" si="54"/>
        <v>5</v>
      </c>
      <c r="H182" s="10">
        <f t="shared" si="54"/>
        <v>6</v>
      </c>
      <c r="I182" s="10">
        <f t="shared" si="54"/>
        <v>7</v>
      </c>
      <c r="J182" s="10">
        <f t="shared" si="54"/>
        <v>8</v>
      </c>
      <c r="K182" s="10">
        <f t="shared" si="54"/>
        <v>9</v>
      </c>
      <c r="L182" s="10">
        <f t="shared" si="54"/>
        <v>10</v>
      </c>
    </row>
    <row r="183" spans="1:12" x14ac:dyDescent="0.4">
      <c r="A183" s="10" t="s">
        <v>68</v>
      </c>
      <c r="B183">
        <f>B174</f>
        <v>-10415000</v>
      </c>
      <c r="C183" s="8">
        <f t="shared" ref="C183:L183" si="55">C174</f>
        <v>381250</v>
      </c>
      <c r="D183" s="8">
        <f t="shared" si="55"/>
        <v>514763.28125000186</v>
      </c>
      <c r="E183" s="8">
        <f t="shared" si="55"/>
        <v>-840379.16382470541</v>
      </c>
      <c r="F183" s="8">
        <f t="shared" si="55"/>
        <v>666587.4018222047</v>
      </c>
      <c r="G183" s="8">
        <f t="shared" si="55"/>
        <v>986474.25082281884</v>
      </c>
      <c r="H183" s="8">
        <f t="shared" si="55"/>
        <v>924412.04890479054</v>
      </c>
      <c r="I183" s="8">
        <f t="shared" si="55"/>
        <v>1081117.0251181126</v>
      </c>
      <c r="J183" s="8">
        <f t="shared" si="55"/>
        <v>1250193.7558628209</v>
      </c>
      <c r="K183" s="8">
        <f t="shared" si="55"/>
        <v>1432452.2098921798</v>
      </c>
      <c r="L183" s="8">
        <f t="shared" si="55"/>
        <v>3973750.7190102423</v>
      </c>
    </row>
    <row r="184" spans="1:12" x14ac:dyDescent="0.4">
      <c r="A184" s="10" t="s">
        <v>70</v>
      </c>
      <c r="B184">
        <f t="shared" ref="B184:L184" si="56">B183/(1+$F$63)^B182</f>
        <v>-10415000</v>
      </c>
      <c r="C184" s="8">
        <f t="shared" si="56"/>
        <v>346862.88112269843</v>
      </c>
      <c r="D184" s="8">
        <f t="shared" si="56"/>
        <v>426092.12734631798</v>
      </c>
      <c r="E184" s="8">
        <f t="shared" si="56"/>
        <v>-632876.83610187052</v>
      </c>
      <c r="F184" s="8">
        <f t="shared" si="56"/>
        <v>456718.91736558161</v>
      </c>
      <c r="G184" s="8">
        <f t="shared" si="56"/>
        <v>614929.92418397265</v>
      </c>
      <c r="H184" s="8">
        <f t="shared" si="56"/>
        <v>524268.11567731597</v>
      </c>
      <c r="I184" s="8">
        <f t="shared" si="56"/>
        <v>557838.55847323826</v>
      </c>
      <c r="J184" s="8">
        <f t="shared" si="56"/>
        <v>586895.96491727175</v>
      </c>
      <c r="K184" s="8">
        <f t="shared" si="56"/>
        <v>611803.44014099764</v>
      </c>
      <c r="L184" s="8">
        <f t="shared" si="56"/>
        <v>1544117.578885498</v>
      </c>
    </row>
    <row r="185" spans="1:12" x14ac:dyDescent="0.4">
      <c r="A185" s="10" t="s">
        <v>73</v>
      </c>
      <c r="B185" s="4">
        <f>B184</f>
        <v>-10415000</v>
      </c>
      <c r="C185" s="44">
        <f>Table28[[#This Row],[Column2]]+C184</f>
        <v>-10068137.118877301</v>
      </c>
      <c r="D185" s="44">
        <f>Table28[[#This Row],[Column3]]+D184</f>
        <v>-9642044.9915309828</v>
      </c>
      <c r="E185" s="44">
        <f>Table28[[#This Row],[Column4]]+E184</f>
        <v>-10274921.827632854</v>
      </c>
      <c r="F185" s="44">
        <f>Table28[[#This Row],[Column5]]+F184</f>
        <v>-9818202.910267273</v>
      </c>
      <c r="G185" s="4">
        <f>Table28[[#This Row],[Column6]]+G184</f>
        <v>-9203272.9860833008</v>
      </c>
      <c r="H185" s="44">
        <f>Table28[[#This Row],[Column7]]+H184</f>
        <v>-8679004.870405985</v>
      </c>
      <c r="I185" s="44">
        <f>Table28[[#This Row],[Column8]]+I184</f>
        <v>-8121166.3119327463</v>
      </c>
      <c r="J185" s="44">
        <f>Table28[[#This Row],[Column9]]+J184</f>
        <v>-7534270.3470154749</v>
      </c>
      <c r="K185" s="44">
        <f>Table28[[#This Row],[Column10]]+K184</f>
        <v>-6922466.9068744769</v>
      </c>
      <c r="L185" s="44">
        <f>Table28[[#This Row],[Column11]]+L184</f>
        <v>-5378349.3279889785</v>
      </c>
    </row>
    <row r="186" spans="1:12" x14ac:dyDescent="0.4">
      <c r="A186" s="10" t="s">
        <v>157</v>
      </c>
      <c r="B186" s="73" t="s">
        <v>158</v>
      </c>
    </row>
    <row r="189" spans="1:12" ht="23.6" x14ac:dyDescent="0.65">
      <c r="A189" s="43" t="s">
        <v>101</v>
      </c>
      <c r="B189" s="34"/>
      <c r="C189" s="34"/>
      <c r="D189" s="34"/>
      <c r="E189" s="34"/>
      <c r="F189" s="34"/>
      <c r="G189" s="46" t="s">
        <v>102</v>
      </c>
    </row>
    <row r="191" spans="1:12" x14ac:dyDescent="0.4">
      <c r="A191" s="10" t="s">
        <v>103</v>
      </c>
      <c r="B191" s="48" t="s">
        <v>104</v>
      </c>
    </row>
    <row r="192" spans="1:12" x14ac:dyDescent="0.4">
      <c r="A192" t="s">
        <v>105</v>
      </c>
      <c r="B192" s="41">
        <f>F63+1%</f>
        <v>0.1091375</v>
      </c>
    </row>
    <row r="193" spans="1:15" x14ac:dyDescent="0.4">
      <c r="A193" s="10" t="s">
        <v>47</v>
      </c>
      <c r="B193" s="44">
        <f>NPV(B192,C100:L100)+B100</f>
        <v>5082243.1275809109</v>
      </c>
      <c r="C193" s="10"/>
    </row>
    <row r="194" spans="1:15" x14ac:dyDescent="0.4">
      <c r="A194" s="42" t="s">
        <v>106</v>
      </c>
      <c r="B194">
        <f>B103</f>
        <v>5872694.7850955166</v>
      </c>
    </row>
    <row r="195" spans="1:15" x14ac:dyDescent="0.4">
      <c r="A195" s="42" t="s">
        <v>40</v>
      </c>
      <c r="B195" s="4">
        <f>B193-B194</f>
        <v>-790451.65751460567</v>
      </c>
    </row>
    <row r="196" spans="1:15" x14ac:dyDescent="0.4">
      <c r="A196" s="10" t="s">
        <v>107</v>
      </c>
      <c r="B196" s="74">
        <f>(Table18[[#Totals],[Column2]])/B194</f>
        <v>-0.13459777605345949</v>
      </c>
    </row>
    <row r="197" spans="1:15" x14ac:dyDescent="0.4">
      <c r="A197" s="38" t="s">
        <v>108</v>
      </c>
      <c r="C197" s="4" t="s">
        <v>160</v>
      </c>
      <c r="D197" s="4"/>
      <c r="E197" s="4"/>
      <c r="F197" s="4"/>
      <c r="G197" s="4"/>
      <c r="H197" s="4"/>
      <c r="I197" s="4"/>
      <c r="J197" s="4"/>
    </row>
    <row r="198" spans="1:15" x14ac:dyDescent="0.4">
      <c r="C198" s="4" t="s">
        <v>109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50"/>
    </row>
    <row r="200" spans="1:15" x14ac:dyDescent="0.4">
      <c r="A200" s="10" t="s">
        <v>110</v>
      </c>
      <c r="B200" s="48" t="s">
        <v>111</v>
      </c>
    </row>
    <row r="201" spans="1:15" x14ac:dyDescent="0.4">
      <c r="A201" t="s">
        <v>112</v>
      </c>
      <c r="C201" s="1">
        <v>7.4999999999999997E-3</v>
      </c>
    </row>
    <row r="203" spans="1:15" x14ac:dyDescent="0.4">
      <c r="A203" s="10" t="s">
        <v>77</v>
      </c>
      <c r="B203" s="10" t="s">
        <v>78</v>
      </c>
      <c r="C203" s="10" t="s">
        <v>79</v>
      </c>
      <c r="D203" s="10" t="s">
        <v>80</v>
      </c>
      <c r="E203" s="10" t="s">
        <v>81</v>
      </c>
      <c r="F203" s="10" t="s">
        <v>82</v>
      </c>
      <c r="G203" s="10" t="s">
        <v>83</v>
      </c>
      <c r="H203" s="10" t="s">
        <v>84</v>
      </c>
      <c r="I203" s="11" t="s">
        <v>85</v>
      </c>
      <c r="J203" s="14" t="s">
        <v>86</v>
      </c>
      <c r="K203" s="10" t="s">
        <v>19</v>
      </c>
      <c r="L203" s="11" t="s">
        <v>87</v>
      </c>
      <c r="M203" s="13" t="s">
        <v>15</v>
      </c>
      <c r="N203" s="14" t="s">
        <v>88</v>
      </c>
      <c r="O203" s="10" t="s">
        <v>36</v>
      </c>
    </row>
    <row r="204" spans="1:15" x14ac:dyDescent="0.4">
      <c r="A204" s="25">
        <v>0</v>
      </c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</row>
    <row r="205" spans="1:15" x14ac:dyDescent="0.4">
      <c r="A205" s="10">
        <v>1</v>
      </c>
      <c r="B205" s="8">
        <v>18.05</v>
      </c>
      <c r="C205" s="8">
        <v>455000</v>
      </c>
      <c r="D205" s="8">
        <f t="shared" ref="D205:D214" si="57">B205*C205</f>
        <v>8212750</v>
      </c>
      <c r="E205" s="8">
        <v>5.75</v>
      </c>
      <c r="F205" s="8">
        <f t="shared" ref="F205:F214" si="58">E205*C205</f>
        <v>2616250</v>
      </c>
      <c r="G205" s="8">
        <v>3550000</v>
      </c>
      <c r="H205" s="8">
        <f>F205+G205</f>
        <v>6166250</v>
      </c>
      <c r="I205" s="8">
        <f>D205-H205</f>
        <v>2046500</v>
      </c>
      <c r="J205" s="8">
        <f>$B$73</f>
        <v>1900000</v>
      </c>
      <c r="K205" s="8">
        <f>Table416[[#This Row],[Column9]]-Table416[[#This Row],[Column10]]</f>
        <v>146500</v>
      </c>
      <c r="L205" s="8">
        <f>Table416[[#This Row],[Column11]]</f>
        <v>146500</v>
      </c>
      <c r="M205" s="8">
        <f>Table416[[#This Row],[Column12]]*(1-$E$74)</f>
        <v>115735</v>
      </c>
      <c r="N205" s="8">
        <f>Table416[[#This Row],[Column10]]</f>
        <v>1900000</v>
      </c>
      <c r="O205" s="44">
        <f>Table416[[#This Row],[Column13]]+Table416[[#This Row],[Column14]]</f>
        <v>2015735</v>
      </c>
    </row>
    <row r="206" spans="1:15" x14ac:dyDescent="0.4">
      <c r="A206" s="10">
        <f>A205+1</f>
        <v>2</v>
      </c>
      <c r="B206" s="8">
        <f t="shared" ref="B206:B214" si="59">B205*(1+$E$70)</f>
        <v>18.681750000000001</v>
      </c>
      <c r="C206" s="8">
        <f t="shared" ref="C206:C214" si="60">C205*(1+$C$201)</f>
        <v>458412.5</v>
      </c>
      <c r="D206" s="8">
        <f t="shared" si="57"/>
        <v>8563947.7218750007</v>
      </c>
      <c r="E206" s="8">
        <f>E205*(1+0.0425)</f>
        <v>5.9943749999999998</v>
      </c>
      <c r="F206" s="8">
        <f t="shared" si="58"/>
        <v>2747896.4296875</v>
      </c>
      <c r="G206" s="8">
        <f>G205*(1+0.0325)</f>
        <v>3665375</v>
      </c>
      <c r="H206" s="8">
        <f t="shared" ref="H206:H214" si="61">F206+G206</f>
        <v>6413271.4296875</v>
      </c>
      <c r="I206" s="8">
        <f t="shared" ref="I206:I214" si="62">D206-H206</f>
        <v>2150676.2921875007</v>
      </c>
      <c r="J206" s="8">
        <f>$B$73</f>
        <v>1900000</v>
      </c>
      <c r="K206" s="8">
        <f>Table416[[#This Row],[Column9]]-Table416[[#This Row],[Column10]]</f>
        <v>250676.29218750075</v>
      </c>
      <c r="L206" s="8">
        <f>Table416[[#This Row],[Column11]]</f>
        <v>250676.29218750075</v>
      </c>
      <c r="M206" s="8">
        <f>Table416[[#This Row],[Column12]]*(1-$E$74)</f>
        <v>198034.27082812559</v>
      </c>
      <c r="N206" s="8">
        <f>Table416[[#This Row],[Column10]]</f>
        <v>1900000</v>
      </c>
      <c r="O206" s="44">
        <f>Table416[[#This Row],[Column13]]+Table416[[#This Row],[Column14]]</f>
        <v>2098034.2708281255</v>
      </c>
    </row>
    <row r="207" spans="1:15" x14ac:dyDescent="0.4">
      <c r="A207" s="10">
        <f t="shared" ref="A207:A214" si="63">A206+1</f>
        <v>3</v>
      </c>
      <c r="B207" s="8">
        <f t="shared" si="59"/>
        <v>19.335611249999999</v>
      </c>
      <c r="C207" s="8">
        <f t="shared" si="60"/>
        <v>461850.59375</v>
      </c>
      <c r="D207" s="8">
        <f t="shared" si="57"/>
        <v>8930163.5363316797</v>
      </c>
      <c r="E207" s="8">
        <f t="shared" ref="E207:E214" si="64">E206*(1+0.0425)</f>
        <v>6.2491359374999993</v>
      </c>
      <c r="F207" s="8">
        <f t="shared" si="58"/>
        <v>2886167.1431588377</v>
      </c>
      <c r="G207" s="8">
        <f t="shared" ref="G207:G214" si="65">G206*(1+0.0325)</f>
        <v>3784499.6875</v>
      </c>
      <c r="H207" s="8">
        <f t="shared" si="61"/>
        <v>6670666.8306588382</v>
      </c>
      <c r="I207" s="8">
        <f t="shared" si="62"/>
        <v>2259496.7056728415</v>
      </c>
      <c r="J207" s="8">
        <f>$B$73</f>
        <v>1900000</v>
      </c>
      <c r="K207" s="8">
        <f>Table416[[#This Row],[Column9]]-Table416[[#This Row],[Column10]]</f>
        <v>359496.70567284152</v>
      </c>
      <c r="L207" s="8">
        <f>Table416[[#This Row],[Column11]]</f>
        <v>359496.70567284152</v>
      </c>
      <c r="M207" s="8">
        <f>Table416[[#This Row],[Column12]]*(1-$E$74)</f>
        <v>284002.39748154482</v>
      </c>
      <c r="N207" s="8">
        <f>Table416[[#This Row],[Column10]]</f>
        <v>1900000</v>
      </c>
      <c r="O207" s="44">
        <f>Table416[[#This Row],[Column13]]+Table416[[#This Row],[Column14]]</f>
        <v>2184002.3974815449</v>
      </c>
    </row>
    <row r="208" spans="1:15" x14ac:dyDescent="0.4">
      <c r="A208" s="10">
        <f t="shared" si="63"/>
        <v>4</v>
      </c>
      <c r="B208" s="8">
        <f t="shared" si="59"/>
        <v>20.012357643749997</v>
      </c>
      <c r="C208" s="8">
        <f t="shared" si="60"/>
        <v>465314.473203125</v>
      </c>
      <c r="D208" s="8">
        <f t="shared" si="57"/>
        <v>9312039.6545540616</v>
      </c>
      <c r="E208" s="8">
        <f t="shared" si="64"/>
        <v>6.5147242148437492</v>
      </c>
      <c r="F208" s="8">
        <f t="shared" si="58"/>
        <v>3031395.4660936613</v>
      </c>
      <c r="G208" s="8">
        <f t="shared" si="65"/>
        <v>3907495.9273437499</v>
      </c>
      <c r="H208" s="8">
        <f t="shared" si="61"/>
        <v>6938891.3934374116</v>
      </c>
      <c r="I208" s="8">
        <f t="shared" si="62"/>
        <v>2373148.26111665</v>
      </c>
      <c r="J208" s="8">
        <f>$B$73</f>
        <v>1900000</v>
      </c>
      <c r="K208" s="8">
        <f>Table416[[#This Row],[Column9]]-Table416[[#This Row],[Column10]]</f>
        <v>473148.26111664996</v>
      </c>
      <c r="L208" s="8">
        <f>Table416[[#This Row],[Column11]]</f>
        <v>473148.26111664996</v>
      </c>
      <c r="M208" s="8">
        <f>Table416[[#This Row],[Column12]]*(1-$E$74)</f>
        <v>373787.12628215348</v>
      </c>
      <c r="N208" s="8">
        <f>Table416[[#This Row],[Column10]]</f>
        <v>1900000</v>
      </c>
      <c r="O208" s="44">
        <f>Table416[[#This Row],[Column13]]+Table416[[#This Row],[Column14]]</f>
        <v>2273787.1262821537</v>
      </c>
    </row>
    <row r="209" spans="1:15" x14ac:dyDescent="0.4">
      <c r="A209" s="10">
        <f t="shared" si="63"/>
        <v>5</v>
      </c>
      <c r="B209" s="8">
        <f t="shared" si="59"/>
        <v>20.712790161281244</v>
      </c>
      <c r="C209" s="8">
        <f t="shared" si="60"/>
        <v>468804.33175214846</v>
      </c>
      <c r="D209" s="8">
        <f t="shared" si="57"/>
        <v>9710245.75028193</v>
      </c>
      <c r="E209" s="8">
        <f t="shared" si="64"/>
        <v>6.7915999939746081</v>
      </c>
      <c r="F209" s="8">
        <f t="shared" si="58"/>
        <v>3183931.4967031619</v>
      </c>
      <c r="G209" s="8">
        <f t="shared" si="65"/>
        <v>4034489.5449824217</v>
      </c>
      <c r="H209" s="8">
        <f t="shared" si="61"/>
        <v>7218421.0416855831</v>
      </c>
      <c r="I209" s="8">
        <f t="shared" si="62"/>
        <v>2491824.7085963469</v>
      </c>
      <c r="J209" s="8">
        <f>$B$73</f>
        <v>1900000</v>
      </c>
      <c r="K209" s="8">
        <f>Table416[[#This Row],[Column9]]-Table416[[#This Row],[Column10]]</f>
        <v>591824.7085963469</v>
      </c>
      <c r="L209" s="8">
        <f>Table416[[#This Row],[Column11]]</f>
        <v>591824.7085963469</v>
      </c>
      <c r="M209" s="8">
        <f>Table416[[#This Row],[Column12]]*(1-$E$74)</f>
        <v>467541.51979111409</v>
      </c>
      <c r="N209" s="8">
        <f>Table416[[#This Row],[Column10]]</f>
        <v>1900000</v>
      </c>
      <c r="O209" s="44">
        <f>Table416[[#This Row],[Column13]]+Table416[[#This Row],[Column14]]</f>
        <v>2367541.5197911141</v>
      </c>
    </row>
    <row r="210" spans="1:15" x14ac:dyDescent="0.4">
      <c r="A210" s="10">
        <f t="shared" si="63"/>
        <v>6</v>
      </c>
      <c r="B210" s="8">
        <f t="shared" si="59"/>
        <v>21.437737816926088</v>
      </c>
      <c r="C210" s="8">
        <f t="shared" si="60"/>
        <v>472320.36424028961</v>
      </c>
      <c r="D210" s="8">
        <f t="shared" si="57"/>
        <v>10125480.134178361</v>
      </c>
      <c r="E210" s="8">
        <f t="shared" si="64"/>
        <v>7.0802429937185289</v>
      </c>
      <c r="F210" s="8">
        <f t="shared" si="58"/>
        <v>3344142.9497028943</v>
      </c>
      <c r="G210" s="8">
        <f t="shared" si="65"/>
        <v>4165610.4551943503</v>
      </c>
      <c r="H210" s="8">
        <f t="shared" si="61"/>
        <v>7509753.4048972446</v>
      </c>
      <c r="I210" s="8">
        <f t="shared" si="62"/>
        <v>2615726.7292811163</v>
      </c>
      <c r="J210" s="8">
        <v>0</v>
      </c>
      <c r="K210" s="8">
        <f>Table416[[#This Row],[Column9]]-Table416[[#This Row],[Column10]]</f>
        <v>2615726.7292811163</v>
      </c>
      <c r="L210" s="8">
        <f>Table416[[#This Row],[Column11]]</f>
        <v>2615726.7292811163</v>
      </c>
      <c r="M210" s="8">
        <f>Table416[[#This Row],[Column12]]*(1-$E$74)</f>
        <v>2066424.116132082</v>
      </c>
      <c r="N210" s="8">
        <f>Table416[[#This Row],[Column10]]</f>
        <v>0</v>
      </c>
      <c r="O210" s="44">
        <f>Table416[[#This Row],[Column13]]+Table416[[#This Row],[Column14]]</f>
        <v>2066424.116132082</v>
      </c>
    </row>
    <row r="211" spans="1:15" x14ac:dyDescent="0.4">
      <c r="A211" s="10">
        <f t="shared" si="63"/>
        <v>7</v>
      </c>
      <c r="B211" s="8">
        <f t="shared" si="59"/>
        <v>22.188058640518499</v>
      </c>
      <c r="C211" s="8">
        <f t="shared" si="60"/>
        <v>475862.76697209181</v>
      </c>
      <c r="D211" s="8">
        <f t="shared" si="57"/>
        <v>10558470.978416162</v>
      </c>
      <c r="E211" s="8">
        <f t="shared" si="64"/>
        <v>7.3811533209515661</v>
      </c>
      <c r="F211" s="8">
        <f t="shared" si="58"/>
        <v>3512416.0427532569</v>
      </c>
      <c r="G211" s="8">
        <f t="shared" si="65"/>
        <v>4300992.7949881665</v>
      </c>
      <c r="H211" s="8">
        <f t="shared" si="61"/>
        <v>7813408.8377414234</v>
      </c>
      <c r="I211" s="8">
        <f t="shared" si="62"/>
        <v>2745062.1406747382</v>
      </c>
      <c r="J211" s="8">
        <v>0</v>
      </c>
      <c r="K211" s="8">
        <f>Table416[[#This Row],[Column9]]-Table416[[#This Row],[Column10]]</f>
        <v>2745062.1406747382</v>
      </c>
      <c r="L211" s="8">
        <f>Table416[[#This Row],[Column11]]</f>
        <v>2745062.1406747382</v>
      </c>
      <c r="M211" s="8">
        <f>Table416[[#This Row],[Column12]]*(1-$E$74)</f>
        <v>2168599.0911330432</v>
      </c>
      <c r="N211" s="8">
        <f>Table416[[#This Row],[Column10]]</f>
        <v>0</v>
      </c>
      <c r="O211" s="44">
        <f>Table416[[#This Row],[Column13]]+Table416[[#This Row],[Column14]]</f>
        <v>2168599.0911330432</v>
      </c>
    </row>
    <row r="212" spans="1:15" x14ac:dyDescent="0.4">
      <c r="A212" s="10">
        <f t="shared" si="63"/>
        <v>8</v>
      </c>
      <c r="B212" s="8">
        <f t="shared" si="59"/>
        <v>22.964640692936644</v>
      </c>
      <c r="C212" s="8">
        <f t="shared" si="60"/>
        <v>479431.73772438255</v>
      </c>
      <c r="D212" s="8">
        <f t="shared" si="57"/>
        <v>11009977.593630685</v>
      </c>
      <c r="E212" s="8">
        <f t="shared" si="64"/>
        <v>7.6948523370920077</v>
      </c>
      <c r="F212" s="8">
        <f t="shared" si="58"/>
        <v>3689156.4275045474</v>
      </c>
      <c r="G212" s="8">
        <f t="shared" si="65"/>
        <v>4440775.0608252818</v>
      </c>
      <c r="H212" s="8">
        <f t="shared" si="61"/>
        <v>8129931.4883298296</v>
      </c>
      <c r="I212" s="8">
        <f t="shared" si="62"/>
        <v>2880046.1053008549</v>
      </c>
      <c r="J212" s="8">
        <v>0</v>
      </c>
      <c r="K212" s="8">
        <f>Table416[[#This Row],[Column9]]-Table416[[#This Row],[Column10]]</f>
        <v>2880046.1053008549</v>
      </c>
      <c r="L212" s="8">
        <f>Table416[[#This Row],[Column11]]</f>
        <v>2880046.1053008549</v>
      </c>
      <c r="M212" s="8">
        <f>Table416[[#This Row],[Column12]]*(1-$E$74)</f>
        <v>2275236.4231876754</v>
      </c>
      <c r="N212" s="8">
        <f>Table416[[#This Row],[Column10]]</f>
        <v>0</v>
      </c>
      <c r="O212" s="44">
        <f>Table416[[#This Row],[Column13]]+Table416[[#This Row],[Column14]]</f>
        <v>2275236.4231876754</v>
      </c>
    </row>
    <row r="213" spans="1:15" x14ac:dyDescent="0.4">
      <c r="A213" s="10">
        <f t="shared" si="63"/>
        <v>9</v>
      </c>
      <c r="B213" s="8">
        <f t="shared" si="59"/>
        <v>23.768403117189425</v>
      </c>
      <c r="C213" s="8">
        <f t="shared" si="60"/>
        <v>483027.47575731546</v>
      </c>
      <c r="D213" s="8">
        <f t="shared" si="57"/>
        <v>11480791.760478316</v>
      </c>
      <c r="E213" s="8">
        <f t="shared" si="64"/>
        <v>8.0218835614184183</v>
      </c>
      <c r="F213" s="8">
        <f t="shared" si="58"/>
        <v>3874790.1674910425</v>
      </c>
      <c r="G213" s="8">
        <f t="shared" si="65"/>
        <v>4585100.2503021033</v>
      </c>
      <c r="H213" s="8">
        <f t="shared" si="61"/>
        <v>8459890.4177931454</v>
      </c>
      <c r="I213" s="8">
        <f t="shared" si="62"/>
        <v>3020901.3426851705</v>
      </c>
      <c r="J213" s="8">
        <v>0</v>
      </c>
      <c r="K213" s="8">
        <f>Table416[[#This Row],[Column9]]-Table416[[#This Row],[Column10]]</f>
        <v>3020901.3426851705</v>
      </c>
      <c r="L213" s="8">
        <f>Table416[[#This Row],[Column11]]</f>
        <v>3020901.3426851705</v>
      </c>
      <c r="M213" s="8">
        <f>Table416[[#This Row],[Column12]]*(1-$E$74)</f>
        <v>2386512.0607212847</v>
      </c>
      <c r="N213" s="8">
        <f>Table416[[#This Row],[Column10]]</f>
        <v>0</v>
      </c>
      <c r="O213" s="44">
        <f>Table416[[#This Row],[Column13]]+Table416[[#This Row],[Column14]]</f>
        <v>2386512.0607212847</v>
      </c>
    </row>
    <row r="214" spans="1:15" x14ac:dyDescent="0.4">
      <c r="A214" s="10">
        <f t="shared" si="63"/>
        <v>10</v>
      </c>
      <c r="B214" s="8">
        <f t="shared" si="59"/>
        <v>24.600297226291055</v>
      </c>
      <c r="C214" s="8">
        <f t="shared" si="60"/>
        <v>486650.18182549538</v>
      </c>
      <c r="D214" s="8">
        <f t="shared" si="57"/>
        <v>11971739.118135771</v>
      </c>
      <c r="E214" s="8">
        <f t="shared" si="64"/>
        <v>8.3628136127787016</v>
      </c>
      <c r="F214" s="8">
        <f t="shared" si="58"/>
        <v>4069764.7652314832</v>
      </c>
      <c r="G214" s="8">
        <f t="shared" si="65"/>
        <v>4734116.008436922</v>
      </c>
      <c r="H214" s="8">
        <f t="shared" si="61"/>
        <v>8803880.7736684047</v>
      </c>
      <c r="I214" s="8">
        <f t="shared" si="62"/>
        <v>3167858.3444673661</v>
      </c>
      <c r="J214" s="8">
        <v>0</v>
      </c>
      <c r="K214" s="8">
        <f>Table416[[#This Row],[Column9]]-Table416[[#This Row],[Column10]]</f>
        <v>3167858.3444673661</v>
      </c>
      <c r="L214" s="8">
        <f>Table416[[#This Row],[Column11]]</f>
        <v>3167858.3444673661</v>
      </c>
      <c r="M214" s="8">
        <f>Table416[[#This Row],[Column12]]*(1-$E$74)</f>
        <v>2502608.0921292193</v>
      </c>
      <c r="N214" s="8">
        <f>Table416[[#This Row],[Column10]]</f>
        <v>0</v>
      </c>
      <c r="O214" s="44">
        <f>Table416[[#This Row],[Column13]]+Table416[[#This Row],[Column14]]</f>
        <v>2502608.0921292193</v>
      </c>
    </row>
    <row r="217" spans="1:15" x14ac:dyDescent="0.4">
      <c r="A217" s="10" t="s">
        <v>77</v>
      </c>
      <c r="B217" s="10">
        <v>0</v>
      </c>
      <c r="C217" s="10">
        <f>Table617[[#This Row],[Column2]]+1</f>
        <v>1</v>
      </c>
      <c r="D217" s="10">
        <f>Table617[[#This Row],[Column3]]+1</f>
        <v>2</v>
      </c>
      <c r="E217" s="10">
        <f>Table617[[#This Row],[Column4]]+1</f>
        <v>3</v>
      </c>
      <c r="F217" s="10">
        <f>Table617[[#This Row],[Column5]]+1</f>
        <v>4</v>
      </c>
      <c r="G217" s="10">
        <f>Table617[[#This Row],[Column6]]+1</f>
        <v>5</v>
      </c>
      <c r="H217" s="10">
        <f>Table617[[#This Row],[Column7]]+1</f>
        <v>6</v>
      </c>
      <c r="I217" s="10">
        <f>Table617[[#This Row],[Column8]]+1</f>
        <v>7</v>
      </c>
      <c r="J217" s="10">
        <f>Table617[[#This Row],[Column9]]+1</f>
        <v>8</v>
      </c>
      <c r="K217" s="10">
        <f>Table617[[#This Row],[Column10]]+1</f>
        <v>9</v>
      </c>
      <c r="L217" s="10">
        <f>Table617[[#This Row],[Column11]]+1</f>
        <v>10</v>
      </c>
    </row>
    <row r="218" spans="1:15" x14ac:dyDescent="0.4">
      <c r="A218" s="10" t="s">
        <v>36</v>
      </c>
      <c r="B218">
        <v>0</v>
      </c>
      <c r="C218" s="8">
        <f>O205</f>
        <v>2015735</v>
      </c>
      <c r="D218" s="8">
        <f>O206</f>
        <v>2098034.2708281255</v>
      </c>
      <c r="E218" s="8">
        <f>O207</f>
        <v>2184002.3974815449</v>
      </c>
      <c r="F218" s="8">
        <f>O208</f>
        <v>2273787.1262821537</v>
      </c>
      <c r="G218" s="8">
        <f>O209</f>
        <v>2367541.5197911141</v>
      </c>
      <c r="H218" s="8">
        <f>O210</f>
        <v>2066424.116132082</v>
      </c>
      <c r="I218" s="8">
        <f>O211</f>
        <v>2168599.0911330432</v>
      </c>
      <c r="J218" s="8">
        <f>O212</f>
        <v>2275236.4231876754</v>
      </c>
      <c r="K218" s="8">
        <f>O213</f>
        <v>2386512.0607212847</v>
      </c>
      <c r="L218" s="8">
        <f>O214</f>
        <v>2502608.0921292193</v>
      </c>
    </row>
    <row r="219" spans="1:15" x14ac:dyDescent="0.4">
      <c r="A219" s="10" t="s">
        <v>33</v>
      </c>
      <c r="B219">
        <v>-9500000</v>
      </c>
      <c r="E219">
        <v>-1500000</v>
      </c>
    </row>
    <row r="220" spans="1:15" x14ac:dyDescent="0.4">
      <c r="A220" s="10" t="s">
        <v>30</v>
      </c>
      <c r="B220">
        <v>550000</v>
      </c>
      <c r="F220">
        <v>150000</v>
      </c>
      <c r="L220">
        <v>0</v>
      </c>
    </row>
    <row r="221" spans="1:15" x14ac:dyDescent="0.4">
      <c r="A221" s="12" t="s">
        <v>89</v>
      </c>
      <c r="B221">
        <f>-B220</f>
        <v>-550000</v>
      </c>
      <c r="F221">
        <f>-F220</f>
        <v>-150000</v>
      </c>
      <c r="L221">
        <f>-(Table617[[#This Row],[Column2]]+Table617[[#This Row],[Column6]])</f>
        <v>700000</v>
      </c>
    </row>
    <row r="222" spans="1:15" x14ac:dyDescent="0.4">
      <c r="A222" s="12" t="s">
        <v>38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f>I197</f>
        <v>0</v>
      </c>
    </row>
    <row r="223" spans="1:15" x14ac:dyDescent="0.4">
      <c r="A223" s="12" t="s">
        <v>68</v>
      </c>
      <c r="B223" s="44">
        <f>B218+B219+B221+B222</f>
        <v>-10050000</v>
      </c>
      <c r="C223" s="44">
        <f t="shared" ref="C223:L223" si="66">C218+C219+C221+C222</f>
        <v>2015735</v>
      </c>
      <c r="D223" s="44">
        <f t="shared" si="66"/>
        <v>2098034.2708281255</v>
      </c>
      <c r="E223" s="44">
        <f t="shared" si="66"/>
        <v>684002.39748154487</v>
      </c>
      <c r="F223" s="44">
        <f t="shared" si="66"/>
        <v>2123787.1262821537</v>
      </c>
      <c r="G223" s="44">
        <f t="shared" si="66"/>
        <v>2367541.5197911141</v>
      </c>
      <c r="H223" s="44">
        <f t="shared" si="66"/>
        <v>2066424.116132082</v>
      </c>
      <c r="I223" s="44">
        <f t="shared" si="66"/>
        <v>2168599.0911330432</v>
      </c>
      <c r="J223" s="44">
        <f t="shared" si="66"/>
        <v>2275236.4231876754</v>
      </c>
      <c r="K223" s="44">
        <f t="shared" si="66"/>
        <v>2386512.0607212847</v>
      </c>
      <c r="L223" s="44">
        <f t="shared" si="66"/>
        <v>3202608.0921292193</v>
      </c>
    </row>
    <row r="226" spans="1:15" x14ac:dyDescent="0.4">
      <c r="A226" s="10" t="s">
        <v>47</v>
      </c>
      <c r="B226" s="44">
        <f>NPV(F63,C223:L223)+B223</f>
        <v>2589393.245674653</v>
      </c>
      <c r="D226" s="10" t="s">
        <v>49</v>
      </c>
      <c r="E226" s="39">
        <f>IRR(B223:L223)</f>
        <v>0.15126826810446281</v>
      </c>
    </row>
    <row r="227" spans="1:15" x14ac:dyDescent="0.4">
      <c r="A227" t="s">
        <v>106</v>
      </c>
      <c r="B227" s="8">
        <f>B103</f>
        <v>5872694.7850955166</v>
      </c>
      <c r="D227" t="s">
        <v>113</v>
      </c>
      <c r="E227" s="1">
        <f>B104</f>
        <v>0.19951275912519417</v>
      </c>
    </row>
    <row r="228" spans="1:15" x14ac:dyDescent="0.4">
      <c r="A228" s="10" t="s">
        <v>40</v>
      </c>
      <c r="B228" s="77">
        <f>B226-B227</f>
        <v>-3283301.5394208636</v>
      </c>
      <c r="D228" s="10" t="s">
        <v>40</v>
      </c>
      <c r="E228" s="74">
        <f>-(E227-E226)</f>
        <v>-4.8244491020731362E-2</v>
      </c>
    </row>
    <row r="229" spans="1:15" x14ac:dyDescent="0.4">
      <c r="A229" s="10" t="s">
        <v>114</v>
      </c>
      <c r="B229" s="74">
        <f>(B228)/B227</f>
        <v>-0.55907920632171293</v>
      </c>
    </row>
    <row r="230" spans="1:15" x14ac:dyDescent="0.4">
      <c r="A230" s="38" t="s">
        <v>108</v>
      </c>
      <c r="C230" s="4" t="s">
        <v>159</v>
      </c>
      <c r="D230" s="4"/>
      <c r="E230" s="4"/>
      <c r="F230" s="4"/>
      <c r="G230" s="4"/>
      <c r="H230" s="4"/>
      <c r="I230" s="4"/>
      <c r="J230" s="4"/>
    </row>
    <row r="231" spans="1:15" x14ac:dyDescent="0.4">
      <c r="C231" s="4" t="s">
        <v>162</v>
      </c>
      <c r="D231" s="4"/>
      <c r="E231" s="4"/>
      <c r="F231" s="4"/>
      <c r="G231" s="4"/>
      <c r="H231" s="4"/>
      <c r="I231" s="4"/>
      <c r="J231" s="4"/>
    </row>
    <row r="234" spans="1:15" ht="23.6" x14ac:dyDescent="0.65">
      <c r="A234" s="35" t="s">
        <v>115</v>
      </c>
      <c r="B234" s="34"/>
      <c r="C234" s="34"/>
      <c r="D234" s="34"/>
      <c r="E234" s="34"/>
      <c r="F234" s="34"/>
      <c r="G234" s="46" t="s">
        <v>116</v>
      </c>
    </row>
    <row r="236" spans="1:15" x14ac:dyDescent="0.4">
      <c r="A236" s="10" t="s">
        <v>77</v>
      </c>
      <c r="B236" s="10" t="s">
        <v>78</v>
      </c>
      <c r="C236" s="10" t="s">
        <v>79</v>
      </c>
      <c r="D236" s="10" t="s">
        <v>80</v>
      </c>
      <c r="E236" s="10" t="s">
        <v>81</v>
      </c>
      <c r="F236" s="10" t="s">
        <v>82</v>
      </c>
      <c r="G236" s="10" t="s">
        <v>83</v>
      </c>
      <c r="H236" s="10" t="s">
        <v>84</v>
      </c>
      <c r="I236" s="11" t="s">
        <v>85</v>
      </c>
      <c r="J236" s="14" t="s">
        <v>86</v>
      </c>
      <c r="K236" s="10" t="s">
        <v>19</v>
      </c>
      <c r="L236" s="11" t="s">
        <v>87</v>
      </c>
      <c r="M236" s="13" t="s">
        <v>15</v>
      </c>
      <c r="N236" s="14" t="s">
        <v>88</v>
      </c>
      <c r="O236" s="10" t="s">
        <v>36</v>
      </c>
    </row>
    <row r="237" spans="1:15" x14ac:dyDescent="0.4">
      <c r="A237" s="25">
        <v>0</v>
      </c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</row>
    <row r="238" spans="1:15" x14ac:dyDescent="0.4">
      <c r="A238" s="10">
        <v>1</v>
      </c>
      <c r="B238">
        <v>18.05</v>
      </c>
      <c r="C238" s="44">
        <v>377146.48798400635</v>
      </c>
      <c r="D238">
        <f t="shared" ref="D238:D247" si="67">B238*C238</f>
        <v>6807494.1081113145</v>
      </c>
      <c r="E238">
        <v>5.75</v>
      </c>
      <c r="F238">
        <f t="shared" ref="F238:F247" si="68">E238*C238</f>
        <v>2168592.3059080364</v>
      </c>
      <c r="G238">
        <v>3550000</v>
      </c>
      <c r="H238">
        <f>F238+G238</f>
        <v>5718592.3059080364</v>
      </c>
      <c r="I238">
        <f>D238-H238</f>
        <v>1088901.8022032781</v>
      </c>
      <c r="J238">
        <f>$B$73</f>
        <v>1900000</v>
      </c>
      <c r="K238" s="8">
        <f>Table421[[#This Row],[Column9]]-Table421[[#This Row],[Column10]]</f>
        <v>-811098.19779672194</v>
      </c>
      <c r="L238" s="8">
        <f>Table421[[#This Row],[Column11]]</f>
        <v>-811098.19779672194</v>
      </c>
      <c r="M238" s="8">
        <f>Table421[[#This Row],[Column12]]*(1-$E$74)</f>
        <v>-640767.57625941036</v>
      </c>
      <c r="N238">
        <f>Table421[[#This Row],[Column10]]</f>
        <v>1900000</v>
      </c>
      <c r="O238" s="4">
        <f>Table421[[#This Row],[Column13]]+Table421[[#This Row],[Column14]]</f>
        <v>1259232.4237405895</v>
      </c>
    </row>
    <row r="239" spans="1:15" x14ac:dyDescent="0.4">
      <c r="A239" s="10">
        <f>A238+1</f>
        <v>2</v>
      </c>
      <c r="B239" s="8">
        <f t="shared" ref="B239:B247" si="69">B238*(1+$E$70)</f>
        <v>18.681750000000001</v>
      </c>
      <c r="C239" s="8">
        <f t="shared" ref="C239:C247" si="70">C238*(1+$E$71)</f>
        <v>387518.01640356658</v>
      </c>
      <c r="D239">
        <f t="shared" si="67"/>
        <v>7239514.7029473307</v>
      </c>
      <c r="E239" s="8">
        <f>E238*(1+0.0425)</f>
        <v>5.9943749999999998</v>
      </c>
      <c r="F239" s="8">
        <f t="shared" si="68"/>
        <v>2322928.3095791293</v>
      </c>
      <c r="G239">
        <f>G238*(1+0.0325)</f>
        <v>3665375</v>
      </c>
      <c r="H239">
        <f t="shared" ref="H239:H247" si="71">F239+G239</f>
        <v>5988303.3095791293</v>
      </c>
      <c r="I239">
        <f t="shared" ref="I239:I247" si="72">D239-H239</f>
        <v>1251211.3933682013</v>
      </c>
      <c r="J239">
        <f>$B$73</f>
        <v>1900000</v>
      </c>
      <c r="K239" s="8">
        <f>Table421[[#This Row],[Column9]]-Table421[[#This Row],[Column10]]</f>
        <v>-648788.60663179867</v>
      </c>
      <c r="L239" s="8">
        <f>Table421[[#This Row],[Column11]]</f>
        <v>-648788.60663179867</v>
      </c>
      <c r="M239" s="8">
        <f>Table421[[#This Row],[Column12]]*(1-$E$74)</f>
        <v>-512542.99923912098</v>
      </c>
      <c r="N239">
        <f>Table421[[#This Row],[Column10]]</f>
        <v>1900000</v>
      </c>
      <c r="O239" s="4">
        <f>Table421[[#This Row],[Column13]]+Table421[[#This Row],[Column14]]</f>
        <v>1387457.0007608789</v>
      </c>
    </row>
    <row r="240" spans="1:15" x14ac:dyDescent="0.4">
      <c r="A240" s="10">
        <f t="shared" ref="A240:A247" si="73">A239+1</f>
        <v>3</v>
      </c>
      <c r="B240" s="8">
        <f t="shared" si="69"/>
        <v>19.335611249999999</v>
      </c>
      <c r="C240" s="8">
        <f t="shared" si="70"/>
        <v>398174.76185466471</v>
      </c>
      <c r="D240">
        <f t="shared" si="67"/>
        <v>7698952.404783126</v>
      </c>
      <c r="E240" s="8">
        <f t="shared" ref="E240:E247" si="74">E239*(1+0.0425)</f>
        <v>6.2491359374999993</v>
      </c>
      <c r="F240" s="8">
        <f t="shared" si="68"/>
        <v>2488248.213711489</v>
      </c>
      <c r="G240">
        <f t="shared" ref="G240:G247" si="75">G239*(1+0.0325)</f>
        <v>3784499.6875</v>
      </c>
      <c r="H240">
        <f t="shared" si="71"/>
        <v>6272747.901211489</v>
      </c>
      <c r="I240">
        <f t="shared" si="72"/>
        <v>1426204.503571637</v>
      </c>
      <c r="J240">
        <f>$B$73</f>
        <v>1900000</v>
      </c>
      <c r="K240" s="8">
        <f>Table421[[#This Row],[Column9]]-Table421[[#This Row],[Column10]]</f>
        <v>-473795.49642836303</v>
      </c>
      <c r="L240" s="8">
        <f>Table421[[#This Row],[Column11]]</f>
        <v>-473795.49642836303</v>
      </c>
      <c r="M240" s="8">
        <f>Table421[[#This Row],[Column12]]*(1-$E$74)</f>
        <v>-374298.44217840681</v>
      </c>
      <c r="N240">
        <f>Table421[[#This Row],[Column10]]</f>
        <v>1900000</v>
      </c>
      <c r="O240" s="4">
        <f>Table421[[#This Row],[Column13]]+Table421[[#This Row],[Column14]]</f>
        <v>1525701.5578215932</v>
      </c>
    </row>
    <row r="241" spans="1:15" x14ac:dyDescent="0.4">
      <c r="A241" s="10">
        <f t="shared" si="73"/>
        <v>4</v>
      </c>
      <c r="B241" s="8">
        <f t="shared" si="69"/>
        <v>20.012357643749997</v>
      </c>
      <c r="C241" s="8">
        <f t="shared" si="70"/>
        <v>409124.56780566805</v>
      </c>
      <c r="D241">
        <f t="shared" si="67"/>
        <v>8187547.1717716753</v>
      </c>
      <c r="E241" s="8">
        <f t="shared" si="74"/>
        <v>6.5147242148437492</v>
      </c>
      <c r="F241" s="8">
        <f t="shared" si="68"/>
        <v>2665333.7287710691</v>
      </c>
      <c r="G241">
        <f t="shared" si="75"/>
        <v>3907495.9273437499</v>
      </c>
      <c r="H241">
        <f t="shared" si="71"/>
        <v>6572829.6561148185</v>
      </c>
      <c r="I241">
        <f t="shared" si="72"/>
        <v>1614717.5156568568</v>
      </c>
      <c r="J241">
        <f>$B$73</f>
        <v>1900000</v>
      </c>
      <c r="K241" s="8">
        <f>Table421[[#This Row],[Column9]]-Table421[[#This Row],[Column10]]</f>
        <v>-285282.48434314318</v>
      </c>
      <c r="L241" s="8">
        <f>Table421[[#This Row],[Column11]]</f>
        <v>-285282.48434314318</v>
      </c>
      <c r="M241" s="8">
        <f>Table421[[#This Row],[Column12]]*(1-$E$74)</f>
        <v>-225373.16263108313</v>
      </c>
      <c r="N241">
        <f>Table421[[#This Row],[Column10]]</f>
        <v>1900000</v>
      </c>
      <c r="O241" s="4">
        <f>Table421[[#This Row],[Column13]]+Table421[[#This Row],[Column14]]</f>
        <v>1674626.837368917</v>
      </c>
    </row>
    <row r="242" spans="1:15" x14ac:dyDescent="0.4">
      <c r="A242" s="10">
        <f t="shared" si="73"/>
        <v>5</v>
      </c>
      <c r="B242" s="8">
        <f t="shared" si="69"/>
        <v>20.712790161281244</v>
      </c>
      <c r="C242" s="8">
        <f t="shared" si="70"/>
        <v>420375.49342032394</v>
      </c>
      <c r="D242">
        <f t="shared" si="67"/>
        <v>8707149.3841602337</v>
      </c>
      <c r="E242" s="8">
        <f t="shared" si="74"/>
        <v>6.7915999939746081</v>
      </c>
      <c r="F242" s="8">
        <f t="shared" si="68"/>
        <v>2855022.1985805449</v>
      </c>
      <c r="G242">
        <f t="shared" si="75"/>
        <v>4034489.5449824217</v>
      </c>
      <c r="H242">
        <f t="shared" si="71"/>
        <v>6889511.7435629666</v>
      </c>
      <c r="I242">
        <f t="shared" si="72"/>
        <v>1817637.6405972671</v>
      </c>
      <c r="J242">
        <f>$B$73</f>
        <v>1900000</v>
      </c>
      <c r="K242" s="8">
        <f>Table421[[#This Row],[Column9]]-Table421[[#This Row],[Column10]]</f>
        <v>-82362.359402732924</v>
      </c>
      <c r="L242" s="8">
        <f>Table421[[#This Row],[Column11]]</f>
        <v>-82362.359402732924</v>
      </c>
      <c r="M242" s="8">
        <f>Table421[[#This Row],[Column12]]*(1-$E$74)</f>
        <v>-65066.263928159009</v>
      </c>
      <c r="N242">
        <f>Table421[[#This Row],[Column10]]</f>
        <v>1900000</v>
      </c>
      <c r="O242" s="4">
        <f>Table421[[#This Row],[Column13]]+Table421[[#This Row],[Column14]]</f>
        <v>1834933.7360718411</v>
      </c>
    </row>
    <row r="243" spans="1:15" x14ac:dyDescent="0.4">
      <c r="A243" s="10">
        <f t="shared" si="73"/>
        <v>6</v>
      </c>
      <c r="B243" s="8">
        <f t="shared" si="69"/>
        <v>21.437737816926088</v>
      </c>
      <c r="C243" s="8">
        <f t="shared" si="70"/>
        <v>431935.81948938291</v>
      </c>
      <c r="D243">
        <f t="shared" si="67"/>
        <v>9259726.8519525044</v>
      </c>
      <c r="E243" s="8">
        <f t="shared" si="74"/>
        <v>7.0802429937185289</v>
      </c>
      <c r="F243" s="8">
        <f t="shared" si="68"/>
        <v>3058210.5596757745</v>
      </c>
      <c r="G243">
        <f t="shared" si="75"/>
        <v>4165610.4551943503</v>
      </c>
      <c r="H243">
        <f t="shared" si="71"/>
        <v>7223821.0148701249</v>
      </c>
      <c r="I243">
        <f t="shared" si="72"/>
        <v>2035905.8370823795</v>
      </c>
      <c r="J243">
        <v>0</v>
      </c>
      <c r="K243" s="8">
        <f>Table421[[#This Row],[Column9]]-Table421[[#This Row],[Column10]]</f>
        <v>2035905.8370823795</v>
      </c>
      <c r="L243" s="8">
        <f>Table421[[#This Row],[Column11]]</f>
        <v>2035905.8370823795</v>
      </c>
      <c r="M243" s="8">
        <f>Table421[[#This Row],[Column12]]*(1-$E$74)</f>
        <v>1608365.6112950798</v>
      </c>
      <c r="N243">
        <f>Table421[[#This Row],[Column10]]</f>
        <v>0</v>
      </c>
      <c r="O243" s="4">
        <f>Table421[[#This Row],[Column13]]+Table421[[#This Row],[Column14]]</f>
        <v>1608365.6112950798</v>
      </c>
    </row>
    <row r="244" spans="1:15" x14ac:dyDescent="0.4">
      <c r="A244" s="10">
        <f t="shared" si="73"/>
        <v>7</v>
      </c>
      <c r="B244" s="8">
        <f t="shared" si="69"/>
        <v>22.188058640518499</v>
      </c>
      <c r="C244" s="8">
        <f t="shared" si="70"/>
        <v>443814.05452534097</v>
      </c>
      <c r="D244">
        <f t="shared" si="67"/>
        <v>9847372.2672945391</v>
      </c>
      <c r="E244" s="8">
        <f t="shared" si="74"/>
        <v>7.3811533209515661</v>
      </c>
      <c r="F244" s="8">
        <f t="shared" si="68"/>
        <v>3275859.5824446999</v>
      </c>
      <c r="G244">
        <f t="shared" si="75"/>
        <v>4300992.7949881665</v>
      </c>
      <c r="H244">
        <f t="shared" si="71"/>
        <v>7576852.377432866</v>
      </c>
      <c r="I244" s="8">
        <f t="shared" si="72"/>
        <v>2270519.8898616731</v>
      </c>
      <c r="J244">
        <v>0</v>
      </c>
      <c r="K244" s="8">
        <f>Table421[[#This Row],[Column9]]-Table421[[#This Row],[Column10]]</f>
        <v>2270519.8898616731</v>
      </c>
      <c r="L244" s="8">
        <f>Table421[[#This Row],[Column11]]</f>
        <v>2270519.8898616731</v>
      </c>
      <c r="M244" s="8">
        <f>Table421[[#This Row],[Column12]]*(1-$E$74)</f>
        <v>1793710.7129907219</v>
      </c>
      <c r="N244">
        <f>Table421[[#This Row],[Column10]]</f>
        <v>0</v>
      </c>
      <c r="O244" s="4">
        <f>Table421[[#This Row],[Column13]]+Table421[[#This Row],[Column14]]</f>
        <v>1793710.7129907219</v>
      </c>
    </row>
    <row r="245" spans="1:15" x14ac:dyDescent="0.4">
      <c r="A245" s="10">
        <f t="shared" si="73"/>
        <v>8</v>
      </c>
      <c r="B245" s="8">
        <f t="shared" si="69"/>
        <v>22.964640692936644</v>
      </c>
      <c r="C245" s="8">
        <f t="shared" si="70"/>
        <v>456018.9410247879</v>
      </c>
      <c r="D245">
        <f t="shared" si="67"/>
        <v>10472311.12980772</v>
      </c>
      <c r="E245" s="8">
        <f t="shared" si="74"/>
        <v>7.6948523370920077</v>
      </c>
      <c r="F245" s="8">
        <f t="shared" si="68"/>
        <v>3508998.4141028114</v>
      </c>
      <c r="G245">
        <f t="shared" si="75"/>
        <v>4440775.0608252818</v>
      </c>
      <c r="H245">
        <f t="shared" si="71"/>
        <v>7949773.4749280931</v>
      </c>
      <c r="I245">
        <f t="shared" si="72"/>
        <v>2522537.6548796268</v>
      </c>
      <c r="J245">
        <v>0</v>
      </c>
      <c r="K245" s="8">
        <f>Table421[[#This Row],[Column9]]-Table421[[#This Row],[Column10]]</f>
        <v>2522537.6548796268</v>
      </c>
      <c r="L245" s="8">
        <f>Table421[[#This Row],[Column11]]</f>
        <v>2522537.6548796268</v>
      </c>
      <c r="M245" s="8">
        <f>Table421[[#This Row],[Column12]]*(1-$E$74)</f>
        <v>1992804.7473549054</v>
      </c>
      <c r="N245">
        <f>Table421[[#This Row],[Column10]]</f>
        <v>0</v>
      </c>
      <c r="O245" s="4">
        <f>Table421[[#This Row],[Column13]]+Table421[[#This Row],[Column14]]</f>
        <v>1992804.7473549054</v>
      </c>
    </row>
    <row r="246" spans="1:15" x14ac:dyDescent="0.4">
      <c r="A246" s="10">
        <f t="shared" si="73"/>
        <v>9</v>
      </c>
      <c r="B246" s="8">
        <f t="shared" si="69"/>
        <v>23.768403117189425</v>
      </c>
      <c r="C246" s="8">
        <f t="shared" si="70"/>
        <v>468559.46190296958</v>
      </c>
      <c r="D246">
        <f t="shared" si="67"/>
        <v>11136910.174883142</v>
      </c>
      <c r="E246" s="8">
        <f t="shared" si="74"/>
        <v>8.0218835614184183</v>
      </c>
      <c r="F246" s="8">
        <f t="shared" si="68"/>
        <v>3758729.4449864915</v>
      </c>
      <c r="G246">
        <f t="shared" si="75"/>
        <v>4585100.2503021033</v>
      </c>
      <c r="H246">
        <f t="shared" si="71"/>
        <v>8343829.6952885948</v>
      </c>
      <c r="I246">
        <f t="shared" si="72"/>
        <v>2793080.4795945473</v>
      </c>
      <c r="J246">
        <v>0</v>
      </c>
      <c r="K246" s="8">
        <f>Table421[[#This Row],[Column9]]-Table421[[#This Row],[Column10]]</f>
        <v>2793080.4795945473</v>
      </c>
      <c r="L246" s="8">
        <f>Table421[[#This Row],[Column11]]</f>
        <v>2793080.4795945473</v>
      </c>
      <c r="M246" s="8">
        <f>Table421[[#This Row],[Column12]]*(1-$E$74)</f>
        <v>2206533.5788796926</v>
      </c>
      <c r="N246">
        <f>Table421[[#This Row],[Column10]]</f>
        <v>0</v>
      </c>
      <c r="O246" s="4">
        <f>Table421[[#This Row],[Column13]]+Table421[[#This Row],[Column14]]</f>
        <v>2206533.5788796926</v>
      </c>
    </row>
    <row r="247" spans="1:15" x14ac:dyDescent="0.4">
      <c r="A247" s="10">
        <f t="shared" si="73"/>
        <v>10</v>
      </c>
      <c r="B247" s="8">
        <f t="shared" si="69"/>
        <v>24.600297226291055</v>
      </c>
      <c r="C247" s="8">
        <f t="shared" si="70"/>
        <v>481444.84710530128</v>
      </c>
      <c r="D247">
        <f t="shared" si="67"/>
        <v>11843686.336856663</v>
      </c>
      <c r="E247" s="8">
        <f t="shared" si="74"/>
        <v>8.3628136127787016</v>
      </c>
      <c r="F247" s="8">
        <f t="shared" si="68"/>
        <v>4026233.521174374</v>
      </c>
      <c r="G247">
        <f t="shared" si="75"/>
        <v>4734116.008436922</v>
      </c>
      <c r="H247">
        <f t="shared" si="71"/>
        <v>8760349.529611297</v>
      </c>
      <c r="I247">
        <f t="shared" si="72"/>
        <v>3083336.8072453663</v>
      </c>
      <c r="J247">
        <v>0</v>
      </c>
      <c r="K247" s="8">
        <f>Table421[[#This Row],[Column9]]-Table421[[#This Row],[Column10]]</f>
        <v>3083336.8072453663</v>
      </c>
      <c r="L247" s="8">
        <f>Table421[[#This Row],[Column11]]</f>
        <v>3083336.8072453663</v>
      </c>
      <c r="M247" s="8">
        <f>Table421[[#This Row],[Column12]]*(1-$E$74)</f>
        <v>2435836.0777238393</v>
      </c>
      <c r="N247">
        <f>Table421[[#This Row],[Column10]]</f>
        <v>0</v>
      </c>
      <c r="O247" s="4">
        <f>Table421[[#This Row],[Column13]]+Table421[[#This Row],[Column14]]</f>
        <v>2435836.0777238393</v>
      </c>
    </row>
    <row r="250" spans="1:15" x14ac:dyDescent="0.4">
      <c r="A250" s="10" t="s">
        <v>77</v>
      </c>
      <c r="B250" s="10">
        <v>0</v>
      </c>
      <c r="C250" s="10">
        <f>Table625[[#This Row],[Column2]]+1</f>
        <v>1</v>
      </c>
      <c r="D250" s="10">
        <f>Table625[[#This Row],[Column3]]+1</f>
        <v>2</v>
      </c>
      <c r="E250" s="10">
        <f>Table625[[#This Row],[Column4]]+1</f>
        <v>3</v>
      </c>
      <c r="F250" s="10">
        <f>Table625[[#This Row],[Column5]]+1</f>
        <v>4</v>
      </c>
      <c r="G250" s="10">
        <f>Table625[[#This Row],[Column6]]+1</f>
        <v>5</v>
      </c>
      <c r="H250" s="10">
        <f>Table625[[#This Row],[Column7]]+1</f>
        <v>6</v>
      </c>
      <c r="I250" s="10">
        <f>Table625[[#This Row],[Column8]]+1</f>
        <v>7</v>
      </c>
      <c r="J250" s="10">
        <f>Table625[[#This Row],[Column9]]+1</f>
        <v>8</v>
      </c>
      <c r="K250" s="10">
        <f>Table625[[#This Row],[Column10]]+1</f>
        <v>9</v>
      </c>
      <c r="L250" s="10">
        <f>Table625[[#This Row],[Column11]]+1</f>
        <v>10</v>
      </c>
    </row>
    <row r="251" spans="1:15" x14ac:dyDescent="0.4">
      <c r="A251" s="10" t="s">
        <v>36</v>
      </c>
      <c r="B251">
        <v>0</v>
      </c>
      <c r="C251" s="51">
        <f>O238</f>
        <v>1259232.4237405895</v>
      </c>
      <c r="D251" s="8">
        <f>O239</f>
        <v>1387457.0007608789</v>
      </c>
      <c r="E251" s="8">
        <f>O240</f>
        <v>1525701.5578215932</v>
      </c>
      <c r="F251" s="8">
        <f>O241</f>
        <v>1674626.837368917</v>
      </c>
      <c r="G251" s="8">
        <f>O242</f>
        <v>1834933.7360718411</v>
      </c>
      <c r="H251" s="8">
        <f>O243</f>
        <v>1608365.6112950798</v>
      </c>
      <c r="I251" s="8">
        <f>O244</f>
        <v>1793710.7129907219</v>
      </c>
      <c r="J251" s="8">
        <f>O245</f>
        <v>1992804.7473549054</v>
      </c>
      <c r="K251" s="8">
        <f>O246</f>
        <v>2206533.5788796926</v>
      </c>
      <c r="L251" s="8">
        <f>O247</f>
        <v>2435836.0777238393</v>
      </c>
    </row>
    <row r="252" spans="1:15" x14ac:dyDescent="0.4">
      <c r="A252" s="10" t="s">
        <v>33</v>
      </c>
      <c r="B252">
        <v>-9500000</v>
      </c>
      <c r="C252" s="52"/>
      <c r="E252">
        <v>-1500000</v>
      </c>
    </row>
    <row r="253" spans="1:15" x14ac:dyDescent="0.4">
      <c r="A253" s="10" t="s">
        <v>30</v>
      </c>
      <c r="B253">
        <v>550000</v>
      </c>
      <c r="C253" s="52"/>
      <c r="F253">
        <v>150000</v>
      </c>
      <c r="L253">
        <v>0</v>
      </c>
    </row>
    <row r="254" spans="1:15" x14ac:dyDescent="0.4">
      <c r="A254" s="12" t="s">
        <v>89</v>
      </c>
      <c r="B254">
        <f>-B253</f>
        <v>-550000</v>
      </c>
      <c r="C254" s="52"/>
      <c r="F254">
        <f>-F253</f>
        <v>-150000</v>
      </c>
      <c r="L254">
        <f>-(Table625[[#This Row],[Column2]]+Table625[[#This Row],[Column6]])</f>
        <v>700000</v>
      </c>
    </row>
    <row r="255" spans="1:15" x14ac:dyDescent="0.4">
      <c r="A255" s="12" t="s">
        <v>38</v>
      </c>
      <c r="B255">
        <v>0</v>
      </c>
      <c r="C255" s="51">
        <v>0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f>L136</f>
        <v>1580000</v>
      </c>
    </row>
    <row r="256" spans="1:15" x14ac:dyDescent="0.4">
      <c r="A256" s="12" t="s">
        <v>68</v>
      </c>
      <c r="B256" s="4">
        <f t="shared" ref="B256:L256" si="76">B251+B252+B254+B255</f>
        <v>-10050000</v>
      </c>
      <c r="C256" s="79">
        <f t="shared" si="76"/>
        <v>1259232.4237405895</v>
      </c>
      <c r="D256" s="44">
        <f t="shared" si="76"/>
        <v>1387457.0007608789</v>
      </c>
      <c r="E256" s="44">
        <f t="shared" si="76"/>
        <v>25701.557821593247</v>
      </c>
      <c r="F256" s="44">
        <f t="shared" si="76"/>
        <v>1524626.837368917</v>
      </c>
      <c r="G256" s="44">
        <f t="shared" si="76"/>
        <v>1834933.7360718411</v>
      </c>
      <c r="H256" s="44">
        <f t="shared" si="76"/>
        <v>1608365.6112950798</v>
      </c>
      <c r="I256" s="44">
        <f t="shared" si="76"/>
        <v>1793710.7129907219</v>
      </c>
      <c r="J256" s="44">
        <f t="shared" si="76"/>
        <v>1992804.7473549054</v>
      </c>
      <c r="K256" s="44">
        <f t="shared" si="76"/>
        <v>2206533.5788796926</v>
      </c>
      <c r="L256" s="44">
        <f t="shared" si="76"/>
        <v>4715836.0777238393</v>
      </c>
    </row>
    <row r="259" spans="1:6" x14ac:dyDescent="0.4">
      <c r="A259" s="10" t="s">
        <v>47</v>
      </c>
      <c r="B259" s="10">
        <f>NPV(F63,C256:L256)+B256</f>
        <v>0</v>
      </c>
      <c r="C259" s="10"/>
    </row>
    <row r="260" spans="1:6" x14ac:dyDescent="0.4">
      <c r="A260" s="38" t="s">
        <v>108</v>
      </c>
      <c r="B260" s="73" t="s">
        <v>163</v>
      </c>
      <c r="C260" s="73"/>
      <c r="D260" s="4"/>
      <c r="E260" s="4"/>
      <c r="F260" s="4"/>
    </row>
  </sheetData>
  <phoneticPr fontId="23" type="noConversion"/>
  <pageMargins left="0.7" right="0.7" top="0.75" bottom="0.75" header="0.3" footer="0.3"/>
  <ignoredErrors>
    <ignoredError sqref="A80:O91 C95:C100 A118:M129 C132:C137 B140:B143 A203:N214 C169:C174 A154:O165 C218:C223 B227 A236:I237 N236:N247 C251:C256 E227:E228 A34:O45 B228:B229 A239:I247 A238:B238 C238:I238 B194 B260" calculatedColumn="1"/>
  </ignoredErrors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984A2130DDB4BA627320851D3097F" ma:contentTypeVersion="8" ma:contentTypeDescription="Create a new document." ma:contentTypeScope="" ma:versionID="414bca247504e2c770812837cde21536">
  <xsd:schema xmlns:xsd="http://www.w3.org/2001/XMLSchema" xmlns:xs="http://www.w3.org/2001/XMLSchema" xmlns:p="http://schemas.microsoft.com/office/2006/metadata/properties" xmlns:ns3="e36d2eee-7537-4118-bd99-5ca482f0eaae" xmlns:ns4="64ab0a5b-edce-4cc0-97b3-758a93ec6bc3" targetNamespace="http://schemas.microsoft.com/office/2006/metadata/properties" ma:root="true" ma:fieldsID="be3e08f2f8e55ea266f6873b80960276" ns3:_="" ns4:_="">
    <xsd:import namespace="e36d2eee-7537-4118-bd99-5ca482f0eaae"/>
    <xsd:import namespace="64ab0a5b-edce-4cc0-97b3-758a93ec6b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d2eee-7537-4118-bd99-5ca482f0ea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ab0a5b-edce-4cc0-97b3-758a93ec6bc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36d2eee-7537-4118-bd99-5ca482f0eaae" xsi:nil="true"/>
  </documentManagement>
</p:properties>
</file>

<file path=customXml/itemProps1.xml><?xml version="1.0" encoding="utf-8"?>
<ds:datastoreItem xmlns:ds="http://schemas.openxmlformats.org/officeDocument/2006/customXml" ds:itemID="{F0A7FF72-B07F-415F-8284-206BED59B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6d2eee-7537-4118-bd99-5ca482f0eaae"/>
    <ds:schemaRef ds:uri="64ab0a5b-edce-4cc0-97b3-758a93ec6b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39A0DB-A1C3-4B39-B004-760AADFB70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6DEFB9-FA68-4A99-B081-D25175BDAFA6}">
  <ds:schemaRefs>
    <ds:schemaRef ds:uri="http://www.w3.org/XML/1998/namespace"/>
    <ds:schemaRef ds:uri="http://schemas.microsoft.com/office/2006/documentManagement/types"/>
    <ds:schemaRef ds:uri="e36d2eee-7537-4118-bd99-5ca482f0eaae"/>
    <ds:schemaRef ds:uri="http://schemas.microsoft.com/office/infopath/2007/PartnerControls"/>
    <ds:schemaRef ds:uri="http://purl.org/dc/dcmitype/"/>
    <ds:schemaRef ds:uri="64ab0a5b-edce-4cc0-97b3-758a93ec6bc3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Sharma, Salon</dc:creator>
  <cp:keywords/>
  <dc:description/>
  <cp:lastModifiedBy>Salon Sharma</cp:lastModifiedBy>
  <cp:revision/>
  <dcterms:created xsi:type="dcterms:W3CDTF">2024-04-23T02:31:37Z</dcterms:created>
  <dcterms:modified xsi:type="dcterms:W3CDTF">2024-05-04T01:55:51Z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0x0101006F6984A2130DDB4BA627320851D3097F</vt:lpwstr>
  </property>
</Properties>
</file>