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demand forecast\"/>
    </mc:Choice>
  </mc:AlternateContent>
  <xr:revisionPtr revIDLastSave="0" documentId="13_ncr:1_{B7A789F6-4643-4BEC-B1EB-AB16CDCA05B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mand Forecast" sheetId="3" r:id="rId1"/>
    <sheet name="Cost Model" sheetId="9" r:id="rId2"/>
    <sheet name="Price Model" sheetId="12" r:id="rId3"/>
    <sheet name="cost structure" sheetId="11" r:id="rId4"/>
    <sheet name="Dashboard" sheetId="5" r:id="rId5"/>
    <sheet name="Calculation" sheetId="10" r:id="rId6"/>
    <sheet name="Data Sheet" sheetId="1" r:id="rId7"/>
    <sheet name="Actual Data" sheetId="4" r:id="rId8"/>
    <sheet name="Sheet3" sheetId="7" r:id="rId9"/>
    <sheet name="Sheet4" sheetId="8" r:id="rId10"/>
  </sheets>
  <definedNames>
    <definedName name="_xlnm._FilterDatabase" localSheetId="7" hidden="1">'Actual Data'!$A$1:$D$289</definedName>
    <definedName name="_xlnm._FilterDatabase" localSheetId="6" hidden="1">'Data Sheet'!$A$1:$D$301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2" l="1"/>
  <c r="F18" i="12" s="1"/>
  <c r="G13" i="12"/>
  <c r="G11" i="12"/>
  <c r="G10" i="12"/>
  <c r="G9" i="12"/>
  <c r="G12" i="12"/>
  <c r="B18" i="12"/>
  <c r="C10" i="11"/>
  <c r="C12" i="11"/>
  <c r="C11" i="11"/>
  <c r="C15" i="11"/>
  <c r="C39" i="9"/>
  <c r="G25" i="9"/>
  <c r="D7" i="3"/>
  <c r="E7" i="3" s="1"/>
  <c r="D8" i="3"/>
  <c r="E8" i="3" s="1"/>
  <c r="D9" i="3"/>
  <c r="E9" i="3"/>
  <c r="D10" i="3"/>
  <c r="E10" i="3" s="1"/>
  <c r="D11" i="3"/>
  <c r="E11" i="3" s="1"/>
  <c r="C41" i="9"/>
  <c r="G31" i="9"/>
  <c r="F21" i="12" l="1"/>
  <c r="F25" i="12"/>
  <c r="E67" i="9"/>
  <c r="C13" i="9"/>
  <c r="E58" i="9"/>
  <c r="E57" i="9"/>
  <c r="E56" i="9"/>
  <c r="E55" i="9"/>
  <c r="E51" i="9"/>
  <c r="E49" i="9"/>
  <c r="S16" i="10"/>
  <c r="S15" i="10"/>
  <c r="S14" i="10"/>
  <c r="S13" i="10"/>
  <c r="R14" i="10"/>
  <c r="R15" i="10"/>
  <c r="R16" i="10"/>
  <c r="R13" i="10"/>
  <c r="Z39" i="10"/>
  <c r="Z41" i="10" s="1"/>
  <c r="O13" i="10" s="1"/>
  <c r="Q13" i="10" s="1"/>
  <c r="E50" i="9"/>
  <c r="E48" i="9"/>
  <c r="Z21" i="10"/>
  <c r="AB22" i="10" s="1"/>
  <c r="L14" i="10" s="1"/>
  <c r="N14" i="10" s="1"/>
  <c r="C40" i="9"/>
  <c r="N23" i="10"/>
  <c r="E64" i="9"/>
  <c r="E61" i="9"/>
  <c r="Z31" i="10"/>
  <c r="L16" i="10" s="1"/>
  <c r="N16" i="10" s="1"/>
  <c r="Z26" i="10"/>
  <c r="L15" i="10" s="1"/>
  <c r="N15" i="10" s="1"/>
  <c r="N13" i="10"/>
  <c r="Z14" i="10"/>
  <c r="Z16" i="10" s="1"/>
  <c r="G26" i="9"/>
  <c r="G24" i="9"/>
  <c r="G17" i="10"/>
  <c r="G16" i="10"/>
  <c r="G15" i="10"/>
  <c r="G14" i="10"/>
  <c r="G13" i="10"/>
  <c r="N3" i="10"/>
  <c r="P3" i="10" s="1"/>
  <c r="J4" i="10"/>
  <c r="C19" i="9"/>
  <c r="H19" i="9" l="1"/>
  <c r="F19" i="9"/>
  <c r="C82" i="9"/>
  <c r="C86" i="9" s="1"/>
  <c r="AA37" i="10"/>
  <c r="Z46" i="10" s="1"/>
  <c r="C12" i="9"/>
  <c r="O3" i="10"/>
  <c r="C73" i="9"/>
  <c r="E19" i="9"/>
  <c r="G19" i="9"/>
  <c r="I19" i="9" l="1"/>
  <c r="Z51" i="10"/>
  <c r="O15" i="10" s="1"/>
  <c r="Q15" i="10" s="1"/>
  <c r="Z56" i="10"/>
  <c r="O16" i="10" s="1"/>
  <c r="Q16" i="10" s="1"/>
  <c r="AB47" i="10"/>
  <c r="O14" i="10"/>
  <c r="Q14" i="10" s="1"/>
  <c r="C77" i="9"/>
  <c r="C38" i="9"/>
  <c r="C42" i="9" l="1"/>
  <c r="C9" i="11"/>
  <c r="C85" i="9"/>
  <c r="C87" i="9" s="1"/>
  <c r="C83" i="9"/>
  <c r="C74" i="9"/>
  <c r="C76" i="9"/>
  <c r="C78" i="9" s="1"/>
  <c r="H50" i="3"/>
  <c r="N50" i="3" s="1"/>
  <c r="H51" i="3"/>
  <c r="N51" i="3" s="1"/>
  <c r="H52" i="3"/>
  <c r="N52" i="3" s="1"/>
  <c r="H53" i="3"/>
  <c r="N53" i="3" s="1"/>
  <c r="H54" i="3"/>
  <c r="N54" i="3" s="1"/>
  <c r="H55" i="3"/>
  <c r="N55" i="3" s="1"/>
  <c r="H56" i="3"/>
  <c r="N56" i="3" s="1"/>
  <c r="H57" i="3"/>
  <c r="N57" i="3" s="1"/>
  <c r="H58" i="3"/>
  <c r="N58" i="3" s="1"/>
  <c r="H59" i="3"/>
  <c r="N59" i="3" s="1"/>
  <c r="H60" i="3"/>
  <c r="N60" i="3" s="1"/>
  <c r="H49" i="3"/>
  <c r="N49" i="3" s="1"/>
  <c r="G50" i="3"/>
  <c r="M50" i="3" s="1"/>
  <c r="G51" i="3"/>
  <c r="M51" i="3" s="1"/>
  <c r="G52" i="3"/>
  <c r="M52" i="3" s="1"/>
  <c r="G53" i="3"/>
  <c r="M53" i="3" s="1"/>
  <c r="G54" i="3"/>
  <c r="M54" i="3" s="1"/>
  <c r="G55" i="3"/>
  <c r="M55" i="3" s="1"/>
  <c r="G56" i="3"/>
  <c r="M56" i="3" s="1"/>
  <c r="G57" i="3"/>
  <c r="M57" i="3" s="1"/>
  <c r="G58" i="3"/>
  <c r="M58" i="3" s="1"/>
  <c r="G59" i="3"/>
  <c r="M59" i="3" s="1"/>
  <c r="G60" i="3"/>
  <c r="M60" i="3" s="1"/>
  <c r="G49" i="3"/>
  <c r="M49" i="3" s="1"/>
  <c r="F60" i="3"/>
  <c r="L60" i="3" s="1"/>
  <c r="F59" i="3"/>
  <c r="L59" i="3" s="1"/>
  <c r="F58" i="3"/>
  <c r="L58" i="3" s="1"/>
  <c r="F57" i="3"/>
  <c r="L57" i="3" s="1"/>
  <c r="F56" i="3"/>
  <c r="L56" i="3" s="1"/>
  <c r="F55" i="3"/>
  <c r="L55" i="3" s="1"/>
  <c r="F54" i="3"/>
  <c r="L54" i="3" s="1"/>
  <c r="F53" i="3"/>
  <c r="L53" i="3" s="1"/>
  <c r="F52" i="3"/>
  <c r="L52" i="3" s="1"/>
  <c r="F51" i="3"/>
  <c r="L51" i="3" s="1"/>
  <c r="F50" i="3"/>
  <c r="L50" i="3" s="1"/>
  <c r="F49" i="3"/>
  <c r="L49" i="3" s="1"/>
  <c r="E50" i="3"/>
  <c r="K50" i="3" s="1"/>
  <c r="E51" i="3"/>
  <c r="K51" i="3" s="1"/>
  <c r="E52" i="3"/>
  <c r="K52" i="3" s="1"/>
  <c r="E53" i="3"/>
  <c r="K53" i="3" s="1"/>
  <c r="E54" i="3"/>
  <c r="K54" i="3" s="1"/>
  <c r="E55" i="3"/>
  <c r="K55" i="3" s="1"/>
  <c r="E56" i="3"/>
  <c r="K56" i="3" s="1"/>
  <c r="E57" i="3"/>
  <c r="K57" i="3" s="1"/>
  <c r="E58" i="3"/>
  <c r="K58" i="3" s="1"/>
  <c r="E59" i="3"/>
  <c r="K59" i="3" s="1"/>
  <c r="E60" i="3"/>
  <c r="K60" i="3" s="1"/>
  <c r="E49" i="3"/>
  <c r="K49" i="3" s="1"/>
  <c r="D50" i="3"/>
  <c r="J50" i="3" s="1"/>
  <c r="D51" i="3"/>
  <c r="J51" i="3" s="1"/>
  <c r="D52" i="3"/>
  <c r="J52" i="3" s="1"/>
  <c r="D53" i="3"/>
  <c r="J53" i="3" s="1"/>
  <c r="D54" i="3"/>
  <c r="J54" i="3" s="1"/>
  <c r="D55" i="3"/>
  <c r="J55" i="3" s="1"/>
  <c r="D56" i="3"/>
  <c r="J56" i="3" s="1"/>
  <c r="D57" i="3"/>
  <c r="J57" i="3" s="1"/>
  <c r="D58" i="3"/>
  <c r="J58" i="3" s="1"/>
  <c r="D59" i="3"/>
  <c r="J59" i="3" s="1"/>
  <c r="D60" i="3"/>
  <c r="J60" i="3" s="1"/>
  <c r="D49" i="3"/>
  <c r="J49" i="3" s="1"/>
  <c r="C50" i="3"/>
  <c r="I50" i="3" s="1"/>
  <c r="C51" i="3"/>
  <c r="I51" i="3" s="1"/>
  <c r="C52" i="3"/>
  <c r="I52" i="3" s="1"/>
  <c r="C53" i="3"/>
  <c r="I53" i="3" s="1"/>
  <c r="C54" i="3"/>
  <c r="I54" i="3" s="1"/>
  <c r="C55" i="3"/>
  <c r="I55" i="3" s="1"/>
  <c r="C56" i="3"/>
  <c r="I56" i="3" s="1"/>
  <c r="C57" i="3"/>
  <c r="I57" i="3" s="1"/>
  <c r="C58" i="3"/>
  <c r="I58" i="3" s="1"/>
  <c r="C59" i="3"/>
  <c r="I59" i="3" s="1"/>
  <c r="C60" i="3"/>
  <c r="I60" i="3" s="1"/>
  <c r="C49" i="3"/>
  <c r="I49" i="3" s="1"/>
  <c r="D25" i="3"/>
  <c r="E26" i="3"/>
  <c r="I26" i="3" s="1"/>
  <c r="E27" i="3"/>
  <c r="I27" i="3" s="1"/>
  <c r="E28" i="3"/>
  <c r="I28" i="3" s="1"/>
  <c r="E29" i="3"/>
  <c r="I29" i="3" s="1"/>
  <c r="E30" i="3"/>
  <c r="I30" i="3" s="1"/>
  <c r="E31" i="3"/>
  <c r="I31" i="3" s="1"/>
  <c r="E32" i="3"/>
  <c r="I32" i="3" s="1"/>
  <c r="E33" i="3"/>
  <c r="I33" i="3" s="1"/>
  <c r="E34" i="3"/>
  <c r="I34" i="3" s="1"/>
  <c r="E35" i="3"/>
  <c r="I35" i="3" s="1"/>
  <c r="E36" i="3"/>
  <c r="I36" i="3" s="1"/>
  <c r="E25" i="3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25" i="3"/>
  <c r="D36" i="3"/>
  <c r="H36" i="3" s="1"/>
  <c r="D35" i="3"/>
  <c r="H35" i="3" s="1"/>
  <c r="D34" i="3"/>
  <c r="H34" i="3" s="1"/>
  <c r="D33" i="3"/>
  <c r="H33" i="3" s="1"/>
  <c r="D32" i="3"/>
  <c r="H32" i="3" s="1"/>
  <c r="D31" i="3"/>
  <c r="H31" i="3" s="1"/>
  <c r="D30" i="3"/>
  <c r="H30" i="3" s="1"/>
  <c r="D29" i="3"/>
  <c r="H29" i="3" s="1"/>
  <c r="D28" i="3"/>
  <c r="H28" i="3" s="1"/>
  <c r="D27" i="3"/>
  <c r="H27" i="3" s="1"/>
  <c r="D26" i="3"/>
  <c r="H26" i="3" s="1"/>
  <c r="C25" i="3"/>
  <c r="C36" i="3"/>
  <c r="G36" i="3" s="1"/>
  <c r="C35" i="3"/>
  <c r="G35" i="3" s="1"/>
  <c r="C34" i="3"/>
  <c r="G34" i="3" s="1"/>
  <c r="C33" i="3"/>
  <c r="G33" i="3" s="1"/>
  <c r="C32" i="3"/>
  <c r="G32" i="3" s="1"/>
  <c r="C31" i="3"/>
  <c r="G31" i="3" s="1"/>
  <c r="C30" i="3"/>
  <c r="G30" i="3" s="1"/>
  <c r="C29" i="3"/>
  <c r="G29" i="3" s="1"/>
  <c r="C28" i="3"/>
  <c r="G28" i="3" s="1"/>
  <c r="C27" i="3"/>
  <c r="G27" i="3" s="1"/>
  <c r="C26" i="3"/>
  <c r="G26" i="3" s="1"/>
  <c r="D26" i="1"/>
  <c r="D301" i="1"/>
  <c r="D18" i="3" s="1"/>
  <c r="E18" i="3" s="1"/>
  <c r="C301" i="1"/>
  <c r="B301" i="1"/>
  <c r="D276" i="1"/>
  <c r="D17" i="3" s="1"/>
  <c r="E17" i="3" s="1"/>
  <c r="C276" i="1"/>
  <c r="B276" i="1"/>
  <c r="D251" i="1"/>
  <c r="D16" i="3" s="1"/>
  <c r="E16" i="3" s="1"/>
  <c r="C251" i="1"/>
  <c r="B251" i="1"/>
  <c r="D226" i="1"/>
  <c r="D15" i="3" s="1"/>
  <c r="E15" i="3" s="1"/>
  <c r="C226" i="1"/>
  <c r="B226" i="1"/>
  <c r="D201" i="1"/>
  <c r="D14" i="3" s="1"/>
  <c r="E14" i="3" s="1"/>
  <c r="C201" i="1"/>
  <c r="B201" i="1"/>
  <c r="D176" i="1"/>
  <c r="D13" i="3" s="1"/>
  <c r="E13" i="3" s="1"/>
  <c r="C176" i="1"/>
  <c r="B176" i="1"/>
  <c r="D151" i="1"/>
  <c r="D12" i="3" s="1"/>
  <c r="C151" i="1"/>
  <c r="B151" i="1"/>
  <c r="D126" i="1"/>
  <c r="C126" i="1"/>
  <c r="B126" i="1"/>
  <c r="D101" i="1"/>
  <c r="C101" i="1"/>
  <c r="B101" i="1"/>
  <c r="D76" i="1"/>
  <c r="C76" i="1"/>
  <c r="B76" i="1"/>
  <c r="D51" i="1"/>
  <c r="C51" i="1"/>
  <c r="B51" i="1"/>
  <c r="C26" i="1"/>
  <c r="B26" i="1"/>
  <c r="E12" i="3" l="1"/>
  <c r="G25" i="3"/>
  <c r="G39" i="3" s="1"/>
  <c r="J25" i="3"/>
  <c r="J39" i="3" s="1"/>
  <c r="I25" i="3"/>
  <c r="I39" i="3" s="1"/>
  <c r="H25" i="3"/>
  <c r="H39" i="3" s="1"/>
  <c r="C13" i="11"/>
  <c r="J63" i="3"/>
  <c r="N63" i="3"/>
  <c r="K63" i="3"/>
  <c r="L63" i="3"/>
  <c r="I63" i="3"/>
  <c r="M63" i="3"/>
  <c r="B302" i="1"/>
  <c r="C302" i="1"/>
  <c r="D302" i="1"/>
  <c r="C17" i="11" l="1"/>
  <c r="J40" i="3"/>
  <c r="G41" i="3" s="1"/>
  <c r="N64" i="3"/>
  <c r="L65" i="3" s="1"/>
  <c r="C25" i="11" l="1"/>
  <c r="C23" i="11"/>
  <c r="C22" i="11"/>
  <c r="C19" i="11"/>
  <c r="C20" i="11"/>
  <c r="C26" i="11"/>
  <c r="C21" i="11"/>
  <c r="J41" i="3"/>
  <c r="I41" i="3"/>
  <c r="H41" i="3"/>
  <c r="I65" i="3"/>
  <c r="M65" i="3"/>
  <c r="J65" i="3"/>
  <c r="N65" i="3"/>
  <c r="K65" i="3"/>
  <c r="B21" i="12" l="1"/>
  <c r="B25" i="12"/>
</calcChain>
</file>

<file path=xl/sharedStrings.xml><?xml version="1.0" encoding="utf-8"?>
<sst xmlns="http://schemas.openxmlformats.org/spreadsheetml/2006/main" count="2112" uniqueCount="223">
  <si>
    <t>Month</t>
  </si>
  <si>
    <t>Product Type</t>
  </si>
  <si>
    <t>Vanilla</t>
  </si>
  <si>
    <t>Cup</t>
  </si>
  <si>
    <t>Chocolate</t>
  </si>
  <si>
    <t>Stick</t>
  </si>
  <si>
    <t>Fruit</t>
  </si>
  <si>
    <t>Cone</t>
  </si>
  <si>
    <t>Others</t>
  </si>
  <si>
    <t>Brick</t>
  </si>
  <si>
    <t>Tub</t>
  </si>
  <si>
    <t>May</t>
  </si>
  <si>
    <t>May Total</t>
  </si>
  <si>
    <t>Grand Total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</si>
  <si>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</si>
  <si>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</si>
  <si>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</si>
  <si>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</si>
  <si>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</si>
  <si>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</si>
  <si>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</si>
  <si>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</si>
  <si>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</si>
  <si>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</si>
  <si>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</si>
  <si>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 Total</t>
  </si>
  <si>
    <t>February Total</t>
  </si>
  <si>
    <t>March Total</t>
  </si>
  <si>
    <t>April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</si>
  <si>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</si>
  <si>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</si>
  <si>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</si>
  <si>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</si>
  <si>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</si>
  <si>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</si>
  <si>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</si>
  <si>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Flavor</t>
  </si>
  <si>
    <t>Quantity</t>
  </si>
  <si>
    <t>Month #</t>
  </si>
  <si>
    <t>Forecasted Demand</t>
  </si>
  <si>
    <t>Flavour Wise Analysis</t>
  </si>
  <si>
    <t>Product Type Analysis</t>
  </si>
  <si>
    <t>Monthly Analysis</t>
  </si>
  <si>
    <t xml:space="preserve">Brick </t>
  </si>
  <si>
    <t>Total</t>
  </si>
  <si>
    <t>% Market Share</t>
  </si>
  <si>
    <t>Row Labels</t>
  </si>
  <si>
    <t>ChocolateF</t>
  </si>
  <si>
    <t>FruitF</t>
  </si>
  <si>
    <t>VanillaF</t>
  </si>
  <si>
    <t>Sum of ChocolateF</t>
  </si>
  <si>
    <t>Sum of FruitF</t>
  </si>
  <si>
    <t>Sum of VanillaF</t>
  </si>
  <si>
    <t>Sum of OrangeF</t>
  </si>
  <si>
    <t>Cup F</t>
  </si>
  <si>
    <t>Stick F</t>
  </si>
  <si>
    <t>Cone F</t>
  </si>
  <si>
    <t>Brick F</t>
  </si>
  <si>
    <t>Tub F</t>
  </si>
  <si>
    <t>Others F</t>
  </si>
  <si>
    <t>Sum of Cup F</t>
  </si>
  <si>
    <t>Sum of Cone F</t>
  </si>
  <si>
    <t>Sum of Stick F</t>
  </si>
  <si>
    <t>Sum of Brick F</t>
  </si>
  <si>
    <t>Sum of Tub F</t>
  </si>
  <si>
    <t>Sum of Others F</t>
  </si>
  <si>
    <t>Current Supply and demand is mostly equal, 2.15% change may occur in demand due to increased popularity and marketing efforts</t>
  </si>
  <si>
    <t>Basic Assumption</t>
  </si>
  <si>
    <t>Flat Interest Rate</t>
  </si>
  <si>
    <t>Depreciation life in years</t>
  </si>
  <si>
    <t>Salvage Value</t>
  </si>
  <si>
    <t>Repair and Maintancence</t>
  </si>
  <si>
    <t>Insurance Cost</t>
  </si>
  <si>
    <t>Equipment Cost</t>
  </si>
  <si>
    <t>Equipment Description</t>
  </si>
  <si>
    <t>Interest In Rs. @ 5.5% p.a.</t>
  </si>
  <si>
    <t>Monthly Depreciation</t>
  </si>
  <si>
    <t>Repair &amp; maintanence</t>
  </si>
  <si>
    <t>Insurance</t>
  </si>
  <si>
    <t>Total Fixed Cost Of Equipments</t>
  </si>
  <si>
    <t>Manpower Cost</t>
  </si>
  <si>
    <t>Description</t>
  </si>
  <si>
    <t>Supervisor</t>
  </si>
  <si>
    <t>Fixed Cost Details</t>
  </si>
  <si>
    <t>Cost Element</t>
  </si>
  <si>
    <t>Total Cost</t>
  </si>
  <si>
    <t>Total Fixed Cost of Equipments / month</t>
  </si>
  <si>
    <t>Total Manpower Cost / month</t>
  </si>
  <si>
    <t>Total Fixed Cost</t>
  </si>
  <si>
    <t>Variable Cost Details</t>
  </si>
  <si>
    <t>Total Variable Cost / month</t>
  </si>
  <si>
    <t>Total Cost / Month</t>
  </si>
  <si>
    <t>Capacity</t>
  </si>
  <si>
    <t>Price</t>
  </si>
  <si>
    <t>Machine</t>
  </si>
  <si>
    <t>All Equipment</t>
  </si>
  <si>
    <t>OthersF</t>
  </si>
  <si>
    <t>Particular</t>
  </si>
  <si>
    <t>100 ltrs</t>
  </si>
  <si>
    <t>Cone machine</t>
  </si>
  <si>
    <t>80 per minute</t>
  </si>
  <si>
    <t>Fixed cost</t>
  </si>
  <si>
    <t>Plant</t>
  </si>
  <si>
    <t>Electricity</t>
  </si>
  <si>
    <t>Particulalr</t>
  </si>
  <si>
    <t>Electricity Daily Basis</t>
  </si>
  <si>
    <t>Rate (Industry)/KWH</t>
  </si>
  <si>
    <t>Capacity KWh</t>
  </si>
  <si>
    <t>Electricity / day</t>
  </si>
  <si>
    <t>Production capacity</t>
  </si>
  <si>
    <t>Ltr, Hr, ml</t>
  </si>
  <si>
    <t>Cone Size ml</t>
  </si>
  <si>
    <t>Cup Size ml</t>
  </si>
  <si>
    <t>Days of Operation per Month days</t>
  </si>
  <si>
    <t>Working Hours per Day hr</t>
  </si>
  <si>
    <t>Machine Capacity ltrs</t>
  </si>
  <si>
    <t>Total Production Ltr / month</t>
  </si>
  <si>
    <t>Capcity in Ltr/ month</t>
  </si>
  <si>
    <t>Production staff</t>
  </si>
  <si>
    <t>Qty</t>
  </si>
  <si>
    <t>Wage / Hr</t>
  </si>
  <si>
    <t>Working Hr</t>
  </si>
  <si>
    <t xml:space="preserve">Days </t>
  </si>
  <si>
    <t>total Cost</t>
  </si>
  <si>
    <t>Man Power Breakdown monthly</t>
  </si>
  <si>
    <t>Packaging staff</t>
  </si>
  <si>
    <t>Mantainence Staff</t>
  </si>
  <si>
    <t>Quality Control Staff</t>
  </si>
  <si>
    <t>Production team</t>
  </si>
  <si>
    <t>Management</t>
  </si>
  <si>
    <t>Milk</t>
  </si>
  <si>
    <t>vol</t>
  </si>
  <si>
    <t>Milk to ice cream ratio</t>
  </si>
  <si>
    <t>Total milk required</t>
  </si>
  <si>
    <t>Rate/ Ltr</t>
  </si>
  <si>
    <t>Sugar</t>
  </si>
  <si>
    <t>Milk Calc</t>
  </si>
  <si>
    <t>Sugar calc</t>
  </si>
  <si>
    <t>sugar</t>
  </si>
  <si>
    <t>of total vol</t>
  </si>
  <si>
    <t>Sugar density</t>
  </si>
  <si>
    <t>kg/l</t>
  </si>
  <si>
    <t>Sugar Conversion</t>
  </si>
  <si>
    <t>Flavouring Calc</t>
  </si>
  <si>
    <t>Flavour</t>
  </si>
  <si>
    <t>Qty in Ltrs, Kg</t>
  </si>
  <si>
    <t>Stabalizers</t>
  </si>
  <si>
    <t>Rate in Ltr, Kg</t>
  </si>
  <si>
    <t>Consumption kWh</t>
  </si>
  <si>
    <t>Rate / kWh (Industry)</t>
  </si>
  <si>
    <t xml:space="preserve">Quantity </t>
  </si>
  <si>
    <t>Fixed Cost / Cone</t>
  </si>
  <si>
    <t>Variable Cost / Cone</t>
  </si>
  <si>
    <t>Van</t>
  </si>
  <si>
    <t>Transport</t>
  </si>
  <si>
    <t>Cost</t>
  </si>
  <si>
    <t>Petrol Rate / Ltr</t>
  </si>
  <si>
    <t>Rent / Trip</t>
  </si>
  <si>
    <t xml:space="preserve">Distance in Km </t>
  </si>
  <si>
    <t>Milage (20 km in 1 ltr.)</t>
  </si>
  <si>
    <t>Transport Cost</t>
  </si>
  <si>
    <t>Total Transport Cost/Month</t>
  </si>
  <si>
    <t>Actual ice cream in ice cream required</t>
  </si>
  <si>
    <t>Variable cost for Cone</t>
  </si>
  <si>
    <t>Cone Calc</t>
  </si>
  <si>
    <t>Variable cost for Cup</t>
  </si>
  <si>
    <t>TVC</t>
  </si>
  <si>
    <t xml:space="preserve">Variable Cost </t>
  </si>
  <si>
    <t xml:space="preserve"> Clean Sheeting / Cost Model For Ice-Cream (Depreciation using Straight Line method)</t>
  </si>
  <si>
    <t>Total Cost / Cone</t>
  </si>
  <si>
    <t>Cost Element (Cone)</t>
  </si>
  <si>
    <t>Rate / cup or cone (Industry)</t>
  </si>
  <si>
    <t>Packaging Cost (Cone)</t>
  </si>
  <si>
    <t>Packaging Cost (Cup)</t>
  </si>
  <si>
    <t>Fixed Cost / Cup</t>
  </si>
  <si>
    <t>Variable Cost / Cup</t>
  </si>
  <si>
    <t>Total Cost / Cup</t>
  </si>
  <si>
    <t>Total Variable Cost / Month</t>
  </si>
  <si>
    <t>Total Qty. Cone / month</t>
  </si>
  <si>
    <t>Total Qty. Cup / month</t>
  </si>
  <si>
    <t>Per Cup(Unit)</t>
  </si>
  <si>
    <t>Per Cone(Unit)</t>
  </si>
  <si>
    <t>Cone(unit)</t>
  </si>
  <si>
    <t>vol(ml)</t>
  </si>
  <si>
    <t>ml</t>
  </si>
  <si>
    <t>Cost Element (Cup)</t>
  </si>
  <si>
    <t>Current Demand</t>
  </si>
  <si>
    <t>Per day 800 ltr</t>
  </si>
  <si>
    <t>Rate / cone or cone (Industry)</t>
  </si>
  <si>
    <t xml:space="preserve">Cost Structure </t>
  </si>
  <si>
    <t>Fixed Cost %</t>
  </si>
  <si>
    <t>Variable cost %</t>
  </si>
  <si>
    <t>Manpower %</t>
  </si>
  <si>
    <t>Equipment %</t>
  </si>
  <si>
    <t>Raw materials %</t>
  </si>
  <si>
    <t>Sale</t>
  </si>
  <si>
    <t>Desired Profit margin</t>
  </si>
  <si>
    <t>Fixed Cost/ Cone</t>
  </si>
  <si>
    <t>Variable Cost/ Cone</t>
  </si>
  <si>
    <t>Note:</t>
  </si>
  <si>
    <t>Selling Price For Cone</t>
  </si>
  <si>
    <t>Total Cost/ Cone</t>
  </si>
  <si>
    <t>Fixed Cost/ Cup</t>
  </si>
  <si>
    <t>Variable Cost/ Cup</t>
  </si>
  <si>
    <t>Total Cost/ Cup</t>
  </si>
  <si>
    <t>Selling Price For Cup</t>
  </si>
  <si>
    <t>Profit Per Cone</t>
  </si>
  <si>
    <t>Profit Per Cup</t>
  </si>
  <si>
    <t>Total Variable Cost</t>
  </si>
  <si>
    <t>Break Even Quantity</t>
  </si>
  <si>
    <t>CUP</t>
  </si>
  <si>
    <t>CONE</t>
  </si>
  <si>
    <t xml:space="preserve">Price Model </t>
  </si>
  <si>
    <t xml:space="preserve">Van </t>
  </si>
  <si>
    <t>Marketing</t>
  </si>
  <si>
    <t>_</t>
  </si>
  <si>
    <t>Sales &amp; Marketing</t>
  </si>
  <si>
    <t xml:space="preserve">Total Transport </t>
  </si>
  <si>
    <t>Marketing%</t>
  </si>
  <si>
    <t>Transport %</t>
  </si>
  <si>
    <t>Cost Structure Analysis</t>
  </si>
  <si>
    <t xml:space="preserve">Particular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</si>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</sst>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%"/>
    <numFmt numFmtId="165" formatCode="0.0%"/>
    <numFmt numFmtId="166" formatCode="&quot;₹&quot;\ #,##0"/>
    <numFmt numFmtId="167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3"/>
      <name val="Arial"/>
      <family val="2"/>
    </font>
    <font>
      <sz val="10"/>
      <color theme="1"/>
      <name val="Calibri"/>
      <family val="1"/>
      <scheme val="minor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A5A5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 style="thin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5" fillId="0" borderId="7" applyNumberFormat="0" applyFill="0" applyAlignment="0" applyProtection="0"/>
    <xf numFmtId="0" fontId="4" fillId="7" borderId="8" applyNumberFormat="0" applyAlignment="0" applyProtection="0"/>
    <xf numFmtId="0" fontId="1" fillId="0" borderId="9" applyNumberFormat="0" applyFill="0" applyAlignment="0" applyProtection="0"/>
    <xf numFmtId="0" fontId="7" fillId="0" borderId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0" fontId="4" fillId="3" borderId="1" xfId="0" applyFont="1" applyFill="1" applyBorder="1"/>
    <xf numFmtId="1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0" fontId="4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1" xfId="0" applyBorder="1"/>
    <xf numFmtId="164" fontId="0" fillId="0" borderId="0" xfId="1" applyNumberFormat="1" applyFont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1" fillId="0" borderId="1" xfId="0" applyNumberFormat="1" applyFont="1" applyBorder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7" fillId="0" borderId="0" xfId="5"/>
    <xf numFmtId="0" fontId="0" fillId="2" borderId="0" xfId="0" applyFill="1" applyAlignment="1">
      <alignment wrapText="1"/>
    </xf>
    <xf numFmtId="0" fontId="0" fillId="0" borderId="10" xfId="0" applyBorder="1"/>
    <xf numFmtId="0" fontId="0" fillId="0" borderId="0" xfId="0" applyAlignment="1">
      <alignment wrapText="1"/>
    </xf>
    <xf numFmtId="165" fontId="1" fillId="0" borderId="1" xfId="0" applyNumberFormat="1" applyFont="1" applyBorder="1"/>
    <xf numFmtId="9" fontId="1" fillId="0" borderId="1" xfId="0" applyNumberFormat="1" applyFont="1" applyBorder="1"/>
    <xf numFmtId="166" fontId="1" fillId="0" borderId="1" xfId="0" applyNumberFormat="1" applyFont="1" applyBorder="1"/>
    <xf numFmtId="166" fontId="1" fillId="0" borderId="11" xfId="4" applyNumberFormat="1" applyBorder="1"/>
    <xf numFmtId="166" fontId="0" fillId="0" borderId="0" xfId="0" applyNumberFormat="1"/>
    <xf numFmtId="9" fontId="0" fillId="0" borderId="1" xfId="1" applyFont="1" applyBorder="1"/>
    <xf numFmtId="166" fontId="7" fillId="0" borderId="0" xfId="5" applyNumberFormat="1"/>
    <xf numFmtId="166" fontId="0" fillId="0" borderId="1" xfId="0" applyNumberFormat="1" applyBorder="1"/>
    <xf numFmtId="2" fontId="1" fillId="0" borderId="1" xfId="0" applyNumberFormat="1" applyFont="1" applyBorder="1"/>
    <xf numFmtId="3" fontId="0" fillId="0" borderId="0" xfId="0" applyNumberFormat="1"/>
    <xf numFmtId="0" fontId="0" fillId="2" borderId="1" xfId="0" applyFill="1" applyBorder="1"/>
    <xf numFmtId="166" fontId="0" fillId="2" borderId="1" xfId="0" applyNumberFormat="1" applyFill="1" applyBorder="1"/>
    <xf numFmtId="0" fontId="1" fillId="0" borderId="14" xfId="0" applyFont="1" applyBorder="1"/>
    <xf numFmtId="166" fontId="1" fillId="0" borderId="14" xfId="0" applyNumberFormat="1" applyFont="1" applyBorder="1"/>
    <xf numFmtId="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18" xfId="0" applyBorder="1"/>
    <xf numFmtId="0" fontId="1" fillId="0" borderId="0" xfId="0" applyFont="1"/>
    <xf numFmtId="0" fontId="0" fillId="0" borderId="6" xfId="0" applyBorder="1"/>
    <xf numFmtId="0" fontId="0" fillId="0" borderId="20" xfId="0" applyBorder="1"/>
    <xf numFmtId="0" fontId="1" fillId="9" borderId="6" xfId="0" applyFont="1" applyFill="1" applyBorder="1"/>
    <xf numFmtId="0" fontId="1" fillId="9" borderId="0" xfId="0" applyFont="1" applyFill="1"/>
    <xf numFmtId="167" fontId="0" fillId="0" borderId="0" xfId="0" applyNumberFormat="1"/>
    <xf numFmtId="0" fontId="0" fillId="0" borderId="2" xfId="0" applyBorder="1"/>
    <xf numFmtId="166" fontId="0" fillId="0" borderId="22" xfId="0" applyNumberFormat="1" applyBorder="1"/>
    <xf numFmtId="0" fontId="0" fillId="0" borderId="26" xfId="0" applyBorder="1"/>
    <xf numFmtId="0" fontId="0" fillId="0" borderId="27" xfId="0" applyBorder="1"/>
    <xf numFmtId="0" fontId="7" fillId="0" borderId="20" xfId="5" applyBorder="1"/>
    <xf numFmtId="0" fontId="7" fillId="0" borderId="0" xfId="5" applyAlignment="1">
      <alignment horizontal="center"/>
    </xf>
    <xf numFmtId="0" fontId="1" fillId="0" borderId="6" xfId="0" applyFont="1" applyBorder="1"/>
    <xf numFmtId="0" fontId="8" fillId="8" borderId="6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166" fontId="1" fillId="0" borderId="0" xfId="0" applyNumberFormat="1" applyFont="1"/>
    <xf numFmtId="0" fontId="8" fillId="8" borderId="6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0" xfId="0" applyFont="1" applyFill="1"/>
    <xf numFmtId="0" fontId="8" fillId="8" borderId="6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wrapText="1"/>
    </xf>
    <xf numFmtId="0" fontId="5" fillId="0" borderId="21" xfId="2" applyBorder="1"/>
    <xf numFmtId="0" fontId="5" fillId="0" borderId="2" xfId="2" applyBorder="1"/>
    <xf numFmtId="0" fontId="5" fillId="0" borderId="22" xfId="2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/>
    <xf numFmtId="0" fontId="0" fillId="0" borderId="22" xfId="0" applyBorder="1"/>
    <xf numFmtId="166" fontId="0" fillId="0" borderId="20" xfId="0" applyNumberFormat="1" applyBorder="1"/>
    <xf numFmtId="166" fontId="0" fillId="0" borderId="2" xfId="0" applyNumberFormat="1" applyBorder="1"/>
    <xf numFmtId="0" fontId="4" fillId="4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6" borderId="0" xfId="0" applyFont="1" applyFill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7" borderId="30" xfId="3" applyFont="1" applyBorder="1" applyAlignment="1"/>
    <xf numFmtId="0" fontId="8" fillId="7" borderId="13" xfId="3" applyFont="1" applyBorder="1" applyAlignment="1"/>
    <xf numFmtId="0" fontId="8" fillId="7" borderId="12" xfId="3" applyFont="1" applyBorder="1" applyAlignment="1"/>
    <xf numFmtId="0" fontId="8" fillId="7" borderId="28" xfId="3" applyFont="1" applyBorder="1" applyAlignment="1"/>
    <xf numFmtId="0" fontId="8" fillId="7" borderId="8" xfId="3" applyFont="1" applyAlignment="1"/>
    <xf numFmtId="0" fontId="6" fillId="0" borderId="23" xfId="2" applyFont="1" applyBorder="1" applyAlignment="1">
      <alignment horizontal="center"/>
    </xf>
    <xf numFmtId="0" fontId="6" fillId="0" borderId="24" xfId="2" applyFont="1" applyBorder="1" applyAlignment="1">
      <alignment horizontal="center"/>
    </xf>
    <xf numFmtId="0" fontId="6" fillId="0" borderId="25" xfId="2" applyFont="1" applyBorder="1" applyAlignment="1">
      <alignment horizontal="center"/>
    </xf>
    <xf numFmtId="0" fontId="8" fillId="7" borderId="29" xfId="3" applyFont="1" applyBorder="1" applyAlignment="1"/>
    <xf numFmtId="0" fontId="1" fillId="9" borderId="19" xfId="0" applyFont="1" applyFill="1" applyBorder="1" applyAlignment="1">
      <alignment horizontal="center"/>
    </xf>
    <xf numFmtId="0" fontId="1" fillId="9" borderId="21" xfId="0" applyFont="1" applyFill="1" applyBorder="1"/>
    <xf numFmtId="0" fontId="1" fillId="9" borderId="2" xfId="0" applyFont="1" applyFill="1" applyBorder="1"/>
    <xf numFmtId="0" fontId="1" fillId="9" borderId="22" xfId="0" applyFont="1" applyFill="1" applyBorder="1"/>
    <xf numFmtId="0" fontId="1" fillId="9" borderId="15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6">
    <cellStyle name="Check Cell" xfId="3" builtinId="23"/>
    <cellStyle name="Heading 2" xfId="2" builtinId="17"/>
    <cellStyle name="Normal" xfId="0" builtinId="0"/>
    <cellStyle name="Normal 2" xfId="5" xr:uid="{57BC83A7-36A1-4FAE-A46E-AEF897B366E9}"/>
    <cellStyle name="Percent" xfId="1" builtinId="5"/>
    <cellStyle name="Total" xfId="4" builtinId="25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56E-45FE-998B-5D4F2FF548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6E-45FE-998B-5D4F2FF548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6E-45FE-998B-5D4F2FF548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56E-45FE-998B-5D4F2FF548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6B-4FD3-9E18-467385AB9157}"/>
              </c:ext>
            </c:extLst>
          </c:dPt>
          <c:dLbls>
            <c:dLbl>
              <c:idx val="0"/>
              <c:layout>
                <c:manualLayout>
                  <c:x val="0.14166666666666655"/>
                  <c:y val="-4.629629629629631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6E-45FE-998B-5D4F2FF5483F}"/>
                </c:ext>
              </c:extLst>
            </c:dLbl>
            <c:dLbl>
              <c:idx val="1"/>
              <c:layout>
                <c:manualLayout>
                  <c:x val="0.21111111111111111"/>
                  <c:y val="4.16666666666666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6E-45FE-998B-5D4F2FF5483F}"/>
                </c:ext>
              </c:extLst>
            </c:dLbl>
            <c:dLbl>
              <c:idx val="2"/>
              <c:layout>
                <c:manualLayout>
                  <c:x val="0.14166666666666655"/>
                  <c:y val="0.2175925925925925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6E-45FE-998B-5D4F2FF5483F}"/>
                </c:ext>
              </c:extLst>
            </c:dLbl>
            <c:dLbl>
              <c:idx val="3"/>
              <c:layout>
                <c:manualLayout>
                  <c:x val="-0.1361111111111111"/>
                  <c:y val="-8.79629629629630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6E-45FE-998B-5D4F2FF5483F}"/>
                </c:ext>
              </c:extLst>
            </c:dLbl>
            <c:dLbl>
              <c:idx val="4"/>
              <c:layout>
                <c:manualLayout>
                  <c:x val="-0.17326662292213474"/>
                  <c:y val="-2.238990959463400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6B-4FD3-9E18-467385AB915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'cost structure'!$B$19:$B$23</c:f>
              <c:strCache>
                <c:ptCount val="5"/>
                <c:pt idx="0">
                  <c:v>Manpower %</c:v>
                </c:pt>
                <c:pt idx="1">
                  <c:v>Transport %</c:v>
                </c:pt>
                <c:pt idx="2">
                  <c:v>Equipment %</c:v>
                </c:pt>
                <c:pt idx="3">
                  <c:v>Raw materials %</c:v>
                </c:pt>
                <c:pt idx="4">
                  <c:v>Marketing%</c:v>
                </c:pt>
              </c:strCache>
            </c:strRef>
          </c:cat>
          <c:val>
            <c:numRef>
              <c:f>'cost structure'!$C$19:$C$23</c:f>
              <c:numCache>
                <c:formatCode>0.00</c:formatCode>
                <c:ptCount val="5"/>
                <c:pt idx="0" formatCode="0">
                  <c:v>11.241716918540003</c:v>
                </c:pt>
                <c:pt idx="1">
                  <c:v>0.12412729097554585</c:v>
                </c:pt>
                <c:pt idx="2" formatCode="0">
                  <c:v>2.3481233797948682</c:v>
                </c:pt>
                <c:pt idx="3" formatCode="0">
                  <c:v>86.2860324106896</c:v>
                </c:pt>
                <c:pt idx="4" formatCode="0">
                  <c:v>7.3920143800295586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E-45FE-998B-5D4F2FF5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Forecasted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'Demand Forecast'!$D$6</c:f>
              <c:strCache>
                <c:ptCount val="1"/>
                <c:pt idx="0">
                  <c:v>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'Demand Forecast'!$B$7:$B$18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'Demand Forecast'!$D$7:$D$18</c:f>
              <c:numCache>
                <c:formatCode>#,##0</c:formatCode>
                <c:ptCount val="12"/>
                <c:pt idx="0">
                  <c:v>1431437</c:v>
                </c:pt>
                <c:pt idx="1">
                  <c:v>1595566</c:v>
                </c:pt>
                <c:pt idx="2">
                  <c:v>2021437</c:v>
                </c:pt>
                <c:pt idx="3">
                  <c:v>1765375</c:v>
                </c:pt>
                <c:pt idx="4">
                  <c:v>1685375</c:v>
                </c:pt>
                <c:pt idx="5">
                  <c:v>1379627</c:v>
                </c:pt>
                <c:pt idx="6">
                  <c:v>1151417</c:v>
                </c:pt>
                <c:pt idx="7">
                  <c:v>1064026</c:v>
                </c:pt>
                <c:pt idx="8">
                  <c:v>1017026</c:v>
                </c:pt>
                <c:pt idx="9">
                  <c:v>1301491</c:v>
                </c:pt>
                <c:pt idx="10">
                  <c:v>1514491</c:v>
                </c:pt>
                <c:pt idx="11">
                  <c:v>1685375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2-494D-969F-C3DE0BEAA594}"/>
            </c:ext>
          </c:extLst>
        </c:ser>
        <c:ser>
          <c:idx val="1"/>
          <c:order val="1"/>
          <c:tx>
            <c:strRef>
              <c:f>'Demand Forecast'!$E$6</c:f>
              <c:strCache>
                <c:ptCount val="1"/>
                <c:pt idx="0">
                  <c:v>Forecasted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'Demand Forecast'!$B$7:$B$18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'Demand Forecast'!$E$7:$E$18</c:f>
              <c:numCache>
                <c:formatCode>0</c:formatCode>
                <c:ptCount val="12"/>
                <c:pt idx="0">
                  <c:v>1462212.8955000001</c:v>
                </c:pt>
                <c:pt idx="1">
                  <c:v>1629870.6690000002</c:v>
                </c:pt>
                <c:pt idx="2">
                  <c:v>2064897.8955000001</c:v>
                </c:pt>
                <c:pt idx="3">
                  <c:v>1803330.5625000002</c:v>
                </c:pt>
                <c:pt idx="4">
                  <c:v>1721610.5625000002</c:v>
                </c:pt>
                <c:pt idx="5">
                  <c:v>1409288.9805000001</c:v>
                </c:pt>
                <c:pt idx="6">
                  <c:v>1176172.4655000002</c:v>
                </c:pt>
                <c:pt idx="7">
                  <c:v>1086902.5590000001</c:v>
                </c:pt>
                <c:pt idx="8">
                  <c:v>1038892.0590000001</c:v>
                </c:pt>
                <c:pt idx="9">
                  <c:v>1329473.0565000002</c:v>
                </c:pt>
                <c:pt idx="10">
                  <c:v>1547052.5565000002</c:v>
                </c:pt>
                <c:pt idx="11">
                  <c:v>1721610.5625000002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2-494D-969F-C3DE0BEA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608639"/>
        <c:axId val="527607807"/>
      </c:lineChart>
      <c:catAx>
        <c:axId val="52760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7807"/>
        <c:crosses val="autoZero"/>
        <c:auto val="1"/>
        <c:lblAlgn val="ctr"/>
        <c:lblOffset val="100"/>
        <c:noMultiLvlLbl val="0"/>
      </c:catAx>
      <c:valAx>
        <c:axId val="5276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 Forecast.xlsx]Sheet3!PivotTable14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1" i="0" u="none" strike="noStrike" kern="1200" cap="all" spc="5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Forecast By Flavour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1" i="0" u="none" strike="noStrike" kern="1200" cap="all" spc="5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ChocolateF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Sheet3!$B$2:$B$14</c:f>
              <c:numCache>
                <c:formatCode>0</c:formatCode>
                <c:ptCount val="12"/>
                <c:pt idx="0">
                  <c:v>517319.26650000003</c:v>
                </c:pt>
                <c:pt idx="1">
                  <c:v>619469.26650000003</c:v>
                </c:pt>
                <c:pt idx="2">
                  <c:v>688643.20350000006</c:v>
                </c:pt>
                <c:pt idx="3">
                  <c:v>519511.40550000005</c:v>
                </c:pt>
                <c:pt idx="4">
                  <c:v>644134.40549999999</c:v>
                </c:pt>
                <c:pt idx="5">
                  <c:v>825961.40550000011</c:v>
                </c:pt>
                <c:pt idx="6">
                  <c:v>790793.20350000006</c:v>
                </c:pt>
                <c:pt idx="7">
                  <c:v>688643.20350000006</c:v>
                </c:pt>
                <c:pt idx="8">
                  <c:v>586493.20350000006</c:v>
                </c:pt>
                <c:pt idx="9">
                  <c:v>471989.18250000005</c:v>
                </c:pt>
                <c:pt idx="10">
                  <c:v>414332.65800000005</c:v>
                </c:pt>
                <c:pt idx="11">
                  <c:v>384709.15800000005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B-48B9-8C91-39AF965EAB2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FruitF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Sheet3!$C$2:$C$14</c:f>
              <c:numCache>
                <c:formatCode>0</c:formatCode>
                <c:ptCount val="12"/>
                <c:pt idx="0">
                  <c:v>296385.1605</c:v>
                </c:pt>
                <c:pt idx="1">
                  <c:v>309664.6605</c:v>
                </c:pt>
                <c:pt idx="2">
                  <c:v>344322.11250000005</c:v>
                </c:pt>
                <c:pt idx="3">
                  <c:v>310829.17050000001</c:v>
                </c:pt>
                <c:pt idx="4">
                  <c:v>326876.93550000002</c:v>
                </c:pt>
                <c:pt idx="5">
                  <c:v>412979.17050000001</c:v>
                </c:pt>
                <c:pt idx="6">
                  <c:v>344322.11250000005</c:v>
                </c:pt>
                <c:pt idx="7">
                  <c:v>344322.11250000005</c:v>
                </c:pt>
                <c:pt idx="8">
                  <c:v>268902.72450000001</c:v>
                </c:pt>
                <c:pt idx="9">
                  <c:v>211548.56400000001</c:v>
                </c:pt>
                <c:pt idx="10">
                  <c:v>258240.30750000002</c:v>
                </c:pt>
                <c:pt idx="11">
                  <c:v>258240.30750000002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B-48B9-8C91-39AF965EAB2B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VanillaF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Sheet3!$D$2:$D$14</c:f>
              <c:numCache>
                <c:formatCode>0</c:formatCode>
                <c:ptCount val="12"/>
                <c:pt idx="0">
                  <c:v>360936.81</c:v>
                </c:pt>
                <c:pt idx="1">
                  <c:v>463086.81000000006</c:v>
                </c:pt>
                <c:pt idx="2">
                  <c:v>516482.65800000005</c:v>
                </c:pt>
                <c:pt idx="3">
                  <c:v>466244.26650000003</c:v>
                </c:pt>
                <c:pt idx="4">
                  <c:v>490314.89250000002</c:v>
                </c:pt>
                <c:pt idx="5">
                  <c:v>619469.26650000003</c:v>
                </c:pt>
                <c:pt idx="6">
                  <c:v>496052.65800000005</c:v>
                </c:pt>
                <c:pt idx="7">
                  <c:v>516482.65800000005</c:v>
                </c:pt>
                <c:pt idx="8">
                  <c:v>414332.65800000005</c:v>
                </c:pt>
                <c:pt idx="9">
                  <c:v>353074.32450000005</c:v>
                </c:pt>
                <c:pt idx="10">
                  <c:v>285209.95050000004</c:v>
                </c:pt>
                <c:pt idx="11">
                  <c:v>285209.95050000004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B-48B9-8C91-39AF965EAB2B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OrangeF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Sheet3!$E$2:$E$14</c:f>
              <c:numCache>
                <c:formatCode>0</c:formatCode>
                <c:ptCount val="12"/>
                <c:pt idx="0">
                  <c:v>154831.81950000001</c:v>
                </c:pt>
                <c:pt idx="1">
                  <c:v>154831.81950000001</c:v>
                </c:pt>
                <c:pt idx="2">
                  <c:v>172162.58850000001</c:v>
                </c:pt>
                <c:pt idx="3">
                  <c:v>165628.05300000001</c:v>
                </c:pt>
                <c:pt idx="4">
                  <c:v>168544.43550000002</c:v>
                </c:pt>
                <c:pt idx="5">
                  <c:v>206488.05300000001</c:v>
                </c:pt>
                <c:pt idx="6">
                  <c:v>172162.58850000001</c:v>
                </c:pt>
                <c:pt idx="7">
                  <c:v>172162.58850000001</c:v>
                </c:pt>
                <c:pt idx="8">
                  <c:v>139560.39450000002</c:v>
                </c:pt>
                <c:pt idx="9">
                  <c:v>139560.39450000002</c:v>
                </c:pt>
                <c:pt idx="10">
                  <c:v>129119.64300000001</c:v>
                </c:pt>
                <c:pt idx="11">
                  <c:v>110732.64300000001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5B-48B9-8C91-39AF965EA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74557871"/>
        <c:axId val="574553295"/>
      </c:barChart>
      <c:catAx>
        <c:axId val="5745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3295"/>
        <c:crosses val="autoZero"/>
        <c:auto val="1"/>
        <c:lblAlgn val="ctr"/>
        <c:lblOffset val="100"/>
        <c:noMultiLvlLbl val="0"/>
      </c:catAx>
      <c:valAx>
        <c:axId val="5745532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%</a:t>
            </a:r>
            <a:r>
              <a:rPr lang="en-US" sz="1200" b="1" baseline="0">
                <a:solidFill>
                  <a:sysClr val="windowText" lastClr="000000"/>
                </a:solidFill>
              </a:rPr>
              <a:t> of market share Acc. flavour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272992082312506"/>
          <c:y val="0.20569821883903466"/>
          <c:w val="0.4945403767124783"/>
          <c:h val="0.70598281806223151"/>
        </c:manualLayout>
      </c:layout>
      <c:pieChart>
        <c:varyColors val="1"/>
        <c:ser>
          <c:idx val="0"/>
          <c:order val="0"/>
          <c:tx>
            <c:strRef>
              <c:f>'Demand Forecast'!$F$39</c:f>
              <c:strCache>
                <c:ptCount val="1"/>
                <c:pt idx="0">
                  <c:v>Total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C4-427B-9602-0803B76E7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C4-427B-9602-0803B76E79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C4-427B-9602-0803B76E79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C4-427B-9602-0803B76E79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2C4-427B-9602-0803B76E795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2C4-427B-9602-0803B76E795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F2C4-427B-9602-0803B76E795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2C4-427B-9602-0803B76E79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'Demand Forecast'!$G$38:$J$38</c:f>
              <c:strCache>
                <c:ptCount val="4"/>
                <c:pt idx="0">
                  <c:v>ChocolateF</c:v>
                </c:pt>
                <c:pt idx="1">
                  <c:v>FruitF</c:v>
                </c:pt>
                <c:pt idx="2">
                  <c:v>VanillaF</c:v>
                </c:pt>
                <c:pt idx="3">
                  <c:v>OthersF</c:v>
                </c:pt>
              </c:strCache>
            </c:strRef>
          </c:cat>
          <c:val>
            <c:numRef>
              <c:f>'Demand Forecast'!$G$39:$J$39</c:f>
              <c:numCache>
                <c:formatCode>0</c:formatCode>
                <c:ptCount val="4"/>
                <c:pt idx="0">
                  <c:v>7151999.561999999</c:v>
                </c:pt>
                <c:pt idx="1">
                  <c:v>3686633.3385000005</c:v>
                </c:pt>
                <c:pt idx="2">
                  <c:v>5266896.9030000009</c:v>
                </c:pt>
                <c:pt idx="3">
                  <c:v>1885785.0210000002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C4-427B-9602-0803B76E7958}"/>
            </c:ext>
          </c:extLst>
        </c:ser>
        <c:ser>
          <c:idx val="1"/>
          <c:order val="1"/>
          <c:tx>
            <c:strRef>
              <c:f>'Demand Forecast'!$F$40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2C4-427B-9602-0803B76E7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F2C4-427B-9602-0803B76E79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F2C4-427B-9602-0803B76E79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2C4-427B-9602-0803B76E79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2C4-427B-9602-0803B76E795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F2C4-427B-9602-0803B76E795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F2C4-427B-9602-0803B76E795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F2C4-427B-9602-0803B76E79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'Demand Forecast'!$G$38:$J$38</c:f>
              <c:strCache>
                <c:ptCount val="4"/>
                <c:pt idx="0">
                  <c:v>ChocolateF</c:v>
                </c:pt>
                <c:pt idx="1">
                  <c:v>FruitF</c:v>
                </c:pt>
                <c:pt idx="2">
                  <c:v>VanillaF</c:v>
                </c:pt>
                <c:pt idx="3">
                  <c:v>OthersF</c:v>
                </c:pt>
              </c:strCache>
            </c:strRef>
          </c:cat>
          <c:val>
            <c:numRef>
              <c:f>'Demand Forecast'!$G$40:$J$40</c:f>
              <c:numCache>
                <c:formatCode>General</c:formatCode>
                <c:ptCount val="4"/>
                <c:pt idx="3" formatCode="0">
                  <c:v>17991314.824500002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2C4-427B-9602-0803B76E7958}"/>
            </c:ext>
          </c:extLst>
        </c:ser>
        <c:ser>
          <c:idx val="2"/>
          <c:order val="2"/>
          <c:tx>
            <c:strRef>
              <c:f>'Demand Forecast'!$F$41</c:f>
              <c:strCache>
                <c:ptCount val="1"/>
                <c:pt idx="0">
                  <c:v>% 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2C4-427B-9602-0803B76E79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2C4-427B-9602-0803B76E79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2C4-427B-9602-0803B76E79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2C4-427B-9602-0803B76E795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F2C4-427B-9602-0803B76E795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F2C4-427B-9602-0803B76E795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F2C4-427B-9602-0803B76E795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F2C4-427B-9602-0803B76E79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A5A5A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'Demand Forecast'!$G$38:$J$38</c:f>
              <c:strCache>
                <c:ptCount val="4"/>
                <c:pt idx="0">
                  <c:v>ChocolateF</c:v>
                </c:pt>
                <c:pt idx="1">
                  <c:v>FruitF</c:v>
                </c:pt>
                <c:pt idx="2">
                  <c:v>VanillaF</c:v>
                </c:pt>
                <c:pt idx="3">
                  <c:v>OthersF</c:v>
                </c:pt>
              </c:strCache>
            </c:strRef>
          </c:cat>
          <c:val>
            <c:numRef>
              <c:f>'Demand Forecast'!$G$41:$J$41</c:f>
              <c:numCache>
                <c:formatCode>0</c:formatCode>
                <c:ptCount val="4"/>
                <c:pt idx="0">
                  <c:v>39.752511874566459</c:v>
                </c:pt>
                <c:pt idx="1">
                  <c:v>20.491183520837843</c:v>
                </c:pt>
                <c:pt idx="2">
                  <c:v>29.274663660644233</c:v>
                </c:pt>
                <c:pt idx="3">
                  <c:v>10.481640943951456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F2C4-427B-9602-0803B76E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 Forecast.xlsx]Sheet4!PivotTable17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Forecasted Demand by Product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Cup 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258529.39200000002</c:v>
                </c:pt>
                <c:pt idx="1">
                  <c:v>476108.89200000005</c:v>
                </c:pt>
                <c:pt idx="2">
                  <c:v>530321.94000000006</c:v>
                </c:pt>
                <c:pt idx="3">
                  <c:v>164924.23950000003</c:v>
                </c:pt>
                <c:pt idx="4">
                  <c:v>199787.01300000001</c:v>
                </c:pt>
                <c:pt idx="5">
                  <c:v>634814.23950000003</c:v>
                </c:pt>
                <c:pt idx="6">
                  <c:v>530321.94000000006</c:v>
                </c:pt>
                <c:pt idx="7">
                  <c:v>530321.94000000006</c:v>
                </c:pt>
                <c:pt idx="8">
                  <c:v>218000.35800000001</c:v>
                </c:pt>
                <c:pt idx="9">
                  <c:v>204978.27600000001</c:v>
                </c:pt>
                <c:pt idx="10">
                  <c:v>193441.45500000002</c:v>
                </c:pt>
                <c:pt idx="11">
                  <c:v>184247.95500000002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0-4293-ACA3-934400AAC3D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Cone 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Sheet4!$C$2:$C$14</c:f>
              <c:numCache>
                <c:formatCode>General</c:formatCode>
                <c:ptCount val="12"/>
                <c:pt idx="0">
                  <c:v>235254.375</c:v>
                </c:pt>
                <c:pt idx="1">
                  <c:v>235254.375</c:v>
                </c:pt>
                <c:pt idx="2">
                  <c:v>262824.75</c:v>
                </c:pt>
                <c:pt idx="3">
                  <c:v>314608.05</c:v>
                </c:pt>
                <c:pt idx="4">
                  <c:v>314608.05</c:v>
                </c:pt>
                <c:pt idx="5">
                  <c:v>314608.05</c:v>
                </c:pt>
                <c:pt idx="6">
                  <c:v>262824.75</c:v>
                </c:pt>
                <c:pt idx="7">
                  <c:v>262824.75</c:v>
                </c:pt>
                <c:pt idx="8">
                  <c:v>262824.75</c:v>
                </c:pt>
                <c:pt idx="9">
                  <c:v>262824.75</c:v>
                </c:pt>
                <c:pt idx="10">
                  <c:v>197117.55</c:v>
                </c:pt>
                <c:pt idx="11">
                  <c:v>166742.54999999999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0-4293-ACA3-934400AAC3D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Stick F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Sheet4!$D$2:$D$14</c:f>
              <c:numCache>
                <c:formatCode>General</c:formatCode>
                <c:ptCount val="12"/>
                <c:pt idx="0">
                  <c:v>394370.77499999997</c:v>
                </c:pt>
                <c:pt idx="1">
                  <c:v>394370.77499999997</c:v>
                </c:pt>
                <c:pt idx="2">
                  <c:v>436120.19999999995</c:v>
                </c:pt>
                <c:pt idx="3">
                  <c:v>394470</c:v>
                </c:pt>
                <c:pt idx="4">
                  <c:v>526095</c:v>
                </c:pt>
                <c:pt idx="5">
                  <c:v>526095</c:v>
                </c:pt>
                <c:pt idx="6">
                  <c:v>517120.19999999995</c:v>
                </c:pt>
                <c:pt idx="7">
                  <c:v>436120.19999999995</c:v>
                </c:pt>
                <c:pt idx="8">
                  <c:v>436120.19999999995</c:v>
                </c:pt>
                <c:pt idx="9">
                  <c:v>217964.92499999999</c:v>
                </c:pt>
                <c:pt idx="10">
                  <c:v>327089.13750000001</c:v>
                </c:pt>
                <c:pt idx="11">
                  <c:v>327089.13750000001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0-4293-ACA3-934400AAC3D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Brick 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Sheet4!$E$2:$E$14</c:f>
              <c:numCache>
                <c:formatCode>General</c:formatCode>
                <c:ptCount val="12"/>
                <c:pt idx="0">
                  <c:v>157303.01249999998</c:v>
                </c:pt>
                <c:pt idx="1">
                  <c:v>157303.01249999998</c:v>
                </c:pt>
                <c:pt idx="2">
                  <c:v>175217.17499999999</c:v>
                </c:pt>
                <c:pt idx="3">
                  <c:v>209739.375</c:v>
                </c:pt>
                <c:pt idx="4">
                  <c:v>209739.375</c:v>
                </c:pt>
                <c:pt idx="5">
                  <c:v>209739.375</c:v>
                </c:pt>
                <c:pt idx="6">
                  <c:v>175217.17499999999</c:v>
                </c:pt>
                <c:pt idx="7">
                  <c:v>175217.17499999999</c:v>
                </c:pt>
                <c:pt idx="8">
                  <c:v>175217.17499999999</c:v>
                </c:pt>
                <c:pt idx="9">
                  <c:v>175217.17499999999</c:v>
                </c:pt>
                <c:pt idx="10">
                  <c:v>131412.375</c:v>
                </c:pt>
                <c:pt idx="11">
                  <c:v>123312.375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0-4293-ACA3-934400AAC3D0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Tub F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Sheet4!$F$2:$F$14</c:f>
              <c:numCache>
                <c:formatCode>General</c:formatCode>
                <c:ptCount val="12"/>
                <c:pt idx="0">
                  <c:v>235254.375</c:v>
                </c:pt>
                <c:pt idx="1">
                  <c:v>235254.375</c:v>
                </c:pt>
                <c:pt idx="2">
                  <c:v>262824.75</c:v>
                </c:pt>
                <c:pt idx="3">
                  <c:v>314608.05</c:v>
                </c:pt>
                <c:pt idx="4">
                  <c:v>314608.05</c:v>
                </c:pt>
                <c:pt idx="5">
                  <c:v>314608.05</c:v>
                </c:pt>
                <c:pt idx="6">
                  <c:v>262824.75</c:v>
                </c:pt>
                <c:pt idx="7">
                  <c:v>262824.75</c:v>
                </c:pt>
                <c:pt idx="8">
                  <c:v>262824.75</c:v>
                </c:pt>
                <c:pt idx="9">
                  <c:v>262824.75</c:v>
                </c:pt>
                <c:pt idx="10">
                  <c:v>197117.55</c:v>
                </c:pt>
                <c:pt idx="11">
                  <c:v>197117.55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80-4293-ACA3-934400AAC3D0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Sum of Others F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Sheet4!$G$2:$G$14</c:f>
              <c:numCache>
                <c:formatCode>General</c:formatCode>
                <c:ptCount val="12"/>
                <c:pt idx="0">
                  <c:v>39325.5</c:v>
                </c:pt>
                <c:pt idx="1">
                  <c:v>39325.5</c:v>
                </c:pt>
                <c:pt idx="2">
                  <c:v>43805.8125</c:v>
                </c:pt>
                <c:pt idx="3">
                  <c:v>52433.324999999997</c:v>
                </c:pt>
                <c:pt idx="4">
                  <c:v>52433.324999999997</c:v>
                </c:pt>
                <c:pt idx="5">
                  <c:v>52433.324999999997</c:v>
                </c:pt>
                <c:pt idx="6">
                  <c:v>43805.8125</c:v>
                </c:pt>
                <c:pt idx="7">
                  <c:v>43805.8125</c:v>
                </c:pt>
                <c:pt idx="8">
                  <c:v>43805.8125</c:v>
                </c:pt>
                <c:pt idx="9">
                  <c:v>43805.8125</c:v>
                </c:pt>
                <c:pt idx="10">
                  <c:v>32852.587500000001</c:v>
                </c:pt>
                <c:pt idx="11">
                  <c:v>32852.587500000001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80-4293-ACA3-934400AA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9238399"/>
        <c:axId val="819246719"/>
      </c:barChart>
      <c:catAx>
        <c:axId val="81923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46719"/>
        <c:crosses val="autoZero"/>
        <c:auto val="1"/>
        <c:lblAlgn val="ctr"/>
        <c:lblOffset val="100"/>
        <c:noMultiLvlLbl val="0"/>
      </c:catAx>
      <c:valAx>
        <c:axId val="81924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solidFill>
                  <a:sysClr val="windowText" lastClr="000000"/>
                </a:solidFill>
              </a:rPr>
              <a:t>Forecasted Share by Product Type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773447069116362"/>
          <c:y val="0.23572301991662806"/>
          <c:w val="0.50119794400699913"/>
          <c:h val="0.70757356800988114"/>
        </c:manualLayout>
      </c:layout>
      <c:pieChart>
        <c:varyColors val="1"/>
        <c:ser>
          <c:idx val="0"/>
          <c:order val="0"/>
          <c:tx>
            <c:strRef>
              <c:f>'Demand Forecast'!$H$63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9F-4F17-B388-62A2704BAE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9F-4F17-B388-62A2704BAE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9F-4F17-B388-62A2704BAE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9F-4F17-B388-62A2704BAE9A}"/>
              </c:ext>
            </c:extLst>
          </c:dPt>
          <c:dPt>
            <c:idx val="4"/>
            <c:bubble3D val="0"/>
            <c:explosion val="3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9F-4F17-B388-62A2704BAE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9F-4F17-B388-62A2704BAE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9F-4F17-B388-62A2704BAE9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7E9F-4F17-B388-62A2704BAE9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7E9F-4F17-B388-62A2704BAE9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7E9F-4F17-B388-62A2704BAE9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E9F-4F17-B388-62A2704BAE9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7E9F-4F17-B388-62A2704BAE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'Demand Forecast'!$I$62:$N$62</c:f>
              <c:strCache>
                <c:ptCount val="6"/>
                <c:pt idx="0">
                  <c:v>Cup F</c:v>
                </c:pt>
                <c:pt idx="1">
                  <c:v>Stick F</c:v>
                </c:pt>
                <c:pt idx="2">
                  <c:v>Cone F</c:v>
                </c:pt>
                <c:pt idx="3">
                  <c:v>Brick F</c:v>
                </c:pt>
                <c:pt idx="4">
                  <c:v>Tub F</c:v>
                </c:pt>
                <c:pt idx="5">
                  <c:v>Others F</c:v>
                </c:pt>
              </c:strCache>
            </c:strRef>
          </c:cat>
          <c:val>
            <c:numRef>
              <c:f>'Demand Forecast'!$I$63:$N$63</c:f>
              <c:numCache>
                <c:formatCode>0</c:formatCode>
                <c:ptCount val="6"/>
                <c:pt idx="0">
                  <c:v>4125797.64</c:v>
                </c:pt>
                <c:pt idx="1">
                  <c:v>4933025.55</c:v>
                </c:pt>
                <c:pt idx="2">
                  <c:v>3092316.7499999995</c:v>
                </c:pt>
                <c:pt idx="3">
                  <c:v>2074634.7750000001</c:v>
                </c:pt>
                <c:pt idx="4">
                  <c:v>3122691.7499999995</c:v>
                </c:pt>
                <c:pt idx="5">
                  <c:v>520685.21250000002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9F-4F17-B388-62A2704BAE9A}"/>
            </c:ext>
          </c:extLst>
        </c:ser>
        <c:ser>
          <c:idx val="1"/>
          <c:order val="1"/>
          <c:tx>
            <c:strRef>
              <c:f>'Demand Forecast'!$H$64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E9F-4F17-B388-62A2704BAE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E9F-4F17-B388-62A2704BAE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E9F-4F17-B388-62A2704BAE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E9F-4F17-B388-62A2704BAE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E9F-4F17-B388-62A2704BAE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E9F-4F17-B388-62A2704BAE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E9F-4F17-B388-62A2704BAE9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7E9F-4F17-B388-62A2704BAE9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7E9F-4F17-B388-62A2704BAE9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7E9F-4F17-B388-62A2704BAE9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7E9F-4F17-B388-62A2704BAE9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7E9F-4F17-B388-62A2704BAE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ED7D31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'Demand Forecast'!$I$62:$N$62</c:f>
              <c:strCache>
                <c:ptCount val="6"/>
                <c:pt idx="0">
                  <c:v>Cup F</c:v>
                </c:pt>
                <c:pt idx="1">
                  <c:v>Stick F</c:v>
                </c:pt>
                <c:pt idx="2">
                  <c:v>Cone F</c:v>
                </c:pt>
                <c:pt idx="3">
                  <c:v>Brick F</c:v>
                </c:pt>
                <c:pt idx="4">
                  <c:v>Tub F</c:v>
                </c:pt>
                <c:pt idx="5">
                  <c:v>Others F</c:v>
                </c:pt>
              </c:strCache>
            </c:strRef>
          </c:cat>
          <c:val>
            <c:numRef>
              <c:f>'Demand Forecast'!$I$64:$N$64</c:f>
              <c:numCache>
                <c:formatCode>General</c:formatCode>
                <c:ptCount val="6"/>
                <c:pt idx="5" formatCode="0">
                  <c:v>17869151.677499998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9F-4F17-B388-62A2704BAE9A}"/>
            </c:ext>
          </c:extLst>
        </c:ser>
        <c:ser>
          <c:idx val="2"/>
          <c:order val="2"/>
          <c:tx>
            <c:strRef>
              <c:f>'Demand Forecast'!$H$65</c:f>
              <c:strCache>
                <c:ptCount val="1"/>
                <c:pt idx="0">
                  <c:v>% Market Share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9F-4F17-B388-62A2704BAE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9F-4F17-B388-62A2704BAE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9F-4F17-B388-62A2704BAE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9F-4F17-B388-62A2704BAE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E9F-4F17-B388-62A2704BAE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E9F-4F17-B388-62A2704BAE9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B-7E9F-4F17-B388-62A2704BAE9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D-7E9F-4F17-B388-62A2704BAE9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F-7E9F-4F17-B388-62A2704BAE9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1-7E9F-4F17-B388-62A2704BAE9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3-7E9F-4F17-B388-62A2704BAE9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25-7E9F-4F17-B388-62A2704BAE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A5A5A5"/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'Demand Forecast'!$I$62:$N$62</c:f>
              <c:strCache>
                <c:ptCount val="6"/>
                <c:pt idx="0">
                  <c:v>Cup F</c:v>
                </c:pt>
                <c:pt idx="1">
                  <c:v>Stick F</c:v>
                </c:pt>
                <c:pt idx="2">
                  <c:v>Cone F</c:v>
                </c:pt>
                <c:pt idx="3">
                  <c:v>Brick F</c:v>
                </c:pt>
                <c:pt idx="4">
                  <c:v>Tub F</c:v>
                </c:pt>
                <c:pt idx="5">
                  <c:v>Others F</c:v>
                </c:pt>
              </c:strCache>
            </c:strRef>
          </c:cat>
          <c:val>
            <c:numRef>
              <c:f>'Demand Forecast'!$I$65:$N$65</c:f>
              <c:numCache>
                <c:formatCode>0</c:formatCode>
                <c:ptCount val="6"/>
                <c:pt idx="0">
                  <c:v>23.088939612029886</c:v>
                </c:pt>
                <c:pt idx="1">
                  <c:v>27.606377958117818</c:v>
                </c:pt>
                <c:pt idx="2">
                  <c:v>17.305336066365705</c:v>
                </c:pt>
                <c:pt idx="3">
                  <c:v>11.610146986509065</c:v>
                </c:pt>
                <c:pt idx="4">
                  <c:v>17.475321752022214</c:v>
                </c:pt>
                <c:pt idx="5">
                  <c:v>2.9138776249553167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9F-4F17-B388-62A2704B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 Forecast.xlsx]Sheet3!PivotTable14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Forecast</a:t>
            </a:r>
            <a:r>
              <a:rPr lang="en-IN" baseline="0"/>
              <a:t> By Flavour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ChocolateF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Sheet3!$B$2:$B$14</c:f>
              <c:numCache>
                <c:formatCode>0</c:formatCode>
                <c:ptCount val="12"/>
                <c:pt idx="0">
                  <c:v>517319.26650000003</c:v>
                </c:pt>
                <c:pt idx="1">
                  <c:v>619469.26650000003</c:v>
                </c:pt>
                <c:pt idx="2">
                  <c:v>688643.20350000006</c:v>
                </c:pt>
                <c:pt idx="3">
                  <c:v>519511.40550000005</c:v>
                </c:pt>
                <c:pt idx="4">
                  <c:v>644134.40549999999</c:v>
                </c:pt>
                <c:pt idx="5">
                  <c:v>825961.40550000011</c:v>
                </c:pt>
                <c:pt idx="6">
                  <c:v>790793.20350000006</c:v>
                </c:pt>
                <c:pt idx="7">
                  <c:v>688643.20350000006</c:v>
                </c:pt>
                <c:pt idx="8">
                  <c:v>586493.20350000006</c:v>
                </c:pt>
                <c:pt idx="9">
                  <c:v>471989.18250000005</c:v>
                </c:pt>
                <c:pt idx="10">
                  <c:v>414332.65800000005</c:v>
                </c:pt>
                <c:pt idx="11">
                  <c:v>384709.15800000005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8-40A7-BDF3-8C6082B92DE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FruitF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Sheet3!$C$2:$C$14</c:f>
              <c:numCache>
                <c:formatCode>0</c:formatCode>
                <c:ptCount val="12"/>
                <c:pt idx="0">
                  <c:v>296385.1605</c:v>
                </c:pt>
                <c:pt idx="1">
                  <c:v>309664.6605</c:v>
                </c:pt>
                <c:pt idx="2">
                  <c:v>344322.11250000005</c:v>
                </c:pt>
                <c:pt idx="3">
                  <c:v>310829.17050000001</c:v>
                </c:pt>
                <c:pt idx="4">
                  <c:v>326876.93550000002</c:v>
                </c:pt>
                <c:pt idx="5">
                  <c:v>412979.17050000001</c:v>
                </c:pt>
                <c:pt idx="6">
                  <c:v>344322.11250000005</c:v>
                </c:pt>
                <c:pt idx="7">
                  <c:v>344322.11250000005</c:v>
                </c:pt>
                <c:pt idx="8">
                  <c:v>268902.72450000001</c:v>
                </c:pt>
                <c:pt idx="9">
                  <c:v>211548.56400000001</c:v>
                </c:pt>
                <c:pt idx="10">
                  <c:v>258240.30750000002</c:v>
                </c:pt>
                <c:pt idx="11">
                  <c:v>258240.30750000002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8-40A7-BDF3-8C6082B92DE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VanillaF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Sheet3!$D$2:$D$14</c:f>
              <c:numCache>
                <c:formatCode>0</c:formatCode>
                <c:ptCount val="12"/>
                <c:pt idx="0">
                  <c:v>360936.81</c:v>
                </c:pt>
                <c:pt idx="1">
                  <c:v>463086.81000000006</c:v>
                </c:pt>
                <c:pt idx="2">
                  <c:v>516482.65800000005</c:v>
                </c:pt>
                <c:pt idx="3">
                  <c:v>466244.26650000003</c:v>
                </c:pt>
                <c:pt idx="4">
                  <c:v>490314.89250000002</c:v>
                </c:pt>
                <c:pt idx="5">
                  <c:v>619469.26650000003</c:v>
                </c:pt>
                <c:pt idx="6">
                  <c:v>496052.65800000005</c:v>
                </c:pt>
                <c:pt idx="7">
                  <c:v>516482.65800000005</c:v>
                </c:pt>
                <c:pt idx="8">
                  <c:v>414332.65800000005</c:v>
                </c:pt>
                <c:pt idx="9">
                  <c:v>353074.32450000005</c:v>
                </c:pt>
                <c:pt idx="10">
                  <c:v>285209.95050000004</c:v>
                </c:pt>
                <c:pt idx="11">
                  <c:v>285209.95050000004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E8-40A7-BDF3-8C6082B92DE2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OrangeF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Sheet3!$E$2:$E$14</c:f>
              <c:numCache>
                <c:formatCode>0</c:formatCode>
                <c:ptCount val="12"/>
                <c:pt idx="0">
                  <c:v>154831.81950000001</c:v>
                </c:pt>
                <c:pt idx="1">
                  <c:v>154831.81950000001</c:v>
                </c:pt>
                <c:pt idx="2">
                  <c:v>172162.58850000001</c:v>
                </c:pt>
                <c:pt idx="3">
                  <c:v>165628.05300000001</c:v>
                </c:pt>
                <c:pt idx="4">
                  <c:v>168544.43550000002</c:v>
                </c:pt>
                <c:pt idx="5">
                  <c:v>206488.05300000001</c:v>
                </c:pt>
                <c:pt idx="6">
                  <c:v>172162.58850000001</c:v>
                </c:pt>
                <c:pt idx="7">
                  <c:v>172162.58850000001</c:v>
                </c:pt>
                <c:pt idx="8">
                  <c:v>139560.39450000002</c:v>
                </c:pt>
                <c:pt idx="9">
                  <c:v>139560.39450000002</c:v>
                </c:pt>
                <c:pt idx="10">
                  <c:v>129119.64300000001</c:v>
                </c:pt>
                <c:pt idx="11">
                  <c:v>110732.64300000001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8-40A7-BDF3-8C6082B9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557871"/>
        <c:axId val="574553295"/>
      </c:lineChart>
      <c:catAx>
        <c:axId val="574557871"/>
        <c:scaling>
          <c:orientation val="minMax"/>
        </c:scaling>
        <c:delete val="0"/>
        <c:axPos val="b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3295"/>
        <c:crosses val="autoZero"/>
        <c:auto val="1"/>
        <c:lblAlgn val="ctr"/>
        <c:lblOffset val="100"/>
        <c:noMultiLvlLbl val="0"/>
      </c:catAx>
      <c:valAx>
        <c:axId val="5745532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5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[Demand Forecast.xlsx]Sheet4!PivotTable17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Forecasted</a:t>
            </a:r>
            <a:r>
              <a:rPr lang="en-IN" baseline="0">
                <a:solidFill>
                  <a:sysClr val="windowText" lastClr="000000"/>
                </a:solidFill>
              </a:rPr>
              <a:t> Demand by Product Type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Cup F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Sheet4!$B$2:$B$14</c:f>
              <c:numCache>
                <c:formatCode>General</c:formatCode>
                <c:ptCount val="12"/>
                <c:pt idx="0">
                  <c:v>258529.39200000002</c:v>
                </c:pt>
                <c:pt idx="1">
                  <c:v>476108.89200000005</c:v>
                </c:pt>
                <c:pt idx="2">
                  <c:v>530321.94000000006</c:v>
                </c:pt>
                <c:pt idx="3">
                  <c:v>164924.23950000003</c:v>
                </c:pt>
                <c:pt idx="4">
                  <c:v>199787.01300000001</c:v>
                </c:pt>
                <c:pt idx="5">
                  <c:v>634814.23950000003</c:v>
                </c:pt>
                <c:pt idx="6">
                  <c:v>530321.94000000006</c:v>
                </c:pt>
                <c:pt idx="7">
                  <c:v>530321.94000000006</c:v>
                </c:pt>
                <c:pt idx="8">
                  <c:v>218000.35800000001</c:v>
                </c:pt>
                <c:pt idx="9">
                  <c:v>204978.27600000001</c:v>
                </c:pt>
                <c:pt idx="10">
                  <c:v>193441.45500000002</c:v>
                </c:pt>
                <c:pt idx="11">
                  <c:v>184247.95500000002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B-4FB8-B59C-282C43EA03F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Cone F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Sheet4!$C$2:$C$14</c:f>
              <c:numCache>
                <c:formatCode>General</c:formatCode>
                <c:ptCount val="12"/>
                <c:pt idx="0">
                  <c:v>235254.375</c:v>
                </c:pt>
                <c:pt idx="1">
                  <c:v>235254.375</c:v>
                </c:pt>
                <c:pt idx="2">
                  <c:v>262824.75</c:v>
                </c:pt>
                <c:pt idx="3">
                  <c:v>314608.05</c:v>
                </c:pt>
                <c:pt idx="4">
                  <c:v>314608.05</c:v>
                </c:pt>
                <c:pt idx="5">
                  <c:v>314608.05</c:v>
                </c:pt>
                <c:pt idx="6">
                  <c:v>262824.75</c:v>
                </c:pt>
                <c:pt idx="7">
                  <c:v>262824.75</c:v>
                </c:pt>
                <c:pt idx="8">
                  <c:v>262824.75</c:v>
                </c:pt>
                <c:pt idx="9">
                  <c:v>262824.75</c:v>
                </c:pt>
                <c:pt idx="10">
                  <c:v>197117.55</c:v>
                </c:pt>
                <c:pt idx="11">
                  <c:v>166742.54999999999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B-4FB8-B59C-282C43EA03F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Sum of Stick 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Sheet4!$D$2:$D$14</c:f>
              <c:numCache>
                <c:formatCode>General</c:formatCode>
                <c:ptCount val="12"/>
                <c:pt idx="0">
                  <c:v>394370.77499999997</c:v>
                </c:pt>
                <c:pt idx="1">
                  <c:v>394370.77499999997</c:v>
                </c:pt>
                <c:pt idx="2">
                  <c:v>436120.19999999995</c:v>
                </c:pt>
                <c:pt idx="3">
                  <c:v>394470</c:v>
                </c:pt>
                <c:pt idx="4">
                  <c:v>526095</c:v>
                </c:pt>
                <c:pt idx="5">
                  <c:v>526095</c:v>
                </c:pt>
                <c:pt idx="6">
                  <c:v>517120.19999999995</c:v>
                </c:pt>
                <c:pt idx="7">
                  <c:v>436120.19999999995</c:v>
                </c:pt>
                <c:pt idx="8">
                  <c:v>436120.19999999995</c:v>
                </c:pt>
                <c:pt idx="9">
                  <c:v>217964.92499999999</c:v>
                </c:pt>
                <c:pt idx="10">
                  <c:v>327089.13750000001</c:v>
                </c:pt>
                <c:pt idx="11">
                  <c:v>327089.13750000001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B-4FB8-B59C-282C43EA03FB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Sum of Brick F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Sheet4!$E$2:$E$14</c:f>
              <c:numCache>
                <c:formatCode>General</c:formatCode>
                <c:ptCount val="12"/>
                <c:pt idx="0">
                  <c:v>157303.01249999998</c:v>
                </c:pt>
                <c:pt idx="1">
                  <c:v>157303.01249999998</c:v>
                </c:pt>
                <c:pt idx="2">
                  <c:v>175217.17499999999</c:v>
                </c:pt>
                <c:pt idx="3">
                  <c:v>209739.375</c:v>
                </c:pt>
                <c:pt idx="4">
                  <c:v>209739.375</c:v>
                </c:pt>
                <c:pt idx="5">
                  <c:v>209739.375</c:v>
                </c:pt>
                <c:pt idx="6">
                  <c:v>175217.17499999999</c:v>
                </c:pt>
                <c:pt idx="7">
                  <c:v>175217.17499999999</c:v>
                </c:pt>
                <c:pt idx="8">
                  <c:v>175217.17499999999</c:v>
                </c:pt>
                <c:pt idx="9">
                  <c:v>175217.17499999999</c:v>
                </c:pt>
                <c:pt idx="10">
                  <c:v>131412.375</c:v>
                </c:pt>
                <c:pt idx="11">
                  <c:v>123312.375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B-4FB8-B59C-282C43EA03F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Sum of Tub F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Sheet4!$F$2:$F$14</c:f>
              <c:numCache>
                <c:formatCode>General</c:formatCode>
                <c:ptCount val="12"/>
                <c:pt idx="0">
                  <c:v>235254.375</c:v>
                </c:pt>
                <c:pt idx="1">
                  <c:v>235254.375</c:v>
                </c:pt>
                <c:pt idx="2">
                  <c:v>262824.75</c:v>
                </c:pt>
                <c:pt idx="3">
                  <c:v>314608.05</c:v>
                </c:pt>
                <c:pt idx="4">
                  <c:v>314608.05</c:v>
                </c:pt>
                <c:pt idx="5">
                  <c:v>314608.05</c:v>
                </c:pt>
                <c:pt idx="6">
                  <c:v>262824.75</c:v>
                </c:pt>
                <c:pt idx="7">
                  <c:v>262824.75</c:v>
                </c:pt>
                <c:pt idx="8">
                  <c:v>262824.75</c:v>
                </c:pt>
                <c:pt idx="9">
                  <c:v>262824.75</c:v>
                </c:pt>
                <c:pt idx="10">
                  <c:v>197117.55</c:v>
                </c:pt>
                <c:pt idx="11">
                  <c:v>197117.55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B-4FB8-B59C-282C43EA03F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Sum of Others F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Sheet4!$G$2:$G$14</c:f>
              <c:numCache>
                <c:formatCode>General</c:formatCode>
                <c:ptCount val="12"/>
                <c:pt idx="0">
                  <c:v>39325.5</c:v>
                </c:pt>
                <c:pt idx="1">
                  <c:v>39325.5</c:v>
                </c:pt>
                <c:pt idx="2">
                  <c:v>43805.8125</c:v>
                </c:pt>
                <c:pt idx="3">
                  <c:v>52433.324999999997</c:v>
                </c:pt>
                <c:pt idx="4">
                  <c:v>52433.324999999997</c:v>
                </c:pt>
                <c:pt idx="5">
                  <c:v>52433.324999999997</c:v>
                </c:pt>
                <c:pt idx="6">
                  <c:v>43805.8125</c:v>
                </c:pt>
                <c:pt idx="7">
                  <c:v>43805.8125</c:v>
                </c:pt>
                <c:pt idx="8">
                  <c:v>43805.8125</c:v>
                </c:pt>
                <c:pt idx="9">
                  <c:v>43805.8125</c:v>
                </c:pt>
                <c:pt idx="10">
                  <c:v>32852.587500000001</c:v>
                </c:pt>
                <c:pt idx="11">
                  <c:v>32852.587500000001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6B-4FB8-B59C-282C43EA03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9238399"/>
        <c:axId val="819246719"/>
      </c:lineChart>
      <c:catAx>
        <c:axId val="819238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46719"/>
        <c:crosses val="autoZero"/>
        <c:auto val="1"/>
        <c:lblAlgn val="ctr"/>
        <c:lblOffset val="100"/>
        <c:noMultiLvlLbl val="0"/>
      </c:catAx>
      <c:valAx>
        <c:axId val="81924671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1923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7</xdr:row>
      <xdr:rowOff>11430</xdr:rowOff>
    </xdr:from>
    <xdr:to>
      <xdr:col>9</xdr:col>
      <xdr:colOff>586740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A1CE0-6485-4674-9E2D-4EE14F53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426720</xdr:colOff>
      <xdr:row>0</xdr:row>
      <xdr:rowOff>137160</xdr:rowOff>
    </xdr:from>
    <xdr:to>
      <xdr:col>25</xdr:col>
      <xdr:colOff>266700</xdr:colOff>
      <xdr:row>18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FAE6E-7378-461C-B69C-A2A771FBD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19</xdr:row>
      <xdr:rowOff>106680</xdr:rowOff>
    </xdr:from>
    <xdr:to>
      <xdr:col>8</xdr:col>
      <xdr:colOff>472440</xdr:colOff>
      <xdr:row>37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5AA726-DD6A-4A48-8B1A-E54C188D5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0</xdr:row>
      <xdr:rowOff>137160</xdr:rowOff>
    </xdr:from>
    <xdr:to>
      <xdr:col>16</xdr:col>
      <xdr:colOff>563880</xdr:colOff>
      <xdr:row>18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761BB1-8E07-4419-8D5F-356BB0B02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0</xdr:row>
      <xdr:rowOff>114300</xdr:rowOff>
    </xdr:from>
    <xdr:to>
      <xdr:col>8</xdr:col>
      <xdr:colOff>457200</xdr:colOff>
      <xdr:row>18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4A28B8-559A-409A-98E8-A9B2C07DE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243840</xdr:colOff>
      <xdr:row>19</xdr:row>
      <xdr:rowOff>76200</xdr:rowOff>
    </xdr:from>
    <xdr:to>
      <xdr:col>16</xdr:col>
      <xdr:colOff>548640</xdr:colOff>
      <xdr:row>37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FE9318-7DDE-48D5-9001-EC6FF1D2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403860</xdr:colOff>
      <xdr:row>29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1DF1D-51B3-4254-B1F2-7B594B0D0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2</xdr:row>
      <xdr:rowOff>38100</xdr:rowOff>
    </xdr:from>
    <xdr:to>
      <xdr:col>16</xdr:col>
      <xdr:colOff>541020</xdr:colOff>
      <xdr:row>37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D09F4-0BCB-42BF-B4E8-9D8F51C0C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DINDU" refreshedDate="45500.775498263887" createdVersion="7" refreshedVersion="7" minRefreshableVersion="3" recordCount="12" xr:uid="{5BCE0D6C-95E8-44ED-8AA5-703B1234329F}">
  <cacheSource type="worksheet">
    <worksheetSource ref="B24:J36" sheet="Demand Forecast"/>
  </cacheSource>
  <cacheFields count="9">
    <cacheField name="Month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Chocolate" numFmtId="1">
      <sharedItems containsSemiMixedTypes="0" containsString="0" containsNumber="1" containsInteger="1" minValue="376612" maxValue="808577"/>
    </cacheField>
    <cacheField name="Fruit" numFmtId="1">
      <sharedItems containsSemiMixedTypes="0" containsString="0" containsNumber="1" containsInteger="1" minValue="207096" maxValue="404287"/>
    </cacheField>
    <cacheField name="Vanilla" numFmtId="1">
      <sharedItems containsSemiMixedTypes="0" containsString="0" containsNumber="1" containsInteger="1" minValue="279207" maxValue="606431"/>
    </cacheField>
    <cacheField name="Orange" numFmtId="1">
      <sharedItems containsSemiMixedTypes="0" containsString="0" containsNumber="1" containsInteger="1" minValue="108402" maxValue="202142"/>
    </cacheField>
    <cacheField name="ChocolateF" numFmtId="1">
      <sharedItems containsSemiMixedTypes="0" containsString="0" containsNumber="1" minValue="384709.15800000005" maxValue="825961.40550000011"/>
    </cacheField>
    <cacheField name="FruitF" numFmtId="1">
      <sharedItems containsSemiMixedTypes="0" containsString="0" containsNumber="1" minValue="211548.56400000001" maxValue="412979.17050000001" count="9">
        <n v="310829.17050000001"/>
        <n v="326876.93550000002"/>
        <n v="412979.17050000001"/>
        <n v="344322.11250000005"/>
        <n v="268902.72450000001"/>
        <n v="211548.56400000001"/>
        <n v="258240.30750000002"/>
        <n v="296385.1605"/>
        <n v="309664.6605"/>
      </sharedItems>
    </cacheField>
    <cacheField name="VanillaF" numFmtId="1">
      <sharedItems containsSemiMixedTypes="0" containsString="0" containsNumber="1" minValue="285209.95050000004" maxValue="619469.26650000003"/>
    </cacheField>
    <cacheField name="OrangeF" numFmtId="1">
      <sharedItems containsSemiMixedTypes="0" containsString="0" containsNumber="1" minValue="110732.64300000001" maxValue="206488.053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DINDU" refreshedDate="45500.782700578704" createdVersion="7" refreshedVersion="7" minRefreshableVersion="3" recordCount="12" xr:uid="{353530ED-19B1-439D-9E51-17F994371AB0}">
  <cacheSource type="worksheet">
    <worksheetSource ref="B48:N60" sheet="Demand Forecast"/>
  </cacheSource>
  <cacheFields count="13">
    <cacheField name="Month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Cup" numFmtId="0">
      <sharedItems containsSemiMixedTypes="0" containsString="0" containsNumber="1" containsInteger="1" minValue="161453" maxValue="621453"/>
    </cacheField>
    <cacheField name="Stick" numFmtId="0">
      <sharedItems containsSemiMixedTypes="0" containsString="0" containsNumber="1" containsInteger="1" minValue="215274" maxValue="519600"/>
    </cacheField>
    <cacheField name="Cone" numFmtId="0">
      <sharedItems containsSemiMixedTypes="0" containsString="0" containsNumber="1" containsInteger="1" minValue="164684" maxValue="310724"/>
    </cacheField>
    <cacheField name="Brick " numFmtId="0">
      <sharedItems containsSemiMixedTypes="0" containsString="0" containsNumber="1" containsInteger="1" minValue="121790" maxValue="207150"/>
    </cacheField>
    <cacheField name="Tub" numFmtId="0">
      <sharedItems containsSemiMixedTypes="0" containsString="0" containsNumber="1" containsInteger="1" minValue="194684" maxValue="310724"/>
    </cacheField>
    <cacheField name="Others" numFmtId="0">
      <sharedItems containsSemiMixedTypes="0" containsString="0" containsNumber="1" containsInteger="1" minValue="32447" maxValue="51786"/>
    </cacheField>
    <cacheField name="Cup F" numFmtId="1">
      <sharedItems containsSemiMixedTypes="0" containsString="0" containsNumber="1" minValue="164924.23950000003" maxValue="634814.23950000003"/>
    </cacheField>
    <cacheField name="Stick F" numFmtId="1">
      <sharedItems containsSemiMixedTypes="0" containsString="0" containsNumber="1" minValue="217964.92499999999" maxValue="526095"/>
    </cacheField>
    <cacheField name="Cone F" numFmtId="1">
      <sharedItems containsSemiMixedTypes="0" containsString="0" containsNumber="1" minValue="166742.54999999999" maxValue="314608.05"/>
    </cacheField>
    <cacheField name="Brick F" numFmtId="1">
      <sharedItems containsSemiMixedTypes="0" containsString="0" containsNumber="1" minValue="123312.375" maxValue="209739.375"/>
    </cacheField>
    <cacheField name="Tub F" numFmtId="1">
      <sharedItems containsSemiMixedTypes="0" containsString="0" containsNumber="1" minValue="197117.55" maxValue="314608.05"/>
    </cacheField>
    <cacheField name="Others F" numFmtId="1">
      <sharedItems containsSemiMixedTypes="0" containsString="0" containsNumber="1" minValue="32852.587500000001" maxValue="52433.324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508577"/>
    <n v="304287"/>
    <n v="456431"/>
    <n v="162142"/>
    <n v="519511.40550000005"/>
    <x v="0"/>
    <n v="466244.26650000003"/>
    <n v="165628.05300000001"/>
  </r>
  <r>
    <x v="1"/>
    <n v="630577"/>
    <n v="319997"/>
    <n v="479995"/>
    <n v="164997"/>
    <n v="644134.40549999999"/>
    <x v="1"/>
    <n v="490314.89250000002"/>
    <n v="168544.43550000002"/>
  </r>
  <r>
    <x v="2"/>
    <n v="808577"/>
    <n v="404287"/>
    <n v="606431"/>
    <n v="202142"/>
    <n v="825961.40550000011"/>
    <x v="2"/>
    <n v="619469.26650000003"/>
    <n v="206488.05300000001"/>
  </r>
  <r>
    <x v="3"/>
    <n v="774149"/>
    <n v="337075"/>
    <n v="485612"/>
    <n v="168539"/>
    <n v="790793.20350000006"/>
    <x v="3"/>
    <n v="496052.65800000005"/>
    <n v="172162.58850000001"/>
  </r>
  <r>
    <x v="4"/>
    <n v="674149"/>
    <n v="337075"/>
    <n v="505612"/>
    <n v="168539"/>
    <n v="688643.20350000006"/>
    <x v="3"/>
    <n v="516482.65800000005"/>
    <n v="172162.58850000001"/>
  </r>
  <r>
    <x v="5"/>
    <n v="574149"/>
    <n v="263243"/>
    <n v="405612"/>
    <n v="136623"/>
    <n v="586493.20350000006"/>
    <x v="4"/>
    <n v="414332.65800000005"/>
    <n v="139560.39450000002"/>
  </r>
  <r>
    <x v="6"/>
    <n v="462055"/>
    <n v="207096"/>
    <n v="345643"/>
    <n v="136623"/>
    <n v="471989.18250000005"/>
    <x v="5"/>
    <n v="353074.32450000005"/>
    <n v="139560.39450000002"/>
  </r>
  <r>
    <x v="7"/>
    <n v="405612"/>
    <n v="252805"/>
    <n v="279207"/>
    <n v="126402"/>
    <n v="414332.65800000005"/>
    <x v="6"/>
    <n v="285209.95050000004"/>
    <n v="129119.64300000001"/>
  </r>
  <r>
    <x v="8"/>
    <n v="376612"/>
    <n v="252805"/>
    <n v="279207"/>
    <n v="108402"/>
    <n v="384709.15800000005"/>
    <x v="6"/>
    <n v="285209.95050000004"/>
    <n v="110732.64300000001"/>
  </r>
  <r>
    <x v="9"/>
    <n v="506431"/>
    <n v="290147"/>
    <n v="353340"/>
    <n v="151573"/>
    <n v="517319.26650000003"/>
    <x v="7"/>
    <n v="360936.81"/>
    <n v="154831.81950000001"/>
  </r>
  <r>
    <x v="10"/>
    <n v="606431"/>
    <n v="303147"/>
    <n v="453340"/>
    <n v="151573"/>
    <n v="619469.26650000003"/>
    <x v="8"/>
    <n v="463086.81000000006"/>
    <n v="154831.81950000001"/>
  </r>
  <r>
    <x v="11"/>
    <n v="674149"/>
    <n v="337075"/>
    <n v="505612"/>
    <n v="168539"/>
    <n v="688643.20350000006"/>
    <x v="3"/>
    <n v="516482.65800000005"/>
    <n v="172162.5885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61453"/>
    <n v="389600"/>
    <n v="310724"/>
    <n v="207150"/>
    <n v="310724"/>
    <n v="51786"/>
    <n v="164924.23950000003"/>
    <n v="394470"/>
    <n v="314608.05"/>
    <n v="209739.375"/>
    <n v="314608.05"/>
    <n v="52433.324999999997"/>
  </r>
  <r>
    <x v="1"/>
    <n v="195582"/>
    <n v="519600"/>
    <n v="310724"/>
    <n v="207150"/>
    <n v="310724"/>
    <n v="51786"/>
    <n v="199787.01300000001"/>
    <n v="526095"/>
    <n v="314608.05"/>
    <n v="209739.375"/>
    <n v="314608.05"/>
    <n v="52433.324999999997"/>
  </r>
  <r>
    <x v="2"/>
    <n v="621453"/>
    <n v="519600"/>
    <n v="310724"/>
    <n v="207150"/>
    <n v="310724"/>
    <n v="51786"/>
    <n v="634814.23950000003"/>
    <n v="526095"/>
    <n v="314608.05"/>
    <n v="209739.375"/>
    <n v="314608.05"/>
    <n v="52433.324999999997"/>
  </r>
  <r>
    <x v="3"/>
    <n v="519160"/>
    <n v="510736"/>
    <n v="259580"/>
    <n v="173054"/>
    <n v="259580"/>
    <n v="43265"/>
    <n v="530321.94000000006"/>
    <n v="517120.19999999995"/>
    <n v="262824.75"/>
    <n v="175217.17499999999"/>
    <n v="262824.75"/>
    <n v="43805.8125"/>
  </r>
  <r>
    <x v="4"/>
    <n v="519160"/>
    <n v="430736"/>
    <n v="259580"/>
    <n v="173054"/>
    <n v="259580"/>
    <n v="43265"/>
    <n v="530321.94000000006"/>
    <n v="436120.19999999995"/>
    <n v="262824.75"/>
    <n v="175217.17499999999"/>
    <n v="262824.75"/>
    <n v="43805.8125"/>
  </r>
  <r>
    <x v="5"/>
    <n v="213412"/>
    <n v="430736"/>
    <n v="259580"/>
    <n v="173054"/>
    <n v="259580"/>
    <n v="43265"/>
    <n v="218000.35800000001"/>
    <n v="436120.19999999995"/>
    <n v="262824.75"/>
    <n v="175217.17499999999"/>
    <n v="262824.75"/>
    <n v="43805.8125"/>
  </r>
  <r>
    <x v="6"/>
    <n v="200664"/>
    <n v="215274"/>
    <n v="259580"/>
    <n v="173054"/>
    <n v="259580"/>
    <n v="43265"/>
    <n v="204978.27600000001"/>
    <n v="217964.92499999999"/>
    <n v="262824.75"/>
    <n v="175217.17499999999"/>
    <n v="262824.75"/>
    <n v="43805.8125"/>
  </r>
  <r>
    <x v="7"/>
    <n v="189370"/>
    <n v="323051"/>
    <n v="194684"/>
    <n v="129790"/>
    <n v="194684"/>
    <n v="32447"/>
    <n v="193441.45500000002"/>
    <n v="327089.13750000001"/>
    <n v="197117.55"/>
    <n v="131412.375"/>
    <n v="197117.55"/>
    <n v="32852.587500000001"/>
  </r>
  <r>
    <x v="8"/>
    <n v="180370"/>
    <n v="323051"/>
    <n v="164684"/>
    <n v="121790"/>
    <n v="194684"/>
    <n v="32447"/>
    <n v="184247.95500000002"/>
    <n v="327089.13750000001"/>
    <n v="166742.54999999999"/>
    <n v="123312.375"/>
    <n v="197117.55"/>
    <n v="32852.587500000001"/>
  </r>
  <r>
    <x v="9"/>
    <n v="253088"/>
    <n v="389502"/>
    <n v="232350"/>
    <n v="155361"/>
    <n v="232350"/>
    <n v="38840"/>
    <n v="258529.39200000002"/>
    <n v="394370.77499999997"/>
    <n v="235254.375"/>
    <n v="157303.01249999998"/>
    <n v="235254.375"/>
    <n v="39325.5"/>
  </r>
  <r>
    <x v="10"/>
    <n v="466088"/>
    <n v="389502"/>
    <n v="232350"/>
    <n v="155361"/>
    <n v="232350"/>
    <n v="38840"/>
    <n v="476108.89200000005"/>
    <n v="394370.77499999997"/>
    <n v="235254.375"/>
    <n v="157303.01249999998"/>
    <n v="235254.375"/>
    <n v="39325.5"/>
  </r>
  <r>
    <x v="11"/>
    <n v="519160"/>
    <n v="430736"/>
    <n v="259580"/>
    <n v="173054"/>
    <n v="259580"/>
    <n v="43265"/>
    <n v="530321.94000000006"/>
    <n v="436120.19999999995"/>
    <n v="262824.75"/>
    <n v="175217.17499999999"/>
    <n v="262824.75"/>
    <n v="43805.8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540A-D8B2-4826-87D2-2644429FC60D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1:E14" firstHeaderRow="0" firstDataRow="1" firstDataCol="1"/>
  <pivotFields count="9"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" showAll="0"/>
    <pivotField numFmtId="1" showAll="0"/>
    <pivotField numFmtId="1" showAll="0"/>
    <pivotField numFmtId="1" showAll="0"/>
    <pivotField dataField="1" numFmtId="1" showAll="0"/>
    <pivotField dataField="1" numFmtId="1" showAll="0">
      <items count="10">
        <item x="5"/>
        <item x="6"/>
        <item x="4"/>
        <item x="7"/>
        <item x="8"/>
        <item x="0"/>
        <item x="1"/>
        <item x="3"/>
        <item x="2"/>
        <item t="default"/>
      </items>
    </pivotField>
    <pivotField dataField="1" numFmtId="1" showAll="0"/>
    <pivotField dataField="1" numFmtI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hocolateF" fld="5" baseField="0" baseItem="0"/>
    <dataField name="Sum of FruitF" fld="6" baseField="0" baseItem="0"/>
    <dataField name="Sum of VanillaF" fld="7" baseField="0" baseItem="0"/>
    <dataField name="Sum of OrangeF" fld="8" baseField="0" baseItem="0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66825-DD4E-42EB-BFE3-5724322E5EB7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6">
  <location ref="A1:G14" firstHeaderRow="0" firstDataRow="1" firstDataCol="1"/>
  <pivotFields count="13"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up F" fld="7" baseField="0" baseItem="0"/>
    <dataField name="Sum of Cone F" fld="9" baseField="0" baseItem="0"/>
    <dataField name="Sum of Stick F" fld="8" baseField="0" baseItem="0"/>
    <dataField name="Sum of Brick F" fld="10" baseField="0" baseItem="0"/>
    <dataField name="Sum of Tub F" fld="11" baseField="0" baseItem="0"/>
    <dataField name="Sum of Others F" fld="12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B999-DDFD-43E6-9A84-D2F355B5A77B}">
  <sheetPr>
    <tabColor theme="9" tint="-0.499984740745262"/>
  </sheetPr>
  <dimension ref="A2:O65"/>
  <sheetViews>
    <sheetView showGridLines="0" topLeftCell="A10" workbookViewId="0">
      <selection activeCell="O12" sqref="O12"/>
    </sheetView>
  </sheetViews>
  <sheetFormatPr defaultRowHeight="14.4" x14ac:dyDescent="0.3"/>
  <cols>
    <col min="1" max="1" width="2.33203125" style="5" customWidth="1"/>
    <col min="2" max="2" width="9.77734375" bestFit="1" customWidth="1"/>
    <col min="3" max="3" width="10.6640625" bestFit="1" customWidth="1"/>
    <col min="4" max="4" width="10.33203125" bestFit="1" customWidth="1"/>
    <col min="5" max="5" width="21" bestFit="1" customWidth="1"/>
    <col min="6" max="6" width="17.5546875" style="5" bestFit="1" customWidth="1"/>
    <col min="7" max="7" width="10.33203125" bestFit="1" customWidth="1"/>
    <col min="8" max="8" width="14.33203125" bestFit="1" customWidth="1"/>
    <col min="9" max="9" width="10.6640625" bestFit="1" customWidth="1"/>
    <col min="10" max="10" width="10.6640625" style="5" bestFit="1" customWidth="1"/>
    <col min="11" max="11" width="11.6640625" bestFit="1" customWidth="1"/>
    <col min="12" max="12" width="9.88671875" bestFit="1" customWidth="1"/>
    <col min="13" max="14" width="9.5546875" bestFit="1" customWidth="1"/>
  </cols>
  <sheetData>
    <row r="2" spans="2:14" x14ac:dyDescent="0.3">
      <c r="B2" s="81" t="s">
        <v>42</v>
      </c>
      <c r="C2" s="81"/>
      <c r="D2" s="81"/>
      <c r="E2" s="81"/>
      <c r="F2" s="25"/>
      <c r="J2"/>
    </row>
    <row r="3" spans="2:14" x14ac:dyDescent="0.3">
      <c r="B3" s="14"/>
      <c r="C3" s="14"/>
      <c r="D3" s="14"/>
      <c r="E3" s="14"/>
      <c r="F3" s="15"/>
      <c r="G3" s="15"/>
      <c r="H3" s="15"/>
      <c r="I3" s="15"/>
      <c r="J3" s="15"/>
      <c r="K3" s="15"/>
      <c r="L3" s="15"/>
      <c r="M3" s="15"/>
    </row>
    <row r="4" spans="2:14" ht="31.2" customHeight="1" x14ac:dyDescent="0.3">
      <c r="B4" s="79" t="s">
        <v>66</v>
      </c>
      <c r="C4" s="80"/>
      <c r="D4" s="80"/>
      <c r="E4" s="80"/>
      <c r="F4" s="24"/>
      <c r="I4" s="5"/>
      <c r="J4"/>
      <c r="K4" s="17"/>
      <c r="L4" s="17"/>
      <c r="M4" s="17"/>
    </row>
    <row r="5" spans="2:14" x14ac:dyDescent="0.3">
      <c r="F5"/>
      <c r="I5" s="5"/>
      <c r="J5"/>
      <c r="L5" s="17"/>
      <c r="M5" s="17"/>
      <c r="N5" s="17"/>
    </row>
    <row r="6" spans="2:14" x14ac:dyDescent="0.3">
      <c r="B6" s="10" t="s">
        <v>0</v>
      </c>
      <c r="C6" s="10" t="s">
        <v>38</v>
      </c>
      <c r="D6" s="10" t="s">
        <v>195</v>
      </c>
      <c r="E6" s="12" t="s">
        <v>39</v>
      </c>
      <c r="F6"/>
      <c r="G6" s="5"/>
      <c r="J6" s="17"/>
      <c r="K6" s="17"/>
      <c r="L6" s="17"/>
      <c r="M6" s="17"/>
    </row>
    <row r="7" spans="2:14" x14ac:dyDescent="0.3">
      <c r="B7" s="10" t="s">
        <v>17</v>
      </c>
      <c r="C7" s="10">
        <v>4</v>
      </c>
      <c r="D7" s="11">
        <f>'Data Sheet'!D26</f>
        <v>1431437</v>
      </c>
      <c r="E7" s="13">
        <f>D7*(1+2.15%)</f>
        <v>1462212.8955000001</v>
      </c>
      <c r="F7"/>
      <c r="G7" s="5"/>
      <c r="H7" s="7"/>
      <c r="J7" s="17"/>
      <c r="K7" s="17"/>
      <c r="L7" s="17"/>
      <c r="M7" s="17"/>
    </row>
    <row r="8" spans="2:14" x14ac:dyDescent="0.3">
      <c r="B8" s="10" t="s">
        <v>11</v>
      </c>
      <c r="C8" s="10">
        <v>5</v>
      </c>
      <c r="D8" s="11">
        <f>'Data Sheet'!D51</f>
        <v>1595566</v>
      </c>
      <c r="E8" s="13">
        <f t="shared" ref="E8:E18" si="0">D8*(1+2.15%)</f>
        <v>1629870.6690000002</v>
      </c>
      <c r="F8"/>
      <c r="G8" s="5"/>
      <c r="J8" s="17"/>
      <c r="K8" s="17"/>
      <c r="L8" s="17"/>
      <c r="M8" s="17"/>
    </row>
    <row r="9" spans="2:14" x14ac:dyDescent="0.3">
      <c r="B9" s="10" t="s">
        <v>18</v>
      </c>
      <c r="C9" s="10">
        <v>6</v>
      </c>
      <c r="D9" s="11">
        <f>'Data Sheet'!D76</f>
        <v>2021437</v>
      </c>
      <c r="E9" s="13">
        <f t="shared" si="0"/>
        <v>2064897.8955000001</v>
      </c>
      <c r="F9"/>
      <c r="G9" s="5"/>
      <c r="I9" s="7"/>
      <c r="J9" s="17"/>
      <c r="K9" s="17"/>
      <c r="L9" s="17"/>
      <c r="M9" s="17"/>
    </row>
    <row r="10" spans="2:14" x14ac:dyDescent="0.3">
      <c r="B10" s="10" t="s">
        <v>19</v>
      </c>
      <c r="C10" s="10">
        <v>7</v>
      </c>
      <c r="D10" s="11">
        <f>'Data Sheet'!D101</f>
        <v>1765375</v>
      </c>
      <c r="E10" s="13">
        <f t="shared" si="0"/>
        <v>1803330.5625000002</v>
      </c>
      <c r="F10"/>
      <c r="G10" s="5"/>
      <c r="J10" s="17"/>
      <c r="K10" s="17"/>
      <c r="L10" s="17"/>
      <c r="M10" s="17"/>
    </row>
    <row r="11" spans="2:14" x14ac:dyDescent="0.3">
      <c r="B11" s="10" t="s">
        <v>20</v>
      </c>
      <c r="C11" s="10">
        <v>8</v>
      </c>
      <c r="D11" s="11">
        <f>'Data Sheet'!D126</f>
        <v>1685375</v>
      </c>
      <c r="E11" s="13">
        <f t="shared" si="0"/>
        <v>1721610.5625000002</v>
      </c>
      <c r="F11"/>
      <c r="G11" s="5"/>
      <c r="J11" s="17"/>
      <c r="K11" s="17"/>
      <c r="L11" s="17"/>
      <c r="M11" s="17"/>
    </row>
    <row r="12" spans="2:14" x14ac:dyDescent="0.3">
      <c r="B12" s="10" t="s">
        <v>21</v>
      </c>
      <c r="C12" s="10">
        <v>9</v>
      </c>
      <c r="D12" s="11">
        <f>'Data Sheet'!D151</f>
        <v>1379627</v>
      </c>
      <c r="E12" s="13">
        <f t="shared" si="0"/>
        <v>1409288.9805000001</v>
      </c>
      <c r="F12"/>
      <c r="G12" s="5"/>
      <c r="J12" s="17"/>
      <c r="K12" s="17"/>
      <c r="L12" s="17"/>
      <c r="M12" s="17"/>
    </row>
    <row r="13" spans="2:14" x14ac:dyDescent="0.3">
      <c r="B13" s="10" t="s">
        <v>22</v>
      </c>
      <c r="C13" s="10">
        <v>10</v>
      </c>
      <c r="D13" s="11">
        <f>'Data Sheet'!D176</f>
        <v>1151417</v>
      </c>
      <c r="E13" s="13">
        <f t="shared" si="0"/>
        <v>1176172.4655000002</v>
      </c>
      <c r="F13"/>
      <c r="G13" s="5"/>
      <c r="J13" s="17"/>
      <c r="K13" s="17"/>
      <c r="L13" s="17"/>
      <c r="M13" s="17"/>
    </row>
    <row r="14" spans="2:14" x14ac:dyDescent="0.3">
      <c r="B14" s="10" t="s">
        <v>23</v>
      </c>
      <c r="C14" s="10">
        <v>11</v>
      </c>
      <c r="D14" s="11">
        <f>'Data Sheet'!D201</f>
        <v>1064026</v>
      </c>
      <c r="E14" s="13">
        <f t="shared" si="0"/>
        <v>1086902.5590000001</v>
      </c>
      <c r="F14"/>
      <c r="G14" s="5"/>
      <c r="J14" s="17"/>
      <c r="K14" s="17"/>
      <c r="L14" s="17"/>
      <c r="M14" s="17"/>
    </row>
    <row r="15" spans="2:14" x14ac:dyDescent="0.3">
      <c r="B15" s="10" t="s">
        <v>24</v>
      </c>
      <c r="C15" s="10">
        <v>12</v>
      </c>
      <c r="D15" s="11">
        <f>'Data Sheet'!D226</f>
        <v>1017026</v>
      </c>
      <c r="E15" s="13">
        <f t="shared" si="0"/>
        <v>1038892.0590000001</v>
      </c>
      <c r="F15"/>
      <c r="G15" s="5"/>
      <c r="I15" s="7"/>
      <c r="J15" s="17"/>
      <c r="K15" s="17"/>
      <c r="L15" s="17"/>
      <c r="M15" s="17"/>
    </row>
    <row r="16" spans="2:14" x14ac:dyDescent="0.3">
      <c r="B16" s="10" t="s">
        <v>14</v>
      </c>
      <c r="C16" s="10">
        <v>1</v>
      </c>
      <c r="D16" s="11">
        <f>'Data Sheet'!D251</f>
        <v>1301491</v>
      </c>
      <c r="E16" s="13">
        <f t="shared" si="0"/>
        <v>1329473.0565000002</v>
      </c>
      <c r="F16"/>
      <c r="G16" s="5"/>
      <c r="J16"/>
    </row>
    <row r="17" spans="2:11" x14ac:dyDescent="0.3">
      <c r="B17" s="10" t="s">
        <v>15</v>
      </c>
      <c r="C17" s="10">
        <v>2</v>
      </c>
      <c r="D17" s="11">
        <f>'Data Sheet'!D276</f>
        <v>1514491</v>
      </c>
      <c r="E17" s="13">
        <f t="shared" si="0"/>
        <v>1547052.5565000002</v>
      </c>
      <c r="F17"/>
      <c r="G17" s="5"/>
      <c r="J17"/>
    </row>
    <row r="18" spans="2:11" x14ac:dyDescent="0.3">
      <c r="B18" s="10" t="s">
        <v>16</v>
      </c>
      <c r="C18" s="10">
        <v>3</v>
      </c>
      <c r="D18" s="11">
        <f>'Data Sheet'!D301</f>
        <v>1685375</v>
      </c>
      <c r="E18" s="13">
        <f t="shared" si="0"/>
        <v>1721610.5625000002</v>
      </c>
      <c r="F18"/>
      <c r="G18" s="5"/>
      <c r="J18"/>
      <c r="K18" s="7"/>
    </row>
    <row r="19" spans="2:11" x14ac:dyDescent="0.3">
      <c r="D19" s="39"/>
    </row>
    <row r="20" spans="2:11" x14ac:dyDescent="0.3">
      <c r="B20" s="81" t="s">
        <v>40</v>
      </c>
      <c r="C20" s="81"/>
      <c r="D20" s="81"/>
      <c r="E20" s="81"/>
      <c r="F20" s="81"/>
      <c r="G20" s="81"/>
      <c r="H20" s="81"/>
      <c r="I20" s="81"/>
      <c r="J20" s="81"/>
    </row>
    <row r="21" spans="2:11" s="5" customFormat="1" x14ac:dyDescent="0.3">
      <c r="B21" s="14"/>
      <c r="C21" s="14"/>
      <c r="D21" s="14"/>
      <c r="E21" s="14"/>
      <c r="F21" s="14"/>
      <c r="G21" s="14"/>
      <c r="H21" s="14"/>
      <c r="I21" s="14"/>
      <c r="J21" s="14"/>
    </row>
    <row r="22" spans="2:11" x14ac:dyDescent="0.3">
      <c r="B22" s="82" t="s">
        <v>186</v>
      </c>
      <c r="C22" s="83"/>
      <c r="D22" s="83"/>
      <c r="E22" s="83"/>
      <c r="F22" s="87"/>
      <c r="G22" s="86" t="s">
        <v>39</v>
      </c>
      <c r="H22" s="86"/>
      <c r="I22" s="86"/>
      <c r="J22" s="86"/>
    </row>
    <row r="23" spans="2:11" x14ac:dyDescent="0.3">
      <c r="F23" s="6"/>
      <c r="J23"/>
    </row>
    <row r="24" spans="2:11" x14ac:dyDescent="0.3">
      <c r="B24" s="8" t="s">
        <v>0</v>
      </c>
      <c r="C24" s="8" t="s">
        <v>4</v>
      </c>
      <c r="D24" s="8" t="s">
        <v>6</v>
      </c>
      <c r="E24" s="8" t="s">
        <v>2</v>
      </c>
      <c r="F24" s="9" t="s">
        <v>8</v>
      </c>
      <c r="G24" s="12" t="s">
        <v>47</v>
      </c>
      <c r="H24" s="12" t="s">
        <v>48</v>
      </c>
      <c r="I24" s="12" t="s">
        <v>49</v>
      </c>
      <c r="J24" s="12" t="s">
        <v>96</v>
      </c>
    </row>
    <row r="25" spans="2:11" x14ac:dyDescent="0.3">
      <c r="B25" s="8" t="s">
        <v>17</v>
      </c>
      <c r="C25" s="9">
        <f>SUMIFS('Actual Data'!$D$2:$D$289,'Actual Data'!$A$2:$A$289,"April",'Actual Data'!$C$2:$C$289,"Chocolate")</f>
        <v>508577</v>
      </c>
      <c r="D25" s="9">
        <f>SUMIFS('Actual Data'!$D$2:$D$289,'Actual Data'!$A$2:$A$289,"April",'Actual Data'!$C$2:$C$289,"Fruit")</f>
        <v>304287</v>
      </c>
      <c r="E25" s="9">
        <f>SUMIFS('Actual Data'!$D$2:$D$289,'Actual Data'!$A$2:$A$289,B25,'Actual Data'!$C$2:$C$289,$E$24)</f>
        <v>456431</v>
      </c>
      <c r="F25" s="9">
        <f>SUMIFS('Actual Data'!$D$2:$D$289,'Actual Data'!$A$2:$A$289,B25,'Actual Data'!$C$2:$C$289,$F$24)</f>
        <v>162142</v>
      </c>
      <c r="G25" s="13">
        <f>C25*(1+2.15%)</f>
        <v>519511.40550000005</v>
      </c>
      <c r="H25" s="13">
        <f>D25*(1+2.15%)</f>
        <v>310829.17050000001</v>
      </c>
      <c r="I25" s="13">
        <f>E25*(1+2.15%)</f>
        <v>466244.26650000003</v>
      </c>
      <c r="J25" s="13">
        <f>F25*(1+2.15%)</f>
        <v>165628.05300000001</v>
      </c>
      <c r="K25" s="7"/>
    </row>
    <row r="26" spans="2:11" x14ac:dyDescent="0.3">
      <c r="B26" s="8" t="s">
        <v>11</v>
      </c>
      <c r="C26" s="9">
        <f>SUMIFS('Actual Data'!$D$2:$D$289,'Actual Data'!$A$2:$A$289,"May",'Actual Data'!$C$2:$C$289,"Chocolate")</f>
        <v>630577</v>
      </c>
      <c r="D26" s="9">
        <f>SUMIFS('Actual Data'!$D$2:$D$289,'Actual Data'!$A$2:$A$289,"May",'Actual Data'!$C$2:$C$289,"Fruit")</f>
        <v>319997</v>
      </c>
      <c r="E26" s="9">
        <f>SUMIFS('Actual Data'!$D$2:$D$289,'Actual Data'!$A$2:$A$289,B26,'Actual Data'!$C$2:$C$289,$E$24)</f>
        <v>479995</v>
      </c>
      <c r="F26" s="9">
        <f>SUMIFS('Actual Data'!$D$2:$D$289,'Actual Data'!$A$2:$A$289,B26,'Actual Data'!$C$2:$C$289,$F$24)</f>
        <v>164997</v>
      </c>
      <c r="G26" s="13">
        <f t="shared" ref="G26:G36" si="1">C26*(1+2.15%)</f>
        <v>644134.40549999999</v>
      </c>
      <c r="H26" s="13">
        <f t="shared" ref="H26:H36" si="2">D26*(1+2.15%)</f>
        <v>326876.93550000002</v>
      </c>
      <c r="I26" s="13">
        <f t="shared" ref="I26:I36" si="3">E26*(1+2.15%)</f>
        <v>490314.89250000002</v>
      </c>
      <c r="J26" s="13">
        <f t="shared" ref="J26:J36" si="4">F26*(1+2.15%)</f>
        <v>168544.43550000002</v>
      </c>
    </row>
    <row r="27" spans="2:11" x14ac:dyDescent="0.3">
      <c r="B27" s="8" t="s">
        <v>18</v>
      </c>
      <c r="C27" s="9">
        <f>SUMIFS('Actual Data'!$D$2:$D$289,'Actual Data'!$A$2:$A$289,"June",'Actual Data'!$C$2:$C$289,"Chocolate")</f>
        <v>808577</v>
      </c>
      <c r="D27" s="9">
        <f>SUMIFS('Actual Data'!$D$2:$D$289,'Actual Data'!$A$2:$A$289,"June",'Actual Data'!$C$2:$C$289,"Fruit")</f>
        <v>404287</v>
      </c>
      <c r="E27" s="9">
        <f>SUMIFS('Actual Data'!$D$2:$D$289,'Actual Data'!$A$2:$A$289,B27,'Actual Data'!$C$2:$C$289,$E$24)</f>
        <v>606431</v>
      </c>
      <c r="F27" s="9">
        <f>SUMIFS('Actual Data'!$D$2:$D$289,'Actual Data'!$A$2:$A$289,B27,'Actual Data'!$C$2:$C$289,$F$24)</f>
        <v>202142</v>
      </c>
      <c r="G27" s="13">
        <f t="shared" si="1"/>
        <v>825961.40550000011</v>
      </c>
      <c r="H27" s="13">
        <f t="shared" si="2"/>
        <v>412979.17050000001</v>
      </c>
      <c r="I27" s="13">
        <f t="shared" si="3"/>
        <v>619469.26650000003</v>
      </c>
      <c r="J27" s="13">
        <f t="shared" si="4"/>
        <v>206488.05300000001</v>
      </c>
    </row>
    <row r="28" spans="2:11" x14ac:dyDescent="0.3">
      <c r="B28" s="8" t="s">
        <v>19</v>
      </c>
      <c r="C28" s="9">
        <f>SUMIFS('Actual Data'!$D$2:$D$289,'Actual Data'!$A$2:$A$289,"July",'Actual Data'!$C$2:$C$289,"Chocolate")</f>
        <v>774149</v>
      </c>
      <c r="D28" s="9">
        <f>SUMIFS('Actual Data'!$D$2:$D$289,'Actual Data'!$A$2:$A$289,"July",'Actual Data'!$C$2:$C$289,"Fruit")</f>
        <v>337075</v>
      </c>
      <c r="E28" s="9">
        <f>SUMIFS('Actual Data'!$D$2:$D$289,'Actual Data'!$A$2:$A$289,B28,'Actual Data'!$C$2:$C$289,$E$24)</f>
        <v>485612</v>
      </c>
      <c r="F28" s="9">
        <f>SUMIFS('Actual Data'!$D$2:$D$289,'Actual Data'!$A$2:$A$289,B28,'Actual Data'!$C$2:$C$289,$F$24)</f>
        <v>168539</v>
      </c>
      <c r="G28" s="13">
        <f t="shared" si="1"/>
        <v>790793.20350000006</v>
      </c>
      <c r="H28" s="13">
        <f t="shared" si="2"/>
        <v>344322.11250000005</v>
      </c>
      <c r="I28" s="13">
        <f t="shared" si="3"/>
        <v>496052.65800000005</v>
      </c>
      <c r="J28" s="13">
        <f t="shared" si="4"/>
        <v>172162.58850000001</v>
      </c>
    </row>
    <row r="29" spans="2:11" x14ac:dyDescent="0.3">
      <c r="B29" s="8" t="s">
        <v>20</v>
      </c>
      <c r="C29" s="9">
        <f>SUMIFS('Actual Data'!$D$2:$D$289,'Actual Data'!$A$2:$A$289,"August",'Actual Data'!$C$2:$C$289,"Chocolate")</f>
        <v>674149</v>
      </c>
      <c r="D29" s="9">
        <f>SUMIFS('Actual Data'!$D$2:$D$289,'Actual Data'!$A$2:$A$289,"August",'Actual Data'!$C$2:$C$289,"Fruit")</f>
        <v>337075</v>
      </c>
      <c r="E29" s="9">
        <f>SUMIFS('Actual Data'!$D$2:$D$289,'Actual Data'!$A$2:$A$289,B29,'Actual Data'!$C$2:$C$289,$E$24)</f>
        <v>505612</v>
      </c>
      <c r="F29" s="9">
        <f>SUMIFS('Actual Data'!$D$2:$D$289,'Actual Data'!$A$2:$A$289,B29,'Actual Data'!$C$2:$C$289,$F$24)</f>
        <v>168539</v>
      </c>
      <c r="G29" s="13">
        <f t="shared" si="1"/>
        <v>688643.20350000006</v>
      </c>
      <c r="H29" s="13">
        <f t="shared" si="2"/>
        <v>344322.11250000005</v>
      </c>
      <c r="I29" s="13">
        <f t="shared" si="3"/>
        <v>516482.65800000005</v>
      </c>
      <c r="J29" s="13">
        <f t="shared" si="4"/>
        <v>172162.58850000001</v>
      </c>
    </row>
    <row r="30" spans="2:11" x14ac:dyDescent="0.3">
      <c r="B30" s="8" t="s">
        <v>21</v>
      </c>
      <c r="C30" s="9">
        <f>SUMIFS('Actual Data'!$D$2:$D$289,'Actual Data'!$A$2:$A$289,"September",'Actual Data'!$C$2:$C$289,"Chocolate")</f>
        <v>574149</v>
      </c>
      <c r="D30" s="9">
        <f>SUMIFS('Actual Data'!$D$2:$D$289,'Actual Data'!$A$2:$A$289,"September",'Actual Data'!$C$2:$C$289,"Fruit")</f>
        <v>263243</v>
      </c>
      <c r="E30" s="9">
        <f>SUMIFS('Actual Data'!$D$2:$D$289,'Actual Data'!$A$2:$A$289,B30,'Actual Data'!$C$2:$C$289,$E$24)</f>
        <v>405612</v>
      </c>
      <c r="F30" s="9">
        <f>SUMIFS('Actual Data'!$D$2:$D$289,'Actual Data'!$A$2:$A$289,B30,'Actual Data'!$C$2:$C$289,$F$24)</f>
        <v>136623</v>
      </c>
      <c r="G30" s="13">
        <f t="shared" si="1"/>
        <v>586493.20350000006</v>
      </c>
      <c r="H30" s="13">
        <f t="shared" si="2"/>
        <v>268902.72450000001</v>
      </c>
      <c r="I30" s="13">
        <f t="shared" si="3"/>
        <v>414332.65800000005</v>
      </c>
      <c r="J30" s="13">
        <f t="shared" si="4"/>
        <v>139560.39450000002</v>
      </c>
    </row>
    <row r="31" spans="2:11" x14ac:dyDescent="0.3">
      <c r="B31" s="8" t="s">
        <v>22</v>
      </c>
      <c r="C31" s="9">
        <f>SUMIFS('Actual Data'!$D$2:$D$289,'Actual Data'!$A$2:$A$289,"October",'Actual Data'!$C$2:$C$289,"Chocolate")</f>
        <v>462055</v>
      </c>
      <c r="D31" s="9">
        <f>SUMIFS('Actual Data'!$D$2:$D$289,'Actual Data'!$A$2:$A$289,"October",'Actual Data'!$C$2:$C$289,"Fruit")</f>
        <v>207096</v>
      </c>
      <c r="E31" s="9">
        <f>SUMIFS('Actual Data'!$D$2:$D$289,'Actual Data'!$A$2:$A$289,B31,'Actual Data'!$C$2:$C$289,$E$24)</f>
        <v>345643</v>
      </c>
      <c r="F31" s="9">
        <f>SUMIFS('Actual Data'!$D$2:$D$289,'Actual Data'!$A$2:$A$289,B31,'Actual Data'!$C$2:$C$289,$F$24)</f>
        <v>136623</v>
      </c>
      <c r="G31" s="13">
        <f t="shared" si="1"/>
        <v>471989.18250000005</v>
      </c>
      <c r="H31" s="13">
        <f t="shared" si="2"/>
        <v>211548.56400000001</v>
      </c>
      <c r="I31" s="13">
        <f t="shared" si="3"/>
        <v>353074.32450000005</v>
      </c>
      <c r="J31" s="13">
        <f t="shared" si="4"/>
        <v>139560.39450000002</v>
      </c>
    </row>
    <row r="32" spans="2:11" x14ac:dyDescent="0.3">
      <c r="B32" s="8" t="s">
        <v>23</v>
      </c>
      <c r="C32" s="9">
        <f>SUMIFS('Actual Data'!$D$2:$D$289,'Actual Data'!$A$2:$A$289,"November",'Actual Data'!$C$2:$C$289,"Chocolate")</f>
        <v>405612</v>
      </c>
      <c r="D32" s="9">
        <f>SUMIFS('Actual Data'!$D$2:$D$289,'Actual Data'!$A$2:$A$289,"November",'Actual Data'!$C$2:$C$289,"Fruit")</f>
        <v>252805</v>
      </c>
      <c r="E32" s="9">
        <f>SUMIFS('Actual Data'!$D$2:$D$289,'Actual Data'!$A$2:$A$289,B32,'Actual Data'!$C$2:$C$289,$E$24)</f>
        <v>279207</v>
      </c>
      <c r="F32" s="9">
        <f>SUMIFS('Actual Data'!$D$2:$D$289,'Actual Data'!$A$2:$A$289,B32,'Actual Data'!$C$2:$C$289,$F$24)</f>
        <v>126402</v>
      </c>
      <c r="G32" s="13">
        <f t="shared" si="1"/>
        <v>414332.65800000005</v>
      </c>
      <c r="H32" s="13">
        <f t="shared" si="2"/>
        <v>258240.30750000002</v>
      </c>
      <c r="I32" s="13">
        <f t="shared" si="3"/>
        <v>285209.95050000004</v>
      </c>
      <c r="J32" s="13">
        <f t="shared" si="4"/>
        <v>129119.64300000001</v>
      </c>
    </row>
    <row r="33" spans="1:14" x14ac:dyDescent="0.3">
      <c r="B33" s="8" t="s">
        <v>24</v>
      </c>
      <c r="C33" s="9">
        <f>SUMIFS('Actual Data'!$D$2:$D$289,'Actual Data'!$A$2:$A$289,"December",'Actual Data'!$C$2:$C$289,"Chocolate")</f>
        <v>376612</v>
      </c>
      <c r="D33" s="9">
        <f>SUMIFS('Actual Data'!$D$2:$D$289,'Actual Data'!$A$2:$A$289,"December",'Actual Data'!$C$2:$C$289,"Fruit")</f>
        <v>252805</v>
      </c>
      <c r="E33" s="9">
        <f>SUMIFS('Actual Data'!$D$2:$D$289,'Actual Data'!$A$2:$A$289,B33,'Actual Data'!$C$2:$C$289,$E$24)</f>
        <v>279207</v>
      </c>
      <c r="F33" s="9">
        <f>SUMIFS('Actual Data'!$D$2:$D$289,'Actual Data'!$A$2:$A$289,B33,'Actual Data'!$C$2:$C$289,$F$24)</f>
        <v>108402</v>
      </c>
      <c r="G33" s="13">
        <f t="shared" si="1"/>
        <v>384709.15800000005</v>
      </c>
      <c r="H33" s="13">
        <f t="shared" si="2"/>
        <v>258240.30750000002</v>
      </c>
      <c r="I33" s="13">
        <f t="shared" si="3"/>
        <v>285209.95050000004</v>
      </c>
      <c r="J33" s="13">
        <f t="shared" si="4"/>
        <v>110732.64300000001</v>
      </c>
    </row>
    <row r="34" spans="1:14" x14ac:dyDescent="0.3">
      <c r="B34" s="8" t="s">
        <v>14</v>
      </c>
      <c r="C34" s="9">
        <f>SUMIFS('Actual Data'!$D$2:$D$289,'Actual Data'!$A$2:$A$289,"January",'Actual Data'!$C$2:$C$289,"Chocolate")</f>
        <v>506431</v>
      </c>
      <c r="D34" s="9">
        <f>SUMIFS('Actual Data'!$D$2:$D$289,'Actual Data'!$A$2:$A$289,"January",'Actual Data'!$C$2:$C$289,"Fruit")</f>
        <v>290147</v>
      </c>
      <c r="E34" s="9">
        <f>SUMIFS('Actual Data'!$D$2:$D$289,'Actual Data'!$A$2:$A$289,B34,'Actual Data'!$C$2:$C$289,$E$24)</f>
        <v>353340</v>
      </c>
      <c r="F34" s="9">
        <f>SUMIFS('Actual Data'!$D$2:$D$289,'Actual Data'!$A$2:$A$289,B34,'Actual Data'!$C$2:$C$289,$F$24)</f>
        <v>151573</v>
      </c>
      <c r="G34" s="13">
        <f t="shared" si="1"/>
        <v>517319.26650000003</v>
      </c>
      <c r="H34" s="13">
        <f t="shared" si="2"/>
        <v>296385.1605</v>
      </c>
      <c r="I34" s="13">
        <f t="shared" si="3"/>
        <v>360936.81</v>
      </c>
      <c r="J34" s="13">
        <f t="shared" si="4"/>
        <v>154831.81950000001</v>
      </c>
    </row>
    <row r="35" spans="1:14" x14ac:dyDescent="0.3">
      <c r="B35" s="8" t="s">
        <v>15</v>
      </c>
      <c r="C35" s="9">
        <f>SUMIFS('Actual Data'!$D$2:$D$289,'Actual Data'!$A$2:$A$289,"February",'Actual Data'!$C$2:$C$289,"Chocolate")</f>
        <v>606431</v>
      </c>
      <c r="D35" s="9">
        <f>SUMIFS('Actual Data'!$D$2:$D$289,'Actual Data'!$A$2:$A$289,"February",'Actual Data'!$C$2:$C$289,"Fruit")</f>
        <v>303147</v>
      </c>
      <c r="E35" s="9">
        <f>SUMIFS('Actual Data'!$D$2:$D$289,'Actual Data'!$A$2:$A$289,B35,'Actual Data'!$C$2:$C$289,$E$24)</f>
        <v>453340</v>
      </c>
      <c r="F35" s="9">
        <f>SUMIFS('Actual Data'!$D$2:$D$289,'Actual Data'!$A$2:$A$289,B35,'Actual Data'!$C$2:$C$289,$F$24)</f>
        <v>151573</v>
      </c>
      <c r="G35" s="13">
        <f t="shared" si="1"/>
        <v>619469.26650000003</v>
      </c>
      <c r="H35" s="13">
        <f t="shared" si="2"/>
        <v>309664.6605</v>
      </c>
      <c r="I35" s="13">
        <f t="shared" si="3"/>
        <v>463086.81000000006</v>
      </c>
      <c r="J35" s="13">
        <f t="shared" si="4"/>
        <v>154831.81950000001</v>
      </c>
    </row>
    <row r="36" spans="1:14" x14ac:dyDescent="0.3">
      <c r="B36" s="8" t="s">
        <v>16</v>
      </c>
      <c r="C36" s="9">
        <f>SUMIFS('Actual Data'!$D$2:$D$289,'Actual Data'!$A$2:$A$289,"March",'Actual Data'!$C$2:$C$289,"Chocolate")</f>
        <v>674149</v>
      </c>
      <c r="D36" s="9">
        <f>SUMIFS('Actual Data'!$D$2:$D$289,'Actual Data'!$A$2:$A$289,"March",'Actual Data'!$C$2:$C$289,"Fruit")</f>
        <v>337075</v>
      </c>
      <c r="E36" s="9">
        <f>SUMIFS('Actual Data'!$D$2:$D$289,'Actual Data'!$A$2:$A$289,B36,'Actual Data'!$C$2:$C$289,$E$24)</f>
        <v>505612</v>
      </c>
      <c r="F36" s="9">
        <f>SUMIFS('Actual Data'!$D$2:$D$289,'Actual Data'!$A$2:$A$289,B36,'Actual Data'!$C$2:$C$289,$F$24)</f>
        <v>168539</v>
      </c>
      <c r="G36" s="13">
        <f t="shared" si="1"/>
        <v>688643.20350000006</v>
      </c>
      <c r="H36" s="13">
        <f t="shared" si="2"/>
        <v>344322.11250000005</v>
      </c>
      <c r="I36" s="13">
        <f t="shared" si="3"/>
        <v>516482.65800000005</v>
      </c>
      <c r="J36" s="13">
        <f t="shared" si="4"/>
        <v>172162.58850000001</v>
      </c>
    </row>
    <row r="37" spans="1:14" x14ac:dyDescent="0.3">
      <c r="A37"/>
      <c r="C37" s="7"/>
      <c r="D37" s="7"/>
      <c r="E37" s="7"/>
      <c r="F37" s="7"/>
      <c r="J37"/>
    </row>
    <row r="38" spans="1:14" x14ac:dyDescent="0.3">
      <c r="F38" s="7"/>
      <c r="G38" s="12" t="s">
        <v>47</v>
      </c>
      <c r="H38" s="12" t="s">
        <v>48</v>
      </c>
      <c r="I38" s="12" t="s">
        <v>49</v>
      </c>
      <c r="J38" s="12" t="s">
        <v>96</v>
      </c>
    </row>
    <row r="39" spans="1:14" x14ac:dyDescent="0.3">
      <c r="F39" s="18" t="s">
        <v>44</v>
      </c>
      <c r="G39" s="20">
        <f>SUM(G25:G36)</f>
        <v>7151999.561999999</v>
      </c>
      <c r="H39" s="20">
        <f t="shared" ref="H39:J39" si="5">SUM(H25:H36)</f>
        <v>3686633.3385000005</v>
      </c>
      <c r="I39" s="20">
        <f t="shared" si="5"/>
        <v>5266896.9030000009</v>
      </c>
      <c r="J39" s="20">
        <f t="shared" si="5"/>
        <v>1885785.0210000002</v>
      </c>
    </row>
    <row r="40" spans="1:14" x14ac:dyDescent="0.3">
      <c r="A40"/>
      <c r="F40" s="18" t="s">
        <v>13</v>
      </c>
      <c r="G40" s="21"/>
      <c r="H40" s="21"/>
      <c r="I40" s="21"/>
      <c r="J40" s="20">
        <f>SUM(G39:J39)</f>
        <v>17991314.824500002</v>
      </c>
    </row>
    <row r="41" spans="1:14" x14ac:dyDescent="0.3">
      <c r="F41" s="19" t="s">
        <v>45</v>
      </c>
      <c r="G41" s="20">
        <f>(G39/$J$40)*100</f>
        <v>39.752511874566459</v>
      </c>
      <c r="H41" s="20">
        <f t="shared" ref="H41:J41" si="6">(H39/$J$40)*100</f>
        <v>20.491183520837843</v>
      </c>
      <c r="I41" s="20">
        <f t="shared" si="6"/>
        <v>29.274663660644233</v>
      </c>
      <c r="J41" s="20">
        <f t="shared" si="6"/>
        <v>10.481640943951456</v>
      </c>
      <c r="K41" s="7"/>
    </row>
    <row r="42" spans="1:14" x14ac:dyDescent="0.3">
      <c r="C42" s="7"/>
      <c r="D42" s="7"/>
      <c r="E42" s="7"/>
      <c r="F42" s="7"/>
      <c r="J42"/>
    </row>
    <row r="43" spans="1:14" x14ac:dyDescent="0.3">
      <c r="F43" s="6"/>
      <c r="N43" s="7"/>
    </row>
    <row r="44" spans="1:14" ht="14.4" customHeight="1" x14ac:dyDescent="0.3">
      <c r="B44" s="81" t="s">
        <v>41</v>
      </c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6" spans="1:14" x14ac:dyDescent="0.3">
      <c r="B46" s="82" t="s">
        <v>186</v>
      </c>
      <c r="C46" s="83"/>
      <c r="D46" s="83"/>
      <c r="E46" s="83"/>
      <c r="F46" s="83"/>
      <c r="G46" s="83"/>
      <c r="H46" s="83"/>
      <c r="I46" s="84" t="s">
        <v>39</v>
      </c>
      <c r="J46" s="85"/>
      <c r="K46" s="85"/>
      <c r="L46" s="85"/>
      <c r="M46" s="85"/>
      <c r="N46" s="85"/>
    </row>
    <row r="47" spans="1:14" x14ac:dyDescent="0.3">
      <c r="J47"/>
    </row>
    <row r="48" spans="1:14" x14ac:dyDescent="0.3">
      <c r="B48" s="8" t="s">
        <v>0</v>
      </c>
      <c r="C48" s="8" t="s">
        <v>3</v>
      </c>
      <c r="D48" s="8" t="s">
        <v>5</v>
      </c>
      <c r="E48" s="8" t="s">
        <v>7</v>
      </c>
      <c r="F48" s="9" t="s">
        <v>43</v>
      </c>
      <c r="G48" s="8" t="s">
        <v>10</v>
      </c>
      <c r="H48" s="8" t="s">
        <v>8</v>
      </c>
      <c r="I48" s="13" t="s">
        <v>54</v>
      </c>
      <c r="J48" s="13" t="s">
        <v>55</v>
      </c>
      <c r="K48" s="13" t="s">
        <v>56</v>
      </c>
      <c r="L48" s="13" t="s">
        <v>57</v>
      </c>
      <c r="M48" s="13" t="s">
        <v>58</v>
      </c>
      <c r="N48" s="13" t="s">
        <v>59</v>
      </c>
    </row>
    <row r="49" spans="1:14" x14ac:dyDescent="0.3">
      <c r="B49" s="8" t="s">
        <v>17</v>
      </c>
      <c r="C49" s="8">
        <f>SUMIFS('Actual Data'!$D$2:$D$289,'Actual Data'!$A$2:$A$289,'Demand Forecast'!B49,'Actual Data'!$B$2:$B$289,'Demand Forecast'!$C$48)</f>
        <v>161453</v>
      </c>
      <c r="D49" s="8">
        <f>SUMIFS('Actual Data'!$D$2:$D$289,'Actual Data'!$A$2:$A$289,'Demand Forecast'!B49,'Actual Data'!$B$2:$B$289,'Demand Forecast'!$D$48)</f>
        <v>389600</v>
      </c>
      <c r="E49" s="8">
        <f>SUMIFS('Actual Data'!$D$2:$D$289,'Actual Data'!$A$2:$A$289,'Demand Forecast'!B49,'Actual Data'!$B$2:$B$289,'Demand Forecast'!$E$48)</f>
        <v>310724</v>
      </c>
      <c r="F49" s="8">
        <f>SUMIFS('Actual Data'!$D$2:$D$289,'Actual Data'!$A$2:$A$289,"April",'Actual Data'!$B$2:$B$289,"Brick")</f>
        <v>207150</v>
      </c>
      <c r="G49" s="8">
        <f>SUMIFS('Actual Data'!$D$2:$D$289,'Actual Data'!$A$2:$A$289,B49,'Actual Data'!$B$2:$B$289,$G$48)</f>
        <v>310724</v>
      </c>
      <c r="H49" s="8">
        <f>SUMIFS('Actual Data'!$D$2:$D$289,'Actual Data'!$A$2:$A$289,B49,'Actual Data'!$B$2:$B$289,$H$48)</f>
        <v>51786</v>
      </c>
      <c r="I49" s="13">
        <f>C49*(1+2.15%)</f>
        <v>164924.23950000003</v>
      </c>
      <c r="J49" s="13">
        <f>D49*(1+1.25%)</f>
        <v>394470</v>
      </c>
      <c r="K49" s="13">
        <f>E49*(1+1.25%)</f>
        <v>314608.05</v>
      </c>
      <c r="L49" s="13">
        <f>F49*(1+1.25%)</f>
        <v>209739.375</v>
      </c>
      <c r="M49" s="13">
        <f>G49*(1+1.25%)</f>
        <v>314608.05</v>
      </c>
      <c r="N49" s="13">
        <f>H49*(1+1.25%)</f>
        <v>52433.324999999997</v>
      </c>
    </row>
    <row r="50" spans="1:14" x14ac:dyDescent="0.3">
      <c r="B50" s="8" t="s">
        <v>11</v>
      </c>
      <c r="C50" s="8">
        <f>SUMIFS('Actual Data'!$D$2:$D$289,'Actual Data'!$A$2:$A$289,'Demand Forecast'!B50,'Actual Data'!$B$2:$B$289,'Demand Forecast'!$C$48)</f>
        <v>195582</v>
      </c>
      <c r="D50" s="8">
        <f>SUMIFS('Actual Data'!$D$2:$D$289,'Actual Data'!$A$2:$A$289,'Demand Forecast'!B50,'Actual Data'!$B$2:$B$289,'Demand Forecast'!$D$48)</f>
        <v>519600</v>
      </c>
      <c r="E50" s="8">
        <f>SUMIFS('Actual Data'!$D$2:$D$289,'Actual Data'!$A$2:$A$289,'Demand Forecast'!B50,'Actual Data'!$B$2:$B$289,'Demand Forecast'!$E$48)</f>
        <v>310724</v>
      </c>
      <c r="F50" s="8">
        <f>SUMIFS('Actual Data'!$D$2:$D$289,'Actual Data'!$A$2:$A$289,"May",'Actual Data'!$B$2:$B$289,"Brick")</f>
        <v>207150</v>
      </c>
      <c r="G50" s="8">
        <f>SUMIFS('Actual Data'!$D$2:$D$289,'Actual Data'!$A$2:$A$289,B50,'Actual Data'!$B$2:$B$289,$G$48)</f>
        <v>310724</v>
      </c>
      <c r="H50" s="8">
        <f>SUMIFS('Actual Data'!$D$2:$D$289,'Actual Data'!$A$2:$A$289,B50,'Actual Data'!$B$2:$B$289,$H$48)</f>
        <v>51786</v>
      </c>
      <c r="I50" s="13">
        <f t="shared" ref="I50:I60" si="7">C50*(1+2.15%)</f>
        <v>199787.01300000001</v>
      </c>
      <c r="J50" s="13">
        <f t="shared" ref="J50:J60" si="8">D50*(1+1.25%)</f>
        <v>526095</v>
      </c>
      <c r="K50" s="13">
        <f t="shared" ref="K50:K60" si="9">E50*(1+1.25%)</f>
        <v>314608.05</v>
      </c>
      <c r="L50" s="13">
        <f t="shared" ref="L50:L60" si="10">F50*(1+1.25%)</f>
        <v>209739.375</v>
      </c>
      <c r="M50" s="13">
        <f t="shared" ref="M50:M60" si="11">G50*(1+1.25%)</f>
        <v>314608.05</v>
      </c>
      <c r="N50" s="13">
        <f t="shared" ref="N50:N60" si="12">H50*(1+1.25%)</f>
        <v>52433.324999999997</v>
      </c>
    </row>
    <row r="51" spans="1:14" x14ac:dyDescent="0.3">
      <c r="B51" s="8" t="s">
        <v>18</v>
      </c>
      <c r="C51" s="8">
        <f>SUMIFS('Actual Data'!$D$2:$D$289,'Actual Data'!$A$2:$A$289,'Demand Forecast'!B51,'Actual Data'!$B$2:$B$289,'Demand Forecast'!$C$48)</f>
        <v>621453</v>
      </c>
      <c r="D51" s="8">
        <f>SUMIFS('Actual Data'!$D$2:$D$289,'Actual Data'!$A$2:$A$289,'Demand Forecast'!B51,'Actual Data'!$B$2:$B$289,'Demand Forecast'!$D$48)</f>
        <v>519600</v>
      </c>
      <c r="E51" s="8">
        <f>SUMIFS('Actual Data'!$D$2:$D$289,'Actual Data'!$A$2:$A$289,'Demand Forecast'!B51,'Actual Data'!$B$2:$B$289,'Demand Forecast'!$E$48)</f>
        <v>310724</v>
      </c>
      <c r="F51" s="8">
        <f>SUMIFS('Actual Data'!$D$2:$D$289,'Actual Data'!$A$2:$A$289,"June",'Actual Data'!$B$2:$B$289,"Brick")</f>
        <v>207150</v>
      </c>
      <c r="G51" s="8">
        <f>SUMIFS('Actual Data'!$D$2:$D$289,'Actual Data'!$A$2:$A$289,B51,'Actual Data'!$B$2:$B$289,$G$48)</f>
        <v>310724</v>
      </c>
      <c r="H51" s="8">
        <f>SUMIFS('Actual Data'!$D$2:$D$289,'Actual Data'!$A$2:$A$289,B51,'Actual Data'!$B$2:$B$289,$H$48)</f>
        <v>51786</v>
      </c>
      <c r="I51" s="13">
        <f t="shared" si="7"/>
        <v>634814.23950000003</v>
      </c>
      <c r="J51" s="13">
        <f t="shared" si="8"/>
        <v>526095</v>
      </c>
      <c r="K51" s="13">
        <f t="shared" si="9"/>
        <v>314608.05</v>
      </c>
      <c r="L51" s="13">
        <f t="shared" si="10"/>
        <v>209739.375</v>
      </c>
      <c r="M51" s="13">
        <f t="shared" si="11"/>
        <v>314608.05</v>
      </c>
      <c r="N51" s="13">
        <f t="shared" si="12"/>
        <v>52433.324999999997</v>
      </c>
    </row>
    <row r="52" spans="1:14" x14ac:dyDescent="0.3">
      <c r="B52" s="8" t="s">
        <v>19</v>
      </c>
      <c r="C52" s="8">
        <f>SUMIFS('Actual Data'!$D$2:$D$289,'Actual Data'!$A$2:$A$289,'Demand Forecast'!B52,'Actual Data'!$B$2:$B$289,'Demand Forecast'!$C$48)</f>
        <v>519160</v>
      </c>
      <c r="D52" s="8">
        <f>SUMIFS('Actual Data'!$D$2:$D$289,'Actual Data'!$A$2:$A$289,'Demand Forecast'!B52,'Actual Data'!$B$2:$B$289,'Demand Forecast'!$D$48)</f>
        <v>510736</v>
      </c>
      <c r="E52" s="8">
        <f>SUMIFS('Actual Data'!$D$2:$D$289,'Actual Data'!$A$2:$A$289,'Demand Forecast'!B52,'Actual Data'!$B$2:$B$289,'Demand Forecast'!$E$48)</f>
        <v>259580</v>
      </c>
      <c r="F52" s="8">
        <f>SUMIFS('Actual Data'!$D$2:$D$289,'Actual Data'!$A$2:$A$289,"July",'Actual Data'!$B$2:$B$289,"Brick")</f>
        <v>173054</v>
      </c>
      <c r="G52" s="8">
        <f>SUMIFS('Actual Data'!$D$2:$D$289,'Actual Data'!$A$2:$A$289,B52,'Actual Data'!$B$2:$B$289,$G$48)</f>
        <v>259580</v>
      </c>
      <c r="H52" s="8">
        <f>SUMIFS('Actual Data'!$D$2:$D$289,'Actual Data'!$A$2:$A$289,B52,'Actual Data'!$B$2:$B$289,$H$48)</f>
        <v>43265</v>
      </c>
      <c r="I52" s="13">
        <f t="shared" si="7"/>
        <v>530321.94000000006</v>
      </c>
      <c r="J52" s="13">
        <f t="shared" si="8"/>
        <v>517120.19999999995</v>
      </c>
      <c r="K52" s="13">
        <f t="shared" si="9"/>
        <v>262824.75</v>
      </c>
      <c r="L52" s="13">
        <f t="shared" si="10"/>
        <v>175217.17499999999</v>
      </c>
      <c r="M52" s="13">
        <f t="shared" si="11"/>
        <v>262824.75</v>
      </c>
      <c r="N52" s="13">
        <f t="shared" si="12"/>
        <v>43805.8125</v>
      </c>
    </row>
    <row r="53" spans="1:14" x14ac:dyDescent="0.3">
      <c r="B53" s="8" t="s">
        <v>20</v>
      </c>
      <c r="C53" s="8">
        <f>SUMIFS('Actual Data'!$D$2:$D$289,'Actual Data'!$A$2:$A$289,'Demand Forecast'!B53,'Actual Data'!$B$2:$B$289,'Demand Forecast'!$C$48)</f>
        <v>519160</v>
      </c>
      <c r="D53" s="8">
        <f>SUMIFS('Actual Data'!$D$2:$D$289,'Actual Data'!$A$2:$A$289,'Demand Forecast'!B53,'Actual Data'!$B$2:$B$289,'Demand Forecast'!$D$48)</f>
        <v>430736</v>
      </c>
      <c r="E53" s="8">
        <f>SUMIFS('Actual Data'!$D$2:$D$289,'Actual Data'!$A$2:$A$289,'Demand Forecast'!B53,'Actual Data'!$B$2:$B$289,'Demand Forecast'!$E$48)</f>
        <v>259580</v>
      </c>
      <c r="F53" s="8">
        <f>SUMIFS('Actual Data'!$D$2:$D$289,'Actual Data'!$A$2:$A$289,"August",'Actual Data'!$B$2:$B$289,"Brick")</f>
        <v>173054</v>
      </c>
      <c r="G53" s="8">
        <f>SUMIFS('Actual Data'!$D$2:$D$289,'Actual Data'!$A$2:$A$289,B53,'Actual Data'!$B$2:$B$289,$G$48)</f>
        <v>259580</v>
      </c>
      <c r="H53" s="8">
        <f>SUMIFS('Actual Data'!$D$2:$D$289,'Actual Data'!$A$2:$A$289,B53,'Actual Data'!$B$2:$B$289,$H$48)</f>
        <v>43265</v>
      </c>
      <c r="I53" s="13">
        <f t="shared" si="7"/>
        <v>530321.94000000006</v>
      </c>
      <c r="J53" s="13">
        <f t="shared" si="8"/>
        <v>436120.19999999995</v>
      </c>
      <c r="K53" s="13">
        <f t="shared" si="9"/>
        <v>262824.75</v>
      </c>
      <c r="L53" s="13">
        <f t="shared" si="10"/>
        <v>175217.17499999999</v>
      </c>
      <c r="M53" s="13">
        <f t="shared" si="11"/>
        <v>262824.75</v>
      </c>
      <c r="N53" s="13">
        <f t="shared" si="12"/>
        <v>43805.8125</v>
      </c>
    </row>
    <row r="54" spans="1:14" x14ac:dyDescent="0.3">
      <c r="B54" s="8" t="s">
        <v>21</v>
      </c>
      <c r="C54" s="8">
        <f>SUMIFS('Actual Data'!$D$2:$D$289,'Actual Data'!$A$2:$A$289,'Demand Forecast'!B54,'Actual Data'!$B$2:$B$289,'Demand Forecast'!$C$48)</f>
        <v>213412</v>
      </c>
      <c r="D54" s="8">
        <f>SUMIFS('Actual Data'!$D$2:$D$289,'Actual Data'!$A$2:$A$289,'Demand Forecast'!B54,'Actual Data'!$B$2:$B$289,'Demand Forecast'!$D$48)</f>
        <v>430736</v>
      </c>
      <c r="E54" s="8">
        <f>SUMIFS('Actual Data'!$D$2:$D$289,'Actual Data'!$A$2:$A$289,'Demand Forecast'!B54,'Actual Data'!$B$2:$B$289,'Demand Forecast'!$E$48)</f>
        <v>259580</v>
      </c>
      <c r="F54" s="8">
        <f>SUMIFS('Actual Data'!$D$2:$D$289,'Actual Data'!$A$2:$A$289,"September",'Actual Data'!$B$2:$B$289,"Brick")</f>
        <v>173054</v>
      </c>
      <c r="G54" s="8">
        <f>SUMIFS('Actual Data'!$D$2:$D$289,'Actual Data'!$A$2:$A$289,B54,'Actual Data'!$B$2:$B$289,$G$48)</f>
        <v>259580</v>
      </c>
      <c r="H54" s="8">
        <f>SUMIFS('Actual Data'!$D$2:$D$289,'Actual Data'!$A$2:$A$289,B54,'Actual Data'!$B$2:$B$289,$H$48)</f>
        <v>43265</v>
      </c>
      <c r="I54" s="13">
        <f t="shared" si="7"/>
        <v>218000.35800000001</v>
      </c>
      <c r="J54" s="13">
        <f t="shared" si="8"/>
        <v>436120.19999999995</v>
      </c>
      <c r="K54" s="13">
        <f t="shared" si="9"/>
        <v>262824.75</v>
      </c>
      <c r="L54" s="13">
        <f t="shared" si="10"/>
        <v>175217.17499999999</v>
      </c>
      <c r="M54" s="13">
        <f t="shared" si="11"/>
        <v>262824.75</v>
      </c>
      <c r="N54" s="13">
        <f t="shared" si="12"/>
        <v>43805.8125</v>
      </c>
    </row>
    <row r="55" spans="1:14" x14ac:dyDescent="0.3">
      <c r="B55" s="8" t="s">
        <v>22</v>
      </c>
      <c r="C55" s="8">
        <f>SUMIFS('Actual Data'!$D$2:$D$289,'Actual Data'!$A$2:$A$289,'Demand Forecast'!B55,'Actual Data'!$B$2:$B$289,'Demand Forecast'!$C$48)</f>
        <v>200664</v>
      </c>
      <c r="D55" s="8">
        <f>SUMIFS('Actual Data'!$D$2:$D$289,'Actual Data'!$A$2:$A$289,'Demand Forecast'!B55,'Actual Data'!$B$2:$B$289,'Demand Forecast'!$D$48)</f>
        <v>215274</v>
      </c>
      <c r="E55" s="8">
        <f>SUMIFS('Actual Data'!$D$2:$D$289,'Actual Data'!$A$2:$A$289,'Demand Forecast'!B55,'Actual Data'!$B$2:$B$289,'Demand Forecast'!$E$48)</f>
        <v>259580</v>
      </c>
      <c r="F55" s="8">
        <f>SUMIFS('Actual Data'!$D$2:$D$289,'Actual Data'!$A$2:$A$289,"October",'Actual Data'!$B$2:$B$289,"Brick")</f>
        <v>173054</v>
      </c>
      <c r="G55" s="8">
        <f>SUMIFS('Actual Data'!$D$2:$D$289,'Actual Data'!$A$2:$A$289,B55,'Actual Data'!$B$2:$B$289,$G$48)</f>
        <v>259580</v>
      </c>
      <c r="H55" s="8">
        <f>SUMIFS('Actual Data'!$D$2:$D$289,'Actual Data'!$A$2:$A$289,B55,'Actual Data'!$B$2:$B$289,$H$48)</f>
        <v>43265</v>
      </c>
      <c r="I55" s="13">
        <f t="shared" si="7"/>
        <v>204978.27600000001</v>
      </c>
      <c r="J55" s="13">
        <f t="shared" si="8"/>
        <v>217964.92499999999</v>
      </c>
      <c r="K55" s="13">
        <f t="shared" si="9"/>
        <v>262824.75</v>
      </c>
      <c r="L55" s="13">
        <f t="shared" si="10"/>
        <v>175217.17499999999</v>
      </c>
      <c r="M55" s="13">
        <f t="shared" si="11"/>
        <v>262824.75</v>
      </c>
      <c r="N55" s="13">
        <f t="shared" si="12"/>
        <v>43805.8125</v>
      </c>
    </row>
    <row r="56" spans="1:14" x14ac:dyDescent="0.3">
      <c r="B56" s="8" t="s">
        <v>23</v>
      </c>
      <c r="C56" s="8">
        <f>SUMIFS('Actual Data'!$D$2:$D$289,'Actual Data'!$A$2:$A$289,'Demand Forecast'!B56,'Actual Data'!$B$2:$B$289,'Demand Forecast'!$C$48)</f>
        <v>189370</v>
      </c>
      <c r="D56" s="8">
        <f>SUMIFS('Actual Data'!$D$2:$D$289,'Actual Data'!$A$2:$A$289,'Demand Forecast'!B56,'Actual Data'!$B$2:$B$289,'Demand Forecast'!$D$48)</f>
        <v>323051</v>
      </c>
      <c r="E56" s="8">
        <f>SUMIFS('Actual Data'!$D$2:$D$289,'Actual Data'!$A$2:$A$289,'Demand Forecast'!B56,'Actual Data'!$B$2:$B$289,'Demand Forecast'!$E$48)</f>
        <v>194684</v>
      </c>
      <c r="F56" s="8">
        <f>SUMIFS('Actual Data'!$D$2:$D$289,'Actual Data'!$A$2:$A$289,"November",'Actual Data'!$B$2:$B$289,"Brick")</f>
        <v>129790</v>
      </c>
      <c r="G56" s="8">
        <f>SUMIFS('Actual Data'!$D$2:$D$289,'Actual Data'!$A$2:$A$289,B56,'Actual Data'!$B$2:$B$289,$G$48)</f>
        <v>194684</v>
      </c>
      <c r="H56" s="8">
        <f>SUMIFS('Actual Data'!$D$2:$D$289,'Actual Data'!$A$2:$A$289,B56,'Actual Data'!$B$2:$B$289,$H$48)</f>
        <v>32447</v>
      </c>
      <c r="I56" s="13">
        <f t="shared" si="7"/>
        <v>193441.45500000002</v>
      </c>
      <c r="J56" s="13">
        <f t="shared" si="8"/>
        <v>327089.13750000001</v>
      </c>
      <c r="K56" s="13">
        <f t="shared" si="9"/>
        <v>197117.55</v>
      </c>
      <c r="L56" s="13">
        <f t="shared" si="10"/>
        <v>131412.375</v>
      </c>
      <c r="M56" s="13">
        <f t="shared" si="11"/>
        <v>197117.55</v>
      </c>
      <c r="N56" s="13">
        <f t="shared" si="12"/>
        <v>32852.587500000001</v>
      </c>
    </row>
    <row r="57" spans="1:14" x14ac:dyDescent="0.3">
      <c r="B57" s="8" t="s">
        <v>24</v>
      </c>
      <c r="C57" s="8">
        <f>SUMIFS('Actual Data'!$D$2:$D$289,'Actual Data'!$A$2:$A$289,'Demand Forecast'!B57,'Actual Data'!$B$2:$B$289,'Demand Forecast'!$C$48)</f>
        <v>180370</v>
      </c>
      <c r="D57" s="8">
        <f>SUMIFS('Actual Data'!$D$2:$D$289,'Actual Data'!$A$2:$A$289,'Demand Forecast'!B57,'Actual Data'!$B$2:$B$289,'Demand Forecast'!$D$48)</f>
        <v>323051</v>
      </c>
      <c r="E57" s="8">
        <f>SUMIFS('Actual Data'!$D$2:$D$289,'Actual Data'!$A$2:$A$289,'Demand Forecast'!B57,'Actual Data'!$B$2:$B$289,'Demand Forecast'!$E$48)</f>
        <v>164684</v>
      </c>
      <c r="F57" s="8">
        <f>SUMIFS('Actual Data'!$D$2:$D$289,'Actual Data'!$A$2:$A$289,"December",'Actual Data'!$B$2:$B$289,"Brick")</f>
        <v>121790</v>
      </c>
      <c r="G57" s="8">
        <f>SUMIFS('Actual Data'!$D$2:$D$289,'Actual Data'!$A$2:$A$289,B57,'Actual Data'!$B$2:$B$289,$G$48)</f>
        <v>194684</v>
      </c>
      <c r="H57" s="8">
        <f>SUMIFS('Actual Data'!$D$2:$D$289,'Actual Data'!$A$2:$A$289,B57,'Actual Data'!$B$2:$B$289,$H$48)</f>
        <v>32447</v>
      </c>
      <c r="I57" s="13">
        <f t="shared" si="7"/>
        <v>184247.95500000002</v>
      </c>
      <c r="J57" s="13">
        <f t="shared" si="8"/>
        <v>327089.13750000001</v>
      </c>
      <c r="K57" s="13">
        <f t="shared" si="9"/>
        <v>166742.54999999999</v>
      </c>
      <c r="L57" s="13">
        <f t="shared" si="10"/>
        <v>123312.375</v>
      </c>
      <c r="M57" s="13">
        <f t="shared" si="11"/>
        <v>197117.55</v>
      </c>
      <c r="N57" s="13">
        <f t="shared" si="12"/>
        <v>32852.587500000001</v>
      </c>
    </row>
    <row r="58" spans="1:14" x14ac:dyDescent="0.3">
      <c r="B58" s="8" t="s">
        <v>14</v>
      </c>
      <c r="C58" s="8">
        <f>SUMIFS('Actual Data'!$D$2:$D$289,'Actual Data'!$A$2:$A$289,'Demand Forecast'!B58,'Actual Data'!$B$2:$B$289,'Demand Forecast'!$C$48)</f>
        <v>253088</v>
      </c>
      <c r="D58" s="8">
        <f>SUMIFS('Actual Data'!$D$2:$D$289,'Actual Data'!$A$2:$A$289,'Demand Forecast'!B58,'Actual Data'!$B$2:$B$289,'Demand Forecast'!$D$48)</f>
        <v>389502</v>
      </c>
      <c r="E58" s="8">
        <f>SUMIFS('Actual Data'!$D$2:$D$289,'Actual Data'!$A$2:$A$289,'Demand Forecast'!B58,'Actual Data'!$B$2:$B$289,'Demand Forecast'!$E$48)</f>
        <v>232350</v>
      </c>
      <c r="F58" s="8">
        <f>SUMIFS('Actual Data'!$D$2:$D$289,'Actual Data'!$A$2:$A$289,"january",'Actual Data'!$B$2:$B$289,"Brick")</f>
        <v>155361</v>
      </c>
      <c r="G58" s="8">
        <f>SUMIFS('Actual Data'!$D$2:$D$289,'Actual Data'!$A$2:$A$289,B58,'Actual Data'!$B$2:$B$289,$G$48)</f>
        <v>232350</v>
      </c>
      <c r="H58" s="8">
        <f>SUMIFS('Actual Data'!$D$2:$D$289,'Actual Data'!$A$2:$A$289,B58,'Actual Data'!$B$2:$B$289,$H$48)</f>
        <v>38840</v>
      </c>
      <c r="I58" s="13">
        <f t="shared" si="7"/>
        <v>258529.39200000002</v>
      </c>
      <c r="J58" s="13">
        <f t="shared" si="8"/>
        <v>394370.77499999997</v>
      </c>
      <c r="K58" s="13">
        <f t="shared" si="9"/>
        <v>235254.375</v>
      </c>
      <c r="L58" s="13">
        <f t="shared" si="10"/>
        <v>157303.01249999998</v>
      </c>
      <c r="M58" s="13">
        <f t="shared" si="11"/>
        <v>235254.375</v>
      </c>
      <c r="N58" s="13">
        <f t="shared" si="12"/>
        <v>39325.5</v>
      </c>
    </row>
    <row r="59" spans="1:14" x14ac:dyDescent="0.3">
      <c r="B59" s="8" t="s">
        <v>15</v>
      </c>
      <c r="C59" s="8">
        <f>SUMIFS('Actual Data'!$D$2:$D$289,'Actual Data'!$A$2:$A$289,'Demand Forecast'!B59,'Actual Data'!$B$2:$B$289,'Demand Forecast'!$C$48)</f>
        <v>466088</v>
      </c>
      <c r="D59" s="8">
        <f>SUMIFS('Actual Data'!$D$2:$D$289,'Actual Data'!$A$2:$A$289,'Demand Forecast'!B59,'Actual Data'!$B$2:$B$289,'Demand Forecast'!$D$48)</f>
        <v>389502</v>
      </c>
      <c r="E59" s="8">
        <f>SUMIFS('Actual Data'!$D$2:$D$289,'Actual Data'!$A$2:$A$289,'Demand Forecast'!B59,'Actual Data'!$B$2:$B$289,'Demand Forecast'!$E$48)</f>
        <v>232350</v>
      </c>
      <c r="F59" s="8">
        <f>SUMIFS('Actual Data'!$D$2:$D$289,'Actual Data'!$A$2:$A$289,"february",'Actual Data'!$B$2:$B$289,"Brick")</f>
        <v>155361</v>
      </c>
      <c r="G59" s="8">
        <f>SUMIFS('Actual Data'!$D$2:$D$289,'Actual Data'!$A$2:$A$289,B59,'Actual Data'!$B$2:$B$289,$G$48)</f>
        <v>232350</v>
      </c>
      <c r="H59" s="8">
        <f>SUMIFS('Actual Data'!$D$2:$D$289,'Actual Data'!$A$2:$A$289,B59,'Actual Data'!$B$2:$B$289,$H$48)</f>
        <v>38840</v>
      </c>
      <c r="I59" s="13">
        <f t="shared" si="7"/>
        <v>476108.89200000005</v>
      </c>
      <c r="J59" s="13">
        <f t="shared" si="8"/>
        <v>394370.77499999997</v>
      </c>
      <c r="K59" s="13">
        <f t="shared" si="9"/>
        <v>235254.375</v>
      </c>
      <c r="L59" s="13">
        <f t="shared" si="10"/>
        <v>157303.01249999998</v>
      </c>
      <c r="M59" s="13">
        <f t="shared" si="11"/>
        <v>235254.375</v>
      </c>
      <c r="N59" s="13">
        <f t="shared" si="12"/>
        <v>39325.5</v>
      </c>
    </row>
    <row r="60" spans="1:14" x14ac:dyDescent="0.3">
      <c r="B60" s="8" t="s">
        <v>16</v>
      </c>
      <c r="C60" s="8">
        <f>SUMIFS('Actual Data'!$D$2:$D$289,'Actual Data'!$A$2:$A$289,'Demand Forecast'!B60,'Actual Data'!$B$2:$B$289,'Demand Forecast'!$C$48)</f>
        <v>519160</v>
      </c>
      <c r="D60" s="8">
        <f>SUMIFS('Actual Data'!$D$2:$D$289,'Actual Data'!$A$2:$A$289,'Demand Forecast'!B60,'Actual Data'!$B$2:$B$289,'Demand Forecast'!$D$48)</f>
        <v>430736</v>
      </c>
      <c r="E60" s="8">
        <f>SUMIFS('Actual Data'!$D$2:$D$289,'Actual Data'!$A$2:$A$289,'Demand Forecast'!B60,'Actual Data'!$B$2:$B$289,'Demand Forecast'!$E$48)</f>
        <v>259580</v>
      </c>
      <c r="F60" s="8">
        <f>SUMIFS('Actual Data'!$D$2:$D$289,'Actual Data'!$A$2:$A$289,"March",'Actual Data'!$B$2:$B$289,"Brick")</f>
        <v>173054</v>
      </c>
      <c r="G60" s="8">
        <f>SUMIFS('Actual Data'!$D$2:$D$289,'Actual Data'!$A$2:$A$289,B60,'Actual Data'!$B$2:$B$289,$G$48)</f>
        <v>259580</v>
      </c>
      <c r="H60" s="8">
        <f>SUMIFS('Actual Data'!$D$2:$D$289,'Actual Data'!$A$2:$A$289,B60,'Actual Data'!$B$2:$B$289,$H$48)</f>
        <v>43265</v>
      </c>
      <c r="I60" s="13">
        <f t="shared" si="7"/>
        <v>530321.94000000006</v>
      </c>
      <c r="J60" s="13">
        <f t="shared" si="8"/>
        <v>436120.19999999995</v>
      </c>
      <c r="K60" s="13">
        <f t="shared" si="9"/>
        <v>262824.75</v>
      </c>
      <c r="L60" s="13">
        <f t="shared" si="10"/>
        <v>175217.17499999999</v>
      </c>
      <c r="M60" s="13">
        <f t="shared" si="11"/>
        <v>262824.75</v>
      </c>
      <c r="N60" s="13">
        <f t="shared" si="12"/>
        <v>43805.8125</v>
      </c>
    </row>
    <row r="61" spans="1:14" x14ac:dyDescent="0.3">
      <c r="A61"/>
      <c r="F61"/>
      <c r="J61"/>
    </row>
    <row r="62" spans="1:14" x14ac:dyDescent="0.3">
      <c r="A62"/>
      <c r="F62"/>
      <c r="I62" s="13" t="s">
        <v>54</v>
      </c>
      <c r="J62" s="13" t="s">
        <v>55</v>
      </c>
      <c r="K62" s="13" t="s">
        <v>56</v>
      </c>
      <c r="L62" s="13" t="s">
        <v>57</v>
      </c>
      <c r="M62" s="13" t="s">
        <v>58</v>
      </c>
      <c r="N62" s="13" t="s">
        <v>59</v>
      </c>
    </row>
    <row r="63" spans="1:14" x14ac:dyDescent="0.3">
      <c r="H63" s="18" t="s">
        <v>44</v>
      </c>
      <c r="I63" s="20">
        <f>SUM(I49:I60)</f>
        <v>4125797.64</v>
      </c>
      <c r="J63" s="20">
        <f t="shared" ref="J63:N63" si="13">SUM(J49:J60)</f>
        <v>4933025.55</v>
      </c>
      <c r="K63" s="20">
        <f t="shared" si="13"/>
        <v>3092316.7499999995</v>
      </c>
      <c r="L63" s="20">
        <f t="shared" si="13"/>
        <v>2074634.7750000001</v>
      </c>
      <c r="M63" s="20">
        <f t="shared" si="13"/>
        <v>3122691.7499999995</v>
      </c>
      <c r="N63" s="20">
        <f t="shared" si="13"/>
        <v>520685.21250000002</v>
      </c>
    </row>
    <row r="64" spans="1:14" x14ac:dyDescent="0.3">
      <c r="H64" s="18" t="s">
        <v>13</v>
      </c>
      <c r="I64" s="21"/>
      <c r="J64" s="21"/>
      <c r="K64" s="21"/>
      <c r="L64" s="20"/>
      <c r="M64" s="16"/>
      <c r="N64" s="20">
        <f>SUM(I63:N63)</f>
        <v>17869151.677499998</v>
      </c>
    </row>
    <row r="65" spans="8:15" x14ac:dyDescent="0.3">
      <c r="H65" s="19" t="s">
        <v>45</v>
      </c>
      <c r="I65" s="20">
        <f>(I63/$N$64)*100</f>
        <v>23.088939612029886</v>
      </c>
      <c r="J65" s="20">
        <f t="shared" ref="J65:N65" si="14">(J63/$N$64)*100</f>
        <v>27.606377958117818</v>
      </c>
      <c r="K65" s="20">
        <f t="shared" si="14"/>
        <v>17.305336066365705</v>
      </c>
      <c r="L65" s="20">
        <f t="shared" si="14"/>
        <v>11.610146986509065</v>
      </c>
      <c r="M65" s="20">
        <f t="shared" si="14"/>
        <v>17.475321752022214</v>
      </c>
      <c r="N65" s="20">
        <f t="shared" si="14"/>
        <v>2.9138776249553167</v>
      </c>
      <c r="O65" s="7"/>
    </row>
  </sheetData>
  <scenarios current="0" show="0">
    <scenario name="WhatIfwinter" locked="1" count="20" user="SHARODINDU" comment="Created by SHARODINDU on 14-08-2024">
      <inputCells r="B7" val="April"/>
      <inputCells r="C7" val="4"/>
      <inputCells r="D7" val="1721000"/>
      <inputCells r="E7" val="1462212.8955"/>
      <inputCells r="B8" val="May"/>
      <inputCells r="C8" val="5"/>
      <inputCells r="D8" val="1595566"/>
      <inputCells r="E8" val="1629870.669"/>
      <inputCells r="B9" val="June"/>
      <inputCells r="C9" val="6"/>
      <inputCells r="D9" val="2021436"/>
      <inputCells r="E9" val="2064897.8955"/>
      <inputCells r="B10" val="July"/>
      <inputCells r="C10" val="7"/>
      <inputCells r="D10" val="1765375"/>
      <inputCells r="E10" val="1803330.5625"/>
      <inputCells r="B11" val="August"/>
      <inputCells r="C11" val="8"/>
      <inputCells r="D11" val="1685375"/>
      <inputCells r="E11" val="1721610.5625"/>
    </scenario>
  </scenarios>
  <mergeCells count="8">
    <mergeCell ref="B4:E4"/>
    <mergeCell ref="B2:E2"/>
    <mergeCell ref="B20:J20"/>
    <mergeCell ref="B46:H46"/>
    <mergeCell ref="I46:N46"/>
    <mergeCell ref="B44:N44"/>
    <mergeCell ref="G22:J22"/>
    <mergeCell ref="B22:F22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5164F-6535-49CB-9265-07F631516E54}">
  <dimension ref="A1:G14"/>
  <sheetViews>
    <sheetView topLeftCell="A3" workbookViewId="0">
      <selection activeCell="N19" sqref="N19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3.21875" bestFit="1" customWidth="1"/>
    <col min="4" max="4" width="12.77734375" bestFit="1" customWidth="1"/>
    <col min="5" max="5" width="12.88671875" bestFit="1" customWidth="1"/>
    <col min="6" max="6" width="12" bestFit="1" customWidth="1"/>
    <col min="7" max="7" width="14.44140625" bestFit="1" customWidth="1"/>
  </cols>
  <sheetData>
    <row r="1" spans="1:7" x14ac:dyDescent="0.3">
      <c r="A1" s="22" t="s">
        <v>46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s="23" t="s">
        <v>14</v>
      </c>
      <c r="B2">
        <v>258529.39200000002</v>
      </c>
      <c r="C2">
        <v>235254.375</v>
      </c>
      <c r="D2">
        <v>394370.77499999997</v>
      </c>
      <c r="E2">
        <v>157303.01249999998</v>
      </c>
      <c r="F2">
        <v>235254.375</v>
      </c>
      <c r="G2">
        <v>39325.5</v>
      </c>
    </row>
    <row r="3" spans="1:7" x14ac:dyDescent="0.3">
      <c r="A3" s="23" t="s">
        <v>15</v>
      </c>
      <c r="B3">
        <v>476108.89200000005</v>
      </c>
      <c r="C3">
        <v>235254.375</v>
      </c>
      <c r="D3">
        <v>394370.77499999997</v>
      </c>
      <c r="E3">
        <v>157303.01249999998</v>
      </c>
      <c r="F3">
        <v>235254.375</v>
      </c>
      <c r="G3">
        <v>39325.5</v>
      </c>
    </row>
    <row r="4" spans="1:7" x14ac:dyDescent="0.3">
      <c r="A4" s="23" t="s">
        <v>16</v>
      </c>
      <c r="B4">
        <v>530321.94000000006</v>
      </c>
      <c r="C4">
        <v>262824.75</v>
      </c>
      <c r="D4">
        <v>436120.19999999995</v>
      </c>
      <c r="E4">
        <v>175217.17499999999</v>
      </c>
      <c r="F4">
        <v>262824.75</v>
      </c>
      <c r="G4">
        <v>43805.8125</v>
      </c>
    </row>
    <row r="5" spans="1:7" x14ac:dyDescent="0.3">
      <c r="A5" s="23" t="s">
        <v>17</v>
      </c>
      <c r="B5">
        <v>164924.23950000003</v>
      </c>
      <c r="C5">
        <v>314608.05</v>
      </c>
      <c r="D5">
        <v>394470</v>
      </c>
      <c r="E5">
        <v>209739.375</v>
      </c>
      <c r="F5">
        <v>314608.05</v>
      </c>
      <c r="G5">
        <v>52433.324999999997</v>
      </c>
    </row>
    <row r="6" spans="1:7" x14ac:dyDescent="0.3">
      <c r="A6" s="23" t="s">
        <v>11</v>
      </c>
      <c r="B6">
        <v>199787.01300000001</v>
      </c>
      <c r="C6">
        <v>314608.05</v>
      </c>
      <c r="D6">
        <v>526095</v>
      </c>
      <c r="E6">
        <v>209739.375</v>
      </c>
      <c r="F6">
        <v>314608.05</v>
      </c>
      <c r="G6">
        <v>52433.324999999997</v>
      </c>
    </row>
    <row r="7" spans="1:7" x14ac:dyDescent="0.3">
      <c r="A7" s="23" t="s">
        <v>18</v>
      </c>
      <c r="B7">
        <v>634814.23950000003</v>
      </c>
      <c r="C7">
        <v>314608.05</v>
      </c>
      <c r="D7">
        <v>526095</v>
      </c>
      <c r="E7">
        <v>209739.375</v>
      </c>
      <c r="F7">
        <v>314608.05</v>
      </c>
      <c r="G7">
        <v>52433.324999999997</v>
      </c>
    </row>
    <row r="8" spans="1:7" x14ac:dyDescent="0.3">
      <c r="A8" s="23" t="s">
        <v>19</v>
      </c>
      <c r="B8">
        <v>530321.94000000006</v>
      </c>
      <c r="C8">
        <v>262824.75</v>
      </c>
      <c r="D8">
        <v>517120.19999999995</v>
      </c>
      <c r="E8">
        <v>175217.17499999999</v>
      </c>
      <c r="F8">
        <v>262824.75</v>
      </c>
      <c r="G8">
        <v>43805.8125</v>
      </c>
    </row>
    <row r="9" spans="1:7" x14ac:dyDescent="0.3">
      <c r="A9" s="23" t="s">
        <v>20</v>
      </c>
      <c r="B9">
        <v>530321.94000000006</v>
      </c>
      <c r="C9">
        <v>262824.75</v>
      </c>
      <c r="D9">
        <v>436120.19999999995</v>
      </c>
      <c r="E9">
        <v>175217.17499999999</v>
      </c>
      <c r="F9">
        <v>262824.75</v>
      </c>
      <c r="G9">
        <v>43805.8125</v>
      </c>
    </row>
    <row r="10" spans="1:7" x14ac:dyDescent="0.3">
      <c r="A10" s="23" t="s">
        <v>21</v>
      </c>
      <c r="B10">
        <v>218000.35800000001</v>
      </c>
      <c r="C10">
        <v>262824.75</v>
      </c>
      <c r="D10">
        <v>436120.19999999995</v>
      </c>
      <c r="E10">
        <v>175217.17499999999</v>
      </c>
      <c r="F10">
        <v>262824.75</v>
      </c>
      <c r="G10">
        <v>43805.8125</v>
      </c>
    </row>
    <row r="11" spans="1:7" x14ac:dyDescent="0.3">
      <c r="A11" s="23" t="s">
        <v>22</v>
      </c>
      <c r="B11">
        <v>204978.27600000001</v>
      </c>
      <c r="C11">
        <v>262824.75</v>
      </c>
      <c r="D11">
        <v>217964.92499999999</v>
      </c>
      <c r="E11">
        <v>175217.17499999999</v>
      </c>
      <c r="F11">
        <v>262824.75</v>
      </c>
      <c r="G11">
        <v>43805.8125</v>
      </c>
    </row>
    <row r="12" spans="1:7" x14ac:dyDescent="0.3">
      <c r="A12" s="23" t="s">
        <v>23</v>
      </c>
      <c r="B12">
        <v>193441.45500000002</v>
      </c>
      <c r="C12">
        <v>197117.55</v>
      </c>
      <c r="D12">
        <v>327089.13750000001</v>
      </c>
      <c r="E12">
        <v>131412.375</v>
      </c>
      <c r="F12">
        <v>197117.55</v>
      </c>
      <c r="G12">
        <v>32852.587500000001</v>
      </c>
    </row>
    <row r="13" spans="1:7" x14ac:dyDescent="0.3">
      <c r="A13" s="23" t="s">
        <v>24</v>
      </c>
      <c r="B13">
        <v>184247.95500000002</v>
      </c>
      <c r="C13">
        <v>166742.54999999999</v>
      </c>
      <c r="D13">
        <v>327089.13750000001</v>
      </c>
      <c r="E13">
        <v>123312.375</v>
      </c>
      <c r="F13">
        <v>197117.55</v>
      </c>
      <c r="G13">
        <v>32852.587500000001</v>
      </c>
    </row>
    <row r="14" spans="1:7" x14ac:dyDescent="0.3">
      <c r="A14" s="23" t="s">
        <v>13</v>
      </c>
      <c r="B14">
        <v>4125797.64</v>
      </c>
      <c r="C14">
        <v>3092316.75</v>
      </c>
      <c r="D14">
        <v>4933025.5500000007</v>
      </c>
      <c r="E14">
        <v>2074634.7750000001</v>
      </c>
      <c r="F14">
        <v>3122691.75</v>
      </c>
      <c r="G14">
        <v>520685.21250000008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F5B2-0A82-4E5D-812B-C4D04FFB88CB}">
  <sheetPr>
    <tabColor theme="4" tint="-0.499984740745262"/>
  </sheetPr>
  <dimension ref="A2:W88"/>
  <sheetViews>
    <sheetView showGridLines="0" tabSelected="1" zoomScale="86" zoomScaleNormal="86" workbookViewId="0">
      <selection activeCell="P75" sqref="P75"/>
    </sheetView>
  </sheetViews>
  <sheetFormatPr defaultRowHeight="14.4" x14ac:dyDescent="0.3"/>
  <cols>
    <col min="1" max="1" width="2.33203125" style="5" customWidth="1"/>
    <col min="2" max="2" width="36" bestFit="1" customWidth="1"/>
    <col min="3" max="3" width="17.33203125" bestFit="1" customWidth="1"/>
    <col min="4" max="4" width="14.44140625" customWidth="1"/>
    <col min="5" max="5" width="25.6640625" bestFit="1" customWidth="1"/>
    <col min="6" max="6" width="19.6640625" customWidth="1"/>
    <col min="7" max="7" width="14.77734375" customWidth="1"/>
    <col min="8" max="8" width="13.88671875" customWidth="1"/>
    <col min="9" max="9" width="12.44140625" bestFit="1" customWidth="1"/>
    <col min="10" max="10" width="2.33203125" style="26" customWidth="1"/>
    <col min="11" max="11" width="8" style="26" customWidth="1"/>
    <col min="12" max="12" width="12.77734375" style="26" bestFit="1" customWidth="1"/>
    <col min="13" max="23" width="8" style="26" customWidth="1"/>
  </cols>
  <sheetData>
    <row r="2" spans="1:23" ht="18" thickBot="1" x14ac:dyDescent="0.35">
      <c r="B2" s="93" t="s">
        <v>168</v>
      </c>
      <c r="C2" s="94"/>
      <c r="D2" s="94"/>
      <c r="E2" s="94"/>
      <c r="F2" s="94"/>
      <c r="G2" s="94"/>
      <c r="H2" s="94"/>
      <c r="I2" s="95"/>
    </row>
    <row r="3" spans="1:23" s="29" customFormat="1" ht="15.6" thickTop="1" thickBot="1" x14ac:dyDescent="0.35">
      <c r="A3" s="27"/>
      <c r="B3" s="55"/>
      <c r="C3" s="28"/>
      <c r="D3" s="28"/>
      <c r="E3" s="28"/>
      <c r="F3" s="28"/>
      <c r="G3" s="28"/>
      <c r="H3" s="28"/>
      <c r="I3" s="5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ht="15.6" thickTop="1" thickBot="1" x14ac:dyDescent="0.35">
      <c r="B4" s="91" t="s">
        <v>67</v>
      </c>
      <c r="C4" s="92"/>
      <c r="D4" s="92"/>
      <c r="E4" s="92"/>
      <c r="F4" s="92"/>
      <c r="G4" s="92"/>
      <c r="H4" s="92"/>
      <c r="I4" s="96"/>
    </row>
    <row r="5" spans="1:23" ht="15" thickTop="1" x14ac:dyDescent="0.3">
      <c r="B5" s="48"/>
      <c r="H5" s="26"/>
      <c r="I5" s="57"/>
      <c r="V5"/>
      <c r="W5"/>
    </row>
    <row r="6" spans="1:23" x14ac:dyDescent="0.3">
      <c r="B6" s="21" t="s">
        <v>68</v>
      </c>
      <c r="C6" s="30">
        <v>5.5E-2</v>
      </c>
      <c r="G6" s="26"/>
      <c r="H6" s="26"/>
      <c r="I6" s="57"/>
      <c r="U6"/>
      <c r="V6"/>
      <c r="W6"/>
    </row>
    <row r="7" spans="1:23" x14ac:dyDescent="0.3">
      <c r="B7" s="21" t="s">
        <v>69</v>
      </c>
      <c r="C7" s="21">
        <v>15</v>
      </c>
      <c r="G7" s="26"/>
      <c r="H7" s="26"/>
      <c r="I7" s="57"/>
      <c r="U7"/>
      <c r="V7"/>
      <c r="W7"/>
    </row>
    <row r="8" spans="1:23" x14ac:dyDescent="0.3">
      <c r="B8" s="21" t="s">
        <v>70</v>
      </c>
      <c r="C8" s="31">
        <v>0.1</v>
      </c>
      <c r="G8" s="26"/>
      <c r="H8" s="26"/>
      <c r="I8" s="57"/>
      <c r="U8"/>
      <c r="V8"/>
      <c r="W8"/>
    </row>
    <row r="9" spans="1:23" x14ac:dyDescent="0.3">
      <c r="B9" s="21" t="s">
        <v>71</v>
      </c>
      <c r="C9" s="31">
        <v>0.1</v>
      </c>
      <c r="G9" s="26"/>
      <c r="H9" s="26"/>
      <c r="I9" s="57"/>
      <c r="T9"/>
      <c r="U9"/>
      <c r="V9"/>
      <c r="W9"/>
    </row>
    <row r="10" spans="1:23" x14ac:dyDescent="0.3">
      <c r="B10" s="21" t="s">
        <v>108</v>
      </c>
      <c r="C10" s="21">
        <v>600</v>
      </c>
      <c r="G10" s="26"/>
      <c r="H10" s="26"/>
      <c r="I10" s="57"/>
      <c r="T10"/>
      <c r="U10"/>
      <c r="V10"/>
      <c r="W10"/>
    </row>
    <row r="11" spans="1:23" x14ac:dyDescent="0.3">
      <c r="B11" s="21" t="s">
        <v>72</v>
      </c>
      <c r="C11" s="30">
        <v>5.0000000000000001E-3</v>
      </c>
      <c r="G11" s="58"/>
      <c r="H11" s="26"/>
      <c r="I11" s="57"/>
      <c r="T11"/>
      <c r="U11"/>
      <c r="V11"/>
      <c r="W11"/>
    </row>
    <row r="12" spans="1:23" x14ac:dyDescent="0.3">
      <c r="B12" s="21" t="s">
        <v>178</v>
      </c>
      <c r="C12" s="21">
        <f>Calculation!P3</f>
        <v>160000</v>
      </c>
      <c r="I12" s="49"/>
    </row>
    <row r="13" spans="1:23" x14ac:dyDescent="0.3">
      <c r="B13" s="21" t="s">
        <v>179</v>
      </c>
      <c r="C13" s="21">
        <f>Calculation!O3</f>
        <v>240000</v>
      </c>
      <c r="I13" s="49"/>
    </row>
    <row r="14" spans="1:23" x14ac:dyDescent="0.3">
      <c r="B14" s="59"/>
      <c r="C14" s="47"/>
      <c r="I14" s="49"/>
    </row>
    <row r="15" spans="1:23" ht="15" thickBot="1" x14ac:dyDescent="0.35">
      <c r="B15" s="59"/>
      <c r="C15" s="47"/>
      <c r="I15" s="49"/>
    </row>
    <row r="16" spans="1:23" ht="15.6" thickTop="1" thickBot="1" x14ac:dyDescent="0.35">
      <c r="B16" s="91" t="s">
        <v>73</v>
      </c>
      <c r="C16" s="92"/>
      <c r="D16" s="92"/>
      <c r="E16" s="92"/>
      <c r="F16" s="92"/>
      <c r="G16" s="92"/>
      <c r="H16" s="92"/>
      <c r="I16" s="96"/>
    </row>
    <row r="17" spans="1:23" s="5" customFormat="1" ht="15" thickTop="1" x14ac:dyDescent="0.3">
      <c r="B17" s="48"/>
      <c r="C17"/>
      <c r="D17"/>
      <c r="E17"/>
      <c r="F17"/>
      <c r="G17"/>
      <c r="H17"/>
      <c r="I17" s="49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 spans="1:23" ht="55.2" x14ac:dyDescent="0.3">
      <c r="B18" s="60" t="s">
        <v>74</v>
      </c>
      <c r="C18" s="61" t="s">
        <v>73</v>
      </c>
      <c r="D18" s="61" t="s">
        <v>117</v>
      </c>
      <c r="E18" s="61" t="s">
        <v>75</v>
      </c>
      <c r="F18" s="61" t="s">
        <v>76</v>
      </c>
      <c r="G18" s="61" t="s">
        <v>77</v>
      </c>
      <c r="H18" s="61" t="s">
        <v>78</v>
      </c>
      <c r="I18" s="62" t="s">
        <v>79</v>
      </c>
    </row>
    <row r="19" spans="1:23" x14ac:dyDescent="0.3">
      <c r="B19" s="21" t="s">
        <v>95</v>
      </c>
      <c r="C19" s="32">
        <f>SUM(Calculation!D4:D5)</f>
        <v>1750000</v>
      </c>
      <c r="D19" s="21">
        <v>24000</v>
      </c>
      <c r="E19" s="32">
        <f>C19*C6/12</f>
        <v>8020.833333333333</v>
      </c>
      <c r="F19" s="32">
        <f>((C19*0.9)/15)/12</f>
        <v>8750</v>
      </c>
      <c r="G19" s="32">
        <f>C19*C9/12</f>
        <v>14583.333333333334</v>
      </c>
      <c r="H19" s="32">
        <f>C19*C11/12</f>
        <v>729.16666666666663</v>
      </c>
      <c r="I19" s="32">
        <f>SUM(E19:H19)</f>
        <v>32083.333333333332</v>
      </c>
    </row>
    <row r="20" spans="1:23" ht="15" thickBot="1" x14ac:dyDescent="0.35">
      <c r="B20" s="48"/>
      <c r="I20" s="49"/>
    </row>
    <row r="21" spans="1:23" ht="15.6" thickTop="1" thickBot="1" x14ac:dyDescent="0.35">
      <c r="B21" s="88" t="s">
        <v>80</v>
      </c>
      <c r="C21" s="90"/>
      <c r="D21" s="90"/>
      <c r="E21" s="90"/>
      <c r="F21" s="90"/>
      <c r="G21" s="89"/>
      <c r="H21" s="26"/>
      <c r="I21" s="57"/>
      <c r="V21"/>
      <c r="W21"/>
    </row>
    <row r="22" spans="1:23" ht="15" thickTop="1" x14ac:dyDescent="0.3">
      <c r="B22" s="48"/>
      <c r="I22" s="49"/>
    </row>
    <row r="23" spans="1:23" x14ac:dyDescent="0.3">
      <c r="B23" s="60" t="s">
        <v>81</v>
      </c>
      <c r="C23" s="61" t="s">
        <v>37</v>
      </c>
      <c r="D23" s="61" t="s">
        <v>120</v>
      </c>
      <c r="E23" s="61" t="s">
        <v>121</v>
      </c>
      <c r="F23" s="61" t="s">
        <v>122</v>
      </c>
      <c r="G23" s="61" t="s">
        <v>123</v>
      </c>
      <c r="H23" s="26"/>
      <c r="I23" s="57"/>
      <c r="V23"/>
      <c r="W23"/>
    </row>
    <row r="24" spans="1:23" x14ac:dyDescent="0.3">
      <c r="B24" s="21" t="s">
        <v>128</v>
      </c>
      <c r="C24" s="21">
        <v>6</v>
      </c>
      <c r="D24" s="32">
        <v>65</v>
      </c>
      <c r="E24" s="21">
        <v>8</v>
      </c>
      <c r="F24" s="21">
        <v>30</v>
      </c>
      <c r="G24" s="32">
        <f>F24*E24*D24*C24</f>
        <v>93600</v>
      </c>
      <c r="H24" s="26"/>
      <c r="I24" s="57"/>
      <c r="V24"/>
      <c r="W24"/>
    </row>
    <row r="25" spans="1:23" x14ac:dyDescent="0.3">
      <c r="B25" s="21" t="s">
        <v>216</v>
      </c>
      <c r="C25" s="21">
        <v>4</v>
      </c>
      <c r="D25" s="32">
        <v>100</v>
      </c>
      <c r="E25" s="21">
        <v>8</v>
      </c>
      <c r="F25" s="21">
        <v>30</v>
      </c>
      <c r="G25" s="32">
        <f>F25*E25*D25*C25</f>
        <v>96000</v>
      </c>
      <c r="H25" s="26"/>
      <c r="I25" s="57"/>
      <c r="V25"/>
      <c r="W25"/>
    </row>
    <row r="26" spans="1:23" x14ac:dyDescent="0.3">
      <c r="B26" s="21" t="s">
        <v>129</v>
      </c>
      <c r="C26" s="21">
        <v>2</v>
      </c>
      <c r="D26" s="32">
        <v>125</v>
      </c>
      <c r="E26" s="21">
        <v>8</v>
      </c>
      <c r="F26" s="21">
        <v>30</v>
      </c>
      <c r="G26" s="32">
        <f>F26*E26*D26*C26</f>
        <v>60000</v>
      </c>
      <c r="H26" s="26"/>
      <c r="I26" s="57"/>
      <c r="V26"/>
      <c r="W26"/>
    </row>
    <row r="27" spans="1:23" ht="15" thickBot="1" x14ac:dyDescent="0.35">
      <c r="B27" s="59"/>
      <c r="C27" s="47"/>
      <c r="D27" s="63"/>
      <c r="E27" s="47"/>
      <c r="F27" s="47"/>
      <c r="G27" s="63"/>
      <c r="H27" s="26"/>
      <c r="I27" s="57"/>
      <c r="V27"/>
      <c r="W27"/>
    </row>
    <row r="28" spans="1:23" ht="15.6" thickTop="1" thickBot="1" x14ac:dyDescent="0.35">
      <c r="B28" s="88" t="s">
        <v>160</v>
      </c>
      <c r="C28" s="90"/>
      <c r="D28" s="90"/>
      <c r="E28" s="90"/>
      <c r="F28" s="90"/>
      <c r="G28" s="89"/>
      <c r="H28" s="26"/>
      <c r="I28" s="57"/>
      <c r="T28"/>
      <c r="U28"/>
      <c r="V28"/>
      <c r="W28"/>
    </row>
    <row r="29" spans="1:23" ht="15" thickTop="1" x14ac:dyDescent="0.3">
      <c r="A29"/>
      <c r="B29" s="48"/>
      <c r="I29" s="4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ht="27.6" x14ac:dyDescent="0.3">
      <c r="A30"/>
      <c r="B30" s="60" t="s">
        <v>81</v>
      </c>
      <c r="C30" s="61" t="s">
        <v>157</v>
      </c>
      <c r="D30" s="61" t="s">
        <v>156</v>
      </c>
      <c r="E30" s="61" t="s">
        <v>158</v>
      </c>
      <c r="F30" s="61" t="s">
        <v>159</v>
      </c>
      <c r="G30" s="61" t="s">
        <v>155</v>
      </c>
      <c r="I30" s="49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x14ac:dyDescent="0.3">
      <c r="B31" s="42" t="s">
        <v>213</v>
      </c>
      <c r="C31" s="42">
        <v>1300</v>
      </c>
      <c r="D31" s="42">
        <v>99</v>
      </c>
      <c r="E31" s="42">
        <v>60</v>
      </c>
      <c r="F31" s="42">
        <v>20</v>
      </c>
      <c r="G31" s="43">
        <f>4*D31+C31</f>
        <v>1696</v>
      </c>
      <c r="H31" s="26"/>
      <c r="I31" s="57"/>
      <c r="V31"/>
      <c r="W31"/>
    </row>
    <row r="32" spans="1:23" x14ac:dyDescent="0.3">
      <c r="B32" s="21" t="s">
        <v>214</v>
      </c>
      <c r="C32" s="45" t="s">
        <v>215</v>
      </c>
      <c r="D32" s="45" t="s">
        <v>215</v>
      </c>
      <c r="E32" s="45" t="s">
        <v>215</v>
      </c>
      <c r="F32" s="45" t="s">
        <v>215</v>
      </c>
      <c r="G32" s="32">
        <v>5000</v>
      </c>
      <c r="H32" s="26"/>
      <c r="I32" s="57"/>
      <c r="V32"/>
      <c r="W32"/>
    </row>
    <row r="33" spans="2:23" ht="15" thickBot="1" x14ac:dyDescent="0.35">
      <c r="B33" s="48"/>
      <c r="I33" s="49"/>
    </row>
    <row r="34" spans="2:23" ht="15.6" thickTop="1" thickBot="1" x14ac:dyDescent="0.35">
      <c r="B34" s="88" t="s">
        <v>83</v>
      </c>
      <c r="C34" s="89"/>
      <c r="D34" s="26"/>
      <c r="E34" s="26"/>
      <c r="F34" s="26"/>
      <c r="G34" s="26"/>
      <c r="H34" s="26"/>
      <c r="I34" s="57"/>
      <c r="R34"/>
      <c r="S34"/>
      <c r="T34"/>
      <c r="U34"/>
      <c r="V34"/>
      <c r="W34"/>
    </row>
    <row r="35" spans="2:23" ht="15" thickTop="1" x14ac:dyDescent="0.3">
      <c r="B35" s="48"/>
      <c r="I35" s="49"/>
    </row>
    <row r="36" spans="2:23" x14ac:dyDescent="0.3">
      <c r="B36" s="64" t="s">
        <v>84</v>
      </c>
      <c r="C36" s="65" t="s">
        <v>85</v>
      </c>
      <c r="I36" s="49"/>
    </row>
    <row r="37" spans="2:23" x14ac:dyDescent="0.3">
      <c r="B37" s="48"/>
      <c r="I37" s="49"/>
    </row>
    <row r="38" spans="2:23" x14ac:dyDescent="0.3">
      <c r="B38" s="21" t="s">
        <v>86</v>
      </c>
      <c r="C38" s="32">
        <f>SUM(E19:H19)</f>
        <v>32083.333333333332</v>
      </c>
      <c r="I38" s="49"/>
    </row>
    <row r="39" spans="2:23" x14ac:dyDescent="0.3">
      <c r="B39" s="21" t="s">
        <v>87</v>
      </c>
      <c r="C39" s="32">
        <f>SUM(G24:G26)</f>
        <v>249600</v>
      </c>
      <c r="I39" s="49"/>
    </row>
    <row r="40" spans="2:23" x14ac:dyDescent="0.3">
      <c r="B40" s="21" t="s">
        <v>161</v>
      </c>
      <c r="C40" s="32">
        <f>G31</f>
        <v>1696</v>
      </c>
      <c r="I40" s="49"/>
    </row>
    <row r="41" spans="2:23" x14ac:dyDescent="0.3">
      <c r="B41" s="21" t="s">
        <v>214</v>
      </c>
      <c r="C41" s="32">
        <f>G32</f>
        <v>5000</v>
      </c>
      <c r="I41" s="49"/>
    </row>
    <row r="42" spans="2:23" x14ac:dyDescent="0.3">
      <c r="B42" s="21" t="s">
        <v>88</v>
      </c>
      <c r="C42" s="32">
        <f>SUM(C38:C41)</f>
        <v>288379.33333333331</v>
      </c>
      <c r="I42" s="49"/>
    </row>
    <row r="43" spans="2:23" ht="15" thickBot="1" x14ac:dyDescent="0.35">
      <c r="B43" s="48"/>
      <c r="I43" s="49"/>
    </row>
    <row r="44" spans="2:23" ht="15.6" thickTop="1" thickBot="1" x14ac:dyDescent="0.35">
      <c r="B44" s="88" t="s">
        <v>167</v>
      </c>
      <c r="C44" s="90"/>
      <c r="D44" s="90"/>
      <c r="E44" s="89"/>
      <c r="F44" s="26"/>
      <c r="G44" s="26"/>
      <c r="H44" s="26"/>
      <c r="I44" s="57"/>
      <c r="T44"/>
      <c r="U44"/>
      <c r="V44"/>
      <c r="W44"/>
    </row>
    <row r="45" spans="2:23" ht="15" thickTop="1" x14ac:dyDescent="0.3">
      <c r="B45" s="48"/>
      <c r="I45" s="49"/>
    </row>
    <row r="46" spans="2:23" x14ac:dyDescent="0.3">
      <c r="B46" s="59" t="s">
        <v>7</v>
      </c>
      <c r="I46" s="49"/>
    </row>
    <row r="47" spans="2:23" x14ac:dyDescent="0.3">
      <c r="B47" s="64" t="s">
        <v>97</v>
      </c>
      <c r="C47" s="65" t="s">
        <v>145</v>
      </c>
      <c r="D47" s="66" t="s">
        <v>147</v>
      </c>
      <c r="E47" s="65" t="s">
        <v>85</v>
      </c>
      <c r="F47" s="26"/>
      <c r="G47" s="26"/>
      <c r="H47" s="26"/>
      <c r="I47" s="57"/>
      <c r="T47"/>
      <c r="U47"/>
      <c r="V47"/>
      <c r="W47"/>
    </row>
    <row r="48" spans="2:23" x14ac:dyDescent="0.3">
      <c r="B48" s="21" t="s">
        <v>130</v>
      </c>
      <c r="C48" s="21">
        <v>12000</v>
      </c>
      <c r="D48" s="21">
        <v>40</v>
      </c>
      <c r="E48" s="32">
        <f>D48*C48</f>
        <v>480000</v>
      </c>
      <c r="F48" s="26"/>
      <c r="G48" s="26"/>
      <c r="H48" s="26"/>
      <c r="I48" s="57"/>
      <c r="T48"/>
      <c r="U48"/>
      <c r="V48"/>
      <c r="W48"/>
    </row>
    <row r="49" spans="2:23" x14ac:dyDescent="0.3">
      <c r="B49" s="21" t="s">
        <v>135</v>
      </c>
      <c r="C49" s="21">
        <v>3840</v>
      </c>
      <c r="D49" s="21">
        <v>30</v>
      </c>
      <c r="E49" s="32">
        <f t="shared" ref="E49:E51" si="0">D49*C49</f>
        <v>115200</v>
      </c>
      <c r="F49" s="26"/>
      <c r="G49" s="26"/>
      <c r="H49" s="26"/>
      <c r="I49" s="57"/>
      <c r="T49"/>
      <c r="U49"/>
      <c r="V49"/>
      <c r="W49"/>
    </row>
    <row r="50" spans="2:23" x14ac:dyDescent="0.3">
      <c r="B50" s="21" t="s">
        <v>144</v>
      </c>
      <c r="C50" s="21">
        <v>240</v>
      </c>
      <c r="D50" s="21">
        <v>20</v>
      </c>
      <c r="E50" s="32">
        <f t="shared" si="0"/>
        <v>4800</v>
      </c>
      <c r="F50" s="26"/>
      <c r="G50" s="26"/>
      <c r="H50" s="26"/>
      <c r="I50" s="57"/>
      <c r="T50"/>
      <c r="U50"/>
      <c r="V50"/>
      <c r="W50"/>
    </row>
    <row r="51" spans="2:23" x14ac:dyDescent="0.3">
      <c r="B51" s="21" t="s">
        <v>146</v>
      </c>
      <c r="C51" s="21">
        <v>64</v>
      </c>
      <c r="D51" s="21">
        <v>15</v>
      </c>
      <c r="E51" s="32">
        <f t="shared" si="0"/>
        <v>960</v>
      </c>
      <c r="F51" s="26"/>
      <c r="G51" s="26"/>
      <c r="H51" s="26"/>
      <c r="I51" s="57"/>
      <c r="T51"/>
      <c r="U51"/>
      <c r="V51"/>
      <c r="W51"/>
    </row>
    <row r="52" spans="2:23" x14ac:dyDescent="0.3">
      <c r="B52" s="59"/>
      <c r="C52" s="47"/>
      <c r="D52" s="47"/>
      <c r="E52" s="63"/>
      <c r="F52" s="26"/>
      <c r="G52" s="26"/>
      <c r="H52" s="26"/>
      <c r="I52" s="57"/>
      <c r="T52"/>
      <c r="U52"/>
      <c r="V52"/>
      <c r="W52"/>
    </row>
    <row r="53" spans="2:23" x14ac:dyDescent="0.3">
      <c r="B53" s="59" t="s">
        <v>3</v>
      </c>
      <c r="C53" s="47"/>
      <c r="D53" s="47"/>
      <c r="E53" s="63"/>
      <c r="F53" s="26"/>
      <c r="G53" s="26"/>
      <c r="H53" s="26"/>
      <c r="I53" s="57"/>
      <c r="T53"/>
      <c r="U53"/>
      <c r="V53"/>
      <c r="W53"/>
    </row>
    <row r="54" spans="2:23" x14ac:dyDescent="0.3">
      <c r="B54" s="64" t="s">
        <v>97</v>
      </c>
      <c r="C54" s="65" t="s">
        <v>145</v>
      </c>
      <c r="D54" s="66" t="s">
        <v>147</v>
      </c>
      <c r="E54" s="65" t="s">
        <v>85</v>
      </c>
      <c r="F54" s="26"/>
      <c r="G54" s="26"/>
      <c r="H54" s="26"/>
      <c r="I54" s="57"/>
      <c r="T54"/>
      <c r="U54"/>
      <c r="V54"/>
      <c r="W54"/>
    </row>
    <row r="55" spans="2:23" x14ac:dyDescent="0.3">
      <c r="B55" s="21" t="s">
        <v>130</v>
      </c>
      <c r="C55" s="21">
        <v>9600</v>
      </c>
      <c r="D55" s="21">
        <v>40</v>
      </c>
      <c r="E55" s="32">
        <f>D55*C55</f>
        <v>384000</v>
      </c>
      <c r="F55" s="26"/>
      <c r="G55" s="26"/>
      <c r="H55" s="26"/>
      <c r="I55" s="57"/>
      <c r="T55"/>
      <c r="U55"/>
      <c r="V55"/>
      <c r="W55"/>
    </row>
    <row r="56" spans="2:23" x14ac:dyDescent="0.3">
      <c r="B56" s="21" t="s">
        <v>135</v>
      </c>
      <c r="C56" s="21">
        <v>3600</v>
      </c>
      <c r="D56" s="21">
        <v>30</v>
      </c>
      <c r="E56" s="32">
        <f t="shared" ref="E56:E58" si="1">D56*C56</f>
        <v>108000</v>
      </c>
      <c r="F56" s="26"/>
      <c r="G56" s="26"/>
      <c r="H56" s="26"/>
      <c r="I56" s="57"/>
      <c r="T56"/>
      <c r="U56"/>
      <c r="V56"/>
      <c r="W56"/>
    </row>
    <row r="57" spans="2:23" x14ac:dyDescent="0.3">
      <c r="B57" s="21" t="s">
        <v>144</v>
      </c>
      <c r="C57" s="21">
        <v>240</v>
      </c>
      <c r="D57" s="21">
        <v>20</v>
      </c>
      <c r="E57" s="32">
        <f t="shared" si="1"/>
        <v>4800</v>
      </c>
      <c r="F57" s="26"/>
      <c r="G57" s="26"/>
      <c r="H57" s="26"/>
      <c r="I57" s="57"/>
      <c r="T57"/>
      <c r="U57"/>
      <c r="V57"/>
      <c r="W57"/>
    </row>
    <row r="58" spans="2:23" x14ac:dyDescent="0.3">
      <c r="B58" s="21" t="s">
        <v>146</v>
      </c>
      <c r="C58" s="21">
        <v>96</v>
      </c>
      <c r="D58" s="21">
        <v>15</v>
      </c>
      <c r="E58" s="32">
        <f t="shared" si="1"/>
        <v>1440</v>
      </c>
      <c r="F58" s="26"/>
      <c r="G58" s="26"/>
      <c r="H58" s="26"/>
      <c r="I58" s="57"/>
      <c r="T58"/>
      <c r="U58"/>
      <c r="V58"/>
      <c r="W58"/>
    </row>
    <row r="59" spans="2:23" x14ac:dyDescent="0.3">
      <c r="B59" s="59"/>
      <c r="C59" s="47"/>
      <c r="D59" s="47"/>
      <c r="E59" s="47"/>
      <c r="F59" s="26"/>
      <c r="G59" s="26"/>
      <c r="H59" s="26"/>
      <c r="I59" s="57"/>
      <c r="T59"/>
      <c r="U59"/>
      <c r="V59"/>
      <c r="W59"/>
    </row>
    <row r="60" spans="2:23" ht="28.2" x14ac:dyDescent="0.3">
      <c r="B60" s="67" t="s">
        <v>97</v>
      </c>
      <c r="C60" s="61" t="s">
        <v>149</v>
      </c>
      <c r="D60" s="68" t="s">
        <v>148</v>
      </c>
      <c r="E60" s="65" t="s">
        <v>85</v>
      </c>
      <c r="F60" s="26"/>
      <c r="G60" s="26"/>
      <c r="H60" s="26"/>
      <c r="I60" s="57"/>
      <c r="T60"/>
      <c r="U60"/>
      <c r="V60"/>
      <c r="W60"/>
    </row>
    <row r="61" spans="2:23" x14ac:dyDescent="0.3">
      <c r="B61" s="21" t="s">
        <v>103</v>
      </c>
      <c r="C61" s="32">
        <v>5</v>
      </c>
      <c r="D61" s="21">
        <v>120</v>
      </c>
      <c r="E61" s="32">
        <f>C10*30</f>
        <v>18000</v>
      </c>
      <c r="F61" s="26"/>
      <c r="G61" s="26"/>
      <c r="H61" s="26"/>
      <c r="I61" s="57"/>
      <c r="T61"/>
      <c r="U61"/>
      <c r="V61"/>
      <c r="W61"/>
    </row>
    <row r="62" spans="2:23" x14ac:dyDescent="0.3">
      <c r="B62" s="59"/>
      <c r="C62" s="63"/>
      <c r="D62" s="47"/>
      <c r="E62" s="63"/>
      <c r="F62" s="26"/>
      <c r="G62" s="26"/>
      <c r="H62" s="26"/>
      <c r="I62" s="57"/>
      <c r="T62"/>
      <c r="U62"/>
      <c r="V62"/>
      <c r="W62"/>
    </row>
    <row r="63" spans="2:23" ht="27.6" x14ac:dyDescent="0.3">
      <c r="B63" s="60" t="s">
        <v>97</v>
      </c>
      <c r="C63" s="61" t="s">
        <v>188</v>
      </c>
      <c r="D63" s="68" t="s">
        <v>150</v>
      </c>
      <c r="E63" s="65" t="s">
        <v>85</v>
      </c>
      <c r="F63" s="26"/>
      <c r="G63" s="26"/>
      <c r="H63" s="26"/>
      <c r="I63" s="57"/>
      <c r="T63"/>
      <c r="U63"/>
      <c r="V63"/>
      <c r="W63"/>
    </row>
    <row r="64" spans="2:23" x14ac:dyDescent="0.3">
      <c r="B64" s="21" t="s">
        <v>172</v>
      </c>
      <c r="C64" s="32">
        <v>3.5</v>
      </c>
      <c r="D64" s="21">
        <v>160000</v>
      </c>
      <c r="E64" s="32">
        <f>D64*C64</f>
        <v>560000</v>
      </c>
      <c r="F64" s="26"/>
      <c r="G64" s="26"/>
      <c r="H64" s="26"/>
      <c r="I64" s="57"/>
      <c r="T64"/>
      <c r="U64"/>
      <c r="V64"/>
      <c r="W64"/>
    </row>
    <row r="65" spans="2:23" x14ac:dyDescent="0.3">
      <c r="B65" s="59"/>
      <c r="C65" s="63"/>
      <c r="D65" s="47"/>
      <c r="E65" s="63"/>
      <c r="F65" s="26"/>
      <c r="G65" s="26"/>
      <c r="H65" s="26"/>
      <c r="I65" s="57"/>
      <c r="T65"/>
      <c r="U65"/>
      <c r="V65"/>
      <c r="W65"/>
    </row>
    <row r="66" spans="2:23" ht="27.6" x14ac:dyDescent="0.3">
      <c r="B66" s="60" t="s">
        <v>97</v>
      </c>
      <c r="C66" s="61" t="s">
        <v>171</v>
      </c>
      <c r="D66" s="68" t="s">
        <v>150</v>
      </c>
      <c r="E66" s="65" t="s">
        <v>85</v>
      </c>
      <c r="F66" s="26"/>
      <c r="G66" s="26"/>
      <c r="H66" s="26"/>
      <c r="I66" s="57"/>
      <c r="T66"/>
      <c r="U66"/>
      <c r="V66"/>
      <c r="W66"/>
    </row>
    <row r="67" spans="2:23" x14ac:dyDescent="0.3">
      <c r="B67" s="21" t="s">
        <v>173</v>
      </c>
      <c r="C67" s="32">
        <v>2</v>
      </c>
      <c r="D67" s="21">
        <v>240000</v>
      </c>
      <c r="E67" s="32">
        <f>D67*C67</f>
        <v>480000</v>
      </c>
      <c r="F67" s="26"/>
      <c r="G67" s="26"/>
      <c r="H67" s="26"/>
      <c r="I67" s="57"/>
      <c r="P67"/>
      <c r="Q67"/>
      <c r="R67"/>
      <c r="S67"/>
      <c r="T67"/>
      <c r="U67"/>
      <c r="V67"/>
      <c r="W67"/>
    </row>
    <row r="68" spans="2:23" ht="15" thickBot="1" x14ac:dyDescent="0.35">
      <c r="B68" s="59"/>
      <c r="C68" s="63"/>
      <c r="D68" s="47"/>
      <c r="E68" s="63"/>
      <c r="F68" s="26"/>
      <c r="G68" s="26"/>
      <c r="H68" s="26"/>
      <c r="I68" s="57"/>
      <c r="P68"/>
      <c r="Q68"/>
      <c r="R68"/>
      <c r="S68"/>
      <c r="T68"/>
      <c r="U68"/>
      <c r="V68"/>
      <c r="W68"/>
    </row>
    <row r="69" spans="2:23" ht="15.6" thickTop="1" thickBot="1" x14ac:dyDescent="0.35">
      <c r="B69" s="91" t="s">
        <v>89</v>
      </c>
      <c r="C69" s="92"/>
      <c r="D69" s="26"/>
      <c r="E69" s="26"/>
      <c r="F69" s="26"/>
      <c r="G69" s="26"/>
      <c r="H69" s="26"/>
      <c r="I69" s="57"/>
      <c r="R69"/>
      <c r="S69"/>
      <c r="T69"/>
      <c r="U69"/>
      <c r="V69"/>
      <c r="W69"/>
    </row>
    <row r="70" spans="2:23" ht="15" thickTop="1" x14ac:dyDescent="0.3">
      <c r="B70" s="48"/>
      <c r="I70" s="49"/>
    </row>
    <row r="71" spans="2:23" x14ac:dyDescent="0.3">
      <c r="B71" s="64" t="s">
        <v>170</v>
      </c>
      <c r="C71" s="65" t="s">
        <v>85</v>
      </c>
      <c r="I71" s="49"/>
    </row>
    <row r="72" spans="2:23" x14ac:dyDescent="0.3">
      <c r="B72" s="48"/>
      <c r="I72" s="49"/>
    </row>
    <row r="73" spans="2:23" x14ac:dyDescent="0.3">
      <c r="B73" s="21" t="s">
        <v>90</v>
      </c>
      <c r="C73" s="32">
        <f>SUM(E48,E49,E50,E51,E61,E64)</f>
        <v>1178960</v>
      </c>
      <c r="I73" s="49"/>
    </row>
    <row r="74" spans="2:23" ht="15" thickBot="1" x14ac:dyDescent="0.35">
      <c r="B74" s="21" t="s">
        <v>91</v>
      </c>
      <c r="C74" s="33">
        <f>SUM(C73,C42)</f>
        <v>1467339.3333333333</v>
      </c>
      <c r="I74" s="49"/>
    </row>
    <row r="75" spans="2:23" ht="15" thickTop="1" x14ac:dyDescent="0.3">
      <c r="B75" s="48"/>
      <c r="I75" s="49"/>
    </row>
    <row r="76" spans="2:23" x14ac:dyDescent="0.3">
      <c r="B76" s="21" t="s">
        <v>151</v>
      </c>
      <c r="C76" s="32">
        <f>C42/C12</f>
        <v>1.8023708333333333</v>
      </c>
      <c r="I76" s="57"/>
      <c r="L76" s="36"/>
      <c r="W76"/>
    </row>
    <row r="77" spans="2:23" x14ac:dyDescent="0.3">
      <c r="B77" s="21" t="s">
        <v>152</v>
      </c>
      <c r="C77" s="32">
        <f>C73/C12</f>
        <v>7.3685</v>
      </c>
      <c r="I77" s="49"/>
    </row>
    <row r="78" spans="2:23" x14ac:dyDescent="0.3">
      <c r="B78" s="21" t="s">
        <v>169</v>
      </c>
      <c r="C78" s="32">
        <f>SUM(C76:C77)</f>
        <v>9.1708708333333337</v>
      </c>
      <c r="F78" s="34"/>
      <c r="G78" s="34"/>
      <c r="H78" s="34"/>
      <c r="I78" s="49"/>
    </row>
    <row r="79" spans="2:23" x14ac:dyDescent="0.3">
      <c r="B79" s="59"/>
      <c r="C79" s="63"/>
      <c r="E79" s="47"/>
      <c r="F79" s="7"/>
      <c r="I79" s="49"/>
    </row>
    <row r="80" spans="2:23" x14ac:dyDescent="0.3">
      <c r="B80" s="64" t="s">
        <v>185</v>
      </c>
      <c r="C80" s="65" t="s">
        <v>85</v>
      </c>
      <c r="E80" s="47"/>
      <c r="F80" s="7"/>
      <c r="I80" s="49"/>
    </row>
    <row r="81" spans="1:23" x14ac:dyDescent="0.3">
      <c r="A81"/>
      <c r="B81" s="48"/>
      <c r="I81" s="49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3">
      <c r="A82"/>
      <c r="B82" s="21" t="s">
        <v>177</v>
      </c>
      <c r="C82" s="32">
        <f>E67+E61+E58+E57+E56+E55</f>
        <v>996240</v>
      </c>
      <c r="I82" s="49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3">
      <c r="A83"/>
      <c r="B83" s="21" t="s">
        <v>91</v>
      </c>
      <c r="C83" s="32">
        <f>C82+C42</f>
        <v>1284619.3333333333</v>
      </c>
      <c r="I83" s="49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3">
      <c r="A84"/>
      <c r="B84" s="48"/>
      <c r="C84" s="47"/>
      <c r="I84" s="49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3">
      <c r="A85"/>
      <c r="B85" s="21" t="s">
        <v>174</v>
      </c>
      <c r="C85" s="32">
        <f>C42/C13</f>
        <v>1.2015805555555554</v>
      </c>
      <c r="I85" s="49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3">
      <c r="A86"/>
      <c r="B86" s="21" t="s">
        <v>175</v>
      </c>
      <c r="C86" s="32">
        <f>C82/C13</f>
        <v>4.1509999999999998</v>
      </c>
      <c r="I86" s="49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3">
      <c r="A87"/>
      <c r="B87" s="21" t="s">
        <v>176</v>
      </c>
      <c r="C87" s="32">
        <f>SUM(C85:C86)</f>
        <v>5.352580555555555</v>
      </c>
      <c r="I87" s="49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ht="17.399999999999999" x14ac:dyDescent="0.35">
      <c r="B88" s="69"/>
      <c r="C88" s="70"/>
      <c r="D88" s="70"/>
      <c r="E88" s="70"/>
      <c r="F88" s="70"/>
      <c r="G88" s="70"/>
      <c r="H88" s="70"/>
      <c r="I88" s="71"/>
    </row>
  </sheetData>
  <mergeCells count="8">
    <mergeCell ref="B34:C34"/>
    <mergeCell ref="B44:E44"/>
    <mergeCell ref="B69:C69"/>
    <mergeCell ref="B2:I2"/>
    <mergeCell ref="B4:I4"/>
    <mergeCell ref="B16:I16"/>
    <mergeCell ref="B21:G21"/>
    <mergeCell ref="B28:G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EEE9-02B5-4553-8909-E90323ED1260}">
  <sheetPr>
    <tabColor theme="9"/>
  </sheetPr>
  <dimension ref="B3:M26"/>
  <sheetViews>
    <sheetView showGridLines="0" workbookViewId="0">
      <selection activeCell="K12" sqref="K12"/>
    </sheetView>
  </sheetViews>
  <sheetFormatPr defaultRowHeight="14.4" x14ac:dyDescent="0.3"/>
  <cols>
    <col min="1" max="1" width="2.33203125" customWidth="1"/>
    <col min="2" max="2" width="18.33203125" bestFit="1" customWidth="1"/>
    <col min="3" max="3" width="12.88671875" bestFit="1" customWidth="1"/>
    <col min="6" max="6" width="18.33203125" bestFit="1" customWidth="1"/>
    <col min="7" max="7" width="11.88671875" bestFit="1" customWidth="1"/>
    <col min="11" max="11" width="10.33203125" bestFit="1" customWidth="1"/>
    <col min="13" max="13" width="10.33203125" bestFit="1" customWidth="1"/>
  </cols>
  <sheetData>
    <row r="3" spans="2:13" ht="15" thickBot="1" x14ac:dyDescent="0.35">
      <c r="B3" s="97" t="s">
        <v>212</v>
      </c>
      <c r="C3" s="97"/>
      <c r="D3" s="97"/>
      <c r="E3" s="97"/>
      <c r="F3" s="97"/>
      <c r="G3" s="97"/>
    </row>
    <row r="4" spans="2:13" ht="15" thickTop="1" x14ac:dyDescent="0.3">
      <c r="B4" s="48"/>
      <c r="G4" s="49"/>
    </row>
    <row r="5" spans="2:13" ht="15" thickBot="1" x14ac:dyDescent="0.35">
      <c r="B5" s="48"/>
      <c r="G5" s="49"/>
    </row>
    <row r="6" spans="2:13" ht="15.6" thickTop="1" thickBot="1" x14ac:dyDescent="0.35">
      <c r="B6" s="102" t="s">
        <v>211</v>
      </c>
      <c r="C6" s="103"/>
      <c r="E6" s="46"/>
      <c r="F6" s="101" t="s">
        <v>210</v>
      </c>
      <c r="G6" s="102"/>
    </row>
    <row r="7" spans="2:13" ht="15" thickTop="1" x14ac:dyDescent="0.3">
      <c r="B7" s="48"/>
      <c r="G7" s="49"/>
    </row>
    <row r="8" spans="2:13" x14ac:dyDescent="0.3">
      <c r="B8" s="98" t="s">
        <v>199</v>
      </c>
      <c r="C8" s="99"/>
      <c r="F8" s="99" t="s">
        <v>199</v>
      </c>
      <c r="G8" s="100"/>
    </row>
    <row r="9" spans="2:13" x14ac:dyDescent="0.3">
      <c r="B9" s="40" t="s">
        <v>88</v>
      </c>
      <c r="C9" s="41">
        <v>288379.33333333302</v>
      </c>
      <c r="F9" s="40" t="s">
        <v>88</v>
      </c>
      <c r="G9" s="41">
        <f>'Cost Model'!C42</f>
        <v>288379.33333333331</v>
      </c>
    </row>
    <row r="10" spans="2:13" x14ac:dyDescent="0.3">
      <c r="B10" s="40" t="s">
        <v>208</v>
      </c>
      <c r="C10" s="41">
        <v>1178960</v>
      </c>
      <c r="F10" s="40" t="s">
        <v>208</v>
      </c>
      <c r="G10" s="41">
        <f>'Cost Model'!C82</f>
        <v>996240</v>
      </c>
    </row>
    <row r="11" spans="2:13" x14ac:dyDescent="0.3">
      <c r="B11" s="40" t="s">
        <v>85</v>
      </c>
      <c r="C11" s="37">
        <v>1467339.33333333</v>
      </c>
      <c r="F11" s="40" t="s">
        <v>85</v>
      </c>
      <c r="G11" s="41">
        <f>SUM(G9:G10)</f>
        <v>1284619.3333333333</v>
      </c>
      <c r="M11" s="34"/>
    </row>
    <row r="12" spans="2:13" x14ac:dyDescent="0.3">
      <c r="B12" s="16" t="s">
        <v>197</v>
      </c>
      <c r="C12" s="37">
        <v>1.8023708333333299</v>
      </c>
      <c r="F12" s="16" t="s">
        <v>202</v>
      </c>
      <c r="G12" s="37">
        <f>'Cost Model'!C85</f>
        <v>1.2015805555555554</v>
      </c>
      <c r="M12" s="7"/>
    </row>
    <row r="13" spans="2:13" x14ac:dyDescent="0.3">
      <c r="B13" s="16" t="s">
        <v>198</v>
      </c>
      <c r="C13" s="37">
        <v>7.3685</v>
      </c>
      <c r="F13" s="16" t="s">
        <v>203</v>
      </c>
      <c r="G13" s="37">
        <f>'Cost Model'!C86</f>
        <v>4.1509999999999998</v>
      </c>
    </row>
    <row r="14" spans="2:13" x14ac:dyDescent="0.3">
      <c r="B14" s="16" t="s">
        <v>201</v>
      </c>
      <c r="C14" s="37">
        <v>9.1708708333333302</v>
      </c>
      <c r="F14" s="16" t="s">
        <v>204</v>
      </c>
      <c r="G14" s="37">
        <f>SUM(G12:G13)</f>
        <v>5.352580555555555</v>
      </c>
    </row>
    <row r="15" spans="2:13" x14ac:dyDescent="0.3">
      <c r="B15" s="16" t="s">
        <v>196</v>
      </c>
      <c r="C15" s="16">
        <v>1.5</v>
      </c>
      <c r="F15" s="16" t="s">
        <v>196</v>
      </c>
      <c r="G15" s="16">
        <v>1.5</v>
      </c>
    </row>
    <row r="16" spans="2:13" x14ac:dyDescent="0.3">
      <c r="B16" s="48"/>
      <c r="G16" s="49"/>
    </row>
    <row r="17" spans="2:13" x14ac:dyDescent="0.3">
      <c r="B17" s="50" t="s">
        <v>200</v>
      </c>
      <c r="C17" s="5"/>
      <c r="F17" s="51" t="s">
        <v>205</v>
      </c>
      <c r="G17" s="49"/>
    </row>
    <row r="18" spans="2:13" x14ac:dyDescent="0.3">
      <c r="B18" s="37">
        <f>C14*(1+C15)</f>
        <v>22.927177083333326</v>
      </c>
      <c r="C18" s="52"/>
      <c r="F18" s="37">
        <f>G14*(1+G15)</f>
        <v>13.381451388888888</v>
      </c>
      <c r="G18" s="49"/>
    </row>
    <row r="19" spans="2:13" x14ac:dyDescent="0.3">
      <c r="B19" s="48"/>
      <c r="G19" s="49"/>
    </row>
    <row r="20" spans="2:13" x14ac:dyDescent="0.3">
      <c r="B20" s="50" t="s">
        <v>206</v>
      </c>
      <c r="F20" s="51" t="s">
        <v>207</v>
      </c>
      <c r="G20" s="49"/>
      <c r="K20" s="34"/>
      <c r="M20" s="34"/>
    </row>
    <row r="21" spans="2:13" x14ac:dyDescent="0.3">
      <c r="B21" s="37">
        <f>B18-C14</f>
        <v>13.756306249999996</v>
      </c>
      <c r="F21" s="37">
        <f>F18-G14</f>
        <v>8.0288708333333325</v>
      </c>
      <c r="G21" s="49"/>
    </row>
    <row r="22" spans="2:13" x14ac:dyDescent="0.3">
      <c r="B22" s="48"/>
      <c r="G22" s="49"/>
    </row>
    <row r="23" spans="2:13" x14ac:dyDescent="0.3">
      <c r="B23" s="48"/>
      <c r="G23" s="49"/>
    </row>
    <row r="24" spans="2:13" x14ac:dyDescent="0.3">
      <c r="B24" s="50" t="s">
        <v>209</v>
      </c>
      <c r="F24" s="51" t="s">
        <v>209</v>
      </c>
      <c r="G24" s="49"/>
    </row>
    <row r="25" spans="2:13" x14ac:dyDescent="0.3">
      <c r="B25" s="44">
        <f>C11/B18</f>
        <v>63999.999999999876</v>
      </c>
      <c r="C25" s="53"/>
      <c r="D25" s="53"/>
      <c r="E25" s="53"/>
      <c r="F25" s="44">
        <f>G11/F18</f>
        <v>96000</v>
      </c>
      <c r="G25" s="54"/>
    </row>
    <row r="26" spans="2:13" x14ac:dyDescent="0.3">
      <c r="B26" s="34"/>
    </row>
  </sheetData>
  <scenarios current="0" show="0" sqref="I7">
    <scenario name="If variable cost increases" locked="1" count="14" user="SHARODINDU" comment="Created by SHARODINDU on 16-08-2024">
      <inputCells r="B9" val="Total Fixed Cost"/>
      <inputCells r="C9" val="288379.333333333"/>
      <inputCells r="B10" val="Total Variable Cost"/>
      <inputCells r="C10" val="1178960"/>
      <inputCells r="B11" val="Total Cost"/>
      <inputCells r="C11" val="1467339.33333333"/>
      <inputCells r="B12" val="Fixed Cost/ Cone"/>
      <inputCells r="C12" val="1.80237083333333"/>
      <inputCells r="B13" val="Variable Cost/ Cone"/>
      <inputCells r="C13" val="7.3685"/>
      <inputCells r="B14" val="Total Cost/ Cone"/>
      <inputCells r="C14" val="9.17087083333333"/>
      <inputCells r="B15" val="Desired Profit margin"/>
      <inputCells r="C15" val="1.5"/>
    </scenario>
    <scenario name="If VC increases" locked="1" count="14" user="SHARODINDU" comment="Created by SHARODINDU on 17-08-2024">
      <inputCells r="B9" val="Total Fixed Cost"/>
      <inputCells r="C9" val="288379.333333333" numFmtId="166"/>
      <inputCells r="B10" val="Total Variable Cost"/>
      <inputCells r="C10" val="1178960" numFmtId="166"/>
      <inputCells r="B11" val="Total Cost"/>
      <inputCells r="C11" val="1467339.33333333" numFmtId="166"/>
      <inputCells r="B12" val="Fixed Cost/ Cone"/>
      <inputCells r="C12" val="1.80237083333333" numFmtId="166"/>
      <inputCells r="B13" val="Variable Cost/ Cone"/>
      <inputCells r="C13" val="7.3685" numFmtId="166"/>
      <inputCells r="B14" val="Total Cost/ Cone"/>
      <inputCells r="C14" val="9.17087083333333" numFmtId="166"/>
      <inputCells r="B15" val="Desired Profit margin"/>
      <inputCells r="C15" val="1.5"/>
    </scenario>
  </scenarios>
  <mergeCells count="5">
    <mergeCell ref="B3:G3"/>
    <mergeCell ref="B8:C8"/>
    <mergeCell ref="F8:G8"/>
    <mergeCell ref="F6:G6"/>
    <mergeCell ref="B6:C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C635-A56A-48E8-B9C3-DFFA225A529D}">
  <sheetPr>
    <tabColor theme="5" tint="0.39997558519241921"/>
  </sheetPr>
  <dimension ref="B3:I26"/>
  <sheetViews>
    <sheetView showGridLines="0" topLeftCell="A4" workbookViewId="0">
      <selection activeCell="L16" sqref="L16"/>
    </sheetView>
  </sheetViews>
  <sheetFormatPr defaultRowHeight="14.4" x14ac:dyDescent="0.3"/>
  <cols>
    <col min="1" max="1" width="2.33203125" customWidth="1"/>
    <col min="2" max="2" width="39.5546875" bestFit="1" customWidth="1"/>
    <col min="3" max="3" width="13.21875" bestFit="1" customWidth="1"/>
    <col min="5" max="5" width="13.5546875" bestFit="1" customWidth="1"/>
    <col min="8" max="8" width="26.109375" bestFit="1" customWidth="1"/>
  </cols>
  <sheetData>
    <row r="3" spans="2:9" x14ac:dyDescent="0.3">
      <c r="B3" s="104" t="s">
        <v>189</v>
      </c>
      <c r="C3" s="104"/>
    </row>
    <row r="4" spans="2:9" x14ac:dyDescent="0.3">
      <c r="B4" s="47"/>
      <c r="C4" s="47"/>
      <c r="E4" s="47"/>
      <c r="F4" s="47"/>
      <c r="H4" s="47"/>
      <c r="I4" s="47"/>
    </row>
    <row r="5" spans="2:9" x14ac:dyDescent="0.3">
      <c r="B5" s="47"/>
      <c r="C5" s="47"/>
      <c r="E5" s="47"/>
      <c r="F5" s="47"/>
      <c r="H5" s="47"/>
      <c r="I5" s="47"/>
    </row>
    <row r="6" spans="2:9" x14ac:dyDescent="0.3">
      <c r="B6" s="105" t="s">
        <v>220</v>
      </c>
      <c r="C6" s="105"/>
      <c r="E6" s="47"/>
      <c r="F6" s="47"/>
      <c r="H6" s="47"/>
      <c r="I6" s="47"/>
    </row>
    <row r="7" spans="2:9" x14ac:dyDescent="0.3">
      <c r="B7" s="48"/>
      <c r="C7" s="49"/>
    </row>
    <row r="8" spans="2:9" x14ac:dyDescent="0.3">
      <c r="B8" s="21" t="s">
        <v>221</v>
      </c>
      <c r="C8" s="21" t="s">
        <v>222</v>
      </c>
    </row>
    <row r="9" spans="2:9" x14ac:dyDescent="0.3">
      <c r="B9" s="21" t="s">
        <v>86</v>
      </c>
      <c r="C9" s="32">
        <f>'Cost Model'!C38</f>
        <v>32083.333333333332</v>
      </c>
    </row>
    <row r="10" spans="2:9" x14ac:dyDescent="0.3">
      <c r="B10" s="21" t="s">
        <v>87</v>
      </c>
      <c r="C10" s="32">
        <f>SUM('Cost Model'!G24,'Cost Model'!G26)</f>
        <v>153600</v>
      </c>
    </row>
    <row r="11" spans="2:9" x14ac:dyDescent="0.3">
      <c r="B11" s="21" t="s">
        <v>217</v>
      </c>
      <c r="C11" s="32">
        <f>'Cost Model'!G31</f>
        <v>1696</v>
      </c>
    </row>
    <row r="12" spans="2:9" x14ac:dyDescent="0.3">
      <c r="B12" s="21" t="s">
        <v>214</v>
      </c>
      <c r="C12" s="32">
        <f>SUM('Cost Model'!G32,'Cost Model'!G25)</f>
        <v>101000</v>
      </c>
    </row>
    <row r="13" spans="2:9" x14ac:dyDescent="0.3">
      <c r="B13" s="21" t="s">
        <v>88</v>
      </c>
      <c r="C13" s="32">
        <f>SUM(C9:C11)</f>
        <v>187379.33333333334</v>
      </c>
    </row>
    <row r="14" spans="2:9" x14ac:dyDescent="0.3">
      <c r="B14" s="16"/>
      <c r="C14" s="37"/>
    </row>
    <row r="15" spans="2:9" x14ac:dyDescent="0.3">
      <c r="B15" s="21" t="s">
        <v>90</v>
      </c>
      <c r="C15" s="32">
        <f>'Cost Model'!C73</f>
        <v>1178960</v>
      </c>
    </row>
    <row r="16" spans="2:9" x14ac:dyDescent="0.3">
      <c r="B16" s="16"/>
      <c r="C16" s="37"/>
    </row>
    <row r="17" spans="2:3" x14ac:dyDescent="0.3">
      <c r="B17" s="21" t="s">
        <v>91</v>
      </c>
      <c r="C17" s="32">
        <f>SUM(C13,C15)</f>
        <v>1366339.3333333333</v>
      </c>
    </row>
    <row r="18" spans="2:3" x14ac:dyDescent="0.3">
      <c r="B18" s="48"/>
      <c r="C18" s="49"/>
    </row>
    <row r="19" spans="2:3" x14ac:dyDescent="0.3">
      <c r="B19" s="21" t="s">
        <v>192</v>
      </c>
      <c r="C19" s="20">
        <f>C10/C17*100</f>
        <v>11.241716918540003</v>
      </c>
    </row>
    <row r="20" spans="2:3" x14ac:dyDescent="0.3">
      <c r="B20" s="21" t="s">
        <v>219</v>
      </c>
      <c r="C20" s="38">
        <f>C11/C17*100</f>
        <v>0.12412729097554585</v>
      </c>
    </row>
    <row r="21" spans="2:3" x14ac:dyDescent="0.3">
      <c r="B21" s="21" t="s">
        <v>193</v>
      </c>
      <c r="C21" s="20">
        <f>C9/C17*100</f>
        <v>2.3481233797948682</v>
      </c>
    </row>
    <row r="22" spans="2:3" x14ac:dyDescent="0.3">
      <c r="B22" s="21" t="s">
        <v>194</v>
      </c>
      <c r="C22" s="20">
        <f>C15/C17*100</f>
        <v>86.2860324106896</v>
      </c>
    </row>
    <row r="23" spans="2:3" x14ac:dyDescent="0.3">
      <c r="B23" s="21" t="s">
        <v>218</v>
      </c>
      <c r="C23" s="20">
        <f>C12/C17*100</f>
        <v>7.3920143800295586</v>
      </c>
    </row>
    <row r="24" spans="2:3" x14ac:dyDescent="0.3">
      <c r="B24" s="48"/>
      <c r="C24" s="49"/>
    </row>
    <row r="25" spans="2:3" x14ac:dyDescent="0.3">
      <c r="B25" s="21" t="s">
        <v>190</v>
      </c>
      <c r="C25" s="20">
        <f>C13/C17*100</f>
        <v>13.713967589310416</v>
      </c>
    </row>
    <row r="26" spans="2:3" x14ac:dyDescent="0.3">
      <c r="B26" s="21" t="s">
        <v>191</v>
      </c>
      <c r="C26" s="20">
        <f>C15/C17*100</f>
        <v>86.2860324106896</v>
      </c>
    </row>
  </sheetData>
  <mergeCells count="2">
    <mergeCell ref="B3:C3"/>
    <mergeCell ref="B6:C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F657B-C7B9-4959-AE8C-8509881385BE}">
  <sheetPr>
    <tabColor theme="5" tint="0.39997558519241921"/>
  </sheetPr>
  <dimension ref="A1"/>
  <sheetViews>
    <sheetView showGridLines="0" workbookViewId="0">
      <selection activeCell="S23" sqref="S23"/>
    </sheetView>
  </sheetViews>
  <sheetFormatPr defaultRowHeight="14.4" x14ac:dyDescent="0.3"/>
  <cols>
    <col min="1" max="1" width="2.33203125" customWidth="1"/>
    <col min="27" max="27" width="2.3320312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608F-8CC9-483B-87CF-4EC4BA1D50E4}">
  <dimension ref="B2:AC56"/>
  <sheetViews>
    <sheetView topLeftCell="O1" workbookViewId="0">
      <selection activeCell="I21" sqref="I21:N23"/>
    </sheetView>
  </sheetViews>
  <sheetFormatPr defaultRowHeight="14.4" x14ac:dyDescent="0.3"/>
  <cols>
    <col min="1" max="1" width="2.33203125" customWidth="1"/>
    <col min="2" max="2" width="17.88671875" bestFit="1" customWidth="1"/>
    <col min="3" max="3" width="12.21875" bestFit="1" customWidth="1"/>
    <col min="4" max="4" width="12.88671875" bestFit="1" customWidth="1"/>
    <col min="5" max="5" width="10.109375" bestFit="1" customWidth="1"/>
    <col min="7" max="7" width="9.21875" bestFit="1" customWidth="1"/>
    <col min="8" max="8" width="12.21875" bestFit="1" customWidth="1"/>
    <col min="9" max="9" width="18" bestFit="1" customWidth="1"/>
    <col min="10" max="10" width="9.5546875" bestFit="1" customWidth="1"/>
    <col min="11" max="11" width="14.109375" bestFit="1" customWidth="1"/>
    <col min="12" max="12" width="29.33203125" bestFit="1" customWidth="1"/>
    <col min="13" max="13" width="19.21875" bestFit="1" customWidth="1"/>
    <col min="14" max="14" width="24.5546875" bestFit="1" customWidth="1"/>
    <col min="15" max="15" width="12.77734375" bestFit="1" customWidth="1"/>
    <col min="16" max="16" width="12.88671875" bestFit="1" customWidth="1"/>
    <col min="17" max="17" width="9.33203125" bestFit="1" customWidth="1"/>
    <col min="18" max="18" width="12" bestFit="1" customWidth="1"/>
    <col min="19" max="19" width="9.33203125" bestFit="1" customWidth="1"/>
    <col min="25" max="25" width="19.5546875" bestFit="1" customWidth="1"/>
    <col min="27" max="27" width="32.44140625" bestFit="1" customWidth="1"/>
    <col min="28" max="28" width="15.109375" bestFit="1" customWidth="1"/>
  </cols>
  <sheetData>
    <row r="2" spans="2:29" x14ac:dyDescent="0.3">
      <c r="B2" s="107" t="s">
        <v>101</v>
      </c>
      <c r="C2" s="108"/>
      <c r="D2" s="109"/>
      <c r="G2" s="107" t="s">
        <v>105</v>
      </c>
      <c r="H2" s="108"/>
      <c r="I2" s="108"/>
      <c r="J2" s="109"/>
      <c r="L2" s="107" t="s">
        <v>109</v>
      </c>
      <c r="M2" s="108"/>
      <c r="N2" s="73" t="s">
        <v>116</v>
      </c>
      <c r="O2" s="73" t="s">
        <v>180</v>
      </c>
      <c r="P2" s="74" t="s">
        <v>181</v>
      </c>
    </row>
    <row r="3" spans="2:29" x14ac:dyDescent="0.3">
      <c r="B3" s="48" t="s">
        <v>97</v>
      </c>
      <c r="C3" t="s">
        <v>92</v>
      </c>
      <c r="D3" s="49" t="s">
        <v>93</v>
      </c>
      <c r="G3" s="48" t="s">
        <v>104</v>
      </c>
      <c r="H3" t="s">
        <v>107</v>
      </c>
      <c r="I3" t="s">
        <v>106</v>
      </c>
      <c r="J3" s="49" t="s">
        <v>44</v>
      </c>
      <c r="L3" s="48" t="s">
        <v>97</v>
      </c>
      <c r="M3" t="s">
        <v>110</v>
      </c>
      <c r="N3">
        <f>M4*M5*M6</f>
        <v>24000</v>
      </c>
      <c r="O3">
        <f>N3/0.1</f>
        <v>240000</v>
      </c>
      <c r="P3" s="49">
        <f>N3/0.15</f>
        <v>160000</v>
      </c>
    </row>
    <row r="4" spans="2:29" x14ac:dyDescent="0.3">
      <c r="B4" s="48" t="s">
        <v>94</v>
      </c>
      <c r="C4" t="s">
        <v>98</v>
      </c>
      <c r="D4" s="77">
        <v>1500000</v>
      </c>
      <c r="G4" s="75" t="s">
        <v>102</v>
      </c>
      <c r="H4" s="53">
        <v>120</v>
      </c>
      <c r="I4" s="78">
        <v>5</v>
      </c>
      <c r="J4" s="54">
        <f>H4*I4</f>
        <v>600</v>
      </c>
      <c r="L4" s="48" t="s">
        <v>115</v>
      </c>
      <c r="M4">
        <v>100</v>
      </c>
      <c r="P4" s="49"/>
    </row>
    <row r="5" spans="2:29" x14ac:dyDescent="0.3">
      <c r="B5" s="48" t="s">
        <v>99</v>
      </c>
      <c r="C5" t="s">
        <v>100</v>
      </c>
      <c r="D5" s="77">
        <v>250000</v>
      </c>
      <c r="L5" s="48" t="s">
        <v>114</v>
      </c>
      <c r="M5">
        <v>8</v>
      </c>
      <c r="P5" s="49"/>
    </row>
    <row r="6" spans="2:29" x14ac:dyDescent="0.3">
      <c r="B6" s="48"/>
      <c r="D6" s="49"/>
      <c r="L6" s="48" t="s">
        <v>113</v>
      </c>
      <c r="M6">
        <v>30</v>
      </c>
      <c r="P6" s="49"/>
    </row>
    <row r="7" spans="2:29" x14ac:dyDescent="0.3">
      <c r="B7" s="75"/>
      <c r="C7" s="53" t="s">
        <v>187</v>
      </c>
      <c r="D7" s="76"/>
      <c r="L7" s="48" t="s">
        <v>112</v>
      </c>
      <c r="M7">
        <v>100</v>
      </c>
      <c r="P7" s="49"/>
    </row>
    <row r="8" spans="2:29" x14ac:dyDescent="0.3">
      <c r="L8" s="75" t="s">
        <v>111</v>
      </c>
      <c r="M8" s="53">
        <v>150</v>
      </c>
      <c r="N8" s="53"/>
      <c r="O8" s="53"/>
      <c r="P8" s="76"/>
    </row>
    <row r="10" spans="2:29" x14ac:dyDescent="0.3">
      <c r="Y10" s="106" t="s">
        <v>164</v>
      </c>
      <c r="Z10" s="106"/>
      <c r="AA10" s="106"/>
      <c r="AB10" s="106"/>
      <c r="AC10" s="106"/>
    </row>
    <row r="11" spans="2:29" x14ac:dyDescent="0.3">
      <c r="B11" s="107" t="s">
        <v>124</v>
      </c>
      <c r="C11" s="108"/>
      <c r="D11" s="108"/>
      <c r="E11" s="108"/>
      <c r="F11" s="108"/>
      <c r="G11" s="109"/>
      <c r="K11" s="107" t="s">
        <v>163</v>
      </c>
      <c r="L11" s="108"/>
      <c r="M11" s="108"/>
      <c r="N11" s="109"/>
      <c r="O11" s="107" t="s">
        <v>165</v>
      </c>
      <c r="P11" s="108"/>
      <c r="Q11" s="108"/>
      <c r="R11" s="108"/>
      <c r="S11" s="109"/>
      <c r="Y11" s="106" t="s">
        <v>136</v>
      </c>
      <c r="Z11" s="106"/>
      <c r="AA11" s="16" t="s">
        <v>162</v>
      </c>
      <c r="AB11" s="16"/>
      <c r="AC11" s="16"/>
    </row>
    <row r="12" spans="2:29" x14ac:dyDescent="0.3">
      <c r="B12" s="48" t="s">
        <v>97</v>
      </c>
      <c r="C12" t="s">
        <v>119</v>
      </c>
      <c r="D12" t="s">
        <v>120</v>
      </c>
      <c r="E12" t="s">
        <v>121</v>
      </c>
      <c r="F12" t="s">
        <v>122</v>
      </c>
      <c r="G12" s="49" t="s">
        <v>123</v>
      </c>
      <c r="K12" s="48" t="s">
        <v>97</v>
      </c>
      <c r="L12" t="s">
        <v>145</v>
      </c>
      <c r="M12" t="s">
        <v>134</v>
      </c>
      <c r="N12" s="49" t="s">
        <v>85</v>
      </c>
      <c r="O12" s="48" t="s">
        <v>145</v>
      </c>
      <c r="P12" t="s">
        <v>134</v>
      </c>
      <c r="Q12" t="s">
        <v>85</v>
      </c>
      <c r="R12" t="s">
        <v>145</v>
      </c>
      <c r="S12" s="49" t="s">
        <v>166</v>
      </c>
      <c r="Y12" s="16" t="s">
        <v>182</v>
      </c>
      <c r="Z12" s="16">
        <v>160000</v>
      </c>
      <c r="AA12" s="16">
        <v>16000</v>
      </c>
      <c r="AB12" s="16"/>
      <c r="AC12" s="16"/>
    </row>
    <row r="13" spans="2:29" x14ac:dyDescent="0.3">
      <c r="B13" s="48" t="s">
        <v>118</v>
      </c>
      <c r="C13">
        <v>3</v>
      </c>
      <c r="D13">
        <v>65</v>
      </c>
      <c r="E13">
        <v>8</v>
      </c>
      <c r="F13">
        <v>30</v>
      </c>
      <c r="G13" s="49">
        <f>C13*D13*E13*F13</f>
        <v>46800</v>
      </c>
      <c r="K13" s="48" t="s">
        <v>130</v>
      </c>
      <c r="L13">
        <v>12000</v>
      </c>
      <c r="M13">
        <v>40</v>
      </c>
      <c r="N13" s="77">
        <f>L13*M13</f>
        <v>480000</v>
      </c>
      <c r="O13" s="48">
        <f>Z41</f>
        <v>9600</v>
      </c>
      <c r="P13">
        <v>40</v>
      </c>
      <c r="Q13">
        <f>P13*O13</f>
        <v>384000</v>
      </c>
      <c r="R13">
        <f>SUM(O13,L13)</f>
        <v>21600</v>
      </c>
      <c r="S13" s="77">
        <f>R13*P13</f>
        <v>864000</v>
      </c>
      <c r="Y13" s="16" t="s">
        <v>183</v>
      </c>
      <c r="Z13" s="16">
        <v>150</v>
      </c>
      <c r="AA13" s="16"/>
      <c r="AB13" s="16"/>
      <c r="AC13" s="16"/>
    </row>
    <row r="14" spans="2:29" x14ac:dyDescent="0.3">
      <c r="B14" s="48" t="s">
        <v>125</v>
      </c>
      <c r="C14">
        <v>2</v>
      </c>
      <c r="D14">
        <v>65</v>
      </c>
      <c r="E14">
        <v>8</v>
      </c>
      <c r="F14">
        <v>30</v>
      </c>
      <c r="G14" s="49">
        <f>F14*E14*D14*C14</f>
        <v>31200</v>
      </c>
      <c r="K14" s="48" t="s">
        <v>135</v>
      </c>
      <c r="L14">
        <f>AB22</f>
        <v>3840</v>
      </c>
      <c r="M14">
        <v>30</v>
      </c>
      <c r="N14" s="77">
        <f>M14*L14</f>
        <v>115200</v>
      </c>
      <c r="O14" s="48">
        <f>Z46</f>
        <v>3600</v>
      </c>
      <c r="P14">
        <v>30</v>
      </c>
      <c r="Q14">
        <f t="shared" ref="Q14:Q16" si="0">P14*O14</f>
        <v>108000</v>
      </c>
      <c r="R14">
        <f t="shared" ref="R14:R16" si="1">SUM(O14,L14)</f>
        <v>7440</v>
      </c>
      <c r="S14" s="77">
        <f>R14*P14</f>
        <v>223200</v>
      </c>
      <c r="Y14" s="16" t="s">
        <v>184</v>
      </c>
      <c r="Z14" s="16">
        <f>Z12*Z13</f>
        <v>24000000</v>
      </c>
      <c r="AA14" s="16"/>
      <c r="AB14" s="16"/>
      <c r="AC14" s="16"/>
    </row>
    <row r="15" spans="2:29" x14ac:dyDescent="0.3">
      <c r="B15" s="48" t="s">
        <v>126</v>
      </c>
      <c r="C15">
        <v>1</v>
      </c>
      <c r="D15">
        <v>65</v>
      </c>
      <c r="E15">
        <v>8</v>
      </c>
      <c r="F15">
        <v>30</v>
      </c>
      <c r="G15" s="49">
        <f>F15*E15*D15*C15</f>
        <v>15600</v>
      </c>
      <c r="K15" s="48" t="s">
        <v>144</v>
      </c>
      <c r="L15">
        <f>Z26</f>
        <v>240</v>
      </c>
      <c r="M15">
        <v>20</v>
      </c>
      <c r="N15" s="77">
        <f>M15*L15</f>
        <v>4800</v>
      </c>
      <c r="O15" s="48">
        <f>Z51</f>
        <v>240</v>
      </c>
      <c r="P15">
        <v>20</v>
      </c>
      <c r="Q15">
        <f t="shared" si="0"/>
        <v>4800</v>
      </c>
      <c r="R15">
        <f t="shared" si="1"/>
        <v>480</v>
      </c>
      <c r="S15" s="77">
        <f>R15*P15</f>
        <v>9600</v>
      </c>
      <c r="Y15" s="16" t="s">
        <v>132</v>
      </c>
      <c r="Z15" s="16">
        <v>0.5</v>
      </c>
      <c r="AA15" s="16"/>
      <c r="AB15" s="16"/>
      <c r="AC15" s="16"/>
    </row>
    <row r="16" spans="2:29" x14ac:dyDescent="0.3">
      <c r="B16" s="48" t="s">
        <v>127</v>
      </c>
      <c r="C16">
        <v>1</v>
      </c>
      <c r="D16">
        <v>125</v>
      </c>
      <c r="E16">
        <v>8</v>
      </c>
      <c r="F16">
        <v>30</v>
      </c>
      <c r="G16" s="49">
        <f>F16*E16*D16*C16</f>
        <v>30000</v>
      </c>
      <c r="K16" s="75" t="s">
        <v>146</v>
      </c>
      <c r="L16" s="53">
        <f>Z31</f>
        <v>64</v>
      </c>
      <c r="M16" s="53">
        <v>15</v>
      </c>
      <c r="N16" s="54">
        <f>M16*L16</f>
        <v>960</v>
      </c>
      <c r="O16" s="75">
        <f>Z56</f>
        <v>96</v>
      </c>
      <c r="P16" s="53">
        <v>15</v>
      </c>
      <c r="Q16" s="53">
        <f t="shared" si="0"/>
        <v>1440</v>
      </c>
      <c r="R16" s="53">
        <f t="shared" si="1"/>
        <v>160</v>
      </c>
      <c r="S16" s="54">
        <f>R16*P16</f>
        <v>2400</v>
      </c>
      <c r="Y16" s="16" t="s">
        <v>133</v>
      </c>
      <c r="Z16" s="16">
        <f>Z14*Z15/1000</f>
        <v>12000</v>
      </c>
      <c r="AA16" s="16"/>
      <c r="AB16" s="16"/>
      <c r="AC16" s="16"/>
    </row>
    <row r="17" spans="2:29" x14ac:dyDescent="0.3">
      <c r="B17" s="75" t="s">
        <v>82</v>
      </c>
      <c r="C17" s="53">
        <v>1</v>
      </c>
      <c r="D17" s="53">
        <v>125</v>
      </c>
      <c r="E17" s="53">
        <v>8</v>
      </c>
      <c r="F17" s="53">
        <v>30</v>
      </c>
      <c r="G17" s="76">
        <f>F17*E17*D17*C17</f>
        <v>30000</v>
      </c>
      <c r="Y17" s="16"/>
      <c r="Z17" s="16"/>
      <c r="AA17" s="16"/>
      <c r="AB17" s="16"/>
      <c r="AC17" s="16"/>
    </row>
    <row r="18" spans="2:29" x14ac:dyDescent="0.3">
      <c r="Y18" s="106" t="s">
        <v>137</v>
      </c>
      <c r="Z18" s="106"/>
      <c r="AA18" s="16"/>
      <c r="AB18" s="16"/>
      <c r="AC18" s="16"/>
    </row>
    <row r="19" spans="2:29" x14ac:dyDescent="0.3">
      <c r="Y19" s="16" t="s">
        <v>138</v>
      </c>
      <c r="Z19" s="16">
        <v>0.15</v>
      </c>
      <c r="AA19" s="16" t="s">
        <v>139</v>
      </c>
      <c r="AB19" s="16" t="s">
        <v>140</v>
      </c>
      <c r="AC19" s="16"/>
    </row>
    <row r="20" spans="2:29" x14ac:dyDescent="0.3">
      <c r="Y20" s="16"/>
      <c r="Z20" s="16"/>
      <c r="AA20" s="16"/>
      <c r="AB20" s="16">
        <v>1.6</v>
      </c>
      <c r="AC20" s="16" t="s">
        <v>141</v>
      </c>
    </row>
    <row r="21" spans="2:29" x14ac:dyDescent="0.3">
      <c r="I21" s="72" t="s">
        <v>154</v>
      </c>
      <c r="J21" s="73"/>
      <c r="K21" s="73"/>
      <c r="L21" s="73"/>
      <c r="M21" s="73"/>
      <c r="N21" s="74"/>
      <c r="Y21" s="16"/>
      <c r="Z21" s="16">
        <f>Z19*AA12</f>
        <v>2400</v>
      </c>
      <c r="AA21" s="16"/>
      <c r="AB21" s="16" t="s">
        <v>142</v>
      </c>
      <c r="AC21" s="16"/>
    </row>
    <row r="22" spans="2:29" x14ac:dyDescent="0.3">
      <c r="I22" s="48" t="s">
        <v>97</v>
      </c>
      <c r="J22" t="s">
        <v>157</v>
      </c>
      <c r="K22" t="s">
        <v>156</v>
      </c>
      <c r="L22" t="s">
        <v>158</v>
      </c>
      <c r="M22" t="s">
        <v>159</v>
      </c>
      <c r="N22" s="49" t="s">
        <v>155</v>
      </c>
      <c r="Y22" s="16"/>
      <c r="Z22" s="16"/>
      <c r="AA22" s="16"/>
      <c r="AB22" s="16">
        <f>Z21*AB20</f>
        <v>3840</v>
      </c>
      <c r="AC22" s="16"/>
    </row>
    <row r="23" spans="2:29" x14ac:dyDescent="0.3">
      <c r="I23" s="75" t="s">
        <v>153</v>
      </c>
      <c r="J23" s="53">
        <v>1000</v>
      </c>
      <c r="K23" s="53">
        <v>99</v>
      </c>
      <c r="L23" s="53">
        <v>60</v>
      </c>
      <c r="M23" s="53">
        <v>20</v>
      </c>
      <c r="N23" s="76">
        <f>4*K23+J23</f>
        <v>1396</v>
      </c>
      <c r="Y23" s="106" t="s">
        <v>143</v>
      </c>
      <c r="Z23" s="106"/>
      <c r="AA23" s="16"/>
      <c r="AB23" s="16"/>
      <c r="AC23" s="16"/>
    </row>
    <row r="24" spans="2:29" x14ac:dyDescent="0.3">
      <c r="Y24" s="16" t="s">
        <v>144</v>
      </c>
      <c r="Z24" s="35">
        <v>1.4999999999999999E-2</v>
      </c>
      <c r="AA24" s="16"/>
      <c r="AB24" s="16"/>
      <c r="AC24" s="16"/>
    </row>
    <row r="25" spans="2:29" x14ac:dyDescent="0.3">
      <c r="Y25" s="16"/>
      <c r="Z25" s="16"/>
      <c r="AA25" s="16"/>
      <c r="AB25" s="16"/>
      <c r="AC25" s="16"/>
    </row>
    <row r="26" spans="2:29" x14ac:dyDescent="0.3">
      <c r="Y26" s="16"/>
      <c r="Z26" s="16">
        <f>Z24*AA12</f>
        <v>240</v>
      </c>
      <c r="AA26" s="16"/>
      <c r="AB26" s="16"/>
      <c r="AC26" s="16"/>
    </row>
    <row r="27" spans="2:29" x14ac:dyDescent="0.3">
      <c r="Y27" s="16"/>
      <c r="Z27" s="16"/>
      <c r="AA27" s="16"/>
      <c r="AB27" s="16"/>
      <c r="AC27" s="16"/>
    </row>
    <row r="28" spans="2:29" x14ac:dyDescent="0.3">
      <c r="Y28" s="106" t="s">
        <v>146</v>
      </c>
      <c r="Z28" s="106"/>
      <c r="AA28" s="16"/>
      <c r="AB28" s="16"/>
      <c r="AC28" s="16"/>
    </row>
    <row r="29" spans="2:29" x14ac:dyDescent="0.3">
      <c r="Y29" s="16" t="s">
        <v>146</v>
      </c>
      <c r="Z29" s="16">
        <v>4.0000000000000001E-3</v>
      </c>
      <c r="AA29" s="16"/>
      <c r="AB29" s="16"/>
      <c r="AC29" s="16"/>
    </row>
    <row r="30" spans="2:29" x14ac:dyDescent="0.3">
      <c r="Y30" s="16"/>
      <c r="Z30" s="16"/>
      <c r="AA30" s="16"/>
      <c r="AB30" s="16"/>
      <c r="AC30" s="16"/>
    </row>
    <row r="31" spans="2:29" x14ac:dyDescent="0.3">
      <c r="Y31" s="16"/>
      <c r="Z31" s="16">
        <f>Z29*AA12</f>
        <v>64</v>
      </c>
      <c r="AA31" s="16"/>
      <c r="AB31" s="16"/>
      <c r="AC31" s="16"/>
    </row>
    <row r="35" spans="25:29" x14ac:dyDescent="0.3">
      <c r="Y35" s="106" t="s">
        <v>164</v>
      </c>
      <c r="Z35" s="106"/>
      <c r="AA35" s="106"/>
      <c r="AB35" s="106"/>
      <c r="AC35" s="106"/>
    </row>
    <row r="36" spans="25:29" x14ac:dyDescent="0.3">
      <c r="Y36" s="106" t="s">
        <v>136</v>
      </c>
      <c r="Z36" s="106"/>
      <c r="AA36" s="16" t="s">
        <v>162</v>
      </c>
      <c r="AB36" s="16"/>
      <c r="AC36" s="16"/>
    </row>
    <row r="37" spans="25:29" x14ac:dyDescent="0.3">
      <c r="Y37" s="16" t="s">
        <v>7</v>
      </c>
      <c r="Z37" s="16">
        <v>240000</v>
      </c>
      <c r="AA37" s="16">
        <f>Z39/1000</f>
        <v>24000</v>
      </c>
      <c r="AB37" s="16"/>
      <c r="AC37" s="16"/>
    </row>
    <row r="38" spans="25:29" x14ac:dyDescent="0.3">
      <c r="Y38" s="16" t="s">
        <v>131</v>
      </c>
      <c r="Z38" s="16">
        <v>100</v>
      </c>
      <c r="AA38" s="16"/>
      <c r="AB38" s="16"/>
      <c r="AC38" s="16"/>
    </row>
    <row r="39" spans="25:29" x14ac:dyDescent="0.3">
      <c r="Y39" s="16"/>
      <c r="Z39" s="16">
        <f>Z37*Z38</f>
        <v>24000000</v>
      </c>
      <c r="AA39" s="16"/>
      <c r="AB39" s="16"/>
      <c r="AC39" s="16"/>
    </row>
    <row r="40" spans="25:29" x14ac:dyDescent="0.3">
      <c r="Y40" s="16" t="s">
        <v>132</v>
      </c>
      <c r="Z40" s="16">
        <v>0.4</v>
      </c>
      <c r="AA40" s="16"/>
      <c r="AB40" s="16"/>
      <c r="AC40" s="16"/>
    </row>
    <row r="41" spans="25:29" x14ac:dyDescent="0.3">
      <c r="Y41" s="16" t="s">
        <v>133</v>
      </c>
      <c r="Z41" s="16">
        <f>Z39*Z40/1000</f>
        <v>9600</v>
      </c>
      <c r="AA41" s="16"/>
      <c r="AB41" s="16"/>
      <c r="AC41" s="16"/>
    </row>
    <row r="42" spans="25:29" x14ac:dyDescent="0.3">
      <c r="Y42" s="16"/>
      <c r="Z42" s="16"/>
      <c r="AA42" s="16"/>
      <c r="AB42" s="16"/>
      <c r="AC42" s="16"/>
    </row>
    <row r="43" spans="25:29" x14ac:dyDescent="0.3">
      <c r="Y43" s="106" t="s">
        <v>137</v>
      </c>
      <c r="Z43" s="106"/>
      <c r="AA43" s="16"/>
      <c r="AB43" s="16"/>
      <c r="AC43" s="16"/>
    </row>
    <row r="44" spans="25:29" x14ac:dyDescent="0.3">
      <c r="Y44" s="16" t="s">
        <v>138</v>
      </c>
      <c r="Z44" s="16">
        <v>0.15</v>
      </c>
      <c r="AA44" s="16" t="s">
        <v>139</v>
      </c>
      <c r="AB44" s="16" t="s">
        <v>140</v>
      </c>
      <c r="AC44" s="16"/>
    </row>
    <row r="45" spans="25:29" x14ac:dyDescent="0.3">
      <c r="Y45" s="16"/>
      <c r="Z45" s="16"/>
      <c r="AA45" s="16"/>
      <c r="AB45" s="16">
        <v>1.6</v>
      </c>
      <c r="AC45" s="16" t="s">
        <v>141</v>
      </c>
    </row>
    <row r="46" spans="25:29" x14ac:dyDescent="0.3">
      <c r="Y46" s="16"/>
      <c r="Z46" s="16">
        <f>Z44*AA37</f>
        <v>3600</v>
      </c>
      <c r="AA46" s="16"/>
      <c r="AB46" s="16" t="s">
        <v>142</v>
      </c>
      <c r="AC46" s="16"/>
    </row>
    <row r="47" spans="25:29" x14ac:dyDescent="0.3">
      <c r="Y47" s="16"/>
      <c r="Z47" s="16"/>
      <c r="AA47" s="16"/>
      <c r="AB47" s="16">
        <f>Z46*AB45</f>
        <v>5760</v>
      </c>
      <c r="AC47" s="16"/>
    </row>
    <row r="48" spans="25:29" x14ac:dyDescent="0.3">
      <c r="Y48" s="106" t="s">
        <v>143</v>
      </c>
      <c r="Z48" s="106"/>
      <c r="AA48" s="16"/>
      <c r="AB48" s="16"/>
      <c r="AC48" s="16"/>
    </row>
    <row r="49" spans="25:29" x14ac:dyDescent="0.3">
      <c r="Y49" s="16" t="s">
        <v>144</v>
      </c>
      <c r="Z49" s="35">
        <v>0.01</v>
      </c>
      <c r="AA49" s="16"/>
      <c r="AB49" s="16"/>
      <c r="AC49" s="16"/>
    </row>
    <row r="50" spans="25:29" x14ac:dyDescent="0.3">
      <c r="Y50" s="16"/>
      <c r="Z50" s="16"/>
      <c r="AA50" s="16"/>
      <c r="AB50" s="16"/>
      <c r="AC50" s="16"/>
    </row>
    <row r="51" spans="25:29" x14ac:dyDescent="0.3">
      <c r="Y51" s="16"/>
      <c r="Z51" s="16">
        <f>Z49*AA37</f>
        <v>240</v>
      </c>
      <c r="AA51" s="16"/>
      <c r="AB51" s="16"/>
      <c r="AC51" s="16"/>
    </row>
    <row r="52" spans="25:29" x14ac:dyDescent="0.3">
      <c r="Y52" s="16"/>
      <c r="Z52" s="16"/>
      <c r="AA52" s="16"/>
      <c r="AB52" s="16"/>
      <c r="AC52" s="16"/>
    </row>
    <row r="53" spans="25:29" x14ac:dyDescent="0.3">
      <c r="Y53" s="106" t="s">
        <v>146</v>
      </c>
      <c r="Z53" s="106"/>
      <c r="AA53" s="16"/>
      <c r="AB53" s="16"/>
      <c r="AC53" s="16"/>
    </row>
    <row r="54" spans="25:29" x14ac:dyDescent="0.3">
      <c r="Y54" s="16" t="s">
        <v>146</v>
      </c>
      <c r="Z54" s="16">
        <v>4.0000000000000001E-3</v>
      </c>
      <c r="AA54" s="16"/>
      <c r="AB54" s="16"/>
      <c r="AC54" s="16"/>
    </row>
    <row r="55" spans="25:29" x14ac:dyDescent="0.3">
      <c r="Y55" s="16"/>
      <c r="Z55" s="16"/>
      <c r="AA55" s="16"/>
      <c r="AB55" s="16"/>
      <c r="AC55" s="16"/>
    </row>
    <row r="56" spans="25:29" x14ac:dyDescent="0.3">
      <c r="Y56" s="16"/>
      <c r="Z56" s="16">
        <f>Z54*AA37</f>
        <v>96</v>
      </c>
      <c r="AA56" s="16"/>
      <c r="AB56" s="16"/>
      <c r="AC56" s="16"/>
    </row>
  </sheetData>
  <mergeCells count="16">
    <mergeCell ref="B2:D2"/>
    <mergeCell ref="G2:J2"/>
    <mergeCell ref="L2:M2"/>
    <mergeCell ref="B11:G11"/>
    <mergeCell ref="K11:N11"/>
    <mergeCell ref="Y43:Z43"/>
    <mergeCell ref="Y48:Z48"/>
    <mergeCell ref="Y53:Z53"/>
    <mergeCell ref="O11:S11"/>
    <mergeCell ref="Y10:AC10"/>
    <mergeCell ref="Y35:AC35"/>
    <mergeCell ref="Y36:Z36"/>
    <mergeCell ref="Y11:Z11"/>
    <mergeCell ref="Y18:Z18"/>
    <mergeCell ref="Y23:Z23"/>
    <mergeCell ref="Y28:Z2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opLeftCell="A46" workbookViewId="0">
      <selection activeCell="F13" sqref="F13"/>
    </sheetView>
  </sheetViews>
  <sheetFormatPr defaultRowHeight="14.4" outlineLevelRow="2" x14ac:dyDescent="0.3"/>
  <cols>
    <col min="1" max="1" width="15" bestFit="1" customWidth="1"/>
    <col min="2" max="2" width="12.21875" bestFit="1" customWidth="1"/>
    <col min="3" max="3" width="9.33203125" bestFit="1" customWidth="1"/>
    <col min="4" max="4" width="10.33203125" bestFit="1" customWidth="1"/>
  </cols>
  <sheetData>
    <row r="1" spans="1:4" x14ac:dyDescent="0.3">
      <c r="A1" s="1" t="s">
        <v>0</v>
      </c>
      <c r="B1" s="1" t="s">
        <v>1</v>
      </c>
      <c r="C1" s="1" t="s">
        <v>36</v>
      </c>
      <c r="D1" s="1" t="s">
        <v>37</v>
      </c>
    </row>
    <row r="2" spans="1:4" outlineLevel="2" x14ac:dyDescent="0.3">
      <c r="A2" s="2" t="s">
        <v>17</v>
      </c>
      <c r="B2" s="2" t="s">
        <v>3</v>
      </c>
      <c r="C2" s="2" t="s">
        <v>4</v>
      </c>
      <c r="D2" s="3">
        <v>48582</v>
      </c>
    </row>
    <row r="3" spans="1:4" outlineLevel="2" x14ac:dyDescent="0.3">
      <c r="A3" s="2" t="s">
        <v>17</v>
      </c>
      <c r="B3" s="2" t="s">
        <v>3</v>
      </c>
      <c r="C3" s="2" t="s">
        <v>2</v>
      </c>
      <c r="D3" s="3">
        <v>36436</v>
      </c>
    </row>
    <row r="4" spans="1:4" outlineLevel="2" x14ac:dyDescent="0.3">
      <c r="A4" s="2" t="s">
        <v>17</v>
      </c>
      <c r="B4" s="2" t="s">
        <v>3</v>
      </c>
      <c r="C4" s="2" t="s">
        <v>6</v>
      </c>
      <c r="D4" s="3">
        <v>24290</v>
      </c>
    </row>
    <row r="5" spans="1:4" outlineLevel="2" x14ac:dyDescent="0.3">
      <c r="A5" s="2" t="s">
        <v>17</v>
      </c>
      <c r="B5" s="2" t="s">
        <v>3</v>
      </c>
      <c r="C5" s="2" t="s">
        <v>8</v>
      </c>
      <c r="D5" s="3">
        <v>52145</v>
      </c>
    </row>
    <row r="6" spans="1:4" outlineLevel="2" x14ac:dyDescent="0.3">
      <c r="A6" s="2" t="s">
        <v>17</v>
      </c>
      <c r="B6" s="2" t="s">
        <v>5</v>
      </c>
      <c r="C6" s="2" t="s">
        <v>4</v>
      </c>
      <c r="D6" s="3">
        <v>107840</v>
      </c>
    </row>
    <row r="7" spans="1:4" outlineLevel="2" x14ac:dyDescent="0.3">
      <c r="A7" s="2" t="s">
        <v>17</v>
      </c>
      <c r="B7" s="2" t="s">
        <v>5</v>
      </c>
      <c r="C7" s="2" t="s">
        <v>2</v>
      </c>
      <c r="D7" s="3">
        <v>155880</v>
      </c>
    </row>
    <row r="8" spans="1:4" outlineLevel="2" x14ac:dyDescent="0.3">
      <c r="A8" s="2" t="s">
        <v>17</v>
      </c>
      <c r="B8" s="2" t="s">
        <v>5</v>
      </c>
      <c r="C8" s="2" t="s">
        <v>6</v>
      </c>
      <c r="D8" s="3">
        <v>103920</v>
      </c>
    </row>
    <row r="9" spans="1:4" outlineLevel="2" x14ac:dyDescent="0.3">
      <c r="A9" s="2" t="s">
        <v>17</v>
      </c>
      <c r="B9" s="2" t="s">
        <v>5</v>
      </c>
      <c r="C9" s="2" t="s">
        <v>8</v>
      </c>
      <c r="D9" s="3">
        <v>21960</v>
      </c>
    </row>
    <row r="10" spans="1:4" outlineLevel="2" x14ac:dyDescent="0.3">
      <c r="A10" s="2" t="s">
        <v>17</v>
      </c>
      <c r="B10" s="2" t="s">
        <v>7</v>
      </c>
      <c r="C10" s="2" t="s">
        <v>4</v>
      </c>
      <c r="D10" s="3">
        <v>124290</v>
      </c>
    </row>
    <row r="11" spans="1:4" outlineLevel="2" x14ac:dyDescent="0.3">
      <c r="A11" s="2" t="s">
        <v>17</v>
      </c>
      <c r="B11" s="2" t="s">
        <v>7</v>
      </c>
      <c r="C11" s="2" t="s">
        <v>2</v>
      </c>
      <c r="D11" s="3">
        <v>93217</v>
      </c>
    </row>
    <row r="12" spans="1:4" outlineLevel="2" x14ac:dyDescent="0.3">
      <c r="A12" s="2" t="s">
        <v>17</v>
      </c>
      <c r="B12" s="2" t="s">
        <v>7</v>
      </c>
      <c r="C12" s="2" t="s">
        <v>6</v>
      </c>
      <c r="D12" s="3">
        <v>62145</v>
      </c>
    </row>
    <row r="13" spans="1:4" outlineLevel="2" x14ac:dyDescent="0.3">
      <c r="A13" s="2" t="s">
        <v>17</v>
      </c>
      <c r="B13" s="2" t="s">
        <v>7</v>
      </c>
      <c r="C13" s="2" t="s">
        <v>8</v>
      </c>
      <c r="D13" s="3">
        <v>31072</v>
      </c>
    </row>
    <row r="14" spans="1:4" outlineLevel="2" x14ac:dyDescent="0.3">
      <c r="A14" s="2" t="s">
        <v>17</v>
      </c>
      <c r="B14" s="2" t="s">
        <v>9</v>
      </c>
      <c r="C14" s="2" t="s">
        <v>4</v>
      </c>
      <c r="D14" s="3">
        <v>82860</v>
      </c>
    </row>
    <row r="15" spans="1:4" outlineLevel="2" x14ac:dyDescent="0.3">
      <c r="A15" s="2" t="s">
        <v>17</v>
      </c>
      <c r="B15" s="2" t="s">
        <v>9</v>
      </c>
      <c r="C15" s="2" t="s">
        <v>2</v>
      </c>
      <c r="D15" s="3">
        <v>62145</v>
      </c>
    </row>
    <row r="16" spans="1:4" outlineLevel="2" x14ac:dyDescent="0.3">
      <c r="A16" s="2" t="s">
        <v>17</v>
      </c>
      <c r="B16" s="2" t="s">
        <v>9</v>
      </c>
      <c r="C16" s="2" t="s">
        <v>6</v>
      </c>
      <c r="D16" s="3">
        <v>41430</v>
      </c>
    </row>
    <row r="17" spans="1:4" outlineLevel="2" x14ac:dyDescent="0.3">
      <c r="A17" s="2" t="s">
        <v>17</v>
      </c>
      <c r="B17" s="2" t="s">
        <v>9</v>
      </c>
      <c r="C17" s="2" t="s">
        <v>8</v>
      </c>
      <c r="D17" s="3">
        <v>20715</v>
      </c>
    </row>
    <row r="18" spans="1:4" outlineLevel="2" x14ac:dyDescent="0.3">
      <c r="A18" s="2" t="s">
        <v>17</v>
      </c>
      <c r="B18" s="2" t="s">
        <v>10</v>
      </c>
      <c r="C18" s="2" t="s">
        <v>4</v>
      </c>
      <c r="D18" s="3">
        <v>124290</v>
      </c>
    </row>
    <row r="19" spans="1:4" outlineLevel="2" x14ac:dyDescent="0.3">
      <c r="A19" s="2" t="s">
        <v>17</v>
      </c>
      <c r="B19" s="2" t="s">
        <v>10</v>
      </c>
      <c r="C19" s="2" t="s">
        <v>2</v>
      </c>
      <c r="D19" s="3">
        <v>93217</v>
      </c>
    </row>
    <row r="20" spans="1:4" outlineLevel="2" x14ac:dyDescent="0.3">
      <c r="A20" s="2" t="s">
        <v>17</v>
      </c>
      <c r="B20" s="2" t="s">
        <v>10</v>
      </c>
      <c r="C20" s="2" t="s">
        <v>6</v>
      </c>
      <c r="D20" s="3">
        <v>62145</v>
      </c>
    </row>
    <row r="21" spans="1:4" outlineLevel="2" x14ac:dyDescent="0.3">
      <c r="A21" s="2" t="s">
        <v>17</v>
      </c>
      <c r="B21" s="2" t="s">
        <v>10</v>
      </c>
      <c r="C21" s="2" t="s">
        <v>8</v>
      </c>
      <c r="D21" s="3">
        <v>31072</v>
      </c>
    </row>
    <row r="22" spans="1:4" outlineLevel="2" x14ac:dyDescent="0.3">
      <c r="A22" s="2" t="s">
        <v>17</v>
      </c>
      <c r="B22" s="2" t="s">
        <v>8</v>
      </c>
      <c r="C22" s="2" t="s">
        <v>4</v>
      </c>
      <c r="D22" s="3">
        <v>20715</v>
      </c>
    </row>
    <row r="23" spans="1:4" outlineLevel="2" x14ac:dyDescent="0.3">
      <c r="A23" s="2" t="s">
        <v>17</v>
      </c>
      <c r="B23" s="2" t="s">
        <v>8</v>
      </c>
      <c r="C23" s="2" t="s">
        <v>2</v>
      </c>
      <c r="D23" s="3">
        <v>15536</v>
      </c>
    </row>
    <row r="24" spans="1:4" outlineLevel="2" x14ac:dyDescent="0.3">
      <c r="A24" s="2" t="s">
        <v>17</v>
      </c>
      <c r="B24" s="2" t="s">
        <v>8</v>
      </c>
      <c r="C24" s="2" t="s">
        <v>6</v>
      </c>
      <c r="D24" s="3">
        <v>10357</v>
      </c>
    </row>
    <row r="25" spans="1:4" outlineLevel="2" x14ac:dyDescent="0.3">
      <c r="A25" s="2" t="s">
        <v>17</v>
      </c>
      <c r="B25" s="2" t="s">
        <v>8</v>
      </c>
      <c r="C25" s="2" t="s">
        <v>8</v>
      </c>
      <c r="D25" s="3">
        <v>5178</v>
      </c>
    </row>
    <row r="26" spans="1:4" outlineLevel="1" x14ac:dyDescent="0.3">
      <c r="A26" s="4" t="s">
        <v>28</v>
      </c>
      <c r="B26" s="2">
        <f>SUBTOTAL(9,B2:B25)</f>
        <v>0</v>
      </c>
      <c r="C26" s="2">
        <f>SUBTOTAL(9,C2:C25)</f>
        <v>0</v>
      </c>
      <c r="D26" s="3">
        <f>SUBTOTAL(9,D2:D25)</f>
        <v>1431437</v>
      </c>
    </row>
    <row r="27" spans="1:4" outlineLevel="2" x14ac:dyDescent="0.3">
      <c r="A27" s="2" t="s">
        <v>11</v>
      </c>
      <c r="B27" s="2" t="s">
        <v>3</v>
      </c>
      <c r="C27" s="2" t="s">
        <v>4</v>
      </c>
      <c r="D27" s="3">
        <v>70582</v>
      </c>
    </row>
    <row r="28" spans="1:4" outlineLevel="2" x14ac:dyDescent="0.3">
      <c r="A28" s="2" t="s">
        <v>11</v>
      </c>
      <c r="B28" s="2" t="s">
        <v>3</v>
      </c>
      <c r="C28" s="2" t="s">
        <v>2</v>
      </c>
      <c r="D28" s="3">
        <v>60000</v>
      </c>
    </row>
    <row r="29" spans="1:4" outlineLevel="2" x14ac:dyDescent="0.3">
      <c r="A29" s="2" t="s">
        <v>11</v>
      </c>
      <c r="B29" s="2" t="s">
        <v>3</v>
      </c>
      <c r="C29" s="2" t="s">
        <v>6</v>
      </c>
      <c r="D29" s="3">
        <v>40000</v>
      </c>
    </row>
    <row r="30" spans="1:4" outlineLevel="2" x14ac:dyDescent="0.3">
      <c r="A30" s="2" t="s">
        <v>11</v>
      </c>
      <c r="B30" s="2" t="s">
        <v>3</v>
      </c>
      <c r="C30" s="2" t="s">
        <v>8</v>
      </c>
      <c r="D30" s="3">
        <v>25000</v>
      </c>
    </row>
    <row r="31" spans="1:4" outlineLevel="2" x14ac:dyDescent="0.3">
      <c r="A31" s="2" t="s">
        <v>11</v>
      </c>
      <c r="B31" s="2" t="s">
        <v>5</v>
      </c>
      <c r="C31" s="2" t="s">
        <v>4</v>
      </c>
      <c r="D31" s="3">
        <v>207840</v>
      </c>
    </row>
    <row r="32" spans="1:4" outlineLevel="2" x14ac:dyDescent="0.3">
      <c r="A32" s="2" t="s">
        <v>11</v>
      </c>
      <c r="B32" s="2" t="s">
        <v>5</v>
      </c>
      <c r="C32" s="2" t="s">
        <v>2</v>
      </c>
      <c r="D32" s="3">
        <v>155880</v>
      </c>
    </row>
    <row r="33" spans="1:4" outlineLevel="2" x14ac:dyDescent="0.3">
      <c r="A33" s="2" t="s">
        <v>11</v>
      </c>
      <c r="B33" s="2" t="s">
        <v>5</v>
      </c>
      <c r="C33" s="2" t="s">
        <v>6</v>
      </c>
      <c r="D33" s="3">
        <v>103920</v>
      </c>
    </row>
    <row r="34" spans="1:4" outlineLevel="2" x14ac:dyDescent="0.3">
      <c r="A34" s="2" t="s">
        <v>11</v>
      </c>
      <c r="B34" s="2" t="s">
        <v>5</v>
      </c>
      <c r="C34" s="2" t="s">
        <v>8</v>
      </c>
      <c r="D34" s="3">
        <v>51960</v>
      </c>
    </row>
    <row r="35" spans="1:4" outlineLevel="2" x14ac:dyDescent="0.3">
      <c r="A35" s="2" t="s">
        <v>11</v>
      </c>
      <c r="B35" s="2" t="s">
        <v>7</v>
      </c>
      <c r="C35" s="2" t="s">
        <v>4</v>
      </c>
      <c r="D35" s="3">
        <v>124290</v>
      </c>
    </row>
    <row r="36" spans="1:4" outlineLevel="2" x14ac:dyDescent="0.3">
      <c r="A36" s="2" t="s">
        <v>11</v>
      </c>
      <c r="B36" s="2" t="s">
        <v>7</v>
      </c>
      <c r="C36" s="2" t="s">
        <v>2</v>
      </c>
      <c r="D36" s="3">
        <v>93217</v>
      </c>
    </row>
    <row r="37" spans="1:4" outlineLevel="2" x14ac:dyDescent="0.3">
      <c r="A37" s="2" t="s">
        <v>11</v>
      </c>
      <c r="B37" s="2" t="s">
        <v>7</v>
      </c>
      <c r="C37" s="2" t="s">
        <v>6</v>
      </c>
      <c r="D37" s="3">
        <v>62145</v>
      </c>
    </row>
    <row r="38" spans="1:4" outlineLevel="2" x14ac:dyDescent="0.3">
      <c r="A38" s="2" t="s">
        <v>11</v>
      </c>
      <c r="B38" s="2" t="s">
        <v>7</v>
      </c>
      <c r="C38" s="2" t="s">
        <v>8</v>
      </c>
      <c r="D38" s="3">
        <v>31072</v>
      </c>
    </row>
    <row r="39" spans="1:4" outlineLevel="2" x14ac:dyDescent="0.3">
      <c r="A39" s="2" t="s">
        <v>11</v>
      </c>
      <c r="B39" s="2" t="s">
        <v>9</v>
      </c>
      <c r="C39" s="2" t="s">
        <v>4</v>
      </c>
      <c r="D39" s="3">
        <v>82860</v>
      </c>
    </row>
    <row r="40" spans="1:4" outlineLevel="2" x14ac:dyDescent="0.3">
      <c r="A40" s="2" t="s">
        <v>11</v>
      </c>
      <c r="B40" s="2" t="s">
        <v>9</v>
      </c>
      <c r="C40" s="2" t="s">
        <v>2</v>
      </c>
      <c r="D40" s="3">
        <v>62145</v>
      </c>
    </row>
    <row r="41" spans="1:4" outlineLevel="2" x14ac:dyDescent="0.3">
      <c r="A41" s="2" t="s">
        <v>11</v>
      </c>
      <c r="B41" s="2" t="s">
        <v>9</v>
      </c>
      <c r="C41" s="2" t="s">
        <v>6</v>
      </c>
      <c r="D41" s="3">
        <v>41430</v>
      </c>
    </row>
    <row r="42" spans="1:4" outlineLevel="2" x14ac:dyDescent="0.3">
      <c r="A42" s="2" t="s">
        <v>11</v>
      </c>
      <c r="B42" s="2" t="s">
        <v>9</v>
      </c>
      <c r="C42" s="2" t="s">
        <v>8</v>
      </c>
      <c r="D42" s="3">
        <v>20715</v>
      </c>
    </row>
    <row r="43" spans="1:4" outlineLevel="2" x14ac:dyDescent="0.3">
      <c r="A43" s="2" t="s">
        <v>11</v>
      </c>
      <c r="B43" s="2" t="s">
        <v>10</v>
      </c>
      <c r="C43" s="2" t="s">
        <v>4</v>
      </c>
      <c r="D43" s="3">
        <v>124290</v>
      </c>
    </row>
    <row r="44" spans="1:4" outlineLevel="2" x14ac:dyDescent="0.3">
      <c r="A44" s="2" t="s">
        <v>11</v>
      </c>
      <c r="B44" s="2" t="s">
        <v>10</v>
      </c>
      <c r="C44" s="2" t="s">
        <v>2</v>
      </c>
      <c r="D44" s="3">
        <v>93217</v>
      </c>
    </row>
    <row r="45" spans="1:4" outlineLevel="2" x14ac:dyDescent="0.3">
      <c r="A45" s="2" t="s">
        <v>11</v>
      </c>
      <c r="B45" s="2" t="s">
        <v>10</v>
      </c>
      <c r="C45" s="2" t="s">
        <v>6</v>
      </c>
      <c r="D45" s="3">
        <v>62145</v>
      </c>
    </row>
    <row r="46" spans="1:4" outlineLevel="2" x14ac:dyDescent="0.3">
      <c r="A46" s="2" t="s">
        <v>11</v>
      </c>
      <c r="B46" s="2" t="s">
        <v>10</v>
      </c>
      <c r="C46" s="2" t="s">
        <v>8</v>
      </c>
      <c r="D46" s="3">
        <v>31072</v>
      </c>
    </row>
    <row r="47" spans="1:4" outlineLevel="2" x14ac:dyDescent="0.3">
      <c r="A47" s="2" t="s">
        <v>11</v>
      </c>
      <c r="B47" s="2" t="s">
        <v>8</v>
      </c>
      <c r="C47" s="2" t="s">
        <v>4</v>
      </c>
      <c r="D47" s="3">
        <v>20715</v>
      </c>
    </row>
    <row r="48" spans="1:4" outlineLevel="2" x14ac:dyDescent="0.3">
      <c r="A48" s="2" t="s">
        <v>11</v>
      </c>
      <c r="B48" s="2" t="s">
        <v>8</v>
      </c>
      <c r="C48" s="2" t="s">
        <v>2</v>
      </c>
      <c r="D48" s="3">
        <v>15536</v>
      </c>
    </row>
    <row r="49" spans="1:4" outlineLevel="2" x14ac:dyDescent="0.3">
      <c r="A49" s="2" t="s">
        <v>11</v>
      </c>
      <c r="B49" s="2" t="s">
        <v>8</v>
      </c>
      <c r="C49" s="2" t="s">
        <v>6</v>
      </c>
      <c r="D49" s="3">
        <v>10357</v>
      </c>
    </row>
    <row r="50" spans="1:4" outlineLevel="2" x14ac:dyDescent="0.3">
      <c r="A50" s="2" t="s">
        <v>11</v>
      </c>
      <c r="B50" s="2" t="s">
        <v>8</v>
      </c>
      <c r="C50" s="2" t="s">
        <v>8</v>
      </c>
      <c r="D50" s="3">
        <v>5178</v>
      </c>
    </row>
    <row r="51" spans="1:4" outlineLevel="1" x14ac:dyDescent="0.3">
      <c r="A51" s="4" t="s">
        <v>12</v>
      </c>
      <c r="B51" s="2">
        <f>SUBTOTAL(9,B27:B50)</f>
        <v>0</v>
      </c>
      <c r="C51" s="2">
        <f>SUBTOTAL(9,C27:C50)</f>
        <v>0</v>
      </c>
      <c r="D51" s="3">
        <f>SUBTOTAL(9,D27:D50)</f>
        <v>1595566</v>
      </c>
    </row>
    <row r="52" spans="1:4" outlineLevel="2" x14ac:dyDescent="0.3">
      <c r="A52" s="2" t="s">
        <v>18</v>
      </c>
      <c r="B52" s="2" t="s">
        <v>3</v>
      </c>
      <c r="C52" s="2" t="s">
        <v>4</v>
      </c>
      <c r="D52" s="3">
        <v>248582</v>
      </c>
    </row>
    <row r="53" spans="1:4" outlineLevel="2" x14ac:dyDescent="0.3">
      <c r="A53" s="2" t="s">
        <v>18</v>
      </c>
      <c r="B53" s="2" t="s">
        <v>3</v>
      </c>
      <c r="C53" s="2" t="s">
        <v>2</v>
      </c>
      <c r="D53" s="3">
        <v>186436</v>
      </c>
    </row>
    <row r="54" spans="1:4" outlineLevel="2" x14ac:dyDescent="0.3">
      <c r="A54" s="2" t="s">
        <v>18</v>
      </c>
      <c r="B54" s="2" t="s">
        <v>3</v>
      </c>
      <c r="C54" s="2" t="s">
        <v>6</v>
      </c>
      <c r="D54" s="3">
        <v>124290</v>
      </c>
    </row>
    <row r="55" spans="1:4" outlineLevel="2" x14ac:dyDescent="0.3">
      <c r="A55" s="2" t="s">
        <v>18</v>
      </c>
      <c r="B55" s="2" t="s">
        <v>3</v>
      </c>
      <c r="C55" s="2" t="s">
        <v>8</v>
      </c>
      <c r="D55" s="3">
        <v>62145</v>
      </c>
    </row>
    <row r="56" spans="1:4" outlineLevel="2" x14ac:dyDescent="0.3">
      <c r="A56" s="2" t="s">
        <v>18</v>
      </c>
      <c r="B56" s="2" t="s">
        <v>5</v>
      </c>
      <c r="C56" s="2" t="s">
        <v>4</v>
      </c>
      <c r="D56" s="3">
        <v>207840</v>
      </c>
    </row>
    <row r="57" spans="1:4" outlineLevel="2" x14ac:dyDescent="0.3">
      <c r="A57" s="2" t="s">
        <v>18</v>
      </c>
      <c r="B57" s="2" t="s">
        <v>5</v>
      </c>
      <c r="C57" s="2" t="s">
        <v>2</v>
      </c>
      <c r="D57" s="3">
        <v>155880</v>
      </c>
    </row>
    <row r="58" spans="1:4" outlineLevel="2" x14ac:dyDescent="0.3">
      <c r="A58" s="2" t="s">
        <v>18</v>
      </c>
      <c r="B58" s="2" t="s">
        <v>5</v>
      </c>
      <c r="C58" s="2" t="s">
        <v>6</v>
      </c>
      <c r="D58" s="3">
        <v>103920</v>
      </c>
    </row>
    <row r="59" spans="1:4" outlineLevel="2" x14ac:dyDescent="0.3">
      <c r="A59" s="2" t="s">
        <v>18</v>
      </c>
      <c r="B59" s="2" t="s">
        <v>5</v>
      </c>
      <c r="C59" s="2" t="s">
        <v>8</v>
      </c>
      <c r="D59" s="3">
        <v>51960</v>
      </c>
    </row>
    <row r="60" spans="1:4" outlineLevel="2" x14ac:dyDescent="0.3">
      <c r="A60" s="2" t="s">
        <v>18</v>
      </c>
      <c r="B60" s="2" t="s">
        <v>7</v>
      </c>
      <c r="C60" s="2" t="s">
        <v>4</v>
      </c>
      <c r="D60" s="3">
        <v>124290</v>
      </c>
    </row>
    <row r="61" spans="1:4" outlineLevel="2" x14ac:dyDescent="0.3">
      <c r="A61" s="2" t="s">
        <v>18</v>
      </c>
      <c r="B61" s="2" t="s">
        <v>7</v>
      </c>
      <c r="C61" s="2" t="s">
        <v>2</v>
      </c>
      <c r="D61" s="3">
        <v>93217</v>
      </c>
    </row>
    <row r="62" spans="1:4" outlineLevel="2" x14ac:dyDescent="0.3">
      <c r="A62" s="2" t="s">
        <v>18</v>
      </c>
      <c r="B62" s="2" t="s">
        <v>7</v>
      </c>
      <c r="C62" s="2" t="s">
        <v>6</v>
      </c>
      <c r="D62" s="3">
        <v>62145</v>
      </c>
    </row>
    <row r="63" spans="1:4" outlineLevel="2" x14ac:dyDescent="0.3">
      <c r="A63" s="2" t="s">
        <v>18</v>
      </c>
      <c r="B63" s="2" t="s">
        <v>7</v>
      </c>
      <c r="C63" s="2" t="s">
        <v>8</v>
      </c>
      <c r="D63" s="3">
        <v>31072</v>
      </c>
    </row>
    <row r="64" spans="1:4" outlineLevel="2" x14ac:dyDescent="0.3">
      <c r="A64" s="2" t="s">
        <v>18</v>
      </c>
      <c r="B64" s="2" t="s">
        <v>9</v>
      </c>
      <c r="C64" s="2" t="s">
        <v>4</v>
      </c>
      <c r="D64" s="3">
        <v>82860</v>
      </c>
    </row>
    <row r="65" spans="1:4" outlineLevel="2" x14ac:dyDescent="0.3">
      <c r="A65" s="2" t="s">
        <v>18</v>
      </c>
      <c r="B65" s="2" t="s">
        <v>9</v>
      </c>
      <c r="C65" s="2" t="s">
        <v>2</v>
      </c>
      <c r="D65" s="3">
        <v>62145</v>
      </c>
    </row>
    <row r="66" spans="1:4" outlineLevel="2" x14ac:dyDescent="0.3">
      <c r="A66" s="2" t="s">
        <v>18</v>
      </c>
      <c r="B66" s="2" t="s">
        <v>9</v>
      </c>
      <c r="C66" s="2" t="s">
        <v>6</v>
      </c>
      <c r="D66" s="3">
        <v>41430</v>
      </c>
    </row>
    <row r="67" spans="1:4" outlineLevel="2" x14ac:dyDescent="0.3">
      <c r="A67" s="2" t="s">
        <v>18</v>
      </c>
      <c r="B67" s="2" t="s">
        <v>9</v>
      </c>
      <c r="C67" s="2" t="s">
        <v>8</v>
      </c>
      <c r="D67" s="3">
        <v>20715</v>
      </c>
    </row>
    <row r="68" spans="1:4" outlineLevel="2" x14ac:dyDescent="0.3">
      <c r="A68" s="2" t="s">
        <v>18</v>
      </c>
      <c r="B68" s="2" t="s">
        <v>10</v>
      </c>
      <c r="C68" s="2" t="s">
        <v>4</v>
      </c>
      <c r="D68" s="3">
        <v>124290</v>
      </c>
    </row>
    <row r="69" spans="1:4" outlineLevel="2" x14ac:dyDescent="0.3">
      <c r="A69" s="2" t="s">
        <v>18</v>
      </c>
      <c r="B69" s="2" t="s">
        <v>10</v>
      </c>
      <c r="C69" s="2" t="s">
        <v>2</v>
      </c>
      <c r="D69" s="3">
        <v>93217</v>
      </c>
    </row>
    <row r="70" spans="1:4" outlineLevel="2" x14ac:dyDescent="0.3">
      <c r="A70" s="2" t="s">
        <v>18</v>
      </c>
      <c r="B70" s="2" t="s">
        <v>10</v>
      </c>
      <c r="C70" s="2" t="s">
        <v>6</v>
      </c>
      <c r="D70" s="3">
        <v>62145</v>
      </c>
    </row>
    <row r="71" spans="1:4" outlineLevel="2" x14ac:dyDescent="0.3">
      <c r="A71" s="2" t="s">
        <v>18</v>
      </c>
      <c r="B71" s="2" t="s">
        <v>10</v>
      </c>
      <c r="C71" s="2" t="s">
        <v>8</v>
      </c>
      <c r="D71" s="3">
        <v>31072</v>
      </c>
    </row>
    <row r="72" spans="1:4" outlineLevel="2" x14ac:dyDescent="0.3">
      <c r="A72" s="2" t="s">
        <v>18</v>
      </c>
      <c r="B72" s="2" t="s">
        <v>8</v>
      </c>
      <c r="C72" s="2" t="s">
        <v>4</v>
      </c>
      <c r="D72" s="3">
        <v>20715</v>
      </c>
    </row>
    <row r="73" spans="1:4" outlineLevel="2" x14ac:dyDescent="0.3">
      <c r="A73" s="2" t="s">
        <v>18</v>
      </c>
      <c r="B73" s="2" t="s">
        <v>8</v>
      </c>
      <c r="C73" s="2" t="s">
        <v>2</v>
      </c>
      <c r="D73" s="3">
        <v>15536</v>
      </c>
    </row>
    <row r="74" spans="1:4" outlineLevel="2" x14ac:dyDescent="0.3">
      <c r="A74" s="2" t="s">
        <v>18</v>
      </c>
      <c r="B74" s="2" t="s">
        <v>8</v>
      </c>
      <c r="C74" s="2" t="s">
        <v>6</v>
      </c>
      <c r="D74" s="3">
        <v>10357</v>
      </c>
    </row>
    <row r="75" spans="1:4" outlineLevel="2" x14ac:dyDescent="0.3">
      <c r="A75" s="2" t="s">
        <v>18</v>
      </c>
      <c r="B75" s="2" t="s">
        <v>8</v>
      </c>
      <c r="C75" s="2" t="s">
        <v>8</v>
      </c>
      <c r="D75" s="3">
        <v>5178</v>
      </c>
    </row>
    <row r="76" spans="1:4" outlineLevel="1" x14ac:dyDescent="0.3">
      <c r="A76" s="4" t="s">
        <v>29</v>
      </c>
      <c r="B76" s="2">
        <f>SUBTOTAL(9,B52:B75)</f>
        <v>0</v>
      </c>
      <c r="C76" s="2">
        <f>SUBTOTAL(9,C52:C75)</f>
        <v>0</v>
      </c>
      <c r="D76" s="3">
        <f>SUBTOTAL(9,D52:D75)</f>
        <v>2021437</v>
      </c>
    </row>
    <row r="77" spans="1:4" outlineLevel="2" x14ac:dyDescent="0.3">
      <c r="A77" s="2" t="s">
        <v>19</v>
      </c>
      <c r="B77" s="2" t="s">
        <v>3</v>
      </c>
      <c r="C77" s="2" t="s">
        <v>4</v>
      </c>
      <c r="D77" s="3">
        <v>207664</v>
      </c>
    </row>
    <row r="78" spans="1:4" outlineLevel="2" x14ac:dyDescent="0.3">
      <c r="A78" s="2" t="s">
        <v>19</v>
      </c>
      <c r="B78" s="2" t="s">
        <v>3</v>
      </c>
      <c r="C78" s="2" t="s">
        <v>2</v>
      </c>
      <c r="D78" s="3">
        <v>155748</v>
      </c>
    </row>
    <row r="79" spans="1:4" outlineLevel="2" x14ac:dyDescent="0.3">
      <c r="A79" s="2" t="s">
        <v>19</v>
      </c>
      <c r="B79" s="2" t="s">
        <v>3</v>
      </c>
      <c r="C79" s="2" t="s">
        <v>6</v>
      </c>
      <c r="D79" s="3">
        <v>103832</v>
      </c>
    </row>
    <row r="80" spans="1:4" outlineLevel="2" x14ac:dyDescent="0.3">
      <c r="A80" s="2" t="s">
        <v>19</v>
      </c>
      <c r="B80" s="2" t="s">
        <v>3</v>
      </c>
      <c r="C80" s="2" t="s">
        <v>8</v>
      </c>
      <c r="D80" s="3">
        <v>51916</v>
      </c>
    </row>
    <row r="81" spans="1:4" outlineLevel="2" x14ac:dyDescent="0.3">
      <c r="A81" s="2" t="s">
        <v>19</v>
      </c>
      <c r="B81" s="2" t="s">
        <v>5</v>
      </c>
      <c r="C81" s="2" t="s">
        <v>4</v>
      </c>
      <c r="D81" s="3">
        <v>272294</v>
      </c>
    </row>
    <row r="82" spans="1:4" outlineLevel="2" x14ac:dyDescent="0.3">
      <c r="A82" s="2" t="s">
        <v>19</v>
      </c>
      <c r="B82" s="2" t="s">
        <v>5</v>
      </c>
      <c r="C82" s="2" t="s">
        <v>2</v>
      </c>
      <c r="D82" s="3">
        <v>109221</v>
      </c>
    </row>
    <row r="83" spans="1:4" outlineLevel="2" x14ac:dyDescent="0.3">
      <c r="A83" s="2" t="s">
        <v>19</v>
      </c>
      <c r="B83" s="2" t="s">
        <v>5</v>
      </c>
      <c r="C83" s="2" t="s">
        <v>6</v>
      </c>
      <c r="D83" s="3">
        <v>86147</v>
      </c>
    </row>
    <row r="84" spans="1:4" outlineLevel="2" x14ac:dyDescent="0.3">
      <c r="A84" s="2" t="s">
        <v>19</v>
      </c>
      <c r="B84" s="2" t="s">
        <v>5</v>
      </c>
      <c r="C84" s="2" t="s">
        <v>8</v>
      </c>
      <c r="D84" s="3">
        <v>43074</v>
      </c>
    </row>
    <row r="85" spans="1:4" outlineLevel="2" x14ac:dyDescent="0.3">
      <c r="A85" s="2" t="s">
        <v>19</v>
      </c>
      <c r="B85" s="2" t="s">
        <v>7</v>
      </c>
      <c r="C85" s="2" t="s">
        <v>4</v>
      </c>
      <c r="D85" s="3">
        <v>103832</v>
      </c>
    </row>
    <row r="86" spans="1:4" outlineLevel="2" x14ac:dyDescent="0.3">
      <c r="A86" s="2" t="s">
        <v>19</v>
      </c>
      <c r="B86" s="2" t="s">
        <v>7</v>
      </c>
      <c r="C86" s="2" t="s">
        <v>2</v>
      </c>
      <c r="D86" s="3">
        <v>77874</v>
      </c>
    </row>
    <row r="87" spans="1:4" outlineLevel="2" x14ac:dyDescent="0.3">
      <c r="A87" s="2" t="s">
        <v>19</v>
      </c>
      <c r="B87" s="2" t="s">
        <v>7</v>
      </c>
      <c r="C87" s="2" t="s">
        <v>6</v>
      </c>
      <c r="D87" s="3">
        <v>51916</v>
      </c>
    </row>
    <row r="88" spans="1:4" outlineLevel="2" x14ac:dyDescent="0.3">
      <c r="A88" s="2" t="s">
        <v>19</v>
      </c>
      <c r="B88" s="2" t="s">
        <v>7</v>
      </c>
      <c r="C88" s="2" t="s">
        <v>8</v>
      </c>
      <c r="D88" s="3">
        <v>25958</v>
      </c>
    </row>
    <row r="89" spans="1:4" outlineLevel="2" x14ac:dyDescent="0.3">
      <c r="A89" s="2" t="s">
        <v>19</v>
      </c>
      <c r="B89" s="2" t="s">
        <v>9</v>
      </c>
      <c r="C89" s="2" t="s">
        <v>4</v>
      </c>
      <c r="D89" s="3">
        <v>69221</v>
      </c>
    </row>
    <row r="90" spans="1:4" outlineLevel="2" x14ac:dyDescent="0.3">
      <c r="A90" s="2" t="s">
        <v>19</v>
      </c>
      <c r="B90" s="2" t="s">
        <v>9</v>
      </c>
      <c r="C90" s="2" t="s">
        <v>2</v>
      </c>
      <c r="D90" s="3">
        <v>51916</v>
      </c>
    </row>
    <row r="91" spans="1:4" outlineLevel="2" x14ac:dyDescent="0.3">
      <c r="A91" s="2" t="s">
        <v>19</v>
      </c>
      <c r="B91" s="2" t="s">
        <v>9</v>
      </c>
      <c r="C91" s="2" t="s">
        <v>6</v>
      </c>
      <c r="D91" s="3">
        <v>34611</v>
      </c>
    </row>
    <row r="92" spans="1:4" outlineLevel="2" x14ac:dyDescent="0.3">
      <c r="A92" s="2" t="s">
        <v>19</v>
      </c>
      <c r="B92" s="2" t="s">
        <v>9</v>
      </c>
      <c r="C92" s="2" t="s">
        <v>8</v>
      </c>
      <c r="D92" s="3">
        <v>17306</v>
      </c>
    </row>
    <row r="93" spans="1:4" outlineLevel="2" x14ac:dyDescent="0.3">
      <c r="A93" s="2" t="s">
        <v>19</v>
      </c>
      <c r="B93" s="2" t="s">
        <v>10</v>
      </c>
      <c r="C93" s="2" t="s">
        <v>4</v>
      </c>
      <c r="D93" s="3">
        <v>103832</v>
      </c>
    </row>
    <row r="94" spans="1:4" outlineLevel="2" x14ac:dyDescent="0.3">
      <c r="A94" s="2" t="s">
        <v>19</v>
      </c>
      <c r="B94" s="2" t="s">
        <v>10</v>
      </c>
      <c r="C94" s="2" t="s">
        <v>2</v>
      </c>
      <c r="D94" s="3">
        <v>77874</v>
      </c>
    </row>
    <row r="95" spans="1:4" outlineLevel="2" x14ac:dyDescent="0.3">
      <c r="A95" s="2" t="s">
        <v>19</v>
      </c>
      <c r="B95" s="2" t="s">
        <v>10</v>
      </c>
      <c r="C95" s="2" t="s">
        <v>6</v>
      </c>
      <c r="D95" s="3">
        <v>51916</v>
      </c>
    </row>
    <row r="96" spans="1:4" outlineLevel="2" x14ac:dyDescent="0.3">
      <c r="A96" s="2" t="s">
        <v>19</v>
      </c>
      <c r="B96" s="2" t="s">
        <v>10</v>
      </c>
      <c r="C96" s="2" t="s">
        <v>8</v>
      </c>
      <c r="D96" s="3">
        <v>25958</v>
      </c>
    </row>
    <row r="97" spans="1:4" outlineLevel="2" x14ac:dyDescent="0.3">
      <c r="A97" s="2" t="s">
        <v>19</v>
      </c>
      <c r="B97" s="2" t="s">
        <v>8</v>
      </c>
      <c r="C97" s="2" t="s">
        <v>4</v>
      </c>
      <c r="D97" s="3">
        <v>17306</v>
      </c>
    </row>
    <row r="98" spans="1:4" outlineLevel="2" x14ac:dyDescent="0.3">
      <c r="A98" s="2" t="s">
        <v>19</v>
      </c>
      <c r="B98" s="2" t="s">
        <v>8</v>
      </c>
      <c r="C98" s="2" t="s">
        <v>2</v>
      </c>
      <c r="D98" s="3">
        <v>12979</v>
      </c>
    </row>
    <row r="99" spans="1:4" outlineLevel="2" x14ac:dyDescent="0.3">
      <c r="A99" s="2" t="s">
        <v>19</v>
      </c>
      <c r="B99" s="2" t="s">
        <v>8</v>
      </c>
      <c r="C99" s="2" t="s">
        <v>6</v>
      </c>
      <c r="D99" s="3">
        <v>8653</v>
      </c>
    </row>
    <row r="100" spans="1:4" outlineLevel="2" x14ac:dyDescent="0.3">
      <c r="A100" s="2" t="s">
        <v>19</v>
      </c>
      <c r="B100" s="2" t="s">
        <v>8</v>
      </c>
      <c r="C100" s="2" t="s">
        <v>8</v>
      </c>
      <c r="D100" s="3">
        <v>4327</v>
      </c>
    </row>
    <row r="101" spans="1:4" outlineLevel="1" x14ac:dyDescent="0.3">
      <c r="A101" s="4" t="s">
        <v>30</v>
      </c>
      <c r="B101" s="2">
        <f>SUBTOTAL(9,B77:B100)</f>
        <v>0</v>
      </c>
      <c r="C101" s="2">
        <f>SUBTOTAL(9,C77:C100)</f>
        <v>0</v>
      </c>
      <c r="D101" s="3">
        <f>SUBTOTAL(9,D77:D100)</f>
        <v>1765375</v>
      </c>
    </row>
    <row r="102" spans="1:4" outlineLevel="2" x14ac:dyDescent="0.3">
      <c r="A102" s="2" t="s">
        <v>20</v>
      </c>
      <c r="B102" s="2" t="s">
        <v>3</v>
      </c>
      <c r="C102" s="2" t="s">
        <v>4</v>
      </c>
      <c r="D102" s="3">
        <v>207664</v>
      </c>
    </row>
    <row r="103" spans="1:4" outlineLevel="2" x14ac:dyDescent="0.3">
      <c r="A103" s="2" t="s">
        <v>20</v>
      </c>
      <c r="B103" s="2" t="s">
        <v>3</v>
      </c>
      <c r="C103" s="2" t="s">
        <v>2</v>
      </c>
      <c r="D103" s="3">
        <v>155748</v>
      </c>
    </row>
    <row r="104" spans="1:4" outlineLevel="2" x14ac:dyDescent="0.3">
      <c r="A104" s="2" t="s">
        <v>20</v>
      </c>
      <c r="B104" s="2" t="s">
        <v>3</v>
      </c>
      <c r="C104" s="2" t="s">
        <v>6</v>
      </c>
      <c r="D104" s="3">
        <v>103832</v>
      </c>
    </row>
    <row r="105" spans="1:4" outlineLevel="2" x14ac:dyDescent="0.3">
      <c r="A105" s="2" t="s">
        <v>20</v>
      </c>
      <c r="B105" s="2" t="s">
        <v>3</v>
      </c>
      <c r="C105" s="2" t="s">
        <v>8</v>
      </c>
      <c r="D105" s="3">
        <v>51916</v>
      </c>
    </row>
    <row r="106" spans="1:4" outlineLevel="2" x14ac:dyDescent="0.3">
      <c r="A106" s="2" t="s">
        <v>20</v>
      </c>
      <c r="B106" s="2" t="s">
        <v>5</v>
      </c>
      <c r="C106" s="2" t="s">
        <v>4</v>
      </c>
      <c r="D106" s="3">
        <v>172294</v>
      </c>
    </row>
    <row r="107" spans="1:4" outlineLevel="2" x14ac:dyDescent="0.3">
      <c r="A107" s="2" t="s">
        <v>20</v>
      </c>
      <c r="B107" s="2" t="s">
        <v>5</v>
      </c>
      <c r="C107" s="2" t="s">
        <v>2</v>
      </c>
      <c r="D107" s="3">
        <v>129221</v>
      </c>
    </row>
    <row r="108" spans="1:4" outlineLevel="2" x14ac:dyDescent="0.3">
      <c r="A108" s="2" t="s">
        <v>20</v>
      </c>
      <c r="B108" s="2" t="s">
        <v>5</v>
      </c>
      <c r="C108" s="2" t="s">
        <v>6</v>
      </c>
      <c r="D108" s="3">
        <v>86147</v>
      </c>
    </row>
    <row r="109" spans="1:4" outlineLevel="2" x14ac:dyDescent="0.3">
      <c r="A109" s="2" t="s">
        <v>20</v>
      </c>
      <c r="B109" s="2" t="s">
        <v>5</v>
      </c>
      <c r="C109" s="2" t="s">
        <v>8</v>
      </c>
      <c r="D109" s="3">
        <v>43074</v>
      </c>
    </row>
    <row r="110" spans="1:4" outlineLevel="2" x14ac:dyDescent="0.3">
      <c r="A110" s="2" t="s">
        <v>20</v>
      </c>
      <c r="B110" s="2" t="s">
        <v>7</v>
      </c>
      <c r="C110" s="2" t="s">
        <v>4</v>
      </c>
      <c r="D110" s="3">
        <v>103832</v>
      </c>
    </row>
    <row r="111" spans="1:4" outlineLevel="2" x14ac:dyDescent="0.3">
      <c r="A111" s="2" t="s">
        <v>20</v>
      </c>
      <c r="B111" s="2" t="s">
        <v>7</v>
      </c>
      <c r="C111" s="2" t="s">
        <v>2</v>
      </c>
      <c r="D111" s="3">
        <v>77874</v>
      </c>
    </row>
    <row r="112" spans="1:4" outlineLevel="2" x14ac:dyDescent="0.3">
      <c r="A112" s="2" t="s">
        <v>20</v>
      </c>
      <c r="B112" s="2" t="s">
        <v>7</v>
      </c>
      <c r="C112" s="2" t="s">
        <v>6</v>
      </c>
      <c r="D112" s="3">
        <v>51916</v>
      </c>
    </row>
    <row r="113" spans="1:4" outlineLevel="2" x14ac:dyDescent="0.3">
      <c r="A113" s="2" t="s">
        <v>20</v>
      </c>
      <c r="B113" s="2" t="s">
        <v>7</v>
      </c>
      <c r="C113" s="2" t="s">
        <v>8</v>
      </c>
      <c r="D113" s="3">
        <v>25958</v>
      </c>
    </row>
    <row r="114" spans="1:4" outlineLevel="2" x14ac:dyDescent="0.3">
      <c r="A114" s="2" t="s">
        <v>20</v>
      </c>
      <c r="B114" s="2" t="s">
        <v>9</v>
      </c>
      <c r="C114" s="2" t="s">
        <v>4</v>
      </c>
      <c r="D114" s="3">
        <v>69221</v>
      </c>
    </row>
    <row r="115" spans="1:4" outlineLevel="2" x14ac:dyDescent="0.3">
      <c r="A115" s="2" t="s">
        <v>20</v>
      </c>
      <c r="B115" s="2" t="s">
        <v>9</v>
      </c>
      <c r="C115" s="2" t="s">
        <v>2</v>
      </c>
      <c r="D115" s="3">
        <v>51916</v>
      </c>
    </row>
    <row r="116" spans="1:4" outlineLevel="2" x14ac:dyDescent="0.3">
      <c r="A116" s="2" t="s">
        <v>20</v>
      </c>
      <c r="B116" s="2" t="s">
        <v>9</v>
      </c>
      <c r="C116" s="2" t="s">
        <v>6</v>
      </c>
      <c r="D116" s="3">
        <v>34611</v>
      </c>
    </row>
    <row r="117" spans="1:4" outlineLevel="2" x14ac:dyDescent="0.3">
      <c r="A117" s="2" t="s">
        <v>20</v>
      </c>
      <c r="B117" s="2" t="s">
        <v>9</v>
      </c>
      <c r="C117" s="2" t="s">
        <v>8</v>
      </c>
      <c r="D117" s="3">
        <v>17306</v>
      </c>
    </row>
    <row r="118" spans="1:4" outlineLevel="2" x14ac:dyDescent="0.3">
      <c r="A118" s="2" t="s">
        <v>20</v>
      </c>
      <c r="B118" s="2" t="s">
        <v>10</v>
      </c>
      <c r="C118" s="2" t="s">
        <v>4</v>
      </c>
      <c r="D118" s="3">
        <v>103832</v>
      </c>
    </row>
    <row r="119" spans="1:4" outlineLevel="2" x14ac:dyDescent="0.3">
      <c r="A119" s="2" t="s">
        <v>20</v>
      </c>
      <c r="B119" s="2" t="s">
        <v>10</v>
      </c>
      <c r="C119" s="2" t="s">
        <v>2</v>
      </c>
      <c r="D119" s="3">
        <v>77874</v>
      </c>
    </row>
    <row r="120" spans="1:4" outlineLevel="2" x14ac:dyDescent="0.3">
      <c r="A120" s="2" t="s">
        <v>20</v>
      </c>
      <c r="B120" s="2" t="s">
        <v>10</v>
      </c>
      <c r="C120" s="2" t="s">
        <v>6</v>
      </c>
      <c r="D120" s="3">
        <v>51916</v>
      </c>
    </row>
    <row r="121" spans="1:4" outlineLevel="2" x14ac:dyDescent="0.3">
      <c r="A121" s="2" t="s">
        <v>20</v>
      </c>
      <c r="B121" s="2" t="s">
        <v>10</v>
      </c>
      <c r="C121" s="2" t="s">
        <v>8</v>
      </c>
      <c r="D121" s="3">
        <v>25958</v>
      </c>
    </row>
    <row r="122" spans="1:4" outlineLevel="2" x14ac:dyDescent="0.3">
      <c r="A122" s="2" t="s">
        <v>20</v>
      </c>
      <c r="B122" s="2" t="s">
        <v>8</v>
      </c>
      <c r="C122" s="2" t="s">
        <v>4</v>
      </c>
      <c r="D122" s="3">
        <v>17306</v>
      </c>
    </row>
    <row r="123" spans="1:4" outlineLevel="2" x14ac:dyDescent="0.3">
      <c r="A123" s="2" t="s">
        <v>20</v>
      </c>
      <c r="B123" s="2" t="s">
        <v>8</v>
      </c>
      <c r="C123" s="2" t="s">
        <v>2</v>
      </c>
      <c r="D123" s="3">
        <v>12979</v>
      </c>
    </row>
    <row r="124" spans="1:4" outlineLevel="2" x14ac:dyDescent="0.3">
      <c r="A124" s="2" t="s">
        <v>20</v>
      </c>
      <c r="B124" s="2" t="s">
        <v>8</v>
      </c>
      <c r="C124" s="2" t="s">
        <v>6</v>
      </c>
      <c r="D124" s="3">
        <v>8653</v>
      </c>
    </row>
    <row r="125" spans="1:4" outlineLevel="2" x14ac:dyDescent="0.3">
      <c r="A125" s="2" t="s">
        <v>20</v>
      </c>
      <c r="B125" s="2" t="s">
        <v>8</v>
      </c>
      <c r="C125" s="2" t="s">
        <v>8</v>
      </c>
      <c r="D125" s="3">
        <v>4327</v>
      </c>
    </row>
    <row r="126" spans="1:4" outlineLevel="1" x14ac:dyDescent="0.3">
      <c r="A126" s="4" t="s">
        <v>31</v>
      </c>
      <c r="B126" s="2">
        <f>SUBTOTAL(9,B102:B125)</f>
        <v>0</v>
      </c>
      <c r="C126" s="2">
        <f>SUBTOTAL(9,C102:C125)</f>
        <v>0</v>
      </c>
      <c r="D126" s="3">
        <f>SUBTOTAL(9,D102:D125)</f>
        <v>1685375</v>
      </c>
    </row>
    <row r="127" spans="1:4" outlineLevel="2" x14ac:dyDescent="0.3">
      <c r="A127" s="2" t="s">
        <v>21</v>
      </c>
      <c r="B127" s="2" t="s">
        <v>3</v>
      </c>
      <c r="C127" s="2" t="s">
        <v>4</v>
      </c>
      <c r="D127" s="3">
        <v>107664</v>
      </c>
    </row>
    <row r="128" spans="1:4" outlineLevel="2" x14ac:dyDescent="0.3">
      <c r="A128" s="2" t="s">
        <v>21</v>
      </c>
      <c r="B128" s="2" t="s">
        <v>3</v>
      </c>
      <c r="C128" s="2" t="s">
        <v>2</v>
      </c>
      <c r="D128" s="3">
        <v>55748</v>
      </c>
    </row>
    <row r="129" spans="1:4" outlineLevel="2" x14ac:dyDescent="0.3">
      <c r="A129" s="2" t="s">
        <v>21</v>
      </c>
      <c r="B129" s="2" t="s">
        <v>3</v>
      </c>
      <c r="C129" s="2" t="s">
        <v>6</v>
      </c>
      <c r="D129" s="3">
        <v>30000</v>
      </c>
    </row>
    <row r="130" spans="1:4" outlineLevel="2" x14ac:dyDescent="0.3">
      <c r="A130" s="2" t="s">
        <v>21</v>
      </c>
      <c r="B130" s="2" t="s">
        <v>3</v>
      </c>
      <c r="C130" s="2" t="s">
        <v>8</v>
      </c>
      <c r="D130" s="3">
        <v>20000</v>
      </c>
    </row>
    <row r="131" spans="1:4" outlineLevel="2" x14ac:dyDescent="0.3">
      <c r="A131" s="2" t="s">
        <v>21</v>
      </c>
      <c r="B131" s="2" t="s">
        <v>5</v>
      </c>
      <c r="C131" s="2" t="s">
        <v>4</v>
      </c>
      <c r="D131" s="3">
        <v>172294</v>
      </c>
    </row>
    <row r="132" spans="1:4" outlineLevel="2" x14ac:dyDescent="0.3">
      <c r="A132" s="2" t="s">
        <v>21</v>
      </c>
      <c r="B132" s="2" t="s">
        <v>5</v>
      </c>
      <c r="C132" s="2" t="s">
        <v>2</v>
      </c>
      <c r="D132" s="3">
        <v>129221</v>
      </c>
    </row>
    <row r="133" spans="1:4" outlineLevel="2" x14ac:dyDescent="0.3">
      <c r="A133" s="2" t="s">
        <v>21</v>
      </c>
      <c r="B133" s="2" t="s">
        <v>5</v>
      </c>
      <c r="C133" s="2" t="s">
        <v>6</v>
      </c>
      <c r="D133" s="3">
        <v>86147</v>
      </c>
    </row>
    <row r="134" spans="1:4" outlineLevel="2" x14ac:dyDescent="0.3">
      <c r="A134" s="2" t="s">
        <v>21</v>
      </c>
      <c r="B134" s="2" t="s">
        <v>5</v>
      </c>
      <c r="C134" s="2" t="s">
        <v>8</v>
      </c>
      <c r="D134" s="3">
        <v>43074</v>
      </c>
    </row>
    <row r="135" spans="1:4" outlineLevel="2" x14ac:dyDescent="0.3">
      <c r="A135" s="2" t="s">
        <v>21</v>
      </c>
      <c r="B135" s="2" t="s">
        <v>7</v>
      </c>
      <c r="C135" s="2" t="s">
        <v>4</v>
      </c>
      <c r="D135" s="3">
        <v>103832</v>
      </c>
    </row>
    <row r="136" spans="1:4" outlineLevel="2" x14ac:dyDescent="0.3">
      <c r="A136" s="2" t="s">
        <v>21</v>
      </c>
      <c r="B136" s="2" t="s">
        <v>7</v>
      </c>
      <c r="C136" s="2" t="s">
        <v>2</v>
      </c>
      <c r="D136" s="3">
        <v>77874</v>
      </c>
    </row>
    <row r="137" spans="1:4" outlineLevel="2" x14ac:dyDescent="0.3">
      <c r="A137" s="2" t="s">
        <v>21</v>
      </c>
      <c r="B137" s="2" t="s">
        <v>7</v>
      </c>
      <c r="C137" s="2" t="s">
        <v>6</v>
      </c>
      <c r="D137" s="3">
        <v>51916</v>
      </c>
    </row>
    <row r="138" spans="1:4" outlineLevel="2" x14ac:dyDescent="0.3">
      <c r="A138" s="2" t="s">
        <v>21</v>
      </c>
      <c r="B138" s="2" t="s">
        <v>7</v>
      </c>
      <c r="C138" s="2" t="s">
        <v>8</v>
      </c>
      <c r="D138" s="3">
        <v>25958</v>
      </c>
    </row>
    <row r="139" spans="1:4" outlineLevel="2" x14ac:dyDescent="0.3">
      <c r="A139" s="2" t="s">
        <v>21</v>
      </c>
      <c r="B139" s="2" t="s">
        <v>9</v>
      </c>
      <c r="C139" s="2" t="s">
        <v>4</v>
      </c>
      <c r="D139" s="3">
        <v>69221</v>
      </c>
    </row>
    <row r="140" spans="1:4" outlineLevel="2" x14ac:dyDescent="0.3">
      <c r="A140" s="2" t="s">
        <v>21</v>
      </c>
      <c r="B140" s="2" t="s">
        <v>9</v>
      </c>
      <c r="C140" s="2" t="s">
        <v>2</v>
      </c>
      <c r="D140" s="3">
        <v>51916</v>
      </c>
    </row>
    <row r="141" spans="1:4" outlineLevel="2" x14ac:dyDescent="0.3">
      <c r="A141" s="2" t="s">
        <v>21</v>
      </c>
      <c r="B141" s="2" t="s">
        <v>9</v>
      </c>
      <c r="C141" s="2" t="s">
        <v>6</v>
      </c>
      <c r="D141" s="3">
        <v>34611</v>
      </c>
    </row>
    <row r="142" spans="1:4" outlineLevel="2" x14ac:dyDescent="0.3">
      <c r="A142" s="2" t="s">
        <v>21</v>
      </c>
      <c r="B142" s="2" t="s">
        <v>9</v>
      </c>
      <c r="C142" s="2" t="s">
        <v>8</v>
      </c>
      <c r="D142" s="3">
        <v>17306</v>
      </c>
    </row>
    <row r="143" spans="1:4" outlineLevel="2" x14ac:dyDescent="0.3">
      <c r="A143" s="2" t="s">
        <v>21</v>
      </c>
      <c r="B143" s="2" t="s">
        <v>10</v>
      </c>
      <c r="C143" s="2" t="s">
        <v>4</v>
      </c>
      <c r="D143" s="3">
        <v>103832</v>
      </c>
    </row>
    <row r="144" spans="1:4" outlineLevel="2" x14ac:dyDescent="0.3">
      <c r="A144" s="2" t="s">
        <v>21</v>
      </c>
      <c r="B144" s="2" t="s">
        <v>10</v>
      </c>
      <c r="C144" s="2" t="s">
        <v>2</v>
      </c>
      <c r="D144" s="3">
        <v>77874</v>
      </c>
    </row>
    <row r="145" spans="1:4" outlineLevel="2" x14ac:dyDescent="0.3">
      <c r="A145" s="2" t="s">
        <v>21</v>
      </c>
      <c r="B145" s="2" t="s">
        <v>10</v>
      </c>
      <c r="C145" s="2" t="s">
        <v>6</v>
      </c>
      <c r="D145" s="3">
        <v>51916</v>
      </c>
    </row>
    <row r="146" spans="1:4" outlineLevel="2" x14ac:dyDescent="0.3">
      <c r="A146" s="2" t="s">
        <v>21</v>
      </c>
      <c r="B146" s="2" t="s">
        <v>10</v>
      </c>
      <c r="C146" s="2" t="s">
        <v>8</v>
      </c>
      <c r="D146" s="3">
        <v>25958</v>
      </c>
    </row>
    <row r="147" spans="1:4" outlineLevel="2" x14ac:dyDescent="0.3">
      <c r="A147" s="2" t="s">
        <v>21</v>
      </c>
      <c r="B147" s="2" t="s">
        <v>8</v>
      </c>
      <c r="C147" s="2" t="s">
        <v>4</v>
      </c>
      <c r="D147" s="3">
        <v>17306</v>
      </c>
    </row>
    <row r="148" spans="1:4" outlineLevel="2" x14ac:dyDescent="0.3">
      <c r="A148" s="2" t="s">
        <v>21</v>
      </c>
      <c r="B148" s="2" t="s">
        <v>8</v>
      </c>
      <c r="C148" s="2" t="s">
        <v>2</v>
      </c>
      <c r="D148" s="3">
        <v>12979</v>
      </c>
    </row>
    <row r="149" spans="1:4" outlineLevel="2" x14ac:dyDescent="0.3">
      <c r="A149" s="2" t="s">
        <v>21</v>
      </c>
      <c r="B149" s="2" t="s">
        <v>8</v>
      </c>
      <c r="C149" s="2" t="s">
        <v>6</v>
      </c>
      <c r="D149" s="3">
        <v>8653</v>
      </c>
    </row>
    <row r="150" spans="1:4" outlineLevel="2" x14ac:dyDescent="0.3">
      <c r="A150" s="2" t="s">
        <v>21</v>
      </c>
      <c r="B150" s="2" t="s">
        <v>8</v>
      </c>
      <c r="C150" s="2" t="s">
        <v>8</v>
      </c>
      <c r="D150" s="3">
        <v>4327</v>
      </c>
    </row>
    <row r="151" spans="1:4" outlineLevel="1" x14ac:dyDescent="0.3">
      <c r="A151" s="4" t="s">
        <v>32</v>
      </c>
      <c r="B151" s="2">
        <f>SUBTOTAL(9,B127:B150)</f>
        <v>0</v>
      </c>
      <c r="C151" s="2">
        <f>SUBTOTAL(9,C127:C150)</f>
        <v>0</v>
      </c>
      <c r="D151" s="3">
        <f>SUBTOTAL(9,D127:D150)</f>
        <v>1379627</v>
      </c>
    </row>
    <row r="152" spans="1:4" outlineLevel="2" x14ac:dyDescent="0.3">
      <c r="A152" s="2" t="s">
        <v>22</v>
      </c>
      <c r="B152" s="2" t="s">
        <v>3</v>
      </c>
      <c r="C152" s="2" t="s">
        <v>4</v>
      </c>
      <c r="D152" s="3">
        <v>70664</v>
      </c>
    </row>
    <row r="153" spans="1:4" outlineLevel="2" x14ac:dyDescent="0.3">
      <c r="A153" s="2" t="s">
        <v>22</v>
      </c>
      <c r="B153" s="2" t="s">
        <v>3</v>
      </c>
      <c r="C153" s="2" t="s">
        <v>2</v>
      </c>
      <c r="D153" s="3">
        <v>60000</v>
      </c>
    </row>
    <row r="154" spans="1:4" outlineLevel="2" x14ac:dyDescent="0.3">
      <c r="A154" s="2" t="s">
        <v>22</v>
      </c>
      <c r="B154" s="2" t="s">
        <v>3</v>
      </c>
      <c r="C154" s="2" t="s">
        <v>6</v>
      </c>
      <c r="D154" s="3">
        <v>50000</v>
      </c>
    </row>
    <row r="155" spans="1:4" outlineLevel="2" x14ac:dyDescent="0.3">
      <c r="A155" s="2" t="s">
        <v>22</v>
      </c>
      <c r="B155" s="2" t="s">
        <v>3</v>
      </c>
      <c r="C155" s="2" t="s">
        <v>8</v>
      </c>
      <c r="D155" s="3">
        <v>20000</v>
      </c>
    </row>
    <row r="156" spans="1:4" outlineLevel="2" x14ac:dyDescent="0.3">
      <c r="A156" s="2" t="s">
        <v>22</v>
      </c>
      <c r="B156" s="2" t="s">
        <v>5</v>
      </c>
      <c r="C156" s="2" t="s">
        <v>4</v>
      </c>
      <c r="D156" s="3">
        <v>97200</v>
      </c>
    </row>
    <row r="157" spans="1:4" outlineLevel="2" x14ac:dyDescent="0.3">
      <c r="A157" s="2" t="s">
        <v>22</v>
      </c>
      <c r="B157" s="2" t="s">
        <v>5</v>
      </c>
      <c r="C157" s="2" t="s">
        <v>2</v>
      </c>
      <c r="D157" s="3">
        <v>65000</v>
      </c>
    </row>
    <row r="158" spans="1:4" outlineLevel="2" x14ac:dyDescent="0.3">
      <c r="A158" s="2" t="s">
        <v>22</v>
      </c>
      <c r="B158" s="2" t="s">
        <v>5</v>
      </c>
      <c r="C158" s="2" t="s">
        <v>6</v>
      </c>
      <c r="D158" s="3">
        <v>10000</v>
      </c>
    </row>
    <row r="159" spans="1:4" outlineLevel="2" x14ac:dyDescent="0.3">
      <c r="A159" s="2" t="s">
        <v>22</v>
      </c>
      <c r="B159" s="2" t="s">
        <v>5</v>
      </c>
      <c r="C159" s="2" t="s">
        <v>8</v>
      </c>
      <c r="D159" s="3">
        <v>43074</v>
      </c>
    </row>
    <row r="160" spans="1:4" outlineLevel="2" x14ac:dyDescent="0.3">
      <c r="A160" s="2" t="s">
        <v>22</v>
      </c>
      <c r="B160" s="2" t="s">
        <v>7</v>
      </c>
      <c r="C160" s="2" t="s">
        <v>4</v>
      </c>
      <c r="D160" s="3">
        <v>103832</v>
      </c>
    </row>
    <row r="161" spans="1:4" outlineLevel="2" x14ac:dyDescent="0.3">
      <c r="A161" s="2" t="s">
        <v>22</v>
      </c>
      <c r="B161" s="2" t="s">
        <v>7</v>
      </c>
      <c r="C161" s="2" t="s">
        <v>2</v>
      </c>
      <c r="D161" s="3">
        <v>77874</v>
      </c>
    </row>
    <row r="162" spans="1:4" outlineLevel="2" x14ac:dyDescent="0.3">
      <c r="A162" s="2" t="s">
        <v>22</v>
      </c>
      <c r="B162" s="2" t="s">
        <v>7</v>
      </c>
      <c r="C162" s="2" t="s">
        <v>6</v>
      </c>
      <c r="D162" s="3">
        <v>51916</v>
      </c>
    </row>
    <row r="163" spans="1:4" outlineLevel="2" x14ac:dyDescent="0.3">
      <c r="A163" s="2" t="s">
        <v>22</v>
      </c>
      <c r="B163" s="2" t="s">
        <v>7</v>
      </c>
      <c r="C163" s="2" t="s">
        <v>8</v>
      </c>
      <c r="D163" s="3">
        <v>25958</v>
      </c>
    </row>
    <row r="164" spans="1:4" outlineLevel="2" x14ac:dyDescent="0.3">
      <c r="A164" s="2" t="s">
        <v>22</v>
      </c>
      <c r="B164" s="2" t="s">
        <v>9</v>
      </c>
      <c r="C164" s="2" t="s">
        <v>4</v>
      </c>
      <c r="D164" s="3">
        <v>69221</v>
      </c>
    </row>
    <row r="165" spans="1:4" outlineLevel="2" x14ac:dyDescent="0.3">
      <c r="A165" s="2" t="s">
        <v>22</v>
      </c>
      <c r="B165" s="2" t="s">
        <v>9</v>
      </c>
      <c r="C165" s="2" t="s">
        <v>2</v>
      </c>
      <c r="D165" s="3">
        <v>51916</v>
      </c>
    </row>
    <row r="166" spans="1:4" outlineLevel="2" x14ac:dyDescent="0.3">
      <c r="A166" s="2" t="s">
        <v>22</v>
      </c>
      <c r="B166" s="2" t="s">
        <v>9</v>
      </c>
      <c r="C166" s="2" t="s">
        <v>6</v>
      </c>
      <c r="D166" s="3">
        <v>34611</v>
      </c>
    </row>
    <row r="167" spans="1:4" outlineLevel="2" x14ac:dyDescent="0.3">
      <c r="A167" s="2" t="s">
        <v>22</v>
      </c>
      <c r="B167" s="2" t="s">
        <v>9</v>
      </c>
      <c r="C167" s="2" t="s">
        <v>8</v>
      </c>
      <c r="D167" s="3">
        <v>17306</v>
      </c>
    </row>
    <row r="168" spans="1:4" outlineLevel="2" x14ac:dyDescent="0.3">
      <c r="A168" s="2" t="s">
        <v>22</v>
      </c>
      <c r="B168" s="2" t="s">
        <v>10</v>
      </c>
      <c r="C168" s="2" t="s">
        <v>4</v>
      </c>
      <c r="D168" s="3">
        <v>103832</v>
      </c>
    </row>
    <row r="169" spans="1:4" outlineLevel="2" x14ac:dyDescent="0.3">
      <c r="A169" s="2" t="s">
        <v>22</v>
      </c>
      <c r="B169" s="2" t="s">
        <v>10</v>
      </c>
      <c r="C169" s="2" t="s">
        <v>2</v>
      </c>
      <c r="D169" s="3">
        <v>77874</v>
      </c>
    </row>
    <row r="170" spans="1:4" outlineLevel="2" x14ac:dyDescent="0.3">
      <c r="A170" s="2" t="s">
        <v>22</v>
      </c>
      <c r="B170" s="2" t="s">
        <v>10</v>
      </c>
      <c r="C170" s="2" t="s">
        <v>6</v>
      </c>
      <c r="D170" s="3">
        <v>51916</v>
      </c>
    </row>
    <row r="171" spans="1:4" outlineLevel="2" x14ac:dyDescent="0.3">
      <c r="A171" s="2" t="s">
        <v>22</v>
      </c>
      <c r="B171" s="2" t="s">
        <v>10</v>
      </c>
      <c r="C171" s="2" t="s">
        <v>8</v>
      </c>
      <c r="D171" s="3">
        <v>25958</v>
      </c>
    </row>
    <row r="172" spans="1:4" outlineLevel="2" x14ac:dyDescent="0.3">
      <c r="A172" s="2" t="s">
        <v>22</v>
      </c>
      <c r="B172" s="2" t="s">
        <v>8</v>
      </c>
      <c r="C172" s="2" t="s">
        <v>4</v>
      </c>
      <c r="D172" s="3">
        <v>17306</v>
      </c>
    </row>
    <row r="173" spans="1:4" outlineLevel="2" x14ac:dyDescent="0.3">
      <c r="A173" s="2" t="s">
        <v>22</v>
      </c>
      <c r="B173" s="2" t="s">
        <v>8</v>
      </c>
      <c r="C173" s="2" t="s">
        <v>2</v>
      </c>
      <c r="D173" s="3">
        <v>12979</v>
      </c>
    </row>
    <row r="174" spans="1:4" outlineLevel="2" x14ac:dyDescent="0.3">
      <c r="A174" s="2" t="s">
        <v>22</v>
      </c>
      <c r="B174" s="2" t="s">
        <v>8</v>
      </c>
      <c r="C174" s="2" t="s">
        <v>6</v>
      </c>
      <c r="D174" s="3">
        <v>8653</v>
      </c>
    </row>
    <row r="175" spans="1:4" outlineLevel="2" x14ac:dyDescent="0.3">
      <c r="A175" s="2" t="s">
        <v>22</v>
      </c>
      <c r="B175" s="2" t="s">
        <v>8</v>
      </c>
      <c r="C175" s="2" t="s">
        <v>8</v>
      </c>
      <c r="D175" s="3">
        <v>4327</v>
      </c>
    </row>
    <row r="176" spans="1:4" outlineLevel="1" x14ac:dyDescent="0.3">
      <c r="A176" s="4" t="s">
        <v>33</v>
      </c>
      <c r="B176" s="2">
        <f>SUBTOTAL(9,B152:B175)</f>
        <v>0</v>
      </c>
      <c r="C176" s="2">
        <f>SUBTOTAL(9,C152:C175)</f>
        <v>0</v>
      </c>
      <c r="D176" s="3">
        <f>SUBTOTAL(9,D152:D175)</f>
        <v>1151417</v>
      </c>
    </row>
    <row r="177" spans="1:4" outlineLevel="2" x14ac:dyDescent="0.3">
      <c r="A177" s="2" t="s">
        <v>23</v>
      </c>
      <c r="B177" s="2" t="s">
        <v>3</v>
      </c>
      <c r="C177" s="2" t="s">
        <v>4</v>
      </c>
      <c r="D177" s="3">
        <v>55748</v>
      </c>
    </row>
    <row r="178" spans="1:4" outlineLevel="2" x14ac:dyDescent="0.3">
      <c r="A178" s="2" t="s">
        <v>23</v>
      </c>
      <c r="B178" s="2" t="s">
        <v>3</v>
      </c>
      <c r="C178" s="2" t="s">
        <v>2</v>
      </c>
      <c r="D178" s="3">
        <v>16811</v>
      </c>
    </row>
    <row r="179" spans="1:4" outlineLevel="2" x14ac:dyDescent="0.3">
      <c r="A179" s="2" t="s">
        <v>23</v>
      </c>
      <c r="B179" s="2" t="s">
        <v>3</v>
      </c>
      <c r="C179" s="2" t="s">
        <v>6</v>
      </c>
      <c r="D179" s="3">
        <v>77874</v>
      </c>
    </row>
    <row r="180" spans="1:4" outlineLevel="2" x14ac:dyDescent="0.3">
      <c r="A180" s="2" t="s">
        <v>23</v>
      </c>
      <c r="B180" s="2" t="s">
        <v>3</v>
      </c>
      <c r="C180" s="2" t="s">
        <v>8</v>
      </c>
      <c r="D180" s="3">
        <v>38937</v>
      </c>
    </row>
    <row r="181" spans="1:4" outlineLevel="2" x14ac:dyDescent="0.3">
      <c r="A181" s="2" t="s">
        <v>23</v>
      </c>
      <c r="B181" s="2" t="s">
        <v>5</v>
      </c>
      <c r="C181" s="2" t="s">
        <v>4</v>
      </c>
      <c r="D181" s="3">
        <v>129221</v>
      </c>
    </row>
    <row r="182" spans="1:4" outlineLevel="2" x14ac:dyDescent="0.3">
      <c r="A182" s="2" t="s">
        <v>23</v>
      </c>
      <c r="B182" s="2" t="s">
        <v>5</v>
      </c>
      <c r="C182" s="2" t="s">
        <v>2</v>
      </c>
      <c r="D182" s="3">
        <v>96915</v>
      </c>
    </row>
    <row r="183" spans="1:4" outlineLevel="2" x14ac:dyDescent="0.3">
      <c r="A183" s="2" t="s">
        <v>23</v>
      </c>
      <c r="B183" s="2" t="s">
        <v>5</v>
      </c>
      <c r="C183" s="2" t="s">
        <v>6</v>
      </c>
      <c r="D183" s="3">
        <v>64610</v>
      </c>
    </row>
    <row r="184" spans="1:4" outlineLevel="2" x14ac:dyDescent="0.3">
      <c r="A184" s="2" t="s">
        <v>23</v>
      </c>
      <c r="B184" s="2" t="s">
        <v>5</v>
      </c>
      <c r="C184" s="2" t="s">
        <v>8</v>
      </c>
      <c r="D184" s="3">
        <v>32305</v>
      </c>
    </row>
    <row r="185" spans="1:4" outlineLevel="2" x14ac:dyDescent="0.3">
      <c r="A185" s="2" t="s">
        <v>23</v>
      </c>
      <c r="B185" s="2" t="s">
        <v>7</v>
      </c>
      <c r="C185" s="2" t="s">
        <v>4</v>
      </c>
      <c r="D185" s="3">
        <v>77874</v>
      </c>
    </row>
    <row r="186" spans="1:4" outlineLevel="2" x14ac:dyDescent="0.3">
      <c r="A186" s="2" t="s">
        <v>23</v>
      </c>
      <c r="B186" s="2" t="s">
        <v>7</v>
      </c>
      <c r="C186" s="2" t="s">
        <v>2</v>
      </c>
      <c r="D186" s="3">
        <v>58405</v>
      </c>
    </row>
    <row r="187" spans="1:4" outlineLevel="2" x14ac:dyDescent="0.3">
      <c r="A187" s="2" t="s">
        <v>23</v>
      </c>
      <c r="B187" s="2" t="s">
        <v>7</v>
      </c>
      <c r="C187" s="2" t="s">
        <v>6</v>
      </c>
      <c r="D187" s="3">
        <v>38937</v>
      </c>
    </row>
    <row r="188" spans="1:4" outlineLevel="2" x14ac:dyDescent="0.3">
      <c r="A188" s="2" t="s">
        <v>23</v>
      </c>
      <c r="B188" s="2" t="s">
        <v>7</v>
      </c>
      <c r="C188" s="2" t="s">
        <v>8</v>
      </c>
      <c r="D188" s="3">
        <v>19468</v>
      </c>
    </row>
    <row r="189" spans="1:4" outlineLevel="2" x14ac:dyDescent="0.3">
      <c r="A189" s="2" t="s">
        <v>23</v>
      </c>
      <c r="B189" s="2" t="s">
        <v>9</v>
      </c>
      <c r="C189" s="2" t="s">
        <v>4</v>
      </c>
      <c r="D189" s="3">
        <v>51916</v>
      </c>
    </row>
    <row r="190" spans="1:4" outlineLevel="2" x14ac:dyDescent="0.3">
      <c r="A190" s="2" t="s">
        <v>23</v>
      </c>
      <c r="B190" s="2" t="s">
        <v>9</v>
      </c>
      <c r="C190" s="2" t="s">
        <v>2</v>
      </c>
      <c r="D190" s="3">
        <v>38937</v>
      </c>
    </row>
    <row r="191" spans="1:4" outlineLevel="2" x14ac:dyDescent="0.3">
      <c r="A191" s="2" t="s">
        <v>23</v>
      </c>
      <c r="B191" s="2" t="s">
        <v>9</v>
      </c>
      <c r="C191" s="2" t="s">
        <v>6</v>
      </c>
      <c r="D191" s="3">
        <v>25958</v>
      </c>
    </row>
    <row r="192" spans="1:4" outlineLevel="2" x14ac:dyDescent="0.3">
      <c r="A192" s="2" t="s">
        <v>23</v>
      </c>
      <c r="B192" s="2" t="s">
        <v>9</v>
      </c>
      <c r="C192" s="2" t="s">
        <v>8</v>
      </c>
      <c r="D192" s="3">
        <v>12979</v>
      </c>
    </row>
    <row r="193" spans="1:4" outlineLevel="2" x14ac:dyDescent="0.3">
      <c r="A193" s="2" t="s">
        <v>23</v>
      </c>
      <c r="B193" s="2" t="s">
        <v>10</v>
      </c>
      <c r="C193" s="2" t="s">
        <v>4</v>
      </c>
      <c r="D193" s="3">
        <v>77874</v>
      </c>
    </row>
    <row r="194" spans="1:4" outlineLevel="2" x14ac:dyDescent="0.3">
      <c r="A194" s="2" t="s">
        <v>23</v>
      </c>
      <c r="B194" s="2" t="s">
        <v>10</v>
      </c>
      <c r="C194" s="2" t="s">
        <v>2</v>
      </c>
      <c r="D194" s="3">
        <v>58405</v>
      </c>
    </row>
    <row r="195" spans="1:4" outlineLevel="2" x14ac:dyDescent="0.3">
      <c r="A195" s="2" t="s">
        <v>23</v>
      </c>
      <c r="B195" s="2" t="s">
        <v>10</v>
      </c>
      <c r="C195" s="2" t="s">
        <v>6</v>
      </c>
      <c r="D195" s="3">
        <v>38937</v>
      </c>
    </row>
    <row r="196" spans="1:4" outlineLevel="2" x14ac:dyDescent="0.3">
      <c r="A196" s="2" t="s">
        <v>23</v>
      </c>
      <c r="B196" s="2" t="s">
        <v>10</v>
      </c>
      <c r="C196" s="2" t="s">
        <v>8</v>
      </c>
      <c r="D196" s="3">
        <v>19468</v>
      </c>
    </row>
    <row r="197" spans="1:4" outlineLevel="2" x14ac:dyDescent="0.3">
      <c r="A197" s="2" t="s">
        <v>23</v>
      </c>
      <c r="B197" s="2" t="s">
        <v>8</v>
      </c>
      <c r="C197" s="2" t="s">
        <v>4</v>
      </c>
      <c r="D197" s="3">
        <v>12979</v>
      </c>
    </row>
    <row r="198" spans="1:4" outlineLevel="2" x14ac:dyDescent="0.3">
      <c r="A198" s="2" t="s">
        <v>23</v>
      </c>
      <c r="B198" s="2" t="s">
        <v>8</v>
      </c>
      <c r="C198" s="2" t="s">
        <v>2</v>
      </c>
      <c r="D198" s="3">
        <v>9734</v>
      </c>
    </row>
    <row r="199" spans="1:4" outlineLevel="2" x14ac:dyDescent="0.3">
      <c r="A199" s="2" t="s">
        <v>23</v>
      </c>
      <c r="B199" s="2" t="s">
        <v>8</v>
      </c>
      <c r="C199" s="2" t="s">
        <v>6</v>
      </c>
      <c r="D199" s="3">
        <v>6489</v>
      </c>
    </row>
    <row r="200" spans="1:4" outlineLevel="2" x14ac:dyDescent="0.3">
      <c r="A200" s="2" t="s">
        <v>23</v>
      </c>
      <c r="B200" s="2" t="s">
        <v>8</v>
      </c>
      <c r="C200" s="2" t="s">
        <v>8</v>
      </c>
      <c r="D200" s="3">
        <v>3245</v>
      </c>
    </row>
    <row r="201" spans="1:4" outlineLevel="1" x14ac:dyDescent="0.3">
      <c r="A201" s="4" t="s">
        <v>34</v>
      </c>
      <c r="B201" s="2">
        <f>SUBTOTAL(9,B177:B200)</f>
        <v>0</v>
      </c>
      <c r="C201" s="2">
        <f>SUBTOTAL(9,C177:C200)</f>
        <v>0</v>
      </c>
      <c r="D201" s="3">
        <f>SUBTOTAL(9,D177:D200)</f>
        <v>1064026</v>
      </c>
    </row>
    <row r="202" spans="1:4" outlineLevel="2" x14ac:dyDescent="0.3">
      <c r="A202" s="2" t="s">
        <v>24</v>
      </c>
      <c r="B202" s="2" t="s">
        <v>3</v>
      </c>
      <c r="C202" s="2" t="s">
        <v>4</v>
      </c>
      <c r="D202" s="3">
        <v>46748</v>
      </c>
    </row>
    <row r="203" spans="1:4" outlineLevel="2" x14ac:dyDescent="0.3">
      <c r="A203" s="2" t="s">
        <v>24</v>
      </c>
      <c r="B203" s="2" t="s">
        <v>3</v>
      </c>
      <c r="C203" s="2" t="s">
        <v>2</v>
      </c>
      <c r="D203" s="3">
        <v>16811</v>
      </c>
    </row>
    <row r="204" spans="1:4" outlineLevel="2" x14ac:dyDescent="0.3">
      <c r="A204" s="2" t="s">
        <v>24</v>
      </c>
      <c r="B204" s="2" t="s">
        <v>3</v>
      </c>
      <c r="C204" s="2" t="s">
        <v>6</v>
      </c>
      <c r="D204" s="3">
        <v>77874</v>
      </c>
    </row>
    <row r="205" spans="1:4" outlineLevel="2" x14ac:dyDescent="0.3">
      <c r="A205" s="2" t="s">
        <v>24</v>
      </c>
      <c r="B205" s="2" t="s">
        <v>3</v>
      </c>
      <c r="C205" s="2" t="s">
        <v>8</v>
      </c>
      <c r="D205" s="3">
        <v>38937</v>
      </c>
    </row>
    <row r="206" spans="1:4" outlineLevel="2" x14ac:dyDescent="0.3">
      <c r="A206" s="2" t="s">
        <v>24</v>
      </c>
      <c r="B206" s="2" t="s">
        <v>5</v>
      </c>
      <c r="C206" s="2" t="s">
        <v>4</v>
      </c>
      <c r="D206" s="3">
        <v>129221</v>
      </c>
    </row>
    <row r="207" spans="1:4" outlineLevel="2" x14ac:dyDescent="0.3">
      <c r="A207" s="2" t="s">
        <v>24</v>
      </c>
      <c r="B207" s="2" t="s">
        <v>5</v>
      </c>
      <c r="C207" s="2" t="s">
        <v>2</v>
      </c>
      <c r="D207" s="3">
        <v>96915</v>
      </c>
    </row>
    <row r="208" spans="1:4" outlineLevel="2" x14ac:dyDescent="0.3">
      <c r="A208" s="2" t="s">
        <v>24</v>
      </c>
      <c r="B208" s="2" t="s">
        <v>5</v>
      </c>
      <c r="C208" s="2" t="s">
        <v>6</v>
      </c>
      <c r="D208" s="3">
        <v>64610</v>
      </c>
    </row>
    <row r="209" spans="1:4" outlineLevel="2" x14ac:dyDescent="0.3">
      <c r="A209" s="2" t="s">
        <v>24</v>
      </c>
      <c r="B209" s="2" t="s">
        <v>5</v>
      </c>
      <c r="C209" s="2" t="s">
        <v>8</v>
      </c>
      <c r="D209" s="3">
        <v>32305</v>
      </c>
    </row>
    <row r="210" spans="1:4" outlineLevel="2" x14ac:dyDescent="0.3">
      <c r="A210" s="2" t="s">
        <v>24</v>
      </c>
      <c r="B210" s="2" t="s">
        <v>7</v>
      </c>
      <c r="C210" s="2" t="s">
        <v>4</v>
      </c>
      <c r="D210" s="3">
        <v>57874</v>
      </c>
    </row>
    <row r="211" spans="1:4" outlineLevel="2" x14ac:dyDescent="0.3">
      <c r="A211" s="2" t="s">
        <v>24</v>
      </c>
      <c r="B211" s="2" t="s">
        <v>7</v>
      </c>
      <c r="C211" s="2" t="s">
        <v>2</v>
      </c>
      <c r="D211" s="3">
        <v>58405</v>
      </c>
    </row>
    <row r="212" spans="1:4" outlineLevel="2" x14ac:dyDescent="0.3">
      <c r="A212" s="2" t="s">
        <v>24</v>
      </c>
      <c r="B212" s="2" t="s">
        <v>7</v>
      </c>
      <c r="C212" s="2" t="s">
        <v>6</v>
      </c>
      <c r="D212" s="3">
        <v>38937</v>
      </c>
    </row>
    <row r="213" spans="1:4" outlineLevel="2" x14ac:dyDescent="0.3">
      <c r="A213" s="2" t="s">
        <v>24</v>
      </c>
      <c r="B213" s="2" t="s">
        <v>7</v>
      </c>
      <c r="C213" s="2" t="s">
        <v>8</v>
      </c>
      <c r="D213" s="3">
        <v>9468</v>
      </c>
    </row>
    <row r="214" spans="1:4" outlineLevel="2" x14ac:dyDescent="0.3">
      <c r="A214" s="2" t="s">
        <v>24</v>
      </c>
      <c r="B214" s="2" t="s">
        <v>9</v>
      </c>
      <c r="C214" s="2" t="s">
        <v>4</v>
      </c>
      <c r="D214" s="3">
        <v>51916</v>
      </c>
    </row>
    <row r="215" spans="1:4" outlineLevel="2" x14ac:dyDescent="0.3">
      <c r="A215" s="2" t="s">
        <v>24</v>
      </c>
      <c r="B215" s="2" t="s">
        <v>9</v>
      </c>
      <c r="C215" s="2" t="s">
        <v>2</v>
      </c>
      <c r="D215" s="3">
        <v>38937</v>
      </c>
    </row>
    <row r="216" spans="1:4" outlineLevel="2" x14ac:dyDescent="0.3">
      <c r="A216" s="2" t="s">
        <v>24</v>
      </c>
      <c r="B216" s="2" t="s">
        <v>9</v>
      </c>
      <c r="C216" s="2" t="s">
        <v>6</v>
      </c>
      <c r="D216" s="3">
        <v>25958</v>
      </c>
    </row>
    <row r="217" spans="1:4" outlineLevel="2" x14ac:dyDescent="0.3">
      <c r="A217" s="2" t="s">
        <v>24</v>
      </c>
      <c r="B217" s="2" t="s">
        <v>9</v>
      </c>
      <c r="C217" s="2" t="s">
        <v>8</v>
      </c>
      <c r="D217" s="3">
        <v>4979</v>
      </c>
    </row>
    <row r="218" spans="1:4" outlineLevel="2" x14ac:dyDescent="0.3">
      <c r="A218" s="2" t="s">
        <v>24</v>
      </c>
      <c r="B218" s="2" t="s">
        <v>10</v>
      </c>
      <c r="C218" s="2" t="s">
        <v>4</v>
      </c>
      <c r="D218" s="3">
        <v>77874</v>
      </c>
    </row>
    <row r="219" spans="1:4" outlineLevel="2" x14ac:dyDescent="0.3">
      <c r="A219" s="2" t="s">
        <v>24</v>
      </c>
      <c r="B219" s="2" t="s">
        <v>10</v>
      </c>
      <c r="C219" s="2" t="s">
        <v>2</v>
      </c>
      <c r="D219" s="3">
        <v>58405</v>
      </c>
    </row>
    <row r="220" spans="1:4" outlineLevel="2" x14ac:dyDescent="0.3">
      <c r="A220" s="2" t="s">
        <v>24</v>
      </c>
      <c r="B220" s="2" t="s">
        <v>10</v>
      </c>
      <c r="C220" s="2" t="s">
        <v>6</v>
      </c>
      <c r="D220" s="3">
        <v>38937</v>
      </c>
    </row>
    <row r="221" spans="1:4" outlineLevel="2" x14ac:dyDescent="0.3">
      <c r="A221" s="2" t="s">
        <v>24</v>
      </c>
      <c r="B221" s="2" t="s">
        <v>10</v>
      </c>
      <c r="C221" s="2" t="s">
        <v>8</v>
      </c>
      <c r="D221" s="3">
        <v>19468</v>
      </c>
    </row>
    <row r="222" spans="1:4" outlineLevel="2" x14ac:dyDescent="0.3">
      <c r="A222" s="2" t="s">
        <v>24</v>
      </c>
      <c r="B222" s="2" t="s">
        <v>8</v>
      </c>
      <c r="C222" s="2" t="s">
        <v>4</v>
      </c>
      <c r="D222" s="3">
        <v>12979</v>
      </c>
    </row>
    <row r="223" spans="1:4" outlineLevel="2" x14ac:dyDescent="0.3">
      <c r="A223" s="2" t="s">
        <v>24</v>
      </c>
      <c r="B223" s="2" t="s">
        <v>8</v>
      </c>
      <c r="C223" s="2" t="s">
        <v>2</v>
      </c>
      <c r="D223" s="3">
        <v>9734</v>
      </c>
    </row>
    <row r="224" spans="1:4" outlineLevel="2" x14ac:dyDescent="0.3">
      <c r="A224" s="2" t="s">
        <v>24</v>
      </c>
      <c r="B224" s="2" t="s">
        <v>8</v>
      </c>
      <c r="C224" s="2" t="s">
        <v>6</v>
      </c>
      <c r="D224" s="3">
        <v>6489</v>
      </c>
    </row>
    <row r="225" spans="1:4" outlineLevel="2" x14ac:dyDescent="0.3">
      <c r="A225" s="2" t="s">
        <v>24</v>
      </c>
      <c r="B225" s="2" t="s">
        <v>8</v>
      </c>
      <c r="C225" s="2" t="s">
        <v>8</v>
      </c>
      <c r="D225" s="3">
        <v>3245</v>
      </c>
    </row>
    <row r="226" spans="1:4" outlineLevel="1" x14ac:dyDescent="0.3">
      <c r="A226" s="4" t="s">
        <v>35</v>
      </c>
      <c r="B226" s="2">
        <f>SUBTOTAL(9,B202:B225)</f>
        <v>0</v>
      </c>
      <c r="C226" s="2">
        <f>SUBTOTAL(9,C202:C225)</f>
        <v>0</v>
      </c>
      <c r="D226" s="3">
        <f>SUBTOTAL(9,D202:D225)</f>
        <v>1017026</v>
      </c>
    </row>
    <row r="227" spans="1:4" outlineLevel="2" x14ac:dyDescent="0.3">
      <c r="A227" s="2" t="s">
        <v>14</v>
      </c>
      <c r="B227" s="2" t="s">
        <v>3</v>
      </c>
      <c r="C227" s="2" t="s">
        <v>4</v>
      </c>
      <c r="D227" s="3">
        <v>86436</v>
      </c>
    </row>
    <row r="228" spans="1:4" outlineLevel="2" x14ac:dyDescent="0.3">
      <c r="A228" s="2" t="s">
        <v>14</v>
      </c>
      <c r="B228" s="2" t="s">
        <v>3</v>
      </c>
      <c r="C228" s="2" t="s">
        <v>2</v>
      </c>
      <c r="D228" s="3">
        <v>39827</v>
      </c>
    </row>
    <row r="229" spans="1:4" outlineLevel="2" x14ac:dyDescent="0.3">
      <c r="A229" s="2" t="s">
        <v>14</v>
      </c>
      <c r="B229" s="2" t="s">
        <v>3</v>
      </c>
      <c r="C229" s="2" t="s">
        <v>6</v>
      </c>
      <c r="D229" s="3">
        <v>80217</v>
      </c>
    </row>
    <row r="230" spans="1:4" outlineLevel="2" x14ac:dyDescent="0.3">
      <c r="A230" s="2" t="s">
        <v>14</v>
      </c>
      <c r="B230" s="2" t="s">
        <v>3</v>
      </c>
      <c r="C230" s="2" t="s">
        <v>8</v>
      </c>
      <c r="D230" s="3">
        <v>46608</v>
      </c>
    </row>
    <row r="231" spans="1:4" outlineLevel="2" x14ac:dyDescent="0.3">
      <c r="A231" s="2" t="s">
        <v>14</v>
      </c>
      <c r="B231" s="2" t="s">
        <v>5</v>
      </c>
      <c r="C231" s="2" t="s">
        <v>4</v>
      </c>
      <c r="D231" s="3">
        <v>155880</v>
      </c>
    </row>
    <row r="232" spans="1:4" outlineLevel="2" x14ac:dyDescent="0.3">
      <c r="A232" s="2" t="s">
        <v>14</v>
      </c>
      <c r="B232" s="2" t="s">
        <v>5</v>
      </c>
      <c r="C232" s="2" t="s">
        <v>2</v>
      </c>
      <c r="D232" s="3">
        <v>116811</v>
      </c>
    </row>
    <row r="233" spans="1:4" outlineLevel="2" x14ac:dyDescent="0.3">
      <c r="A233" s="2" t="s">
        <v>14</v>
      </c>
      <c r="B233" s="2" t="s">
        <v>5</v>
      </c>
      <c r="C233" s="2" t="s">
        <v>6</v>
      </c>
      <c r="D233" s="3">
        <v>77874</v>
      </c>
    </row>
    <row r="234" spans="1:4" outlineLevel="2" x14ac:dyDescent="0.3">
      <c r="A234" s="2" t="s">
        <v>14</v>
      </c>
      <c r="B234" s="2" t="s">
        <v>5</v>
      </c>
      <c r="C234" s="2" t="s">
        <v>8</v>
      </c>
      <c r="D234" s="3">
        <v>38937</v>
      </c>
    </row>
    <row r="235" spans="1:4" outlineLevel="2" x14ac:dyDescent="0.3">
      <c r="A235" s="2" t="s">
        <v>14</v>
      </c>
      <c r="B235" s="2" t="s">
        <v>7</v>
      </c>
      <c r="C235" s="2" t="s">
        <v>4</v>
      </c>
      <c r="D235" s="3">
        <v>93217</v>
      </c>
    </row>
    <row r="236" spans="1:4" outlineLevel="2" x14ac:dyDescent="0.3">
      <c r="A236" s="2" t="s">
        <v>14</v>
      </c>
      <c r="B236" s="2" t="s">
        <v>7</v>
      </c>
      <c r="C236" s="2" t="s">
        <v>2</v>
      </c>
      <c r="D236" s="3">
        <v>69221</v>
      </c>
    </row>
    <row r="237" spans="1:4" outlineLevel="2" x14ac:dyDescent="0.3">
      <c r="A237" s="2" t="s">
        <v>14</v>
      </c>
      <c r="B237" s="2" t="s">
        <v>7</v>
      </c>
      <c r="C237" s="2" t="s">
        <v>6</v>
      </c>
      <c r="D237" s="3">
        <v>46608</v>
      </c>
    </row>
    <row r="238" spans="1:4" outlineLevel="2" x14ac:dyDescent="0.3">
      <c r="A238" s="2" t="s">
        <v>14</v>
      </c>
      <c r="B238" s="2" t="s">
        <v>7</v>
      </c>
      <c r="C238" s="2" t="s">
        <v>8</v>
      </c>
      <c r="D238" s="3">
        <v>23304</v>
      </c>
    </row>
    <row r="239" spans="1:4" outlineLevel="2" x14ac:dyDescent="0.3">
      <c r="A239" s="2" t="s">
        <v>14</v>
      </c>
      <c r="B239" s="2" t="s">
        <v>9</v>
      </c>
      <c r="C239" s="2" t="s">
        <v>4</v>
      </c>
      <c r="D239" s="3">
        <v>62145</v>
      </c>
    </row>
    <row r="240" spans="1:4" outlineLevel="2" x14ac:dyDescent="0.3">
      <c r="A240" s="2" t="s">
        <v>14</v>
      </c>
      <c r="B240" s="2" t="s">
        <v>9</v>
      </c>
      <c r="C240" s="2" t="s">
        <v>2</v>
      </c>
      <c r="D240" s="3">
        <v>46608</v>
      </c>
    </row>
    <row r="241" spans="1:4" outlineLevel="2" x14ac:dyDescent="0.3">
      <c r="A241" s="2" t="s">
        <v>14</v>
      </c>
      <c r="B241" s="2" t="s">
        <v>9</v>
      </c>
      <c r="C241" s="2" t="s">
        <v>6</v>
      </c>
      <c r="D241" s="3">
        <v>31072</v>
      </c>
    </row>
    <row r="242" spans="1:4" outlineLevel="2" x14ac:dyDescent="0.3">
      <c r="A242" s="2" t="s">
        <v>14</v>
      </c>
      <c r="B242" s="2" t="s">
        <v>9</v>
      </c>
      <c r="C242" s="2" t="s">
        <v>8</v>
      </c>
      <c r="D242" s="3">
        <v>15536</v>
      </c>
    </row>
    <row r="243" spans="1:4" outlineLevel="2" x14ac:dyDescent="0.3">
      <c r="A243" s="2" t="s">
        <v>14</v>
      </c>
      <c r="B243" s="2" t="s">
        <v>10</v>
      </c>
      <c r="C243" s="2" t="s">
        <v>4</v>
      </c>
      <c r="D243" s="3">
        <v>93217</v>
      </c>
    </row>
    <row r="244" spans="1:4" outlineLevel="2" x14ac:dyDescent="0.3">
      <c r="A244" s="2" t="s">
        <v>14</v>
      </c>
      <c r="B244" s="2" t="s">
        <v>10</v>
      </c>
      <c r="C244" s="2" t="s">
        <v>2</v>
      </c>
      <c r="D244" s="3">
        <v>69221</v>
      </c>
    </row>
    <row r="245" spans="1:4" outlineLevel="2" x14ac:dyDescent="0.3">
      <c r="A245" s="2" t="s">
        <v>14</v>
      </c>
      <c r="B245" s="2" t="s">
        <v>10</v>
      </c>
      <c r="C245" s="2" t="s">
        <v>6</v>
      </c>
      <c r="D245" s="3">
        <v>46608</v>
      </c>
    </row>
    <row r="246" spans="1:4" outlineLevel="2" x14ac:dyDescent="0.3">
      <c r="A246" s="2" t="s">
        <v>14</v>
      </c>
      <c r="B246" s="2" t="s">
        <v>10</v>
      </c>
      <c r="C246" s="2" t="s">
        <v>8</v>
      </c>
      <c r="D246" s="3">
        <v>23304</v>
      </c>
    </row>
    <row r="247" spans="1:4" outlineLevel="2" x14ac:dyDescent="0.3">
      <c r="A247" s="2" t="s">
        <v>14</v>
      </c>
      <c r="B247" s="2" t="s">
        <v>8</v>
      </c>
      <c r="C247" s="2" t="s">
        <v>4</v>
      </c>
      <c r="D247" s="3">
        <v>15536</v>
      </c>
    </row>
    <row r="248" spans="1:4" outlineLevel="2" x14ac:dyDescent="0.3">
      <c r="A248" s="2" t="s">
        <v>14</v>
      </c>
      <c r="B248" s="2" t="s">
        <v>8</v>
      </c>
      <c r="C248" s="2" t="s">
        <v>2</v>
      </c>
      <c r="D248" s="3">
        <v>11652</v>
      </c>
    </row>
    <row r="249" spans="1:4" outlineLevel="2" x14ac:dyDescent="0.3">
      <c r="A249" s="2" t="s">
        <v>14</v>
      </c>
      <c r="B249" s="2" t="s">
        <v>8</v>
      </c>
      <c r="C249" s="2" t="s">
        <v>6</v>
      </c>
      <c r="D249" s="3">
        <v>7768</v>
      </c>
    </row>
    <row r="250" spans="1:4" outlineLevel="2" x14ac:dyDescent="0.3">
      <c r="A250" s="2" t="s">
        <v>14</v>
      </c>
      <c r="B250" s="2" t="s">
        <v>8</v>
      </c>
      <c r="C250" s="2" t="s">
        <v>8</v>
      </c>
      <c r="D250" s="3">
        <v>3884</v>
      </c>
    </row>
    <row r="251" spans="1:4" outlineLevel="1" x14ac:dyDescent="0.3">
      <c r="A251" s="4" t="s">
        <v>25</v>
      </c>
      <c r="B251" s="2">
        <f>SUBTOTAL(9,B227:B250)</f>
        <v>0</v>
      </c>
      <c r="C251" s="2">
        <f>SUBTOTAL(9,C227:C250)</f>
        <v>0</v>
      </c>
      <c r="D251" s="3">
        <f>SUBTOTAL(9,D227:D250)</f>
        <v>1301491</v>
      </c>
    </row>
    <row r="252" spans="1:4" outlineLevel="2" x14ac:dyDescent="0.3">
      <c r="A252" s="2" t="s">
        <v>15</v>
      </c>
      <c r="B252" s="2" t="s">
        <v>3</v>
      </c>
      <c r="C252" s="2" t="s">
        <v>4</v>
      </c>
      <c r="D252" s="3">
        <v>186436</v>
      </c>
    </row>
    <row r="253" spans="1:4" outlineLevel="2" x14ac:dyDescent="0.3">
      <c r="A253" s="2" t="s">
        <v>15</v>
      </c>
      <c r="B253" s="2" t="s">
        <v>3</v>
      </c>
      <c r="C253" s="2" t="s">
        <v>2</v>
      </c>
      <c r="D253" s="3">
        <v>139827</v>
      </c>
    </row>
    <row r="254" spans="1:4" outlineLevel="2" x14ac:dyDescent="0.3">
      <c r="A254" s="2" t="s">
        <v>15</v>
      </c>
      <c r="B254" s="2" t="s">
        <v>3</v>
      </c>
      <c r="C254" s="2" t="s">
        <v>6</v>
      </c>
      <c r="D254" s="3">
        <v>93217</v>
      </c>
    </row>
    <row r="255" spans="1:4" outlineLevel="2" x14ac:dyDescent="0.3">
      <c r="A255" s="2" t="s">
        <v>15</v>
      </c>
      <c r="B255" s="2" t="s">
        <v>3</v>
      </c>
      <c r="C255" s="2" t="s">
        <v>8</v>
      </c>
      <c r="D255" s="3">
        <v>46608</v>
      </c>
    </row>
    <row r="256" spans="1:4" outlineLevel="2" x14ac:dyDescent="0.3">
      <c r="A256" s="2" t="s">
        <v>15</v>
      </c>
      <c r="B256" s="2" t="s">
        <v>5</v>
      </c>
      <c r="C256" s="2" t="s">
        <v>4</v>
      </c>
      <c r="D256" s="3">
        <v>155880</v>
      </c>
    </row>
    <row r="257" spans="1:4" outlineLevel="2" x14ac:dyDescent="0.3">
      <c r="A257" s="2" t="s">
        <v>15</v>
      </c>
      <c r="B257" s="2" t="s">
        <v>5</v>
      </c>
      <c r="C257" s="2" t="s">
        <v>2</v>
      </c>
      <c r="D257" s="3">
        <v>116811</v>
      </c>
    </row>
    <row r="258" spans="1:4" outlineLevel="2" x14ac:dyDescent="0.3">
      <c r="A258" s="2" t="s">
        <v>15</v>
      </c>
      <c r="B258" s="2" t="s">
        <v>5</v>
      </c>
      <c r="C258" s="2" t="s">
        <v>6</v>
      </c>
      <c r="D258" s="3">
        <v>77874</v>
      </c>
    </row>
    <row r="259" spans="1:4" outlineLevel="2" x14ac:dyDescent="0.3">
      <c r="A259" s="2" t="s">
        <v>15</v>
      </c>
      <c r="B259" s="2" t="s">
        <v>5</v>
      </c>
      <c r="C259" s="2" t="s">
        <v>8</v>
      </c>
      <c r="D259" s="3">
        <v>38937</v>
      </c>
    </row>
    <row r="260" spans="1:4" outlineLevel="2" x14ac:dyDescent="0.3">
      <c r="A260" s="2" t="s">
        <v>15</v>
      </c>
      <c r="B260" s="2" t="s">
        <v>7</v>
      </c>
      <c r="C260" s="2" t="s">
        <v>4</v>
      </c>
      <c r="D260" s="3">
        <v>93217</v>
      </c>
    </row>
    <row r="261" spans="1:4" outlineLevel="2" x14ac:dyDescent="0.3">
      <c r="A261" s="2" t="s">
        <v>15</v>
      </c>
      <c r="B261" s="2" t="s">
        <v>7</v>
      </c>
      <c r="C261" s="2" t="s">
        <v>2</v>
      </c>
      <c r="D261" s="3">
        <v>69221</v>
      </c>
    </row>
    <row r="262" spans="1:4" outlineLevel="2" x14ac:dyDescent="0.3">
      <c r="A262" s="2" t="s">
        <v>15</v>
      </c>
      <c r="B262" s="2" t="s">
        <v>7</v>
      </c>
      <c r="C262" s="2" t="s">
        <v>6</v>
      </c>
      <c r="D262" s="3">
        <v>46608</v>
      </c>
    </row>
    <row r="263" spans="1:4" outlineLevel="2" x14ac:dyDescent="0.3">
      <c r="A263" s="2" t="s">
        <v>15</v>
      </c>
      <c r="B263" s="2" t="s">
        <v>7</v>
      </c>
      <c r="C263" s="2" t="s">
        <v>8</v>
      </c>
      <c r="D263" s="3">
        <v>23304</v>
      </c>
    </row>
    <row r="264" spans="1:4" outlineLevel="2" x14ac:dyDescent="0.3">
      <c r="A264" s="2" t="s">
        <v>15</v>
      </c>
      <c r="B264" s="2" t="s">
        <v>9</v>
      </c>
      <c r="C264" s="2" t="s">
        <v>4</v>
      </c>
      <c r="D264" s="3">
        <v>62145</v>
      </c>
    </row>
    <row r="265" spans="1:4" outlineLevel="2" x14ac:dyDescent="0.3">
      <c r="A265" s="2" t="s">
        <v>15</v>
      </c>
      <c r="B265" s="2" t="s">
        <v>9</v>
      </c>
      <c r="C265" s="2" t="s">
        <v>2</v>
      </c>
      <c r="D265" s="3">
        <v>46608</v>
      </c>
    </row>
    <row r="266" spans="1:4" outlineLevel="2" x14ac:dyDescent="0.3">
      <c r="A266" s="2" t="s">
        <v>15</v>
      </c>
      <c r="B266" s="2" t="s">
        <v>9</v>
      </c>
      <c r="C266" s="2" t="s">
        <v>6</v>
      </c>
      <c r="D266" s="3">
        <v>31072</v>
      </c>
    </row>
    <row r="267" spans="1:4" outlineLevel="2" x14ac:dyDescent="0.3">
      <c r="A267" s="2" t="s">
        <v>15</v>
      </c>
      <c r="B267" s="2" t="s">
        <v>9</v>
      </c>
      <c r="C267" s="2" t="s">
        <v>8</v>
      </c>
      <c r="D267" s="3">
        <v>15536</v>
      </c>
    </row>
    <row r="268" spans="1:4" outlineLevel="2" x14ac:dyDescent="0.3">
      <c r="A268" s="2" t="s">
        <v>15</v>
      </c>
      <c r="B268" s="2" t="s">
        <v>10</v>
      </c>
      <c r="C268" s="2" t="s">
        <v>4</v>
      </c>
      <c r="D268" s="3">
        <v>93217</v>
      </c>
    </row>
    <row r="269" spans="1:4" outlineLevel="2" x14ac:dyDescent="0.3">
      <c r="A269" s="2" t="s">
        <v>15</v>
      </c>
      <c r="B269" s="2" t="s">
        <v>10</v>
      </c>
      <c r="C269" s="2" t="s">
        <v>2</v>
      </c>
      <c r="D269" s="3">
        <v>69221</v>
      </c>
    </row>
    <row r="270" spans="1:4" outlineLevel="2" x14ac:dyDescent="0.3">
      <c r="A270" s="2" t="s">
        <v>15</v>
      </c>
      <c r="B270" s="2" t="s">
        <v>10</v>
      </c>
      <c r="C270" s="2" t="s">
        <v>6</v>
      </c>
      <c r="D270" s="3">
        <v>46608</v>
      </c>
    </row>
    <row r="271" spans="1:4" outlineLevel="2" x14ac:dyDescent="0.3">
      <c r="A271" s="2" t="s">
        <v>15</v>
      </c>
      <c r="B271" s="2" t="s">
        <v>10</v>
      </c>
      <c r="C271" s="2" t="s">
        <v>8</v>
      </c>
      <c r="D271" s="3">
        <v>23304</v>
      </c>
    </row>
    <row r="272" spans="1:4" outlineLevel="2" x14ac:dyDescent="0.3">
      <c r="A272" s="2" t="s">
        <v>15</v>
      </c>
      <c r="B272" s="2" t="s">
        <v>8</v>
      </c>
      <c r="C272" s="2" t="s">
        <v>4</v>
      </c>
      <c r="D272" s="3">
        <v>15536</v>
      </c>
    </row>
    <row r="273" spans="1:4" outlineLevel="2" x14ac:dyDescent="0.3">
      <c r="A273" s="2" t="s">
        <v>15</v>
      </c>
      <c r="B273" s="2" t="s">
        <v>8</v>
      </c>
      <c r="C273" s="2" t="s">
        <v>2</v>
      </c>
      <c r="D273" s="3">
        <v>11652</v>
      </c>
    </row>
    <row r="274" spans="1:4" outlineLevel="2" x14ac:dyDescent="0.3">
      <c r="A274" s="2" t="s">
        <v>15</v>
      </c>
      <c r="B274" s="2" t="s">
        <v>8</v>
      </c>
      <c r="C274" s="2" t="s">
        <v>6</v>
      </c>
      <c r="D274" s="3">
        <v>7768</v>
      </c>
    </row>
    <row r="275" spans="1:4" outlineLevel="2" x14ac:dyDescent="0.3">
      <c r="A275" s="2" t="s">
        <v>15</v>
      </c>
      <c r="B275" s="2" t="s">
        <v>8</v>
      </c>
      <c r="C275" s="2" t="s">
        <v>8</v>
      </c>
      <c r="D275" s="3">
        <v>3884</v>
      </c>
    </row>
    <row r="276" spans="1:4" outlineLevel="1" x14ac:dyDescent="0.3">
      <c r="A276" s="4" t="s">
        <v>26</v>
      </c>
      <c r="B276" s="2">
        <f>SUBTOTAL(9,B252:B275)</f>
        <v>0</v>
      </c>
      <c r="C276" s="2">
        <f>SUBTOTAL(9,C252:C275)</f>
        <v>0</v>
      </c>
      <c r="D276" s="3">
        <f>SUBTOTAL(9,D252:D275)</f>
        <v>1514491</v>
      </c>
    </row>
    <row r="277" spans="1:4" outlineLevel="2" x14ac:dyDescent="0.3">
      <c r="A277" s="2" t="s">
        <v>16</v>
      </c>
      <c r="B277" s="2" t="s">
        <v>3</v>
      </c>
      <c r="C277" s="2" t="s">
        <v>4</v>
      </c>
      <c r="D277" s="3">
        <v>207664</v>
      </c>
    </row>
    <row r="278" spans="1:4" outlineLevel="2" x14ac:dyDescent="0.3">
      <c r="A278" s="2" t="s">
        <v>16</v>
      </c>
      <c r="B278" s="2" t="s">
        <v>3</v>
      </c>
      <c r="C278" s="2" t="s">
        <v>2</v>
      </c>
      <c r="D278" s="3">
        <v>155748</v>
      </c>
    </row>
    <row r="279" spans="1:4" outlineLevel="2" x14ac:dyDescent="0.3">
      <c r="A279" s="2" t="s">
        <v>16</v>
      </c>
      <c r="B279" s="2" t="s">
        <v>3</v>
      </c>
      <c r="C279" s="2" t="s">
        <v>6</v>
      </c>
      <c r="D279" s="3">
        <v>103832</v>
      </c>
    </row>
    <row r="280" spans="1:4" outlineLevel="2" x14ac:dyDescent="0.3">
      <c r="A280" s="2" t="s">
        <v>16</v>
      </c>
      <c r="B280" s="2" t="s">
        <v>3</v>
      </c>
      <c r="C280" s="2" t="s">
        <v>8</v>
      </c>
      <c r="D280" s="3">
        <v>51916</v>
      </c>
    </row>
    <row r="281" spans="1:4" outlineLevel="2" x14ac:dyDescent="0.3">
      <c r="A281" s="2" t="s">
        <v>16</v>
      </c>
      <c r="B281" s="2" t="s">
        <v>5</v>
      </c>
      <c r="C281" s="2" t="s">
        <v>4</v>
      </c>
      <c r="D281" s="3">
        <v>172294</v>
      </c>
    </row>
    <row r="282" spans="1:4" outlineLevel="2" x14ac:dyDescent="0.3">
      <c r="A282" s="2" t="s">
        <v>16</v>
      </c>
      <c r="B282" s="2" t="s">
        <v>5</v>
      </c>
      <c r="C282" s="2" t="s">
        <v>2</v>
      </c>
      <c r="D282" s="3">
        <v>129221</v>
      </c>
    </row>
    <row r="283" spans="1:4" outlineLevel="2" x14ac:dyDescent="0.3">
      <c r="A283" s="2" t="s">
        <v>16</v>
      </c>
      <c r="B283" s="2" t="s">
        <v>5</v>
      </c>
      <c r="C283" s="2" t="s">
        <v>6</v>
      </c>
      <c r="D283" s="3">
        <v>86147</v>
      </c>
    </row>
    <row r="284" spans="1:4" outlineLevel="2" x14ac:dyDescent="0.3">
      <c r="A284" s="2" t="s">
        <v>16</v>
      </c>
      <c r="B284" s="2" t="s">
        <v>5</v>
      </c>
      <c r="C284" s="2" t="s">
        <v>8</v>
      </c>
      <c r="D284" s="3">
        <v>43074</v>
      </c>
    </row>
    <row r="285" spans="1:4" outlineLevel="2" x14ac:dyDescent="0.3">
      <c r="A285" s="2" t="s">
        <v>16</v>
      </c>
      <c r="B285" s="2" t="s">
        <v>7</v>
      </c>
      <c r="C285" s="2" t="s">
        <v>4</v>
      </c>
      <c r="D285" s="3">
        <v>103832</v>
      </c>
    </row>
    <row r="286" spans="1:4" outlineLevel="2" x14ac:dyDescent="0.3">
      <c r="A286" s="2" t="s">
        <v>16</v>
      </c>
      <c r="B286" s="2" t="s">
        <v>7</v>
      </c>
      <c r="C286" s="2" t="s">
        <v>2</v>
      </c>
      <c r="D286" s="3">
        <v>77874</v>
      </c>
    </row>
    <row r="287" spans="1:4" outlineLevel="2" x14ac:dyDescent="0.3">
      <c r="A287" s="2" t="s">
        <v>16</v>
      </c>
      <c r="B287" s="2" t="s">
        <v>7</v>
      </c>
      <c r="C287" s="2" t="s">
        <v>6</v>
      </c>
      <c r="D287" s="3">
        <v>51916</v>
      </c>
    </row>
    <row r="288" spans="1:4" outlineLevel="2" x14ac:dyDescent="0.3">
      <c r="A288" s="2" t="s">
        <v>16</v>
      </c>
      <c r="B288" s="2" t="s">
        <v>7</v>
      </c>
      <c r="C288" s="2" t="s">
        <v>8</v>
      </c>
      <c r="D288" s="3">
        <v>25958</v>
      </c>
    </row>
    <row r="289" spans="1:4" outlineLevel="2" x14ac:dyDescent="0.3">
      <c r="A289" s="2" t="s">
        <v>16</v>
      </c>
      <c r="B289" s="2" t="s">
        <v>9</v>
      </c>
      <c r="C289" s="2" t="s">
        <v>4</v>
      </c>
      <c r="D289" s="3">
        <v>69221</v>
      </c>
    </row>
    <row r="290" spans="1:4" outlineLevel="2" x14ac:dyDescent="0.3">
      <c r="A290" s="2" t="s">
        <v>16</v>
      </c>
      <c r="B290" s="2" t="s">
        <v>9</v>
      </c>
      <c r="C290" s="2" t="s">
        <v>2</v>
      </c>
      <c r="D290" s="3">
        <v>51916</v>
      </c>
    </row>
    <row r="291" spans="1:4" outlineLevel="2" x14ac:dyDescent="0.3">
      <c r="A291" s="2" t="s">
        <v>16</v>
      </c>
      <c r="B291" s="2" t="s">
        <v>9</v>
      </c>
      <c r="C291" s="2" t="s">
        <v>6</v>
      </c>
      <c r="D291" s="3">
        <v>34611</v>
      </c>
    </row>
    <row r="292" spans="1:4" outlineLevel="2" x14ac:dyDescent="0.3">
      <c r="A292" s="2" t="s">
        <v>16</v>
      </c>
      <c r="B292" s="2" t="s">
        <v>9</v>
      </c>
      <c r="C292" s="2" t="s">
        <v>8</v>
      </c>
      <c r="D292" s="3">
        <v>17306</v>
      </c>
    </row>
    <row r="293" spans="1:4" outlineLevel="2" x14ac:dyDescent="0.3">
      <c r="A293" s="2" t="s">
        <v>16</v>
      </c>
      <c r="B293" s="2" t="s">
        <v>10</v>
      </c>
      <c r="C293" s="2" t="s">
        <v>4</v>
      </c>
      <c r="D293" s="3">
        <v>103832</v>
      </c>
    </row>
    <row r="294" spans="1:4" outlineLevel="2" x14ac:dyDescent="0.3">
      <c r="A294" s="2" t="s">
        <v>16</v>
      </c>
      <c r="B294" s="2" t="s">
        <v>10</v>
      </c>
      <c r="C294" s="2" t="s">
        <v>2</v>
      </c>
      <c r="D294" s="3">
        <v>77874</v>
      </c>
    </row>
    <row r="295" spans="1:4" outlineLevel="2" x14ac:dyDescent="0.3">
      <c r="A295" s="2" t="s">
        <v>16</v>
      </c>
      <c r="B295" s="2" t="s">
        <v>10</v>
      </c>
      <c r="C295" s="2" t="s">
        <v>6</v>
      </c>
      <c r="D295" s="3">
        <v>51916</v>
      </c>
    </row>
    <row r="296" spans="1:4" outlineLevel="2" x14ac:dyDescent="0.3">
      <c r="A296" s="2" t="s">
        <v>16</v>
      </c>
      <c r="B296" s="2" t="s">
        <v>10</v>
      </c>
      <c r="C296" s="2" t="s">
        <v>8</v>
      </c>
      <c r="D296" s="3">
        <v>25958</v>
      </c>
    </row>
    <row r="297" spans="1:4" outlineLevel="2" x14ac:dyDescent="0.3">
      <c r="A297" s="2" t="s">
        <v>16</v>
      </c>
      <c r="B297" s="2" t="s">
        <v>8</v>
      </c>
      <c r="C297" s="2" t="s">
        <v>4</v>
      </c>
      <c r="D297" s="3">
        <v>17306</v>
      </c>
    </row>
    <row r="298" spans="1:4" outlineLevel="2" x14ac:dyDescent="0.3">
      <c r="A298" s="2" t="s">
        <v>16</v>
      </c>
      <c r="B298" s="2" t="s">
        <v>8</v>
      </c>
      <c r="C298" s="2" t="s">
        <v>2</v>
      </c>
      <c r="D298" s="3">
        <v>12979</v>
      </c>
    </row>
    <row r="299" spans="1:4" outlineLevel="2" x14ac:dyDescent="0.3">
      <c r="A299" s="2" t="s">
        <v>16</v>
      </c>
      <c r="B299" s="2" t="s">
        <v>8</v>
      </c>
      <c r="C299" s="2" t="s">
        <v>6</v>
      </c>
      <c r="D299" s="3">
        <v>8653</v>
      </c>
    </row>
    <row r="300" spans="1:4" outlineLevel="2" x14ac:dyDescent="0.3">
      <c r="A300" s="2" t="s">
        <v>16</v>
      </c>
      <c r="B300" s="2" t="s">
        <v>8</v>
      </c>
      <c r="C300" s="2" t="s">
        <v>8</v>
      </c>
      <c r="D300" s="3">
        <v>4327</v>
      </c>
    </row>
    <row r="301" spans="1:4" outlineLevel="1" x14ac:dyDescent="0.3">
      <c r="A301" s="4" t="s">
        <v>27</v>
      </c>
      <c r="B301" s="2">
        <f>SUBTOTAL(9,B277:B300)</f>
        <v>0</v>
      </c>
      <c r="C301" s="2">
        <f>SUBTOTAL(9,C277:C300)</f>
        <v>0</v>
      </c>
      <c r="D301" s="3">
        <f>SUBTOTAL(9,D277:D300)</f>
        <v>1685375</v>
      </c>
    </row>
    <row r="302" spans="1:4" x14ac:dyDescent="0.3">
      <c r="A302" s="4" t="s">
        <v>13</v>
      </c>
      <c r="B302" s="2">
        <f>SUBTOTAL(9,B2:B300)</f>
        <v>0</v>
      </c>
      <c r="C302" s="2">
        <f>SUBTOTAL(9,C2:C300)</f>
        <v>0</v>
      </c>
      <c r="D302" s="3">
        <f>SUBTOTAL(9,D2:D300)</f>
        <v>17612643</v>
      </c>
    </row>
  </sheetData>
  <autoFilter ref="A1:D301" xr:uid="{00000000-0001-0000-00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4735-A283-4FFD-96E7-16667A0E3B1C}">
  <dimension ref="A1:D289"/>
  <sheetViews>
    <sheetView topLeftCell="A5" workbookViewId="0">
      <selection activeCell="H18" sqref="H18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0</v>
      </c>
      <c r="B1" t="s">
        <v>1</v>
      </c>
      <c r="C1" t="s">
        <v>36</v>
      </c>
      <c r="D1" t="s">
        <v>37</v>
      </c>
    </row>
    <row r="2" spans="1:4" x14ac:dyDescent="0.3">
      <c r="A2" t="s">
        <v>17</v>
      </c>
      <c r="B2" t="s">
        <v>3</v>
      </c>
      <c r="C2" t="s">
        <v>4</v>
      </c>
      <c r="D2">
        <v>48582</v>
      </c>
    </row>
    <row r="3" spans="1:4" x14ac:dyDescent="0.3">
      <c r="A3" t="s">
        <v>17</v>
      </c>
      <c r="B3" t="s">
        <v>3</v>
      </c>
      <c r="C3" t="s">
        <v>2</v>
      </c>
      <c r="D3">
        <v>36436</v>
      </c>
    </row>
    <row r="4" spans="1:4" x14ac:dyDescent="0.3">
      <c r="A4" t="s">
        <v>17</v>
      </c>
      <c r="B4" t="s">
        <v>3</v>
      </c>
      <c r="C4" t="s">
        <v>6</v>
      </c>
      <c r="D4">
        <v>24290</v>
      </c>
    </row>
    <row r="5" spans="1:4" x14ac:dyDescent="0.3">
      <c r="A5" t="s">
        <v>17</v>
      </c>
      <c r="B5" t="s">
        <v>3</v>
      </c>
      <c r="C5" t="s">
        <v>8</v>
      </c>
      <c r="D5">
        <v>52145</v>
      </c>
    </row>
    <row r="6" spans="1:4" x14ac:dyDescent="0.3">
      <c r="A6" t="s">
        <v>17</v>
      </c>
      <c r="B6" t="s">
        <v>5</v>
      </c>
      <c r="C6" t="s">
        <v>4</v>
      </c>
      <c r="D6">
        <v>107840</v>
      </c>
    </row>
    <row r="7" spans="1:4" x14ac:dyDescent="0.3">
      <c r="A7" t="s">
        <v>17</v>
      </c>
      <c r="B7" t="s">
        <v>5</v>
      </c>
      <c r="C7" t="s">
        <v>2</v>
      </c>
      <c r="D7">
        <v>155880</v>
      </c>
    </row>
    <row r="8" spans="1:4" x14ac:dyDescent="0.3">
      <c r="A8" t="s">
        <v>17</v>
      </c>
      <c r="B8" t="s">
        <v>5</v>
      </c>
      <c r="C8" t="s">
        <v>6</v>
      </c>
      <c r="D8">
        <v>103920</v>
      </c>
    </row>
    <row r="9" spans="1:4" x14ac:dyDescent="0.3">
      <c r="A9" t="s">
        <v>17</v>
      </c>
      <c r="B9" t="s">
        <v>5</v>
      </c>
      <c r="C9" t="s">
        <v>8</v>
      </c>
      <c r="D9">
        <v>21960</v>
      </c>
    </row>
    <row r="10" spans="1:4" x14ac:dyDescent="0.3">
      <c r="A10" t="s">
        <v>17</v>
      </c>
      <c r="B10" t="s">
        <v>7</v>
      </c>
      <c r="C10" t="s">
        <v>4</v>
      </c>
      <c r="D10">
        <v>124290</v>
      </c>
    </row>
    <row r="11" spans="1:4" x14ac:dyDescent="0.3">
      <c r="A11" t="s">
        <v>17</v>
      </c>
      <c r="B11" t="s">
        <v>7</v>
      </c>
      <c r="C11" t="s">
        <v>2</v>
      </c>
      <c r="D11">
        <v>93217</v>
      </c>
    </row>
    <row r="12" spans="1:4" x14ac:dyDescent="0.3">
      <c r="A12" t="s">
        <v>17</v>
      </c>
      <c r="B12" t="s">
        <v>7</v>
      </c>
      <c r="C12" t="s">
        <v>6</v>
      </c>
      <c r="D12">
        <v>62145</v>
      </c>
    </row>
    <row r="13" spans="1:4" x14ac:dyDescent="0.3">
      <c r="A13" t="s">
        <v>17</v>
      </c>
      <c r="B13" t="s">
        <v>7</v>
      </c>
      <c r="C13" t="s">
        <v>8</v>
      </c>
      <c r="D13">
        <v>31072</v>
      </c>
    </row>
    <row r="14" spans="1:4" x14ac:dyDescent="0.3">
      <c r="A14" t="s">
        <v>17</v>
      </c>
      <c r="B14" t="s">
        <v>9</v>
      </c>
      <c r="C14" t="s">
        <v>4</v>
      </c>
      <c r="D14">
        <v>82860</v>
      </c>
    </row>
    <row r="15" spans="1:4" x14ac:dyDescent="0.3">
      <c r="A15" t="s">
        <v>17</v>
      </c>
      <c r="B15" t="s">
        <v>9</v>
      </c>
      <c r="C15" t="s">
        <v>2</v>
      </c>
      <c r="D15">
        <v>62145</v>
      </c>
    </row>
    <row r="16" spans="1:4" x14ac:dyDescent="0.3">
      <c r="A16" t="s">
        <v>17</v>
      </c>
      <c r="B16" t="s">
        <v>9</v>
      </c>
      <c r="C16" t="s">
        <v>6</v>
      </c>
      <c r="D16">
        <v>41430</v>
      </c>
    </row>
    <row r="17" spans="1:4" x14ac:dyDescent="0.3">
      <c r="A17" t="s">
        <v>17</v>
      </c>
      <c r="B17" t="s">
        <v>9</v>
      </c>
      <c r="C17" t="s">
        <v>8</v>
      </c>
      <c r="D17">
        <v>20715</v>
      </c>
    </row>
    <row r="18" spans="1:4" x14ac:dyDescent="0.3">
      <c r="A18" t="s">
        <v>17</v>
      </c>
      <c r="B18" t="s">
        <v>10</v>
      </c>
      <c r="C18" t="s">
        <v>4</v>
      </c>
      <c r="D18">
        <v>124290</v>
      </c>
    </row>
    <row r="19" spans="1:4" x14ac:dyDescent="0.3">
      <c r="A19" t="s">
        <v>17</v>
      </c>
      <c r="B19" t="s">
        <v>10</v>
      </c>
      <c r="C19" t="s">
        <v>2</v>
      </c>
      <c r="D19">
        <v>93217</v>
      </c>
    </row>
    <row r="20" spans="1:4" x14ac:dyDescent="0.3">
      <c r="A20" t="s">
        <v>17</v>
      </c>
      <c r="B20" t="s">
        <v>10</v>
      </c>
      <c r="C20" t="s">
        <v>6</v>
      </c>
      <c r="D20">
        <v>62145</v>
      </c>
    </row>
    <row r="21" spans="1:4" x14ac:dyDescent="0.3">
      <c r="A21" t="s">
        <v>17</v>
      </c>
      <c r="B21" t="s">
        <v>10</v>
      </c>
      <c r="C21" t="s">
        <v>8</v>
      </c>
      <c r="D21">
        <v>31072</v>
      </c>
    </row>
    <row r="22" spans="1:4" x14ac:dyDescent="0.3">
      <c r="A22" t="s">
        <v>17</v>
      </c>
      <c r="B22" t="s">
        <v>8</v>
      </c>
      <c r="C22" t="s">
        <v>4</v>
      </c>
      <c r="D22">
        <v>20715</v>
      </c>
    </row>
    <row r="23" spans="1:4" x14ac:dyDescent="0.3">
      <c r="A23" t="s">
        <v>17</v>
      </c>
      <c r="B23" t="s">
        <v>8</v>
      </c>
      <c r="C23" t="s">
        <v>2</v>
      </c>
      <c r="D23">
        <v>15536</v>
      </c>
    </row>
    <row r="24" spans="1:4" x14ac:dyDescent="0.3">
      <c r="A24" t="s">
        <v>17</v>
      </c>
      <c r="B24" t="s">
        <v>8</v>
      </c>
      <c r="C24" t="s">
        <v>6</v>
      </c>
      <c r="D24">
        <v>10357</v>
      </c>
    </row>
    <row r="25" spans="1:4" x14ac:dyDescent="0.3">
      <c r="A25" t="s">
        <v>17</v>
      </c>
      <c r="B25" t="s">
        <v>8</v>
      </c>
      <c r="C25" t="s">
        <v>8</v>
      </c>
      <c r="D25">
        <v>5178</v>
      </c>
    </row>
    <row r="26" spans="1:4" x14ac:dyDescent="0.3">
      <c r="A26" t="s">
        <v>11</v>
      </c>
      <c r="B26" t="s">
        <v>3</v>
      </c>
      <c r="C26" t="s">
        <v>4</v>
      </c>
      <c r="D26">
        <v>70582</v>
      </c>
    </row>
    <row r="27" spans="1:4" x14ac:dyDescent="0.3">
      <c r="A27" t="s">
        <v>11</v>
      </c>
      <c r="B27" t="s">
        <v>3</v>
      </c>
      <c r="C27" t="s">
        <v>2</v>
      </c>
      <c r="D27">
        <v>60000</v>
      </c>
    </row>
    <row r="28" spans="1:4" x14ac:dyDescent="0.3">
      <c r="A28" t="s">
        <v>11</v>
      </c>
      <c r="B28" t="s">
        <v>3</v>
      </c>
      <c r="C28" t="s">
        <v>6</v>
      </c>
      <c r="D28">
        <v>40000</v>
      </c>
    </row>
    <row r="29" spans="1:4" x14ac:dyDescent="0.3">
      <c r="A29" t="s">
        <v>11</v>
      </c>
      <c r="B29" t="s">
        <v>3</v>
      </c>
      <c r="C29" t="s">
        <v>8</v>
      </c>
      <c r="D29">
        <v>25000</v>
      </c>
    </row>
    <row r="30" spans="1:4" x14ac:dyDescent="0.3">
      <c r="A30" t="s">
        <v>11</v>
      </c>
      <c r="B30" t="s">
        <v>5</v>
      </c>
      <c r="C30" t="s">
        <v>4</v>
      </c>
      <c r="D30">
        <v>207840</v>
      </c>
    </row>
    <row r="31" spans="1:4" x14ac:dyDescent="0.3">
      <c r="A31" t="s">
        <v>11</v>
      </c>
      <c r="B31" t="s">
        <v>5</v>
      </c>
      <c r="C31" t="s">
        <v>2</v>
      </c>
      <c r="D31">
        <v>155880</v>
      </c>
    </row>
    <row r="32" spans="1:4" x14ac:dyDescent="0.3">
      <c r="A32" t="s">
        <v>11</v>
      </c>
      <c r="B32" t="s">
        <v>5</v>
      </c>
      <c r="C32" t="s">
        <v>6</v>
      </c>
      <c r="D32">
        <v>103920</v>
      </c>
    </row>
    <row r="33" spans="1:4" x14ac:dyDescent="0.3">
      <c r="A33" t="s">
        <v>11</v>
      </c>
      <c r="B33" t="s">
        <v>5</v>
      </c>
      <c r="C33" t="s">
        <v>8</v>
      </c>
      <c r="D33">
        <v>51960</v>
      </c>
    </row>
    <row r="34" spans="1:4" x14ac:dyDescent="0.3">
      <c r="A34" t="s">
        <v>11</v>
      </c>
      <c r="B34" t="s">
        <v>7</v>
      </c>
      <c r="C34" t="s">
        <v>4</v>
      </c>
      <c r="D34">
        <v>124290</v>
      </c>
    </row>
    <row r="35" spans="1:4" x14ac:dyDescent="0.3">
      <c r="A35" t="s">
        <v>11</v>
      </c>
      <c r="B35" t="s">
        <v>7</v>
      </c>
      <c r="C35" t="s">
        <v>2</v>
      </c>
      <c r="D35">
        <v>93217</v>
      </c>
    </row>
    <row r="36" spans="1:4" x14ac:dyDescent="0.3">
      <c r="A36" t="s">
        <v>11</v>
      </c>
      <c r="B36" t="s">
        <v>7</v>
      </c>
      <c r="C36" t="s">
        <v>6</v>
      </c>
      <c r="D36">
        <v>62145</v>
      </c>
    </row>
    <row r="37" spans="1:4" x14ac:dyDescent="0.3">
      <c r="A37" t="s">
        <v>11</v>
      </c>
      <c r="B37" t="s">
        <v>7</v>
      </c>
      <c r="C37" t="s">
        <v>8</v>
      </c>
      <c r="D37">
        <v>31072</v>
      </c>
    </row>
    <row r="38" spans="1:4" x14ac:dyDescent="0.3">
      <c r="A38" t="s">
        <v>11</v>
      </c>
      <c r="B38" t="s">
        <v>9</v>
      </c>
      <c r="C38" t="s">
        <v>4</v>
      </c>
      <c r="D38">
        <v>82860</v>
      </c>
    </row>
    <row r="39" spans="1:4" x14ac:dyDescent="0.3">
      <c r="A39" t="s">
        <v>11</v>
      </c>
      <c r="B39" t="s">
        <v>9</v>
      </c>
      <c r="C39" t="s">
        <v>2</v>
      </c>
      <c r="D39">
        <v>62145</v>
      </c>
    </row>
    <row r="40" spans="1:4" x14ac:dyDescent="0.3">
      <c r="A40" t="s">
        <v>11</v>
      </c>
      <c r="B40" t="s">
        <v>9</v>
      </c>
      <c r="C40" t="s">
        <v>6</v>
      </c>
      <c r="D40">
        <v>41430</v>
      </c>
    </row>
    <row r="41" spans="1:4" x14ac:dyDescent="0.3">
      <c r="A41" t="s">
        <v>11</v>
      </c>
      <c r="B41" t="s">
        <v>9</v>
      </c>
      <c r="C41" t="s">
        <v>8</v>
      </c>
      <c r="D41">
        <v>20715</v>
      </c>
    </row>
    <row r="42" spans="1:4" x14ac:dyDescent="0.3">
      <c r="A42" t="s">
        <v>11</v>
      </c>
      <c r="B42" t="s">
        <v>10</v>
      </c>
      <c r="C42" t="s">
        <v>4</v>
      </c>
      <c r="D42">
        <v>124290</v>
      </c>
    </row>
    <row r="43" spans="1:4" x14ac:dyDescent="0.3">
      <c r="A43" t="s">
        <v>11</v>
      </c>
      <c r="B43" t="s">
        <v>10</v>
      </c>
      <c r="C43" t="s">
        <v>2</v>
      </c>
      <c r="D43">
        <v>93217</v>
      </c>
    </row>
    <row r="44" spans="1:4" x14ac:dyDescent="0.3">
      <c r="A44" t="s">
        <v>11</v>
      </c>
      <c r="B44" t="s">
        <v>10</v>
      </c>
      <c r="C44" t="s">
        <v>6</v>
      </c>
      <c r="D44">
        <v>62145</v>
      </c>
    </row>
    <row r="45" spans="1:4" x14ac:dyDescent="0.3">
      <c r="A45" t="s">
        <v>11</v>
      </c>
      <c r="B45" t="s">
        <v>10</v>
      </c>
      <c r="C45" t="s">
        <v>8</v>
      </c>
      <c r="D45">
        <v>31072</v>
      </c>
    </row>
    <row r="46" spans="1:4" x14ac:dyDescent="0.3">
      <c r="A46" t="s">
        <v>11</v>
      </c>
      <c r="B46" t="s">
        <v>8</v>
      </c>
      <c r="C46" t="s">
        <v>4</v>
      </c>
      <c r="D46">
        <v>20715</v>
      </c>
    </row>
    <row r="47" spans="1:4" x14ac:dyDescent="0.3">
      <c r="A47" t="s">
        <v>11</v>
      </c>
      <c r="B47" t="s">
        <v>8</v>
      </c>
      <c r="C47" t="s">
        <v>2</v>
      </c>
      <c r="D47">
        <v>15536</v>
      </c>
    </row>
    <row r="48" spans="1:4" x14ac:dyDescent="0.3">
      <c r="A48" t="s">
        <v>11</v>
      </c>
      <c r="B48" t="s">
        <v>8</v>
      </c>
      <c r="C48" t="s">
        <v>6</v>
      </c>
      <c r="D48">
        <v>10357</v>
      </c>
    </row>
    <row r="49" spans="1:4" x14ac:dyDescent="0.3">
      <c r="A49" t="s">
        <v>11</v>
      </c>
      <c r="B49" t="s">
        <v>8</v>
      </c>
      <c r="C49" t="s">
        <v>8</v>
      </c>
      <c r="D49">
        <v>5178</v>
      </c>
    </row>
    <row r="50" spans="1:4" x14ac:dyDescent="0.3">
      <c r="A50" t="s">
        <v>18</v>
      </c>
      <c r="B50" t="s">
        <v>3</v>
      </c>
      <c r="C50" t="s">
        <v>4</v>
      </c>
      <c r="D50">
        <v>248582</v>
      </c>
    </row>
    <row r="51" spans="1:4" x14ac:dyDescent="0.3">
      <c r="A51" t="s">
        <v>18</v>
      </c>
      <c r="B51" t="s">
        <v>3</v>
      </c>
      <c r="C51" t="s">
        <v>2</v>
      </c>
      <c r="D51">
        <v>186436</v>
      </c>
    </row>
    <row r="52" spans="1:4" x14ac:dyDescent="0.3">
      <c r="A52" t="s">
        <v>18</v>
      </c>
      <c r="B52" t="s">
        <v>3</v>
      </c>
      <c r="C52" t="s">
        <v>6</v>
      </c>
      <c r="D52">
        <v>124290</v>
      </c>
    </row>
    <row r="53" spans="1:4" x14ac:dyDescent="0.3">
      <c r="A53" t="s">
        <v>18</v>
      </c>
      <c r="B53" t="s">
        <v>3</v>
      </c>
      <c r="C53" t="s">
        <v>8</v>
      </c>
      <c r="D53">
        <v>62145</v>
      </c>
    </row>
    <row r="54" spans="1:4" x14ac:dyDescent="0.3">
      <c r="A54" t="s">
        <v>18</v>
      </c>
      <c r="B54" t="s">
        <v>5</v>
      </c>
      <c r="C54" t="s">
        <v>4</v>
      </c>
      <c r="D54">
        <v>207840</v>
      </c>
    </row>
    <row r="55" spans="1:4" x14ac:dyDescent="0.3">
      <c r="A55" t="s">
        <v>18</v>
      </c>
      <c r="B55" t="s">
        <v>5</v>
      </c>
      <c r="C55" t="s">
        <v>2</v>
      </c>
      <c r="D55">
        <v>155880</v>
      </c>
    </row>
    <row r="56" spans="1:4" x14ac:dyDescent="0.3">
      <c r="A56" t="s">
        <v>18</v>
      </c>
      <c r="B56" t="s">
        <v>5</v>
      </c>
      <c r="C56" t="s">
        <v>6</v>
      </c>
      <c r="D56">
        <v>103920</v>
      </c>
    </row>
    <row r="57" spans="1:4" x14ac:dyDescent="0.3">
      <c r="A57" t="s">
        <v>18</v>
      </c>
      <c r="B57" t="s">
        <v>5</v>
      </c>
      <c r="C57" t="s">
        <v>8</v>
      </c>
      <c r="D57">
        <v>51960</v>
      </c>
    </row>
    <row r="58" spans="1:4" x14ac:dyDescent="0.3">
      <c r="A58" t="s">
        <v>18</v>
      </c>
      <c r="B58" t="s">
        <v>7</v>
      </c>
      <c r="C58" t="s">
        <v>4</v>
      </c>
      <c r="D58">
        <v>124290</v>
      </c>
    </row>
    <row r="59" spans="1:4" x14ac:dyDescent="0.3">
      <c r="A59" t="s">
        <v>18</v>
      </c>
      <c r="B59" t="s">
        <v>7</v>
      </c>
      <c r="C59" t="s">
        <v>2</v>
      </c>
      <c r="D59">
        <v>93217</v>
      </c>
    </row>
    <row r="60" spans="1:4" x14ac:dyDescent="0.3">
      <c r="A60" t="s">
        <v>18</v>
      </c>
      <c r="B60" t="s">
        <v>7</v>
      </c>
      <c r="C60" t="s">
        <v>6</v>
      </c>
      <c r="D60">
        <v>62145</v>
      </c>
    </row>
    <row r="61" spans="1:4" x14ac:dyDescent="0.3">
      <c r="A61" t="s">
        <v>18</v>
      </c>
      <c r="B61" t="s">
        <v>7</v>
      </c>
      <c r="C61" t="s">
        <v>8</v>
      </c>
      <c r="D61">
        <v>31072</v>
      </c>
    </row>
    <row r="62" spans="1:4" x14ac:dyDescent="0.3">
      <c r="A62" t="s">
        <v>18</v>
      </c>
      <c r="B62" t="s">
        <v>9</v>
      </c>
      <c r="C62" t="s">
        <v>4</v>
      </c>
      <c r="D62">
        <v>82860</v>
      </c>
    </row>
    <row r="63" spans="1:4" x14ac:dyDescent="0.3">
      <c r="A63" t="s">
        <v>18</v>
      </c>
      <c r="B63" t="s">
        <v>9</v>
      </c>
      <c r="C63" t="s">
        <v>2</v>
      </c>
      <c r="D63">
        <v>62145</v>
      </c>
    </row>
    <row r="64" spans="1:4" x14ac:dyDescent="0.3">
      <c r="A64" t="s">
        <v>18</v>
      </c>
      <c r="B64" t="s">
        <v>9</v>
      </c>
      <c r="C64" t="s">
        <v>6</v>
      </c>
      <c r="D64">
        <v>41430</v>
      </c>
    </row>
    <row r="65" spans="1:4" x14ac:dyDescent="0.3">
      <c r="A65" t="s">
        <v>18</v>
      </c>
      <c r="B65" t="s">
        <v>9</v>
      </c>
      <c r="C65" t="s">
        <v>8</v>
      </c>
      <c r="D65">
        <v>20715</v>
      </c>
    </row>
    <row r="66" spans="1:4" x14ac:dyDescent="0.3">
      <c r="A66" t="s">
        <v>18</v>
      </c>
      <c r="B66" t="s">
        <v>10</v>
      </c>
      <c r="C66" t="s">
        <v>4</v>
      </c>
      <c r="D66">
        <v>124290</v>
      </c>
    </row>
    <row r="67" spans="1:4" x14ac:dyDescent="0.3">
      <c r="A67" t="s">
        <v>18</v>
      </c>
      <c r="B67" t="s">
        <v>10</v>
      </c>
      <c r="C67" t="s">
        <v>2</v>
      </c>
      <c r="D67">
        <v>93217</v>
      </c>
    </row>
    <row r="68" spans="1:4" x14ac:dyDescent="0.3">
      <c r="A68" t="s">
        <v>18</v>
      </c>
      <c r="B68" t="s">
        <v>10</v>
      </c>
      <c r="C68" t="s">
        <v>6</v>
      </c>
      <c r="D68">
        <v>62145</v>
      </c>
    </row>
    <row r="69" spans="1:4" x14ac:dyDescent="0.3">
      <c r="A69" t="s">
        <v>18</v>
      </c>
      <c r="B69" t="s">
        <v>10</v>
      </c>
      <c r="C69" t="s">
        <v>8</v>
      </c>
      <c r="D69">
        <v>31072</v>
      </c>
    </row>
    <row r="70" spans="1:4" x14ac:dyDescent="0.3">
      <c r="A70" t="s">
        <v>18</v>
      </c>
      <c r="B70" t="s">
        <v>8</v>
      </c>
      <c r="C70" t="s">
        <v>4</v>
      </c>
      <c r="D70">
        <v>20715</v>
      </c>
    </row>
    <row r="71" spans="1:4" x14ac:dyDescent="0.3">
      <c r="A71" t="s">
        <v>18</v>
      </c>
      <c r="B71" t="s">
        <v>8</v>
      </c>
      <c r="C71" t="s">
        <v>2</v>
      </c>
      <c r="D71">
        <v>15536</v>
      </c>
    </row>
    <row r="72" spans="1:4" x14ac:dyDescent="0.3">
      <c r="A72" t="s">
        <v>18</v>
      </c>
      <c r="B72" t="s">
        <v>8</v>
      </c>
      <c r="C72" t="s">
        <v>6</v>
      </c>
      <c r="D72">
        <v>10357</v>
      </c>
    </row>
    <row r="73" spans="1:4" x14ac:dyDescent="0.3">
      <c r="A73" t="s">
        <v>18</v>
      </c>
      <c r="B73" t="s">
        <v>8</v>
      </c>
      <c r="C73" t="s">
        <v>8</v>
      </c>
      <c r="D73">
        <v>5178</v>
      </c>
    </row>
    <row r="74" spans="1:4" x14ac:dyDescent="0.3">
      <c r="A74" t="s">
        <v>19</v>
      </c>
      <c r="B74" t="s">
        <v>3</v>
      </c>
      <c r="C74" t="s">
        <v>4</v>
      </c>
      <c r="D74">
        <v>207664</v>
      </c>
    </row>
    <row r="75" spans="1:4" x14ac:dyDescent="0.3">
      <c r="A75" t="s">
        <v>19</v>
      </c>
      <c r="B75" t="s">
        <v>3</v>
      </c>
      <c r="C75" t="s">
        <v>2</v>
      </c>
      <c r="D75">
        <v>155748</v>
      </c>
    </row>
    <row r="76" spans="1:4" x14ac:dyDescent="0.3">
      <c r="A76" t="s">
        <v>19</v>
      </c>
      <c r="B76" t="s">
        <v>3</v>
      </c>
      <c r="C76" t="s">
        <v>6</v>
      </c>
      <c r="D76">
        <v>103832</v>
      </c>
    </row>
    <row r="77" spans="1:4" x14ac:dyDescent="0.3">
      <c r="A77" t="s">
        <v>19</v>
      </c>
      <c r="B77" t="s">
        <v>3</v>
      </c>
      <c r="C77" t="s">
        <v>8</v>
      </c>
      <c r="D77">
        <v>51916</v>
      </c>
    </row>
    <row r="78" spans="1:4" x14ac:dyDescent="0.3">
      <c r="A78" t="s">
        <v>19</v>
      </c>
      <c r="B78" t="s">
        <v>5</v>
      </c>
      <c r="C78" t="s">
        <v>4</v>
      </c>
      <c r="D78">
        <v>272294</v>
      </c>
    </row>
    <row r="79" spans="1:4" x14ac:dyDescent="0.3">
      <c r="A79" t="s">
        <v>19</v>
      </c>
      <c r="B79" t="s">
        <v>5</v>
      </c>
      <c r="C79" t="s">
        <v>2</v>
      </c>
      <c r="D79">
        <v>109221</v>
      </c>
    </row>
    <row r="80" spans="1:4" x14ac:dyDescent="0.3">
      <c r="A80" t="s">
        <v>19</v>
      </c>
      <c r="B80" t="s">
        <v>5</v>
      </c>
      <c r="C80" t="s">
        <v>6</v>
      </c>
      <c r="D80">
        <v>86147</v>
      </c>
    </row>
    <row r="81" spans="1:4" x14ac:dyDescent="0.3">
      <c r="A81" t="s">
        <v>19</v>
      </c>
      <c r="B81" t="s">
        <v>5</v>
      </c>
      <c r="C81" t="s">
        <v>8</v>
      </c>
      <c r="D81">
        <v>43074</v>
      </c>
    </row>
    <row r="82" spans="1:4" x14ac:dyDescent="0.3">
      <c r="A82" t="s">
        <v>19</v>
      </c>
      <c r="B82" t="s">
        <v>7</v>
      </c>
      <c r="C82" t="s">
        <v>4</v>
      </c>
      <c r="D82">
        <v>103832</v>
      </c>
    </row>
    <row r="83" spans="1:4" x14ac:dyDescent="0.3">
      <c r="A83" t="s">
        <v>19</v>
      </c>
      <c r="B83" t="s">
        <v>7</v>
      </c>
      <c r="C83" t="s">
        <v>2</v>
      </c>
      <c r="D83">
        <v>77874</v>
      </c>
    </row>
    <row r="84" spans="1:4" x14ac:dyDescent="0.3">
      <c r="A84" t="s">
        <v>19</v>
      </c>
      <c r="B84" t="s">
        <v>7</v>
      </c>
      <c r="C84" t="s">
        <v>6</v>
      </c>
      <c r="D84">
        <v>51916</v>
      </c>
    </row>
    <row r="85" spans="1:4" x14ac:dyDescent="0.3">
      <c r="A85" t="s">
        <v>19</v>
      </c>
      <c r="B85" t="s">
        <v>7</v>
      </c>
      <c r="C85" t="s">
        <v>8</v>
      </c>
      <c r="D85">
        <v>25958</v>
      </c>
    </row>
    <row r="86" spans="1:4" x14ac:dyDescent="0.3">
      <c r="A86" t="s">
        <v>19</v>
      </c>
      <c r="B86" t="s">
        <v>9</v>
      </c>
      <c r="C86" t="s">
        <v>4</v>
      </c>
      <c r="D86">
        <v>69221</v>
      </c>
    </row>
    <row r="87" spans="1:4" x14ac:dyDescent="0.3">
      <c r="A87" t="s">
        <v>19</v>
      </c>
      <c r="B87" t="s">
        <v>9</v>
      </c>
      <c r="C87" t="s">
        <v>2</v>
      </c>
      <c r="D87">
        <v>51916</v>
      </c>
    </row>
    <row r="88" spans="1:4" x14ac:dyDescent="0.3">
      <c r="A88" t="s">
        <v>19</v>
      </c>
      <c r="B88" t="s">
        <v>9</v>
      </c>
      <c r="C88" t="s">
        <v>6</v>
      </c>
      <c r="D88">
        <v>34611</v>
      </c>
    </row>
    <row r="89" spans="1:4" x14ac:dyDescent="0.3">
      <c r="A89" t="s">
        <v>19</v>
      </c>
      <c r="B89" t="s">
        <v>9</v>
      </c>
      <c r="C89" t="s">
        <v>8</v>
      </c>
      <c r="D89">
        <v>17306</v>
      </c>
    </row>
    <row r="90" spans="1:4" x14ac:dyDescent="0.3">
      <c r="A90" t="s">
        <v>19</v>
      </c>
      <c r="B90" t="s">
        <v>10</v>
      </c>
      <c r="C90" t="s">
        <v>4</v>
      </c>
      <c r="D90">
        <v>103832</v>
      </c>
    </row>
    <row r="91" spans="1:4" x14ac:dyDescent="0.3">
      <c r="A91" t="s">
        <v>19</v>
      </c>
      <c r="B91" t="s">
        <v>10</v>
      </c>
      <c r="C91" t="s">
        <v>2</v>
      </c>
      <c r="D91">
        <v>77874</v>
      </c>
    </row>
    <row r="92" spans="1:4" x14ac:dyDescent="0.3">
      <c r="A92" t="s">
        <v>19</v>
      </c>
      <c r="B92" t="s">
        <v>10</v>
      </c>
      <c r="C92" t="s">
        <v>6</v>
      </c>
      <c r="D92">
        <v>51916</v>
      </c>
    </row>
    <row r="93" spans="1:4" x14ac:dyDescent="0.3">
      <c r="A93" t="s">
        <v>19</v>
      </c>
      <c r="B93" t="s">
        <v>10</v>
      </c>
      <c r="C93" t="s">
        <v>8</v>
      </c>
      <c r="D93">
        <v>25958</v>
      </c>
    </row>
    <row r="94" spans="1:4" x14ac:dyDescent="0.3">
      <c r="A94" t="s">
        <v>19</v>
      </c>
      <c r="B94" t="s">
        <v>8</v>
      </c>
      <c r="C94" t="s">
        <v>4</v>
      </c>
      <c r="D94">
        <v>17306</v>
      </c>
    </row>
    <row r="95" spans="1:4" x14ac:dyDescent="0.3">
      <c r="A95" t="s">
        <v>19</v>
      </c>
      <c r="B95" t="s">
        <v>8</v>
      </c>
      <c r="C95" t="s">
        <v>2</v>
      </c>
      <c r="D95">
        <v>12979</v>
      </c>
    </row>
    <row r="96" spans="1:4" x14ac:dyDescent="0.3">
      <c r="A96" t="s">
        <v>19</v>
      </c>
      <c r="B96" t="s">
        <v>8</v>
      </c>
      <c r="C96" t="s">
        <v>6</v>
      </c>
      <c r="D96">
        <v>8653</v>
      </c>
    </row>
    <row r="97" spans="1:4" x14ac:dyDescent="0.3">
      <c r="A97" t="s">
        <v>19</v>
      </c>
      <c r="B97" t="s">
        <v>8</v>
      </c>
      <c r="C97" t="s">
        <v>8</v>
      </c>
      <c r="D97">
        <v>4327</v>
      </c>
    </row>
    <row r="98" spans="1:4" x14ac:dyDescent="0.3">
      <c r="A98" t="s">
        <v>20</v>
      </c>
      <c r="B98" t="s">
        <v>3</v>
      </c>
      <c r="C98" t="s">
        <v>4</v>
      </c>
      <c r="D98">
        <v>207664</v>
      </c>
    </row>
    <row r="99" spans="1:4" x14ac:dyDescent="0.3">
      <c r="A99" t="s">
        <v>20</v>
      </c>
      <c r="B99" t="s">
        <v>3</v>
      </c>
      <c r="C99" t="s">
        <v>2</v>
      </c>
      <c r="D99">
        <v>155748</v>
      </c>
    </row>
    <row r="100" spans="1:4" x14ac:dyDescent="0.3">
      <c r="A100" t="s">
        <v>20</v>
      </c>
      <c r="B100" t="s">
        <v>3</v>
      </c>
      <c r="C100" t="s">
        <v>6</v>
      </c>
      <c r="D100">
        <v>103832</v>
      </c>
    </row>
    <row r="101" spans="1:4" x14ac:dyDescent="0.3">
      <c r="A101" t="s">
        <v>20</v>
      </c>
      <c r="B101" t="s">
        <v>3</v>
      </c>
      <c r="C101" t="s">
        <v>8</v>
      </c>
      <c r="D101">
        <v>51916</v>
      </c>
    </row>
    <row r="102" spans="1:4" x14ac:dyDescent="0.3">
      <c r="A102" t="s">
        <v>20</v>
      </c>
      <c r="B102" t="s">
        <v>5</v>
      </c>
      <c r="C102" t="s">
        <v>4</v>
      </c>
      <c r="D102">
        <v>172294</v>
      </c>
    </row>
    <row r="103" spans="1:4" x14ac:dyDescent="0.3">
      <c r="A103" t="s">
        <v>20</v>
      </c>
      <c r="B103" t="s">
        <v>5</v>
      </c>
      <c r="C103" t="s">
        <v>2</v>
      </c>
      <c r="D103">
        <v>129221</v>
      </c>
    </row>
    <row r="104" spans="1:4" x14ac:dyDescent="0.3">
      <c r="A104" t="s">
        <v>20</v>
      </c>
      <c r="B104" t="s">
        <v>5</v>
      </c>
      <c r="C104" t="s">
        <v>6</v>
      </c>
      <c r="D104">
        <v>86147</v>
      </c>
    </row>
    <row r="105" spans="1:4" x14ac:dyDescent="0.3">
      <c r="A105" t="s">
        <v>20</v>
      </c>
      <c r="B105" t="s">
        <v>5</v>
      </c>
      <c r="C105" t="s">
        <v>8</v>
      </c>
      <c r="D105">
        <v>43074</v>
      </c>
    </row>
    <row r="106" spans="1:4" x14ac:dyDescent="0.3">
      <c r="A106" t="s">
        <v>20</v>
      </c>
      <c r="B106" t="s">
        <v>7</v>
      </c>
      <c r="C106" t="s">
        <v>4</v>
      </c>
      <c r="D106">
        <v>103832</v>
      </c>
    </row>
    <row r="107" spans="1:4" x14ac:dyDescent="0.3">
      <c r="A107" t="s">
        <v>20</v>
      </c>
      <c r="B107" t="s">
        <v>7</v>
      </c>
      <c r="C107" t="s">
        <v>2</v>
      </c>
      <c r="D107">
        <v>77874</v>
      </c>
    </row>
    <row r="108" spans="1:4" x14ac:dyDescent="0.3">
      <c r="A108" t="s">
        <v>20</v>
      </c>
      <c r="B108" t="s">
        <v>7</v>
      </c>
      <c r="C108" t="s">
        <v>6</v>
      </c>
      <c r="D108">
        <v>51916</v>
      </c>
    </row>
    <row r="109" spans="1:4" x14ac:dyDescent="0.3">
      <c r="A109" t="s">
        <v>20</v>
      </c>
      <c r="B109" t="s">
        <v>7</v>
      </c>
      <c r="C109" t="s">
        <v>8</v>
      </c>
      <c r="D109">
        <v>25958</v>
      </c>
    </row>
    <row r="110" spans="1:4" x14ac:dyDescent="0.3">
      <c r="A110" t="s">
        <v>20</v>
      </c>
      <c r="B110" t="s">
        <v>9</v>
      </c>
      <c r="C110" t="s">
        <v>4</v>
      </c>
      <c r="D110">
        <v>69221</v>
      </c>
    </row>
    <row r="111" spans="1:4" x14ac:dyDescent="0.3">
      <c r="A111" t="s">
        <v>20</v>
      </c>
      <c r="B111" t="s">
        <v>9</v>
      </c>
      <c r="C111" t="s">
        <v>2</v>
      </c>
      <c r="D111">
        <v>51916</v>
      </c>
    </row>
    <row r="112" spans="1:4" x14ac:dyDescent="0.3">
      <c r="A112" t="s">
        <v>20</v>
      </c>
      <c r="B112" t="s">
        <v>9</v>
      </c>
      <c r="C112" t="s">
        <v>6</v>
      </c>
      <c r="D112">
        <v>34611</v>
      </c>
    </row>
    <row r="113" spans="1:4" x14ac:dyDescent="0.3">
      <c r="A113" t="s">
        <v>20</v>
      </c>
      <c r="B113" t="s">
        <v>9</v>
      </c>
      <c r="C113" t="s">
        <v>8</v>
      </c>
      <c r="D113">
        <v>17306</v>
      </c>
    </row>
    <row r="114" spans="1:4" x14ac:dyDescent="0.3">
      <c r="A114" t="s">
        <v>20</v>
      </c>
      <c r="B114" t="s">
        <v>10</v>
      </c>
      <c r="C114" t="s">
        <v>4</v>
      </c>
      <c r="D114">
        <v>103832</v>
      </c>
    </row>
    <row r="115" spans="1:4" x14ac:dyDescent="0.3">
      <c r="A115" t="s">
        <v>20</v>
      </c>
      <c r="B115" t="s">
        <v>10</v>
      </c>
      <c r="C115" t="s">
        <v>2</v>
      </c>
      <c r="D115">
        <v>77874</v>
      </c>
    </row>
    <row r="116" spans="1:4" x14ac:dyDescent="0.3">
      <c r="A116" t="s">
        <v>20</v>
      </c>
      <c r="B116" t="s">
        <v>10</v>
      </c>
      <c r="C116" t="s">
        <v>6</v>
      </c>
      <c r="D116">
        <v>51916</v>
      </c>
    </row>
    <row r="117" spans="1:4" x14ac:dyDescent="0.3">
      <c r="A117" t="s">
        <v>20</v>
      </c>
      <c r="B117" t="s">
        <v>10</v>
      </c>
      <c r="C117" t="s">
        <v>8</v>
      </c>
      <c r="D117">
        <v>25958</v>
      </c>
    </row>
    <row r="118" spans="1:4" x14ac:dyDescent="0.3">
      <c r="A118" t="s">
        <v>20</v>
      </c>
      <c r="B118" t="s">
        <v>8</v>
      </c>
      <c r="C118" t="s">
        <v>4</v>
      </c>
      <c r="D118">
        <v>17306</v>
      </c>
    </row>
    <row r="119" spans="1:4" x14ac:dyDescent="0.3">
      <c r="A119" t="s">
        <v>20</v>
      </c>
      <c r="B119" t="s">
        <v>8</v>
      </c>
      <c r="C119" t="s">
        <v>2</v>
      </c>
      <c r="D119">
        <v>12979</v>
      </c>
    </row>
    <row r="120" spans="1:4" x14ac:dyDescent="0.3">
      <c r="A120" t="s">
        <v>20</v>
      </c>
      <c r="B120" t="s">
        <v>8</v>
      </c>
      <c r="C120" t="s">
        <v>6</v>
      </c>
      <c r="D120">
        <v>8653</v>
      </c>
    </row>
    <row r="121" spans="1:4" x14ac:dyDescent="0.3">
      <c r="A121" t="s">
        <v>20</v>
      </c>
      <c r="B121" t="s">
        <v>8</v>
      </c>
      <c r="C121" t="s">
        <v>8</v>
      </c>
      <c r="D121">
        <v>4327</v>
      </c>
    </row>
    <row r="122" spans="1:4" x14ac:dyDescent="0.3">
      <c r="A122" t="s">
        <v>21</v>
      </c>
      <c r="B122" t="s">
        <v>3</v>
      </c>
      <c r="C122" t="s">
        <v>4</v>
      </c>
      <c r="D122">
        <v>107664</v>
      </c>
    </row>
    <row r="123" spans="1:4" x14ac:dyDescent="0.3">
      <c r="A123" t="s">
        <v>21</v>
      </c>
      <c r="B123" t="s">
        <v>3</v>
      </c>
      <c r="C123" t="s">
        <v>2</v>
      </c>
      <c r="D123">
        <v>55748</v>
      </c>
    </row>
    <row r="124" spans="1:4" x14ac:dyDescent="0.3">
      <c r="A124" t="s">
        <v>21</v>
      </c>
      <c r="B124" t="s">
        <v>3</v>
      </c>
      <c r="C124" t="s">
        <v>6</v>
      </c>
      <c r="D124">
        <v>30000</v>
      </c>
    </row>
    <row r="125" spans="1:4" x14ac:dyDescent="0.3">
      <c r="A125" t="s">
        <v>21</v>
      </c>
      <c r="B125" t="s">
        <v>3</v>
      </c>
      <c r="C125" t="s">
        <v>8</v>
      </c>
      <c r="D125">
        <v>20000</v>
      </c>
    </row>
    <row r="126" spans="1:4" x14ac:dyDescent="0.3">
      <c r="A126" t="s">
        <v>21</v>
      </c>
      <c r="B126" t="s">
        <v>5</v>
      </c>
      <c r="C126" t="s">
        <v>4</v>
      </c>
      <c r="D126">
        <v>172294</v>
      </c>
    </row>
    <row r="127" spans="1:4" x14ac:dyDescent="0.3">
      <c r="A127" t="s">
        <v>21</v>
      </c>
      <c r="B127" t="s">
        <v>5</v>
      </c>
      <c r="C127" t="s">
        <v>2</v>
      </c>
      <c r="D127">
        <v>129221</v>
      </c>
    </row>
    <row r="128" spans="1:4" x14ac:dyDescent="0.3">
      <c r="A128" t="s">
        <v>21</v>
      </c>
      <c r="B128" t="s">
        <v>5</v>
      </c>
      <c r="C128" t="s">
        <v>6</v>
      </c>
      <c r="D128">
        <v>86147</v>
      </c>
    </row>
    <row r="129" spans="1:4" x14ac:dyDescent="0.3">
      <c r="A129" t="s">
        <v>21</v>
      </c>
      <c r="B129" t="s">
        <v>5</v>
      </c>
      <c r="C129" t="s">
        <v>8</v>
      </c>
      <c r="D129">
        <v>43074</v>
      </c>
    </row>
    <row r="130" spans="1:4" x14ac:dyDescent="0.3">
      <c r="A130" t="s">
        <v>21</v>
      </c>
      <c r="B130" t="s">
        <v>7</v>
      </c>
      <c r="C130" t="s">
        <v>4</v>
      </c>
      <c r="D130">
        <v>103832</v>
      </c>
    </row>
    <row r="131" spans="1:4" x14ac:dyDescent="0.3">
      <c r="A131" t="s">
        <v>21</v>
      </c>
      <c r="B131" t="s">
        <v>7</v>
      </c>
      <c r="C131" t="s">
        <v>2</v>
      </c>
      <c r="D131">
        <v>77874</v>
      </c>
    </row>
    <row r="132" spans="1:4" x14ac:dyDescent="0.3">
      <c r="A132" t="s">
        <v>21</v>
      </c>
      <c r="B132" t="s">
        <v>7</v>
      </c>
      <c r="C132" t="s">
        <v>6</v>
      </c>
      <c r="D132">
        <v>51916</v>
      </c>
    </row>
    <row r="133" spans="1:4" x14ac:dyDescent="0.3">
      <c r="A133" t="s">
        <v>21</v>
      </c>
      <c r="B133" t="s">
        <v>7</v>
      </c>
      <c r="C133" t="s">
        <v>8</v>
      </c>
      <c r="D133">
        <v>25958</v>
      </c>
    </row>
    <row r="134" spans="1:4" x14ac:dyDescent="0.3">
      <c r="A134" t="s">
        <v>21</v>
      </c>
      <c r="B134" t="s">
        <v>9</v>
      </c>
      <c r="C134" t="s">
        <v>4</v>
      </c>
      <c r="D134">
        <v>69221</v>
      </c>
    </row>
    <row r="135" spans="1:4" x14ac:dyDescent="0.3">
      <c r="A135" t="s">
        <v>21</v>
      </c>
      <c r="B135" t="s">
        <v>9</v>
      </c>
      <c r="C135" t="s">
        <v>2</v>
      </c>
      <c r="D135">
        <v>51916</v>
      </c>
    </row>
    <row r="136" spans="1:4" x14ac:dyDescent="0.3">
      <c r="A136" t="s">
        <v>21</v>
      </c>
      <c r="B136" t="s">
        <v>9</v>
      </c>
      <c r="C136" t="s">
        <v>6</v>
      </c>
      <c r="D136">
        <v>34611</v>
      </c>
    </row>
    <row r="137" spans="1:4" x14ac:dyDescent="0.3">
      <c r="A137" t="s">
        <v>21</v>
      </c>
      <c r="B137" t="s">
        <v>9</v>
      </c>
      <c r="C137" t="s">
        <v>8</v>
      </c>
      <c r="D137">
        <v>17306</v>
      </c>
    </row>
    <row r="138" spans="1:4" x14ac:dyDescent="0.3">
      <c r="A138" t="s">
        <v>21</v>
      </c>
      <c r="B138" t="s">
        <v>10</v>
      </c>
      <c r="C138" t="s">
        <v>4</v>
      </c>
      <c r="D138">
        <v>103832</v>
      </c>
    </row>
    <row r="139" spans="1:4" x14ac:dyDescent="0.3">
      <c r="A139" t="s">
        <v>21</v>
      </c>
      <c r="B139" t="s">
        <v>10</v>
      </c>
      <c r="C139" t="s">
        <v>2</v>
      </c>
      <c r="D139">
        <v>77874</v>
      </c>
    </row>
    <row r="140" spans="1:4" x14ac:dyDescent="0.3">
      <c r="A140" t="s">
        <v>21</v>
      </c>
      <c r="B140" t="s">
        <v>10</v>
      </c>
      <c r="C140" t="s">
        <v>6</v>
      </c>
      <c r="D140">
        <v>51916</v>
      </c>
    </row>
    <row r="141" spans="1:4" x14ac:dyDescent="0.3">
      <c r="A141" t="s">
        <v>21</v>
      </c>
      <c r="B141" t="s">
        <v>10</v>
      </c>
      <c r="C141" t="s">
        <v>8</v>
      </c>
      <c r="D141">
        <v>25958</v>
      </c>
    </row>
    <row r="142" spans="1:4" x14ac:dyDescent="0.3">
      <c r="A142" t="s">
        <v>21</v>
      </c>
      <c r="B142" t="s">
        <v>8</v>
      </c>
      <c r="C142" t="s">
        <v>4</v>
      </c>
      <c r="D142">
        <v>17306</v>
      </c>
    </row>
    <row r="143" spans="1:4" x14ac:dyDescent="0.3">
      <c r="A143" t="s">
        <v>21</v>
      </c>
      <c r="B143" t="s">
        <v>8</v>
      </c>
      <c r="C143" t="s">
        <v>2</v>
      </c>
      <c r="D143">
        <v>12979</v>
      </c>
    </row>
    <row r="144" spans="1:4" x14ac:dyDescent="0.3">
      <c r="A144" t="s">
        <v>21</v>
      </c>
      <c r="B144" t="s">
        <v>8</v>
      </c>
      <c r="C144" t="s">
        <v>6</v>
      </c>
      <c r="D144">
        <v>8653</v>
      </c>
    </row>
    <row r="145" spans="1:4" x14ac:dyDescent="0.3">
      <c r="A145" t="s">
        <v>21</v>
      </c>
      <c r="B145" t="s">
        <v>8</v>
      </c>
      <c r="C145" t="s">
        <v>8</v>
      </c>
      <c r="D145">
        <v>4327</v>
      </c>
    </row>
    <row r="146" spans="1:4" x14ac:dyDescent="0.3">
      <c r="A146" t="s">
        <v>22</v>
      </c>
      <c r="B146" t="s">
        <v>3</v>
      </c>
      <c r="C146" t="s">
        <v>4</v>
      </c>
      <c r="D146">
        <v>70664</v>
      </c>
    </row>
    <row r="147" spans="1:4" x14ac:dyDescent="0.3">
      <c r="A147" t="s">
        <v>22</v>
      </c>
      <c r="B147" t="s">
        <v>3</v>
      </c>
      <c r="C147" t="s">
        <v>2</v>
      </c>
      <c r="D147">
        <v>60000</v>
      </c>
    </row>
    <row r="148" spans="1:4" x14ac:dyDescent="0.3">
      <c r="A148" t="s">
        <v>22</v>
      </c>
      <c r="B148" t="s">
        <v>3</v>
      </c>
      <c r="C148" t="s">
        <v>6</v>
      </c>
      <c r="D148">
        <v>50000</v>
      </c>
    </row>
    <row r="149" spans="1:4" x14ac:dyDescent="0.3">
      <c r="A149" t="s">
        <v>22</v>
      </c>
      <c r="B149" t="s">
        <v>3</v>
      </c>
      <c r="C149" t="s">
        <v>8</v>
      </c>
      <c r="D149">
        <v>20000</v>
      </c>
    </row>
    <row r="150" spans="1:4" x14ac:dyDescent="0.3">
      <c r="A150" t="s">
        <v>22</v>
      </c>
      <c r="B150" t="s">
        <v>5</v>
      </c>
      <c r="C150" t="s">
        <v>4</v>
      </c>
      <c r="D150">
        <v>97200</v>
      </c>
    </row>
    <row r="151" spans="1:4" x14ac:dyDescent="0.3">
      <c r="A151" t="s">
        <v>22</v>
      </c>
      <c r="B151" t="s">
        <v>5</v>
      </c>
      <c r="C151" t="s">
        <v>2</v>
      </c>
      <c r="D151">
        <v>65000</v>
      </c>
    </row>
    <row r="152" spans="1:4" x14ac:dyDescent="0.3">
      <c r="A152" t="s">
        <v>22</v>
      </c>
      <c r="B152" t="s">
        <v>5</v>
      </c>
      <c r="C152" t="s">
        <v>6</v>
      </c>
      <c r="D152">
        <v>10000</v>
      </c>
    </row>
    <row r="153" spans="1:4" x14ac:dyDescent="0.3">
      <c r="A153" t="s">
        <v>22</v>
      </c>
      <c r="B153" t="s">
        <v>5</v>
      </c>
      <c r="C153" t="s">
        <v>8</v>
      </c>
      <c r="D153">
        <v>43074</v>
      </c>
    </row>
    <row r="154" spans="1:4" x14ac:dyDescent="0.3">
      <c r="A154" t="s">
        <v>22</v>
      </c>
      <c r="B154" t="s">
        <v>7</v>
      </c>
      <c r="C154" t="s">
        <v>4</v>
      </c>
      <c r="D154">
        <v>103832</v>
      </c>
    </row>
    <row r="155" spans="1:4" x14ac:dyDescent="0.3">
      <c r="A155" t="s">
        <v>22</v>
      </c>
      <c r="B155" t="s">
        <v>7</v>
      </c>
      <c r="C155" t="s">
        <v>2</v>
      </c>
      <c r="D155">
        <v>77874</v>
      </c>
    </row>
    <row r="156" spans="1:4" x14ac:dyDescent="0.3">
      <c r="A156" t="s">
        <v>22</v>
      </c>
      <c r="B156" t="s">
        <v>7</v>
      </c>
      <c r="C156" t="s">
        <v>6</v>
      </c>
      <c r="D156">
        <v>51916</v>
      </c>
    </row>
    <row r="157" spans="1:4" x14ac:dyDescent="0.3">
      <c r="A157" t="s">
        <v>22</v>
      </c>
      <c r="B157" t="s">
        <v>7</v>
      </c>
      <c r="C157" t="s">
        <v>8</v>
      </c>
      <c r="D157">
        <v>25958</v>
      </c>
    </row>
    <row r="158" spans="1:4" x14ac:dyDescent="0.3">
      <c r="A158" t="s">
        <v>22</v>
      </c>
      <c r="B158" t="s">
        <v>9</v>
      </c>
      <c r="C158" t="s">
        <v>4</v>
      </c>
      <c r="D158">
        <v>69221</v>
      </c>
    </row>
    <row r="159" spans="1:4" x14ac:dyDescent="0.3">
      <c r="A159" t="s">
        <v>22</v>
      </c>
      <c r="B159" t="s">
        <v>9</v>
      </c>
      <c r="C159" t="s">
        <v>2</v>
      </c>
      <c r="D159">
        <v>51916</v>
      </c>
    </row>
    <row r="160" spans="1:4" x14ac:dyDescent="0.3">
      <c r="A160" t="s">
        <v>22</v>
      </c>
      <c r="B160" t="s">
        <v>9</v>
      </c>
      <c r="C160" t="s">
        <v>6</v>
      </c>
      <c r="D160">
        <v>34611</v>
      </c>
    </row>
    <row r="161" spans="1:4" x14ac:dyDescent="0.3">
      <c r="A161" t="s">
        <v>22</v>
      </c>
      <c r="B161" t="s">
        <v>9</v>
      </c>
      <c r="C161" t="s">
        <v>8</v>
      </c>
      <c r="D161">
        <v>17306</v>
      </c>
    </row>
    <row r="162" spans="1:4" x14ac:dyDescent="0.3">
      <c r="A162" t="s">
        <v>22</v>
      </c>
      <c r="B162" t="s">
        <v>10</v>
      </c>
      <c r="C162" t="s">
        <v>4</v>
      </c>
      <c r="D162">
        <v>103832</v>
      </c>
    </row>
    <row r="163" spans="1:4" x14ac:dyDescent="0.3">
      <c r="A163" t="s">
        <v>22</v>
      </c>
      <c r="B163" t="s">
        <v>10</v>
      </c>
      <c r="C163" t="s">
        <v>2</v>
      </c>
      <c r="D163">
        <v>77874</v>
      </c>
    </row>
    <row r="164" spans="1:4" x14ac:dyDescent="0.3">
      <c r="A164" t="s">
        <v>22</v>
      </c>
      <c r="B164" t="s">
        <v>10</v>
      </c>
      <c r="C164" t="s">
        <v>6</v>
      </c>
      <c r="D164">
        <v>51916</v>
      </c>
    </row>
    <row r="165" spans="1:4" x14ac:dyDescent="0.3">
      <c r="A165" t="s">
        <v>22</v>
      </c>
      <c r="B165" t="s">
        <v>10</v>
      </c>
      <c r="C165" t="s">
        <v>8</v>
      </c>
      <c r="D165">
        <v>25958</v>
      </c>
    </row>
    <row r="166" spans="1:4" x14ac:dyDescent="0.3">
      <c r="A166" t="s">
        <v>22</v>
      </c>
      <c r="B166" t="s">
        <v>8</v>
      </c>
      <c r="C166" t="s">
        <v>4</v>
      </c>
      <c r="D166">
        <v>17306</v>
      </c>
    </row>
    <row r="167" spans="1:4" x14ac:dyDescent="0.3">
      <c r="A167" t="s">
        <v>22</v>
      </c>
      <c r="B167" t="s">
        <v>8</v>
      </c>
      <c r="C167" t="s">
        <v>2</v>
      </c>
      <c r="D167">
        <v>12979</v>
      </c>
    </row>
    <row r="168" spans="1:4" x14ac:dyDescent="0.3">
      <c r="A168" t="s">
        <v>22</v>
      </c>
      <c r="B168" t="s">
        <v>8</v>
      </c>
      <c r="C168" t="s">
        <v>6</v>
      </c>
      <c r="D168">
        <v>8653</v>
      </c>
    </row>
    <row r="169" spans="1:4" x14ac:dyDescent="0.3">
      <c r="A169" t="s">
        <v>22</v>
      </c>
      <c r="B169" t="s">
        <v>8</v>
      </c>
      <c r="C169" t="s">
        <v>8</v>
      </c>
      <c r="D169">
        <v>4327</v>
      </c>
    </row>
    <row r="170" spans="1:4" x14ac:dyDescent="0.3">
      <c r="A170" t="s">
        <v>23</v>
      </c>
      <c r="B170" t="s">
        <v>3</v>
      </c>
      <c r="C170" t="s">
        <v>4</v>
      </c>
      <c r="D170">
        <v>55748</v>
      </c>
    </row>
    <row r="171" spans="1:4" x14ac:dyDescent="0.3">
      <c r="A171" t="s">
        <v>23</v>
      </c>
      <c r="B171" t="s">
        <v>3</v>
      </c>
      <c r="C171" t="s">
        <v>2</v>
      </c>
      <c r="D171">
        <v>16811</v>
      </c>
    </row>
    <row r="172" spans="1:4" x14ac:dyDescent="0.3">
      <c r="A172" t="s">
        <v>23</v>
      </c>
      <c r="B172" t="s">
        <v>3</v>
      </c>
      <c r="C172" t="s">
        <v>6</v>
      </c>
      <c r="D172">
        <v>77874</v>
      </c>
    </row>
    <row r="173" spans="1:4" x14ac:dyDescent="0.3">
      <c r="A173" t="s">
        <v>23</v>
      </c>
      <c r="B173" t="s">
        <v>3</v>
      </c>
      <c r="C173" t="s">
        <v>8</v>
      </c>
      <c r="D173">
        <v>38937</v>
      </c>
    </row>
    <row r="174" spans="1:4" x14ac:dyDescent="0.3">
      <c r="A174" t="s">
        <v>23</v>
      </c>
      <c r="B174" t="s">
        <v>5</v>
      </c>
      <c r="C174" t="s">
        <v>4</v>
      </c>
      <c r="D174">
        <v>129221</v>
      </c>
    </row>
    <row r="175" spans="1:4" x14ac:dyDescent="0.3">
      <c r="A175" t="s">
        <v>23</v>
      </c>
      <c r="B175" t="s">
        <v>5</v>
      </c>
      <c r="C175" t="s">
        <v>2</v>
      </c>
      <c r="D175">
        <v>96915</v>
      </c>
    </row>
    <row r="176" spans="1:4" x14ac:dyDescent="0.3">
      <c r="A176" t="s">
        <v>23</v>
      </c>
      <c r="B176" t="s">
        <v>5</v>
      </c>
      <c r="C176" t="s">
        <v>6</v>
      </c>
      <c r="D176">
        <v>64610</v>
      </c>
    </row>
    <row r="177" spans="1:4" x14ac:dyDescent="0.3">
      <c r="A177" t="s">
        <v>23</v>
      </c>
      <c r="B177" t="s">
        <v>5</v>
      </c>
      <c r="C177" t="s">
        <v>8</v>
      </c>
      <c r="D177">
        <v>32305</v>
      </c>
    </row>
    <row r="178" spans="1:4" x14ac:dyDescent="0.3">
      <c r="A178" t="s">
        <v>23</v>
      </c>
      <c r="B178" t="s">
        <v>7</v>
      </c>
      <c r="C178" t="s">
        <v>4</v>
      </c>
      <c r="D178">
        <v>77874</v>
      </c>
    </row>
    <row r="179" spans="1:4" x14ac:dyDescent="0.3">
      <c r="A179" t="s">
        <v>23</v>
      </c>
      <c r="B179" t="s">
        <v>7</v>
      </c>
      <c r="C179" t="s">
        <v>2</v>
      </c>
      <c r="D179">
        <v>58405</v>
      </c>
    </row>
    <row r="180" spans="1:4" x14ac:dyDescent="0.3">
      <c r="A180" t="s">
        <v>23</v>
      </c>
      <c r="B180" t="s">
        <v>7</v>
      </c>
      <c r="C180" t="s">
        <v>6</v>
      </c>
      <c r="D180">
        <v>38937</v>
      </c>
    </row>
    <row r="181" spans="1:4" x14ac:dyDescent="0.3">
      <c r="A181" t="s">
        <v>23</v>
      </c>
      <c r="B181" t="s">
        <v>7</v>
      </c>
      <c r="C181" t="s">
        <v>8</v>
      </c>
      <c r="D181">
        <v>19468</v>
      </c>
    </row>
    <row r="182" spans="1:4" x14ac:dyDescent="0.3">
      <c r="A182" t="s">
        <v>23</v>
      </c>
      <c r="B182" t="s">
        <v>9</v>
      </c>
      <c r="C182" t="s">
        <v>4</v>
      </c>
      <c r="D182">
        <v>51916</v>
      </c>
    </row>
    <row r="183" spans="1:4" x14ac:dyDescent="0.3">
      <c r="A183" t="s">
        <v>23</v>
      </c>
      <c r="B183" t="s">
        <v>9</v>
      </c>
      <c r="C183" t="s">
        <v>2</v>
      </c>
      <c r="D183">
        <v>38937</v>
      </c>
    </row>
    <row r="184" spans="1:4" x14ac:dyDescent="0.3">
      <c r="A184" t="s">
        <v>23</v>
      </c>
      <c r="B184" t="s">
        <v>9</v>
      </c>
      <c r="C184" t="s">
        <v>6</v>
      </c>
      <c r="D184">
        <v>25958</v>
      </c>
    </row>
    <row r="185" spans="1:4" x14ac:dyDescent="0.3">
      <c r="A185" t="s">
        <v>23</v>
      </c>
      <c r="B185" t="s">
        <v>9</v>
      </c>
      <c r="C185" t="s">
        <v>8</v>
      </c>
      <c r="D185">
        <v>12979</v>
      </c>
    </row>
    <row r="186" spans="1:4" x14ac:dyDescent="0.3">
      <c r="A186" t="s">
        <v>23</v>
      </c>
      <c r="B186" t="s">
        <v>10</v>
      </c>
      <c r="C186" t="s">
        <v>4</v>
      </c>
      <c r="D186">
        <v>77874</v>
      </c>
    </row>
    <row r="187" spans="1:4" x14ac:dyDescent="0.3">
      <c r="A187" t="s">
        <v>23</v>
      </c>
      <c r="B187" t="s">
        <v>10</v>
      </c>
      <c r="C187" t="s">
        <v>2</v>
      </c>
      <c r="D187">
        <v>58405</v>
      </c>
    </row>
    <row r="188" spans="1:4" x14ac:dyDescent="0.3">
      <c r="A188" t="s">
        <v>23</v>
      </c>
      <c r="B188" t="s">
        <v>10</v>
      </c>
      <c r="C188" t="s">
        <v>6</v>
      </c>
      <c r="D188">
        <v>38937</v>
      </c>
    </row>
    <row r="189" spans="1:4" x14ac:dyDescent="0.3">
      <c r="A189" t="s">
        <v>23</v>
      </c>
      <c r="B189" t="s">
        <v>10</v>
      </c>
      <c r="C189" t="s">
        <v>8</v>
      </c>
      <c r="D189">
        <v>19468</v>
      </c>
    </row>
    <row r="190" spans="1:4" x14ac:dyDescent="0.3">
      <c r="A190" t="s">
        <v>23</v>
      </c>
      <c r="B190" t="s">
        <v>8</v>
      </c>
      <c r="C190" t="s">
        <v>4</v>
      </c>
      <c r="D190">
        <v>12979</v>
      </c>
    </row>
    <row r="191" spans="1:4" x14ac:dyDescent="0.3">
      <c r="A191" t="s">
        <v>23</v>
      </c>
      <c r="B191" t="s">
        <v>8</v>
      </c>
      <c r="C191" t="s">
        <v>2</v>
      </c>
      <c r="D191">
        <v>9734</v>
      </c>
    </row>
    <row r="192" spans="1:4" x14ac:dyDescent="0.3">
      <c r="A192" t="s">
        <v>23</v>
      </c>
      <c r="B192" t="s">
        <v>8</v>
      </c>
      <c r="C192" t="s">
        <v>6</v>
      </c>
      <c r="D192">
        <v>6489</v>
      </c>
    </row>
    <row r="193" spans="1:4" x14ac:dyDescent="0.3">
      <c r="A193" t="s">
        <v>23</v>
      </c>
      <c r="B193" t="s">
        <v>8</v>
      </c>
      <c r="C193" t="s">
        <v>8</v>
      </c>
      <c r="D193">
        <v>3245</v>
      </c>
    </row>
    <row r="194" spans="1:4" x14ac:dyDescent="0.3">
      <c r="A194" t="s">
        <v>24</v>
      </c>
      <c r="B194" t="s">
        <v>3</v>
      </c>
      <c r="C194" t="s">
        <v>4</v>
      </c>
      <c r="D194">
        <v>46748</v>
      </c>
    </row>
    <row r="195" spans="1:4" x14ac:dyDescent="0.3">
      <c r="A195" t="s">
        <v>24</v>
      </c>
      <c r="B195" t="s">
        <v>3</v>
      </c>
      <c r="C195" t="s">
        <v>2</v>
      </c>
      <c r="D195">
        <v>16811</v>
      </c>
    </row>
    <row r="196" spans="1:4" x14ac:dyDescent="0.3">
      <c r="A196" t="s">
        <v>24</v>
      </c>
      <c r="B196" t="s">
        <v>3</v>
      </c>
      <c r="C196" t="s">
        <v>6</v>
      </c>
      <c r="D196">
        <v>77874</v>
      </c>
    </row>
    <row r="197" spans="1:4" x14ac:dyDescent="0.3">
      <c r="A197" t="s">
        <v>24</v>
      </c>
      <c r="B197" t="s">
        <v>3</v>
      </c>
      <c r="C197" t="s">
        <v>8</v>
      </c>
      <c r="D197">
        <v>38937</v>
      </c>
    </row>
    <row r="198" spans="1:4" x14ac:dyDescent="0.3">
      <c r="A198" t="s">
        <v>24</v>
      </c>
      <c r="B198" t="s">
        <v>5</v>
      </c>
      <c r="C198" t="s">
        <v>4</v>
      </c>
      <c r="D198">
        <v>129221</v>
      </c>
    </row>
    <row r="199" spans="1:4" x14ac:dyDescent="0.3">
      <c r="A199" t="s">
        <v>24</v>
      </c>
      <c r="B199" t="s">
        <v>5</v>
      </c>
      <c r="C199" t="s">
        <v>2</v>
      </c>
      <c r="D199">
        <v>96915</v>
      </c>
    </row>
    <row r="200" spans="1:4" x14ac:dyDescent="0.3">
      <c r="A200" t="s">
        <v>24</v>
      </c>
      <c r="B200" t="s">
        <v>5</v>
      </c>
      <c r="C200" t="s">
        <v>6</v>
      </c>
      <c r="D200">
        <v>64610</v>
      </c>
    </row>
    <row r="201" spans="1:4" x14ac:dyDescent="0.3">
      <c r="A201" t="s">
        <v>24</v>
      </c>
      <c r="B201" t="s">
        <v>5</v>
      </c>
      <c r="C201" t="s">
        <v>8</v>
      </c>
      <c r="D201">
        <v>32305</v>
      </c>
    </row>
    <row r="202" spans="1:4" x14ac:dyDescent="0.3">
      <c r="A202" t="s">
        <v>24</v>
      </c>
      <c r="B202" t="s">
        <v>7</v>
      </c>
      <c r="C202" t="s">
        <v>4</v>
      </c>
      <c r="D202">
        <v>57874</v>
      </c>
    </row>
    <row r="203" spans="1:4" x14ac:dyDescent="0.3">
      <c r="A203" t="s">
        <v>24</v>
      </c>
      <c r="B203" t="s">
        <v>7</v>
      </c>
      <c r="C203" t="s">
        <v>2</v>
      </c>
      <c r="D203">
        <v>58405</v>
      </c>
    </row>
    <row r="204" spans="1:4" x14ac:dyDescent="0.3">
      <c r="A204" t="s">
        <v>24</v>
      </c>
      <c r="B204" t="s">
        <v>7</v>
      </c>
      <c r="C204" t="s">
        <v>6</v>
      </c>
      <c r="D204">
        <v>38937</v>
      </c>
    </row>
    <row r="205" spans="1:4" x14ac:dyDescent="0.3">
      <c r="A205" t="s">
        <v>24</v>
      </c>
      <c r="B205" t="s">
        <v>7</v>
      </c>
      <c r="C205" t="s">
        <v>8</v>
      </c>
      <c r="D205">
        <v>9468</v>
      </c>
    </row>
    <row r="206" spans="1:4" x14ac:dyDescent="0.3">
      <c r="A206" t="s">
        <v>24</v>
      </c>
      <c r="B206" t="s">
        <v>9</v>
      </c>
      <c r="C206" t="s">
        <v>4</v>
      </c>
      <c r="D206">
        <v>51916</v>
      </c>
    </row>
    <row r="207" spans="1:4" x14ac:dyDescent="0.3">
      <c r="A207" t="s">
        <v>24</v>
      </c>
      <c r="B207" t="s">
        <v>9</v>
      </c>
      <c r="C207" t="s">
        <v>2</v>
      </c>
      <c r="D207">
        <v>38937</v>
      </c>
    </row>
    <row r="208" spans="1:4" x14ac:dyDescent="0.3">
      <c r="A208" t="s">
        <v>24</v>
      </c>
      <c r="B208" t="s">
        <v>9</v>
      </c>
      <c r="C208" t="s">
        <v>6</v>
      </c>
      <c r="D208">
        <v>25958</v>
      </c>
    </row>
    <row r="209" spans="1:4" x14ac:dyDescent="0.3">
      <c r="A209" t="s">
        <v>24</v>
      </c>
      <c r="B209" t="s">
        <v>9</v>
      </c>
      <c r="C209" t="s">
        <v>8</v>
      </c>
      <c r="D209">
        <v>4979</v>
      </c>
    </row>
    <row r="210" spans="1:4" x14ac:dyDescent="0.3">
      <c r="A210" t="s">
        <v>24</v>
      </c>
      <c r="B210" t="s">
        <v>10</v>
      </c>
      <c r="C210" t="s">
        <v>4</v>
      </c>
      <c r="D210">
        <v>77874</v>
      </c>
    </row>
    <row r="211" spans="1:4" x14ac:dyDescent="0.3">
      <c r="A211" t="s">
        <v>24</v>
      </c>
      <c r="B211" t="s">
        <v>10</v>
      </c>
      <c r="C211" t="s">
        <v>2</v>
      </c>
      <c r="D211">
        <v>58405</v>
      </c>
    </row>
    <row r="212" spans="1:4" x14ac:dyDescent="0.3">
      <c r="A212" t="s">
        <v>24</v>
      </c>
      <c r="B212" t="s">
        <v>10</v>
      </c>
      <c r="C212" t="s">
        <v>6</v>
      </c>
      <c r="D212">
        <v>38937</v>
      </c>
    </row>
    <row r="213" spans="1:4" x14ac:dyDescent="0.3">
      <c r="A213" t="s">
        <v>24</v>
      </c>
      <c r="B213" t="s">
        <v>10</v>
      </c>
      <c r="C213" t="s">
        <v>8</v>
      </c>
      <c r="D213">
        <v>19468</v>
      </c>
    </row>
    <row r="214" spans="1:4" x14ac:dyDescent="0.3">
      <c r="A214" t="s">
        <v>24</v>
      </c>
      <c r="B214" t="s">
        <v>8</v>
      </c>
      <c r="C214" t="s">
        <v>4</v>
      </c>
      <c r="D214">
        <v>12979</v>
      </c>
    </row>
    <row r="215" spans="1:4" x14ac:dyDescent="0.3">
      <c r="A215" t="s">
        <v>24</v>
      </c>
      <c r="B215" t="s">
        <v>8</v>
      </c>
      <c r="C215" t="s">
        <v>2</v>
      </c>
      <c r="D215">
        <v>9734</v>
      </c>
    </row>
    <row r="216" spans="1:4" x14ac:dyDescent="0.3">
      <c r="A216" t="s">
        <v>24</v>
      </c>
      <c r="B216" t="s">
        <v>8</v>
      </c>
      <c r="C216" t="s">
        <v>6</v>
      </c>
      <c r="D216">
        <v>6489</v>
      </c>
    </row>
    <row r="217" spans="1:4" x14ac:dyDescent="0.3">
      <c r="A217" t="s">
        <v>24</v>
      </c>
      <c r="B217" t="s">
        <v>8</v>
      </c>
      <c r="C217" t="s">
        <v>8</v>
      </c>
      <c r="D217">
        <v>3245</v>
      </c>
    </row>
    <row r="218" spans="1:4" x14ac:dyDescent="0.3">
      <c r="A218" t="s">
        <v>14</v>
      </c>
      <c r="B218" t="s">
        <v>3</v>
      </c>
      <c r="C218" t="s">
        <v>4</v>
      </c>
      <c r="D218">
        <v>86436</v>
      </c>
    </row>
    <row r="219" spans="1:4" x14ac:dyDescent="0.3">
      <c r="A219" t="s">
        <v>14</v>
      </c>
      <c r="B219" t="s">
        <v>3</v>
      </c>
      <c r="C219" t="s">
        <v>2</v>
      </c>
      <c r="D219">
        <v>39827</v>
      </c>
    </row>
    <row r="220" spans="1:4" x14ac:dyDescent="0.3">
      <c r="A220" t="s">
        <v>14</v>
      </c>
      <c r="B220" t="s">
        <v>3</v>
      </c>
      <c r="C220" t="s">
        <v>6</v>
      </c>
      <c r="D220">
        <v>80217</v>
      </c>
    </row>
    <row r="221" spans="1:4" x14ac:dyDescent="0.3">
      <c r="A221" t="s">
        <v>14</v>
      </c>
      <c r="B221" t="s">
        <v>3</v>
      </c>
      <c r="C221" t="s">
        <v>8</v>
      </c>
      <c r="D221">
        <v>46608</v>
      </c>
    </row>
    <row r="222" spans="1:4" x14ac:dyDescent="0.3">
      <c r="A222" t="s">
        <v>14</v>
      </c>
      <c r="B222" t="s">
        <v>5</v>
      </c>
      <c r="C222" t="s">
        <v>4</v>
      </c>
      <c r="D222">
        <v>155880</v>
      </c>
    </row>
    <row r="223" spans="1:4" x14ac:dyDescent="0.3">
      <c r="A223" t="s">
        <v>14</v>
      </c>
      <c r="B223" t="s">
        <v>5</v>
      </c>
      <c r="C223" t="s">
        <v>2</v>
      </c>
      <c r="D223">
        <v>116811</v>
      </c>
    </row>
    <row r="224" spans="1:4" x14ac:dyDescent="0.3">
      <c r="A224" t="s">
        <v>14</v>
      </c>
      <c r="B224" t="s">
        <v>5</v>
      </c>
      <c r="C224" t="s">
        <v>6</v>
      </c>
      <c r="D224">
        <v>77874</v>
      </c>
    </row>
    <row r="225" spans="1:4" x14ac:dyDescent="0.3">
      <c r="A225" t="s">
        <v>14</v>
      </c>
      <c r="B225" t="s">
        <v>5</v>
      </c>
      <c r="C225" t="s">
        <v>8</v>
      </c>
      <c r="D225">
        <v>38937</v>
      </c>
    </row>
    <row r="226" spans="1:4" x14ac:dyDescent="0.3">
      <c r="A226" t="s">
        <v>14</v>
      </c>
      <c r="B226" t="s">
        <v>7</v>
      </c>
      <c r="C226" t="s">
        <v>4</v>
      </c>
      <c r="D226">
        <v>93217</v>
      </c>
    </row>
    <row r="227" spans="1:4" x14ac:dyDescent="0.3">
      <c r="A227" t="s">
        <v>14</v>
      </c>
      <c r="B227" t="s">
        <v>7</v>
      </c>
      <c r="C227" t="s">
        <v>2</v>
      </c>
      <c r="D227">
        <v>69221</v>
      </c>
    </row>
    <row r="228" spans="1:4" x14ac:dyDescent="0.3">
      <c r="A228" t="s">
        <v>14</v>
      </c>
      <c r="B228" t="s">
        <v>7</v>
      </c>
      <c r="C228" t="s">
        <v>6</v>
      </c>
      <c r="D228">
        <v>46608</v>
      </c>
    </row>
    <row r="229" spans="1:4" x14ac:dyDescent="0.3">
      <c r="A229" t="s">
        <v>14</v>
      </c>
      <c r="B229" t="s">
        <v>7</v>
      </c>
      <c r="C229" t="s">
        <v>8</v>
      </c>
      <c r="D229">
        <v>23304</v>
      </c>
    </row>
    <row r="230" spans="1:4" x14ac:dyDescent="0.3">
      <c r="A230" t="s">
        <v>14</v>
      </c>
      <c r="B230" t="s">
        <v>9</v>
      </c>
      <c r="C230" t="s">
        <v>4</v>
      </c>
      <c r="D230">
        <v>62145</v>
      </c>
    </row>
    <row r="231" spans="1:4" x14ac:dyDescent="0.3">
      <c r="A231" t="s">
        <v>14</v>
      </c>
      <c r="B231" t="s">
        <v>9</v>
      </c>
      <c r="C231" t="s">
        <v>2</v>
      </c>
      <c r="D231">
        <v>46608</v>
      </c>
    </row>
    <row r="232" spans="1:4" x14ac:dyDescent="0.3">
      <c r="A232" t="s">
        <v>14</v>
      </c>
      <c r="B232" t="s">
        <v>9</v>
      </c>
      <c r="C232" t="s">
        <v>6</v>
      </c>
      <c r="D232">
        <v>31072</v>
      </c>
    </row>
    <row r="233" spans="1:4" x14ac:dyDescent="0.3">
      <c r="A233" t="s">
        <v>14</v>
      </c>
      <c r="B233" t="s">
        <v>9</v>
      </c>
      <c r="C233" t="s">
        <v>8</v>
      </c>
      <c r="D233">
        <v>15536</v>
      </c>
    </row>
    <row r="234" spans="1:4" x14ac:dyDescent="0.3">
      <c r="A234" t="s">
        <v>14</v>
      </c>
      <c r="B234" t="s">
        <v>10</v>
      </c>
      <c r="C234" t="s">
        <v>4</v>
      </c>
      <c r="D234">
        <v>93217</v>
      </c>
    </row>
    <row r="235" spans="1:4" x14ac:dyDescent="0.3">
      <c r="A235" t="s">
        <v>14</v>
      </c>
      <c r="B235" t="s">
        <v>10</v>
      </c>
      <c r="C235" t="s">
        <v>2</v>
      </c>
      <c r="D235">
        <v>69221</v>
      </c>
    </row>
    <row r="236" spans="1:4" x14ac:dyDescent="0.3">
      <c r="A236" t="s">
        <v>14</v>
      </c>
      <c r="B236" t="s">
        <v>10</v>
      </c>
      <c r="C236" t="s">
        <v>6</v>
      </c>
      <c r="D236">
        <v>46608</v>
      </c>
    </row>
    <row r="237" spans="1:4" x14ac:dyDescent="0.3">
      <c r="A237" t="s">
        <v>14</v>
      </c>
      <c r="B237" t="s">
        <v>10</v>
      </c>
      <c r="C237" t="s">
        <v>8</v>
      </c>
      <c r="D237">
        <v>23304</v>
      </c>
    </row>
    <row r="238" spans="1:4" x14ac:dyDescent="0.3">
      <c r="A238" t="s">
        <v>14</v>
      </c>
      <c r="B238" t="s">
        <v>8</v>
      </c>
      <c r="C238" t="s">
        <v>4</v>
      </c>
      <c r="D238">
        <v>15536</v>
      </c>
    </row>
    <row r="239" spans="1:4" x14ac:dyDescent="0.3">
      <c r="A239" t="s">
        <v>14</v>
      </c>
      <c r="B239" t="s">
        <v>8</v>
      </c>
      <c r="C239" t="s">
        <v>2</v>
      </c>
      <c r="D239">
        <v>11652</v>
      </c>
    </row>
    <row r="240" spans="1:4" x14ac:dyDescent="0.3">
      <c r="A240" t="s">
        <v>14</v>
      </c>
      <c r="B240" t="s">
        <v>8</v>
      </c>
      <c r="C240" t="s">
        <v>6</v>
      </c>
      <c r="D240">
        <v>7768</v>
      </c>
    </row>
    <row r="241" spans="1:4" x14ac:dyDescent="0.3">
      <c r="A241" t="s">
        <v>14</v>
      </c>
      <c r="B241" t="s">
        <v>8</v>
      </c>
      <c r="C241" t="s">
        <v>8</v>
      </c>
      <c r="D241">
        <v>3884</v>
      </c>
    </row>
    <row r="242" spans="1:4" x14ac:dyDescent="0.3">
      <c r="A242" t="s">
        <v>15</v>
      </c>
      <c r="B242" t="s">
        <v>3</v>
      </c>
      <c r="C242" t="s">
        <v>4</v>
      </c>
      <c r="D242">
        <v>186436</v>
      </c>
    </row>
    <row r="243" spans="1:4" x14ac:dyDescent="0.3">
      <c r="A243" t="s">
        <v>15</v>
      </c>
      <c r="B243" t="s">
        <v>3</v>
      </c>
      <c r="C243" t="s">
        <v>2</v>
      </c>
      <c r="D243">
        <v>139827</v>
      </c>
    </row>
    <row r="244" spans="1:4" x14ac:dyDescent="0.3">
      <c r="A244" t="s">
        <v>15</v>
      </c>
      <c r="B244" t="s">
        <v>3</v>
      </c>
      <c r="C244" t="s">
        <v>6</v>
      </c>
      <c r="D244">
        <v>93217</v>
      </c>
    </row>
    <row r="245" spans="1:4" x14ac:dyDescent="0.3">
      <c r="A245" t="s">
        <v>15</v>
      </c>
      <c r="B245" t="s">
        <v>3</v>
      </c>
      <c r="C245" t="s">
        <v>8</v>
      </c>
      <c r="D245">
        <v>46608</v>
      </c>
    </row>
    <row r="246" spans="1:4" x14ac:dyDescent="0.3">
      <c r="A246" t="s">
        <v>15</v>
      </c>
      <c r="B246" t="s">
        <v>5</v>
      </c>
      <c r="C246" t="s">
        <v>4</v>
      </c>
      <c r="D246">
        <v>155880</v>
      </c>
    </row>
    <row r="247" spans="1:4" x14ac:dyDescent="0.3">
      <c r="A247" t="s">
        <v>15</v>
      </c>
      <c r="B247" t="s">
        <v>5</v>
      </c>
      <c r="C247" t="s">
        <v>2</v>
      </c>
      <c r="D247">
        <v>116811</v>
      </c>
    </row>
    <row r="248" spans="1:4" x14ac:dyDescent="0.3">
      <c r="A248" t="s">
        <v>15</v>
      </c>
      <c r="B248" t="s">
        <v>5</v>
      </c>
      <c r="C248" t="s">
        <v>6</v>
      </c>
      <c r="D248">
        <v>77874</v>
      </c>
    </row>
    <row r="249" spans="1:4" x14ac:dyDescent="0.3">
      <c r="A249" t="s">
        <v>15</v>
      </c>
      <c r="B249" t="s">
        <v>5</v>
      </c>
      <c r="C249" t="s">
        <v>8</v>
      </c>
      <c r="D249">
        <v>38937</v>
      </c>
    </row>
    <row r="250" spans="1:4" x14ac:dyDescent="0.3">
      <c r="A250" t="s">
        <v>15</v>
      </c>
      <c r="B250" t="s">
        <v>7</v>
      </c>
      <c r="C250" t="s">
        <v>4</v>
      </c>
      <c r="D250">
        <v>93217</v>
      </c>
    </row>
    <row r="251" spans="1:4" x14ac:dyDescent="0.3">
      <c r="A251" t="s">
        <v>15</v>
      </c>
      <c r="B251" t="s">
        <v>7</v>
      </c>
      <c r="C251" t="s">
        <v>2</v>
      </c>
      <c r="D251">
        <v>69221</v>
      </c>
    </row>
    <row r="252" spans="1:4" x14ac:dyDescent="0.3">
      <c r="A252" t="s">
        <v>15</v>
      </c>
      <c r="B252" t="s">
        <v>7</v>
      </c>
      <c r="C252" t="s">
        <v>6</v>
      </c>
      <c r="D252">
        <v>46608</v>
      </c>
    </row>
    <row r="253" spans="1:4" x14ac:dyDescent="0.3">
      <c r="A253" t="s">
        <v>15</v>
      </c>
      <c r="B253" t="s">
        <v>7</v>
      </c>
      <c r="C253" t="s">
        <v>8</v>
      </c>
      <c r="D253">
        <v>23304</v>
      </c>
    </row>
    <row r="254" spans="1:4" x14ac:dyDescent="0.3">
      <c r="A254" t="s">
        <v>15</v>
      </c>
      <c r="B254" t="s">
        <v>9</v>
      </c>
      <c r="C254" t="s">
        <v>4</v>
      </c>
      <c r="D254">
        <v>62145</v>
      </c>
    </row>
    <row r="255" spans="1:4" x14ac:dyDescent="0.3">
      <c r="A255" t="s">
        <v>15</v>
      </c>
      <c r="B255" t="s">
        <v>9</v>
      </c>
      <c r="C255" t="s">
        <v>2</v>
      </c>
      <c r="D255">
        <v>46608</v>
      </c>
    </row>
    <row r="256" spans="1:4" x14ac:dyDescent="0.3">
      <c r="A256" t="s">
        <v>15</v>
      </c>
      <c r="B256" t="s">
        <v>9</v>
      </c>
      <c r="C256" t="s">
        <v>6</v>
      </c>
      <c r="D256">
        <v>31072</v>
      </c>
    </row>
    <row r="257" spans="1:4" x14ac:dyDescent="0.3">
      <c r="A257" t="s">
        <v>15</v>
      </c>
      <c r="B257" t="s">
        <v>9</v>
      </c>
      <c r="C257" t="s">
        <v>8</v>
      </c>
      <c r="D257">
        <v>15536</v>
      </c>
    </row>
    <row r="258" spans="1:4" x14ac:dyDescent="0.3">
      <c r="A258" t="s">
        <v>15</v>
      </c>
      <c r="B258" t="s">
        <v>10</v>
      </c>
      <c r="C258" t="s">
        <v>4</v>
      </c>
      <c r="D258">
        <v>93217</v>
      </c>
    </row>
    <row r="259" spans="1:4" x14ac:dyDescent="0.3">
      <c r="A259" t="s">
        <v>15</v>
      </c>
      <c r="B259" t="s">
        <v>10</v>
      </c>
      <c r="C259" t="s">
        <v>2</v>
      </c>
      <c r="D259">
        <v>69221</v>
      </c>
    </row>
    <row r="260" spans="1:4" x14ac:dyDescent="0.3">
      <c r="A260" t="s">
        <v>15</v>
      </c>
      <c r="B260" t="s">
        <v>10</v>
      </c>
      <c r="C260" t="s">
        <v>6</v>
      </c>
      <c r="D260">
        <v>46608</v>
      </c>
    </row>
    <row r="261" spans="1:4" x14ac:dyDescent="0.3">
      <c r="A261" t="s">
        <v>15</v>
      </c>
      <c r="B261" t="s">
        <v>10</v>
      </c>
      <c r="C261" t="s">
        <v>8</v>
      </c>
      <c r="D261">
        <v>23304</v>
      </c>
    </row>
    <row r="262" spans="1:4" x14ac:dyDescent="0.3">
      <c r="A262" t="s">
        <v>15</v>
      </c>
      <c r="B262" t="s">
        <v>8</v>
      </c>
      <c r="C262" t="s">
        <v>4</v>
      </c>
      <c r="D262">
        <v>15536</v>
      </c>
    </row>
    <row r="263" spans="1:4" x14ac:dyDescent="0.3">
      <c r="A263" t="s">
        <v>15</v>
      </c>
      <c r="B263" t="s">
        <v>8</v>
      </c>
      <c r="C263" t="s">
        <v>2</v>
      </c>
      <c r="D263">
        <v>11652</v>
      </c>
    </row>
    <row r="264" spans="1:4" x14ac:dyDescent="0.3">
      <c r="A264" t="s">
        <v>15</v>
      </c>
      <c r="B264" t="s">
        <v>8</v>
      </c>
      <c r="C264" t="s">
        <v>6</v>
      </c>
      <c r="D264">
        <v>7768</v>
      </c>
    </row>
    <row r="265" spans="1:4" x14ac:dyDescent="0.3">
      <c r="A265" t="s">
        <v>15</v>
      </c>
      <c r="B265" t="s">
        <v>8</v>
      </c>
      <c r="C265" t="s">
        <v>8</v>
      </c>
      <c r="D265">
        <v>3884</v>
      </c>
    </row>
    <row r="266" spans="1:4" x14ac:dyDescent="0.3">
      <c r="A266" t="s">
        <v>16</v>
      </c>
      <c r="B266" t="s">
        <v>3</v>
      </c>
      <c r="C266" t="s">
        <v>4</v>
      </c>
      <c r="D266">
        <v>207664</v>
      </c>
    </row>
    <row r="267" spans="1:4" x14ac:dyDescent="0.3">
      <c r="A267" t="s">
        <v>16</v>
      </c>
      <c r="B267" t="s">
        <v>3</v>
      </c>
      <c r="C267" t="s">
        <v>2</v>
      </c>
      <c r="D267">
        <v>155748</v>
      </c>
    </row>
    <row r="268" spans="1:4" x14ac:dyDescent="0.3">
      <c r="A268" t="s">
        <v>16</v>
      </c>
      <c r="B268" t="s">
        <v>3</v>
      </c>
      <c r="C268" t="s">
        <v>6</v>
      </c>
      <c r="D268">
        <v>103832</v>
      </c>
    </row>
    <row r="269" spans="1:4" x14ac:dyDescent="0.3">
      <c r="A269" t="s">
        <v>16</v>
      </c>
      <c r="B269" t="s">
        <v>3</v>
      </c>
      <c r="C269" t="s">
        <v>8</v>
      </c>
      <c r="D269">
        <v>51916</v>
      </c>
    </row>
    <row r="270" spans="1:4" x14ac:dyDescent="0.3">
      <c r="A270" t="s">
        <v>16</v>
      </c>
      <c r="B270" t="s">
        <v>5</v>
      </c>
      <c r="C270" t="s">
        <v>4</v>
      </c>
      <c r="D270">
        <v>172294</v>
      </c>
    </row>
    <row r="271" spans="1:4" x14ac:dyDescent="0.3">
      <c r="A271" t="s">
        <v>16</v>
      </c>
      <c r="B271" t="s">
        <v>5</v>
      </c>
      <c r="C271" t="s">
        <v>2</v>
      </c>
      <c r="D271">
        <v>129221</v>
      </c>
    </row>
    <row r="272" spans="1:4" x14ac:dyDescent="0.3">
      <c r="A272" t="s">
        <v>16</v>
      </c>
      <c r="B272" t="s">
        <v>5</v>
      </c>
      <c r="C272" t="s">
        <v>6</v>
      </c>
      <c r="D272">
        <v>86147</v>
      </c>
    </row>
    <row r="273" spans="1:4" x14ac:dyDescent="0.3">
      <c r="A273" t="s">
        <v>16</v>
      </c>
      <c r="B273" t="s">
        <v>5</v>
      </c>
      <c r="C273" t="s">
        <v>8</v>
      </c>
      <c r="D273">
        <v>43074</v>
      </c>
    </row>
    <row r="274" spans="1:4" x14ac:dyDescent="0.3">
      <c r="A274" t="s">
        <v>16</v>
      </c>
      <c r="B274" t="s">
        <v>7</v>
      </c>
      <c r="C274" t="s">
        <v>4</v>
      </c>
      <c r="D274">
        <v>103832</v>
      </c>
    </row>
    <row r="275" spans="1:4" x14ac:dyDescent="0.3">
      <c r="A275" t="s">
        <v>16</v>
      </c>
      <c r="B275" t="s">
        <v>7</v>
      </c>
      <c r="C275" t="s">
        <v>2</v>
      </c>
      <c r="D275">
        <v>77874</v>
      </c>
    </row>
    <row r="276" spans="1:4" x14ac:dyDescent="0.3">
      <c r="A276" t="s">
        <v>16</v>
      </c>
      <c r="B276" t="s">
        <v>7</v>
      </c>
      <c r="C276" t="s">
        <v>6</v>
      </c>
      <c r="D276">
        <v>51916</v>
      </c>
    </row>
    <row r="277" spans="1:4" x14ac:dyDescent="0.3">
      <c r="A277" t="s">
        <v>16</v>
      </c>
      <c r="B277" t="s">
        <v>7</v>
      </c>
      <c r="C277" t="s">
        <v>8</v>
      </c>
      <c r="D277">
        <v>25958</v>
      </c>
    </row>
    <row r="278" spans="1:4" x14ac:dyDescent="0.3">
      <c r="A278" t="s">
        <v>16</v>
      </c>
      <c r="B278" t="s">
        <v>9</v>
      </c>
      <c r="C278" t="s">
        <v>4</v>
      </c>
      <c r="D278">
        <v>69221</v>
      </c>
    </row>
    <row r="279" spans="1:4" x14ac:dyDescent="0.3">
      <c r="A279" t="s">
        <v>16</v>
      </c>
      <c r="B279" t="s">
        <v>9</v>
      </c>
      <c r="C279" t="s">
        <v>2</v>
      </c>
      <c r="D279">
        <v>51916</v>
      </c>
    </row>
    <row r="280" spans="1:4" x14ac:dyDescent="0.3">
      <c r="A280" t="s">
        <v>16</v>
      </c>
      <c r="B280" t="s">
        <v>9</v>
      </c>
      <c r="C280" t="s">
        <v>6</v>
      </c>
      <c r="D280">
        <v>34611</v>
      </c>
    </row>
    <row r="281" spans="1:4" x14ac:dyDescent="0.3">
      <c r="A281" t="s">
        <v>16</v>
      </c>
      <c r="B281" t="s">
        <v>9</v>
      </c>
      <c r="C281" t="s">
        <v>8</v>
      </c>
      <c r="D281">
        <v>17306</v>
      </c>
    </row>
    <row r="282" spans="1:4" x14ac:dyDescent="0.3">
      <c r="A282" t="s">
        <v>16</v>
      </c>
      <c r="B282" t="s">
        <v>10</v>
      </c>
      <c r="C282" t="s">
        <v>4</v>
      </c>
      <c r="D282">
        <v>103832</v>
      </c>
    </row>
    <row r="283" spans="1:4" x14ac:dyDescent="0.3">
      <c r="A283" t="s">
        <v>16</v>
      </c>
      <c r="B283" t="s">
        <v>10</v>
      </c>
      <c r="C283" t="s">
        <v>2</v>
      </c>
      <c r="D283">
        <v>77874</v>
      </c>
    </row>
    <row r="284" spans="1:4" x14ac:dyDescent="0.3">
      <c r="A284" t="s">
        <v>16</v>
      </c>
      <c r="B284" t="s">
        <v>10</v>
      </c>
      <c r="C284" t="s">
        <v>6</v>
      </c>
      <c r="D284">
        <v>51916</v>
      </c>
    </row>
    <row r="285" spans="1:4" x14ac:dyDescent="0.3">
      <c r="A285" t="s">
        <v>16</v>
      </c>
      <c r="B285" t="s">
        <v>10</v>
      </c>
      <c r="C285" t="s">
        <v>8</v>
      </c>
      <c r="D285">
        <v>25958</v>
      </c>
    </row>
    <row r="286" spans="1:4" x14ac:dyDescent="0.3">
      <c r="A286" t="s">
        <v>16</v>
      </c>
      <c r="B286" t="s">
        <v>8</v>
      </c>
      <c r="C286" t="s">
        <v>4</v>
      </c>
      <c r="D286">
        <v>17306</v>
      </c>
    </row>
    <row r="287" spans="1:4" x14ac:dyDescent="0.3">
      <c r="A287" t="s">
        <v>16</v>
      </c>
      <c r="B287" t="s">
        <v>8</v>
      </c>
      <c r="C287" t="s">
        <v>2</v>
      </c>
      <c r="D287">
        <v>12979</v>
      </c>
    </row>
    <row r="288" spans="1:4" x14ac:dyDescent="0.3">
      <c r="A288" t="s">
        <v>16</v>
      </c>
      <c r="B288" t="s">
        <v>8</v>
      </c>
      <c r="C288" t="s">
        <v>6</v>
      </c>
      <c r="D288">
        <v>8653</v>
      </c>
    </row>
    <row r="289" spans="1:4" x14ac:dyDescent="0.3">
      <c r="A289" t="s">
        <v>16</v>
      </c>
      <c r="B289" t="s">
        <v>8</v>
      </c>
      <c r="C289" t="s">
        <v>8</v>
      </c>
      <c r="D289">
        <v>4327</v>
      </c>
    </row>
  </sheetData>
  <autoFilter ref="A1:D289" xr:uid="{BDC14735-A283-4FFD-96E7-16667A0E3B1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B4EBD-0F5D-4944-BA08-13B2279B68CC}">
  <dimension ref="A1:E14"/>
  <sheetViews>
    <sheetView workbookViewId="0">
      <selection activeCell="O9" sqref="O9"/>
    </sheetView>
  </sheetViews>
  <sheetFormatPr defaultRowHeight="14.4" x14ac:dyDescent="0.3"/>
  <cols>
    <col min="1" max="1" width="12.5546875" bestFit="1" customWidth="1"/>
    <col min="2" max="2" width="16.88671875" bestFit="1" customWidth="1"/>
    <col min="3" max="3" width="12.109375" bestFit="1" customWidth="1"/>
    <col min="4" max="4" width="14.109375" bestFit="1" customWidth="1"/>
    <col min="5" max="5" width="14.5546875" bestFit="1" customWidth="1"/>
  </cols>
  <sheetData>
    <row r="1" spans="1:5" x14ac:dyDescent="0.3">
      <c r="A1" s="22" t="s">
        <v>46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3">
      <c r="A2" s="23" t="s">
        <v>14</v>
      </c>
      <c r="B2" s="7">
        <v>517319.26650000003</v>
      </c>
      <c r="C2" s="7">
        <v>296385.1605</v>
      </c>
      <c r="D2" s="7">
        <v>360936.81</v>
      </c>
      <c r="E2" s="7">
        <v>154831.81950000001</v>
      </c>
    </row>
    <row r="3" spans="1:5" x14ac:dyDescent="0.3">
      <c r="A3" s="23" t="s">
        <v>15</v>
      </c>
      <c r="B3" s="7">
        <v>619469.26650000003</v>
      </c>
      <c r="C3" s="7">
        <v>309664.6605</v>
      </c>
      <c r="D3" s="7">
        <v>463086.81000000006</v>
      </c>
      <c r="E3" s="7">
        <v>154831.81950000001</v>
      </c>
    </row>
    <row r="4" spans="1:5" x14ac:dyDescent="0.3">
      <c r="A4" s="23" t="s">
        <v>16</v>
      </c>
      <c r="B4" s="7">
        <v>688643.20350000006</v>
      </c>
      <c r="C4" s="7">
        <v>344322.11250000005</v>
      </c>
      <c r="D4" s="7">
        <v>516482.65800000005</v>
      </c>
      <c r="E4" s="7">
        <v>172162.58850000001</v>
      </c>
    </row>
    <row r="5" spans="1:5" x14ac:dyDescent="0.3">
      <c r="A5" s="23" t="s">
        <v>17</v>
      </c>
      <c r="B5" s="7">
        <v>519511.40550000005</v>
      </c>
      <c r="C5" s="7">
        <v>310829.17050000001</v>
      </c>
      <c r="D5" s="7">
        <v>466244.26650000003</v>
      </c>
      <c r="E5" s="7">
        <v>165628.05300000001</v>
      </c>
    </row>
    <row r="6" spans="1:5" x14ac:dyDescent="0.3">
      <c r="A6" s="23" t="s">
        <v>11</v>
      </c>
      <c r="B6" s="7">
        <v>644134.40549999999</v>
      </c>
      <c r="C6" s="7">
        <v>326876.93550000002</v>
      </c>
      <c r="D6" s="7">
        <v>490314.89250000002</v>
      </c>
      <c r="E6" s="7">
        <v>168544.43550000002</v>
      </c>
    </row>
    <row r="7" spans="1:5" x14ac:dyDescent="0.3">
      <c r="A7" s="23" t="s">
        <v>18</v>
      </c>
      <c r="B7" s="7">
        <v>825961.40550000011</v>
      </c>
      <c r="C7" s="7">
        <v>412979.17050000001</v>
      </c>
      <c r="D7" s="7">
        <v>619469.26650000003</v>
      </c>
      <c r="E7" s="7">
        <v>206488.05300000001</v>
      </c>
    </row>
    <row r="8" spans="1:5" x14ac:dyDescent="0.3">
      <c r="A8" s="23" t="s">
        <v>19</v>
      </c>
      <c r="B8" s="7">
        <v>790793.20350000006</v>
      </c>
      <c r="C8" s="7">
        <v>344322.11250000005</v>
      </c>
      <c r="D8" s="7">
        <v>496052.65800000005</v>
      </c>
      <c r="E8" s="7">
        <v>172162.58850000001</v>
      </c>
    </row>
    <row r="9" spans="1:5" x14ac:dyDescent="0.3">
      <c r="A9" s="23" t="s">
        <v>20</v>
      </c>
      <c r="B9" s="7">
        <v>688643.20350000006</v>
      </c>
      <c r="C9" s="7">
        <v>344322.11250000005</v>
      </c>
      <c r="D9" s="7">
        <v>516482.65800000005</v>
      </c>
      <c r="E9" s="7">
        <v>172162.58850000001</v>
      </c>
    </row>
    <row r="10" spans="1:5" x14ac:dyDescent="0.3">
      <c r="A10" s="23" t="s">
        <v>21</v>
      </c>
      <c r="B10" s="7">
        <v>586493.20350000006</v>
      </c>
      <c r="C10" s="7">
        <v>268902.72450000001</v>
      </c>
      <c r="D10" s="7">
        <v>414332.65800000005</v>
      </c>
      <c r="E10" s="7">
        <v>139560.39450000002</v>
      </c>
    </row>
    <row r="11" spans="1:5" x14ac:dyDescent="0.3">
      <c r="A11" s="23" t="s">
        <v>22</v>
      </c>
      <c r="B11" s="7">
        <v>471989.18250000005</v>
      </c>
      <c r="C11" s="7">
        <v>211548.56400000001</v>
      </c>
      <c r="D11" s="7">
        <v>353074.32450000005</v>
      </c>
      <c r="E11" s="7">
        <v>139560.39450000002</v>
      </c>
    </row>
    <row r="12" spans="1:5" x14ac:dyDescent="0.3">
      <c r="A12" s="23" t="s">
        <v>23</v>
      </c>
      <c r="B12" s="7">
        <v>414332.65800000005</v>
      </c>
      <c r="C12" s="7">
        <v>258240.30750000002</v>
      </c>
      <c r="D12" s="7">
        <v>285209.95050000004</v>
      </c>
      <c r="E12" s="7">
        <v>129119.64300000001</v>
      </c>
    </row>
    <row r="13" spans="1:5" x14ac:dyDescent="0.3">
      <c r="A13" s="23" t="s">
        <v>24</v>
      </c>
      <c r="B13" s="7">
        <v>384709.15800000005</v>
      </c>
      <c r="C13" s="7">
        <v>258240.30750000002</v>
      </c>
      <c r="D13" s="7">
        <v>285209.95050000004</v>
      </c>
      <c r="E13" s="7">
        <v>110732.64300000001</v>
      </c>
    </row>
    <row r="14" spans="1:5" x14ac:dyDescent="0.3">
      <c r="A14" s="23" t="s">
        <v>13</v>
      </c>
      <c r="B14" s="7">
        <v>7151999.561999999</v>
      </c>
      <c r="C14" s="7">
        <v>3686633.3384999996</v>
      </c>
      <c r="D14" s="7">
        <v>5266896.9030000009</v>
      </c>
      <c r="E14" s="7">
        <v>1885785.0209999999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Demand Forecast</vt:lpstr>
      <vt:lpstr>Cost Model</vt:lpstr>
      <vt:lpstr>Price Model</vt:lpstr>
      <vt:lpstr>cost structure</vt:lpstr>
      <vt:lpstr>Dashboard</vt:lpstr>
      <vt:lpstr>Calculation</vt:lpstr>
      <vt:lpstr>Data Sheet</vt:lpstr>
      <vt:lpstr>Actual Data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SHARODINDU</dc:creator>
  <cp:lastModifiedBy>SHARODINDU</cp:lastModifiedBy>
  <dcterms:created xsi:type="dcterms:W3CDTF">2015-06-05T18:17:20Z</dcterms:created>
  <dcterms:modified xsi:type="dcterms:W3CDTF">2024-08-17T04:34:00Z</dcterms:modified>
</cp:coreProperties>
</file>