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theme/themeOverride2.xml" ContentType="application/vnd.openxmlformats-officedocument.themeOverride+xml"/>
  <Override PartName="/xl/drawings/drawing5.xml" ContentType="application/vnd.openxmlformats-officedocument.drawing+xml"/>
  <Override PartName="/xl/charts/chart3.xml" ContentType="application/vnd.openxmlformats-officedocument.drawingml.chart+xml"/>
  <Override PartName="/xl/theme/themeOverride3.xml" ContentType="application/vnd.openxmlformats-officedocument.themeOverride+xml"/>
  <Override PartName="/xl/charts/chart4.xml" ContentType="application/vnd.openxmlformats-officedocument.drawingml.chart+xml"/>
  <Override PartName="/xl/theme/themeOverride4.xml" ContentType="application/vnd.openxmlformats-officedocument.themeOverride+xml"/>
  <Override PartName="/xl/charts/chart5.xml" ContentType="application/vnd.openxmlformats-officedocument.drawingml.chart+xml"/>
  <Override PartName="/xl/theme/themeOverride5.xml" ContentType="application/vnd.openxmlformats-officedocument.themeOverride+xml"/>
  <Override PartName="/xl/charts/chart6.xml" ContentType="application/vnd.openxmlformats-officedocument.drawingml.chart+xml"/>
  <Override PartName="/xl/theme/themeOverride6.xml" ContentType="application/vnd.openxmlformats-officedocument.themeOverride+xml"/>
  <Override PartName="/xl/drawings/drawing6.xml" ContentType="application/vnd.openxmlformats-officedocument.drawingml.chartshapes+xml"/>
  <Override PartName="/xl/drawings/drawing7.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theme/themeOverride7.xml" ContentType="application/vnd.openxmlformats-officedocument.themeOverride+xml"/>
  <Override PartName="/xl/drawings/drawing8.xml" ContentType="application/vnd.openxmlformats-officedocument.drawing+xml"/>
  <Override PartName="/xl/drawings/drawing9.xml" ContentType="application/vnd.openxmlformats-officedocument.drawing+xml"/>
  <Override PartName="/xl/charts/chart9.xml" ContentType="application/vnd.openxmlformats-officedocument.drawingml.chart+xml"/>
  <Override PartName="/xl/theme/themeOverride8.xml" ContentType="application/vnd.openxmlformats-officedocument.themeOverride+xml"/>
  <Override PartName="/xl/charts/chart10.xml" ContentType="application/vnd.openxmlformats-officedocument.drawingml.chart+xml"/>
  <Override PartName="/xl/theme/themeOverride9.xml" ContentType="application/vnd.openxmlformats-officedocument.themeOverride+xml"/>
  <Override PartName="/xl/charts/chart11.xml" ContentType="application/vnd.openxmlformats-officedocument.drawingml.chart+xml"/>
  <Override PartName="/xl/theme/themeOverride10.xml" ContentType="application/vnd.openxmlformats-officedocument.themeOverride+xml"/>
  <Override PartName="/xl/charts/chart12.xml" ContentType="application/vnd.openxmlformats-officedocument.drawingml.chart+xml"/>
  <Override PartName="/xl/theme/themeOverride11.xml" ContentType="application/vnd.openxmlformats-officedocument.themeOverride+xml"/>
  <Override PartName="/xl/charts/chart13.xml" ContentType="application/vnd.openxmlformats-officedocument.drawingml.chart+xml"/>
  <Override PartName="/xl/theme/themeOverride12.xml" ContentType="application/vnd.openxmlformats-officedocument.themeOverride+xml"/>
  <Override PartName="/xl/charts/chart14.xml" ContentType="application/vnd.openxmlformats-officedocument.drawingml.chart+xml"/>
  <Override PartName="/xl/theme/themeOverride13.xml" ContentType="application/vnd.openxmlformats-officedocument.themeOverride+xml"/>
  <Override PartName="/xl/charts/chart15.xml" ContentType="application/vnd.openxmlformats-officedocument.drawingml.chart+xml"/>
  <Override PartName="/xl/theme/themeOverride14.xml" ContentType="application/vnd.openxmlformats-officedocument.themeOverride+xml"/>
  <Override PartName="/xl/drawings/drawing10.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theme/themeOverride15.xml" ContentType="application/vnd.openxmlformats-officedocument.themeOverride+xml"/>
  <Override PartName="/xl/charts/chart19.xml" ContentType="application/vnd.openxmlformats-officedocument.drawingml.chart+xml"/>
  <Override PartName="/xl/theme/themeOverride16.xml" ContentType="application/vnd.openxmlformats-officedocument.themeOverride+xml"/>
  <Override PartName="/xl/charts/chart20.xml" ContentType="application/vnd.openxmlformats-officedocument.drawingml.chart+xml"/>
  <Override PartName="/xl/drawings/drawing11.xml" ContentType="application/vnd.openxmlformats-officedocument.drawingml.chartshapes+xml"/>
  <Override PartName="/xl/charts/chart21.xml" ContentType="application/vnd.openxmlformats-officedocument.drawingml.chart+xml"/>
  <Override PartName="/xl/theme/themeOverride17.xml" ContentType="application/vnd.openxmlformats-officedocument.themeOverride+xml"/>
  <Override PartName="/xl/charts/chart22.xml" ContentType="application/vnd.openxmlformats-officedocument.drawingml.chart+xml"/>
  <Override PartName="/xl/theme/themeOverride18.xml" ContentType="application/vnd.openxmlformats-officedocument.themeOverride+xml"/>
  <Override PartName="/xl/drawings/drawing12.xml" ContentType="application/vnd.openxmlformats-officedocument.drawingml.chartshapes+xml"/>
  <Override PartName="/xl/charts/chart2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C:\Users\Sharon\Documents\GitHub\lithium-db\"/>
    </mc:Choice>
  </mc:AlternateContent>
  <xr:revisionPtr revIDLastSave="0" documentId="13_ncr:1_{433DA914-62B3-491D-B11A-66CDD9E69759}" xr6:coauthVersionLast="45" xr6:coauthVersionMax="45" xr10:uidLastSave="{00000000-0000-0000-0000-000000000000}"/>
  <bookViews>
    <workbookView xWindow="-80" yWindow="-80" windowWidth="19360" windowHeight="10960" tabRatio="874" xr2:uid="{00000000-000D-0000-FFFF-FFFF00000000}"/>
  </bookViews>
  <sheets>
    <sheet name="COVER" sheetId="9" r:id="rId1"/>
    <sheet name="MASTER" sheetId="49" r:id="rId2"/>
    <sheet name="Asset Fin Tools" sheetId="52" state="hidden" r:id="rId3"/>
    <sheet name="Styles" sheetId="11" r:id="rId4"/>
    <sheet name="ExampleSheet" sheetId="12" r:id="rId5"/>
    <sheet name="ChartExamples" sheetId="15" r:id="rId6"/>
    <sheet name="AddInExamples" sheetId="13" r:id="rId7"/>
    <sheet name="VBA" sheetId="14" r:id="rId8"/>
    <sheet name="ChartTemplates" sheetId="16" state="hidden" r:id="rId9"/>
  </sheets>
  <functionGroups builtInGroupCount="19">
    <functionGroup name="Bloomberg"/>
  </functionGroups>
  <externalReferences>
    <externalReference r:id="rId10"/>
    <externalReference r:id="rId11"/>
  </externalReferences>
  <definedNames>
    <definedName name="_xlnm._FilterDatabase" localSheetId="1" hidden="1">MASTER!$A$11:$CY$276</definedName>
    <definedName name="BBPTAutoColor_Changed" localSheetId="5" hidden="1">TRUE</definedName>
    <definedName name="BBPTAutoColor_Changed" localSheetId="8" hidden="1">TRUE</definedName>
    <definedName name="BBPTAutoColor_ShadowWksName" localSheetId="5" hidden="1">"BBPTACShadowWks0001"</definedName>
    <definedName name="BBPTAutoColor_ShadowWksName" localSheetId="8" hidden="1">"BBPTACShadowWks0001"</definedName>
    <definedName name="Cell_LCO">'[1]Lookup sheet'!$A$19</definedName>
    <definedName name="Cell_LFP">'[1]Lookup sheet'!$A$12</definedName>
    <definedName name="Cell_LMO">'[1]Lookup sheet'!$A$9</definedName>
    <definedName name="Cell_NCA">'[1]Lookup sheet'!$A$10</definedName>
    <definedName name="Cell_NCAplus">'[1]Lookup sheet'!$A$11</definedName>
    <definedName name="Cell_NMC111">'[1]Lookup sheet'!$A$13</definedName>
    <definedName name="Cell_NMC433">'[1]Lookup sheet'!$A$14</definedName>
    <definedName name="Cell_NMC442">'[1]Lookup sheet'!$A$15</definedName>
    <definedName name="Cell_NMC532">'[1]Lookup sheet'!$A$16</definedName>
    <definedName name="Cell_NMC622">'[1]Lookup sheet'!$A$17</definedName>
    <definedName name="Cell_NMC811">'[1]Lookup sheet'!$A$18</definedName>
    <definedName name="FLOW">#REF!</definedName>
    <definedName name="rng_COVER_ContentsList">COVER!$C$17:$E$17</definedName>
    <definedName name="rng_Cover_Copyright">COVER!$C$38</definedName>
    <definedName name="rng_VBA_Formats">OFFSET(VBA!$K$19, 0, 0, VBA!$C$17)</definedName>
    <definedName name="rng_VBA_HeaderContents">VBA!$2:$6</definedName>
    <definedName name="rng_VBA_LineStyles">OFFSET(VBA!$L$19, 0, 0, VBA!$C$17)</definedName>
    <definedName name="rng_VBA_Names">OFFSET(VBA!$B$19:$J$19, 0, 0, VBA!$C$17)</definedName>
    <definedName name="tbl_CE_ChemMix">'[1]Chemistry mix for sectors'!$N$8:$Y$31</definedName>
    <definedName name="tbl_derisking_lithium">MASTER!$Y$12:$AC$276</definedName>
    <definedName name="tbl_Graphite">'[1]Metal content of chemistry'!$M$29:$O$44</definedName>
    <definedName name="tbl_lookup_chemistry">'[1]Lookup sheet'!$A$9:$B$19</definedName>
    <definedName name="tbl_standardColours">Styles!$C$34:$E$43</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L17" i="49" l="1"/>
  <c r="AX36" i="49"/>
  <c r="AX34" i="49"/>
  <c r="AX32" i="49"/>
  <c r="AX30" i="49"/>
  <c r="AX29" i="49"/>
  <c r="AX25" i="49"/>
  <c r="AX22" i="49"/>
  <c r="AX21" i="49"/>
  <c r="AX20" i="49"/>
  <c r="AX19" i="49"/>
  <c r="AX17" i="49"/>
  <c r="AX13" i="49"/>
  <c r="AX82" i="49"/>
  <c r="AX81" i="49"/>
  <c r="AX80" i="49"/>
  <c r="AX75" i="49"/>
  <c r="AX73" i="49"/>
  <c r="AX72" i="49"/>
  <c r="AX68" i="49"/>
  <c r="AX65" i="49"/>
  <c r="AX64" i="49"/>
  <c r="AX63" i="49"/>
  <c r="AX62" i="49"/>
  <c r="AX61" i="49"/>
  <c r="AX60" i="49"/>
  <c r="AX54" i="49"/>
  <c r="AX48" i="49"/>
  <c r="AX47" i="49"/>
  <c r="AX46" i="49"/>
  <c r="AX45" i="49"/>
  <c r="AX44" i="49"/>
  <c r="AX43" i="49"/>
  <c r="AX42" i="49"/>
  <c r="AX40" i="49"/>
  <c r="AX206" i="49"/>
  <c r="AX198" i="49"/>
  <c r="AX197" i="49"/>
  <c r="AX194" i="49"/>
  <c r="AX192" i="49"/>
  <c r="AX191" i="49"/>
  <c r="AX189" i="49"/>
  <c r="AX186" i="49"/>
  <c r="AX184" i="49"/>
  <c r="AX180" i="49"/>
  <c r="AX178" i="49"/>
  <c r="AX175" i="49"/>
  <c r="AX174" i="49"/>
  <c r="AX173" i="49"/>
  <c r="AX156" i="49"/>
  <c r="AX148" i="49"/>
  <c r="AX143" i="49"/>
  <c r="AX131" i="49"/>
  <c r="AX126" i="49"/>
  <c r="AX125" i="49"/>
  <c r="AX119" i="49"/>
  <c r="AX99" i="49"/>
  <c r="AX95" i="49"/>
  <c r="AX91" i="49"/>
  <c r="AX90" i="49"/>
  <c r="AX89" i="49"/>
  <c r="AX88" i="49"/>
  <c r="AX87" i="49"/>
  <c r="AX241" i="49"/>
  <c r="AX238" i="49"/>
  <c r="AX235" i="49"/>
  <c r="AX234" i="49"/>
  <c r="AX233" i="49"/>
  <c r="AX231" i="49"/>
  <c r="AX229" i="49"/>
  <c r="AX225" i="49"/>
  <c r="AX217" i="49"/>
  <c r="AX216" i="49"/>
  <c r="AX215" i="49"/>
  <c r="AX214" i="49"/>
  <c r="AX213" i="49"/>
  <c r="AX208" i="49"/>
  <c r="AX261" i="49"/>
  <c r="AX260" i="49"/>
  <c r="AX256" i="49"/>
  <c r="AX255" i="49"/>
  <c r="AX254" i="49"/>
  <c r="AX249" i="49"/>
  <c r="AX248" i="49"/>
  <c r="AX247" i="49"/>
  <c r="AX244" i="49"/>
  <c r="AW237" i="49"/>
  <c r="AX237" i="49" s="1"/>
  <c r="AW267" i="49"/>
  <c r="AX267" i="49" s="1"/>
  <c r="AW266" i="49"/>
  <c r="AX266" i="49" s="1"/>
  <c r="AW265" i="49"/>
  <c r="AX265" i="49" s="1"/>
  <c r="AW264" i="49"/>
  <c r="AX264" i="49" s="1"/>
  <c r="AW263" i="49"/>
  <c r="AX263" i="49" s="1"/>
  <c r="AW262" i="49"/>
  <c r="AX262" i="49" s="1"/>
  <c r="AW261" i="49"/>
  <c r="AW260" i="49"/>
  <c r="AW259" i="49"/>
  <c r="AX259" i="49" s="1"/>
  <c r="AW258" i="49"/>
  <c r="AX258" i="49" s="1"/>
  <c r="AW257" i="49"/>
  <c r="AX257" i="49" s="1"/>
  <c r="AW256" i="49"/>
  <c r="AW255" i="49"/>
  <c r="AW254" i="49"/>
  <c r="AW253" i="49"/>
  <c r="AX253" i="49" s="1"/>
  <c r="AW252" i="49"/>
  <c r="AX252" i="49" s="1"/>
  <c r="AW251" i="49"/>
  <c r="AX251" i="49" s="1"/>
  <c r="AW250" i="49"/>
  <c r="AX250" i="49" s="1"/>
  <c r="AW249" i="49"/>
  <c r="AW248" i="49"/>
  <c r="AW247" i="49"/>
  <c r="AW246" i="49"/>
  <c r="AX246" i="49" s="1"/>
  <c r="AW245" i="49"/>
  <c r="AX245" i="49" s="1"/>
  <c r="AW242" i="49"/>
  <c r="AX242" i="49" s="1"/>
  <c r="AW241" i="49"/>
  <c r="AW240" i="49"/>
  <c r="AX240" i="49" s="1"/>
  <c r="AW236" i="49"/>
  <c r="AX236" i="49" s="1"/>
  <c r="AW235" i="49"/>
  <c r="AW234" i="49"/>
  <c r="AW233" i="49"/>
  <c r="AW232" i="49"/>
  <c r="AX232" i="49" s="1"/>
  <c r="AW231" i="49"/>
  <c r="AW230" i="49"/>
  <c r="AX230" i="49" s="1"/>
  <c r="AW229" i="49"/>
  <c r="AW228" i="49"/>
  <c r="AX228" i="49" s="1"/>
  <c r="AW227" i="49"/>
  <c r="AX227" i="49" s="1"/>
  <c r="AW226" i="49"/>
  <c r="AX226" i="49" s="1"/>
  <c r="AW225" i="49"/>
  <c r="AW224" i="49"/>
  <c r="AX224" i="49" s="1"/>
  <c r="AW223" i="49"/>
  <c r="AX223" i="49" s="1"/>
  <c r="AW222" i="49"/>
  <c r="AX222" i="49" s="1"/>
  <c r="AW221" i="49"/>
  <c r="AX221" i="49" s="1"/>
  <c r="AW220" i="49"/>
  <c r="AX220" i="49" s="1"/>
  <c r="AW217" i="49"/>
  <c r="AW216" i="49"/>
  <c r="AW215" i="49"/>
  <c r="AW214" i="49"/>
  <c r="AW213" i="49"/>
  <c r="AW212" i="49"/>
  <c r="AX212" i="49" s="1"/>
  <c r="AW211" i="49"/>
  <c r="AX211" i="49" s="1"/>
  <c r="AW210" i="49"/>
  <c r="AX210" i="49" s="1"/>
  <c r="AW209" i="49"/>
  <c r="AX209" i="49" s="1"/>
  <c r="AW208" i="49"/>
  <c r="AW206" i="49"/>
  <c r="AW205" i="49"/>
  <c r="AX205" i="49" s="1"/>
  <c r="AW204" i="49"/>
  <c r="AX204" i="49" s="1"/>
  <c r="AW203" i="49"/>
  <c r="AX203" i="49" s="1"/>
  <c r="AW202" i="49"/>
  <c r="AX202" i="49" s="1"/>
  <c r="AW201" i="49"/>
  <c r="AX201" i="49" s="1"/>
  <c r="AW200" i="49"/>
  <c r="AX200" i="49" s="1"/>
  <c r="AW199" i="49"/>
  <c r="AX199" i="49" s="1"/>
  <c r="AW198" i="49"/>
  <c r="AW197" i="49"/>
  <c r="AW196" i="49"/>
  <c r="AX196" i="49" s="1"/>
  <c r="AW192" i="49"/>
  <c r="AW191" i="49"/>
  <c r="AW190" i="49"/>
  <c r="AX190" i="49" s="1"/>
  <c r="AW188" i="49"/>
  <c r="AX188" i="49" s="1"/>
  <c r="AW187" i="49"/>
  <c r="AX187" i="49" s="1"/>
  <c r="AW184" i="49"/>
  <c r="AW183" i="49"/>
  <c r="AX183" i="49" s="1"/>
  <c r="AW182" i="49"/>
  <c r="AX182" i="49" s="1"/>
  <c r="AW181" i="49"/>
  <c r="AX181" i="49" s="1"/>
  <c r="AW180" i="49"/>
  <c r="AW179" i="49"/>
  <c r="AX179" i="49" s="1"/>
  <c r="AW177" i="49"/>
  <c r="AX177" i="49" s="1"/>
  <c r="AW176" i="49"/>
  <c r="AX176" i="49" s="1"/>
  <c r="AW175" i="49"/>
  <c r="AW174" i="49"/>
  <c r="AW173" i="49"/>
  <c r="AW172" i="49"/>
  <c r="AX172" i="49" s="1"/>
  <c r="AW171" i="49"/>
  <c r="AX171" i="49" s="1"/>
  <c r="AW170" i="49"/>
  <c r="AX170" i="49" s="1"/>
  <c r="AW169" i="49"/>
  <c r="AX169" i="49" s="1"/>
  <c r="AW168" i="49"/>
  <c r="AX168" i="49" s="1"/>
  <c r="AW167" i="49"/>
  <c r="AX167" i="49" s="1"/>
  <c r="AW166" i="49"/>
  <c r="AX166" i="49" s="1"/>
  <c r="AW165" i="49"/>
  <c r="AX165" i="49" s="1"/>
  <c r="AW164" i="49"/>
  <c r="AX164" i="49" s="1"/>
  <c r="AW160" i="49"/>
  <c r="AX160" i="49" s="1"/>
  <c r="AW158" i="49"/>
  <c r="AX158" i="49" s="1"/>
  <c r="AW155" i="49"/>
  <c r="AX155" i="49" s="1"/>
  <c r="AW152" i="49"/>
  <c r="AX152" i="49" s="1"/>
  <c r="AW151" i="49"/>
  <c r="AX151" i="49" s="1"/>
  <c r="AW150" i="49"/>
  <c r="AX150" i="49" s="1"/>
  <c r="AW149" i="49"/>
  <c r="AX149" i="49" s="1"/>
  <c r="AW148" i="49"/>
  <c r="AW147" i="49"/>
  <c r="AX147" i="49" s="1"/>
  <c r="AW143" i="49"/>
  <c r="AW142" i="49"/>
  <c r="AX142" i="49" s="1"/>
  <c r="AW141" i="49"/>
  <c r="AX141" i="49" s="1"/>
  <c r="AW139" i="49"/>
  <c r="AX139" i="49" s="1"/>
  <c r="AW138" i="49"/>
  <c r="AX138" i="49" s="1"/>
  <c r="AW137" i="49"/>
  <c r="AX137" i="49" s="1"/>
  <c r="AW135" i="49"/>
  <c r="AX135" i="49" s="1"/>
  <c r="AW133" i="49"/>
  <c r="AX133" i="49" s="1"/>
  <c r="AW132" i="49"/>
  <c r="AX132" i="49" s="1"/>
  <c r="AW131" i="49"/>
  <c r="AW130" i="49"/>
  <c r="AX130" i="49" s="1"/>
  <c r="AW129" i="49"/>
  <c r="AX129" i="49" s="1"/>
  <c r="AW128" i="49"/>
  <c r="AX128" i="49" s="1"/>
  <c r="AW127" i="49"/>
  <c r="AX127" i="49" s="1"/>
  <c r="AW126" i="49"/>
  <c r="AW124" i="49"/>
  <c r="AX124" i="49" s="1"/>
  <c r="AW123" i="49"/>
  <c r="AX123" i="49" s="1"/>
  <c r="AW122" i="49"/>
  <c r="AX122" i="49" s="1"/>
  <c r="AW121" i="49"/>
  <c r="AX121" i="49" s="1"/>
  <c r="AW120" i="49"/>
  <c r="AX120" i="49" s="1"/>
  <c r="AW118" i="49"/>
  <c r="AX118" i="49" s="1"/>
  <c r="AW117" i="49"/>
  <c r="AX117" i="49" s="1"/>
  <c r="AW116" i="49"/>
  <c r="AX116" i="49" s="1"/>
  <c r="AW115" i="49"/>
  <c r="AX115" i="49" s="1"/>
  <c r="AW114" i="49"/>
  <c r="AX114" i="49" s="1"/>
  <c r="AW113" i="49"/>
  <c r="AX113" i="49" s="1"/>
  <c r="AW112" i="49"/>
  <c r="AX112" i="49" s="1"/>
  <c r="AW111" i="49"/>
  <c r="AX111" i="49" s="1"/>
  <c r="AW110" i="49"/>
  <c r="AX110" i="49" s="1"/>
  <c r="AW109" i="49"/>
  <c r="AX109" i="49" s="1"/>
  <c r="AW108" i="49"/>
  <c r="AX108" i="49" s="1"/>
  <c r="AW107" i="49"/>
  <c r="AX107" i="49" s="1"/>
  <c r="AW106" i="49"/>
  <c r="AX106" i="49" s="1"/>
  <c r="AW105" i="49"/>
  <c r="AX105" i="49" s="1"/>
  <c r="AW104" i="49"/>
  <c r="AX104" i="49" s="1"/>
  <c r="AW103" i="49"/>
  <c r="AX103" i="49" s="1"/>
  <c r="AW102" i="49"/>
  <c r="AX102" i="49" s="1"/>
  <c r="AW101" i="49"/>
  <c r="AX101" i="49" s="1"/>
  <c r="AW100" i="49"/>
  <c r="AX100" i="49" s="1"/>
  <c r="AW99" i="49"/>
  <c r="AW98" i="49"/>
  <c r="AX98" i="49" s="1"/>
  <c r="AW97" i="49"/>
  <c r="AX97" i="49" s="1"/>
  <c r="AW96" i="49"/>
  <c r="AX96" i="49" s="1"/>
  <c r="AW95" i="49"/>
  <c r="AW94" i="49"/>
  <c r="AX94" i="49" s="1"/>
  <c r="AW93" i="49"/>
  <c r="AX93" i="49" s="1"/>
  <c r="AW92" i="49"/>
  <c r="AX92" i="49" s="1"/>
  <c r="AW91" i="49"/>
  <c r="AW86" i="49"/>
  <c r="AX86" i="49" s="1"/>
  <c r="AW84" i="49"/>
  <c r="AX84" i="49" s="1"/>
  <c r="AW83" i="49"/>
  <c r="AX83" i="49" s="1"/>
  <c r="AW82" i="49"/>
  <c r="AW81" i="49"/>
  <c r="AW79" i="49"/>
  <c r="AX79" i="49" s="1"/>
  <c r="AW78" i="49"/>
  <c r="AX78" i="49" s="1"/>
  <c r="AW77" i="49"/>
  <c r="AX77" i="49" s="1"/>
  <c r="AW76" i="49"/>
  <c r="AX76" i="49" s="1"/>
  <c r="AW75" i="49"/>
  <c r="AW71" i="49"/>
  <c r="AX71" i="49" s="1"/>
  <c r="AW70" i="49"/>
  <c r="AX70" i="49" s="1"/>
  <c r="AW69" i="49"/>
  <c r="AX69" i="49" s="1"/>
  <c r="AW68" i="49"/>
  <c r="AW67" i="49"/>
  <c r="AX67" i="49" s="1"/>
  <c r="AW65" i="49"/>
  <c r="AW64" i="49"/>
  <c r="AW63" i="49"/>
  <c r="AW62" i="49"/>
  <c r="AW61" i="49"/>
  <c r="AW60" i="49"/>
  <c r="AW59" i="49"/>
  <c r="AX59" i="49" s="1"/>
  <c r="AW58" i="49"/>
  <c r="AX58" i="49" s="1"/>
  <c r="AW57" i="49"/>
  <c r="AX57" i="49" s="1"/>
  <c r="AW56" i="49"/>
  <c r="AX56" i="49" s="1"/>
  <c r="AW55" i="49"/>
  <c r="AX55" i="49" s="1"/>
  <c r="AW54" i="49"/>
  <c r="AW52" i="49"/>
  <c r="AX52" i="49" s="1"/>
  <c r="AW51" i="49"/>
  <c r="AX51" i="49" s="1"/>
  <c r="AW50" i="49"/>
  <c r="AX50" i="49" s="1"/>
  <c r="AW49" i="49"/>
  <c r="AX49" i="49" s="1"/>
  <c r="AW48" i="49"/>
  <c r="AW47" i="49"/>
  <c r="AW46" i="49"/>
  <c r="AW45" i="49"/>
  <c r="AW44" i="49"/>
  <c r="AW43" i="49"/>
  <c r="AW41" i="49"/>
  <c r="AX41" i="49" s="1"/>
  <c r="AW40" i="49"/>
  <c r="AW38" i="49"/>
  <c r="AX38" i="49" s="1"/>
  <c r="AW37" i="49"/>
  <c r="AX37" i="49" s="1"/>
  <c r="AW36" i="49"/>
  <c r="AW32" i="49"/>
  <c r="AW31" i="49"/>
  <c r="AX31" i="49" s="1"/>
  <c r="AW30" i="49"/>
  <c r="AW29" i="49"/>
  <c r="AW28" i="49"/>
  <c r="AX28" i="49" s="1"/>
  <c r="AW27" i="49"/>
  <c r="AX27" i="49" s="1"/>
  <c r="AX12" i="49"/>
  <c r="AW24" i="49"/>
  <c r="AX24" i="49" s="1"/>
  <c r="AW23" i="49"/>
  <c r="AX23" i="49" s="1"/>
  <c r="AW22" i="49"/>
  <c r="AW21" i="49"/>
  <c r="AW20" i="49"/>
  <c r="AW19" i="49"/>
  <c r="AW18" i="49"/>
  <c r="AW16" i="49"/>
  <c r="AX16" i="49" s="1"/>
  <c r="AW15" i="49"/>
  <c r="AX15" i="49" s="1"/>
  <c r="AW14" i="49"/>
  <c r="AX14" i="49" s="1"/>
  <c r="BL266" i="49"/>
  <c r="BL259" i="49"/>
  <c r="BL258" i="49"/>
  <c r="BL255" i="49"/>
  <c r="BL240" i="49"/>
  <c r="BL232" i="49"/>
  <c r="BL230" i="49"/>
  <c r="BL227" i="49"/>
  <c r="BL222" i="49"/>
  <c r="BL207" i="49"/>
  <c r="BL195" i="49"/>
  <c r="BL194" i="49"/>
  <c r="BL193" i="49"/>
  <c r="BL190" i="49"/>
  <c r="BL176" i="49"/>
  <c r="BL172" i="49"/>
  <c r="BL164" i="49"/>
  <c r="BL159" i="49"/>
  <c r="BL154" i="49"/>
  <c r="BL153" i="49"/>
  <c r="BL147" i="49"/>
  <c r="BL128" i="49"/>
  <c r="BL119" i="49"/>
  <c r="BL97" i="49"/>
  <c r="BL89" i="49"/>
  <c r="BL88" i="49"/>
  <c r="BL85" i="49"/>
  <c r="BL84" i="49"/>
  <c r="BL83" i="49"/>
  <c r="BL80" i="49"/>
  <c r="BL67" i="49"/>
  <c r="BL66" i="49"/>
  <c r="BL59" i="49"/>
  <c r="BL58" i="49"/>
  <c r="BL55" i="49"/>
  <c r="BL53" i="49"/>
  <c r="BL49" i="49"/>
  <c r="BL42" i="49"/>
  <c r="BL39" i="49"/>
  <c r="BL33" i="49"/>
  <c r="BL28" i="49"/>
  <c r="BL26" i="49"/>
  <c r="BL25" i="49"/>
  <c r="BL24" i="49"/>
  <c r="BL23" i="49"/>
  <c r="BL18" i="49"/>
  <c r="BL16" i="49"/>
  <c r="BL13" i="49"/>
  <c r="BL12" i="49"/>
  <c r="BL267" i="49"/>
  <c r="BF267" i="49"/>
  <c r="BF261" i="49"/>
  <c r="BF258" i="49"/>
  <c r="BF243" i="49"/>
  <c r="BF239" i="49"/>
  <c r="BF226" i="49"/>
  <c r="BF222" i="49"/>
  <c r="BF221" i="49"/>
  <c r="BF220" i="49"/>
  <c r="BF219" i="49"/>
  <c r="BF218" i="49"/>
  <c r="BF207" i="49"/>
  <c r="BF195" i="49"/>
  <c r="BF194" i="49"/>
  <c r="BF193" i="49"/>
  <c r="BF192" i="49"/>
  <c r="BF190" i="49"/>
  <c r="BF172" i="49"/>
  <c r="BF171" i="49"/>
  <c r="BF168" i="49"/>
  <c r="BF163" i="49"/>
  <c r="BF162" i="49"/>
  <c r="BF161" i="49"/>
  <c r="BF160" i="49"/>
  <c r="BF159" i="49"/>
  <c r="BF158" i="49"/>
  <c r="BF157" i="49"/>
  <c r="BF155" i="49"/>
  <c r="BF154" i="49"/>
  <c r="BF153" i="49"/>
  <c r="BF152" i="49"/>
  <c r="BF151" i="49"/>
  <c r="BF146" i="49"/>
  <c r="BF145" i="49"/>
  <c r="BF144" i="49"/>
  <c r="BF140" i="49"/>
  <c r="BF136" i="49"/>
  <c r="BF135" i="49"/>
  <c r="BF134" i="49"/>
  <c r="BF128" i="49"/>
  <c r="BF119" i="49"/>
  <c r="BF97" i="49"/>
  <c r="BF96" i="49"/>
  <c r="BF93" i="49"/>
  <c r="BF88" i="49"/>
  <c r="BF85" i="49"/>
  <c r="BF84" i="49"/>
  <c r="BF83" i="49"/>
  <c r="BF80" i="49"/>
  <c r="BF72" i="49"/>
  <c r="BF71" i="49"/>
  <c r="BF70" i="49"/>
  <c r="BF69" i="49"/>
  <c r="BF68" i="49"/>
  <c r="BF67" i="49"/>
  <c r="BF66" i="49"/>
  <c r="BF65" i="49"/>
  <c r="BF64" i="49"/>
  <c r="BF63" i="49"/>
  <c r="BF62" i="49"/>
  <c r="BF61" i="49"/>
  <c r="BF60" i="49"/>
  <c r="BF59" i="49"/>
  <c r="BF58" i="49"/>
  <c r="BF55" i="49"/>
  <c r="BF53" i="49"/>
  <c r="BF42" i="49"/>
  <c r="BF39" i="49"/>
  <c r="BF33" i="49"/>
  <c r="BF31" i="49"/>
  <c r="BF28" i="49"/>
  <c r="BF26" i="49"/>
  <c r="BF25" i="49"/>
  <c r="BF24" i="49"/>
  <c r="BF23" i="49"/>
  <c r="BF18" i="49"/>
  <c r="BF17" i="49"/>
  <c r="BF16" i="49"/>
  <c r="BF13" i="49"/>
  <c r="BF12" i="49"/>
  <c r="AZ258" i="49"/>
  <c r="AZ267" i="49"/>
  <c r="AZ239" i="49"/>
  <c r="AZ243" i="49"/>
  <c r="AZ220" i="49"/>
  <c r="AZ221" i="49"/>
  <c r="AZ222" i="49"/>
  <c r="AZ136" i="49"/>
  <c r="AZ140" i="49"/>
  <c r="AZ144" i="49"/>
  <c r="AZ145" i="49"/>
  <c r="AZ146" i="49"/>
  <c r="AZ151" i="49"/>
  <c r="AZ152" i="49"/>
  <c r="AZ153" i="49"/>
  <c r="AZ154" i="49"/>
  <c r="AZ157" i="49"/>
  <c r="AZ158" i="49"/>
  <c r="AZ159" i="49"/>
  <c r="AZ160" i="49"/>
  <c r="AZ161" i="49"/>
  <c r="AZ162" i="49"/>
  <c r="AZ163" i="49"/>
  <c r="AZ172" i="49"/>
  <c r="AZ185" i="49"/>
  <c r="AZ190" i="49"/>
  <c r="AZ192" i="49"/>
  <c r="AZ193" i="49"/>
  <c r="AZ194" i="49"/>
  <c r="AZ195" i="49"/>
  <c r="AZ207" i="49"/>
  <c r="AZ218" i="49"/>
  <c r="AZ219" i="49"/>
  <c r="AZ119" i="49"/>
  <c r="AZ128" i="49"/>
  <c r="AZ134" i="49"/>
  <c r="AZ94" i="49"/>
  <c r="AZ95" i="49"/>
  <c r="AZ96" i="49"/>
  <c r="AZ97" i="49"/>
  <c r="AZ84" i="49"/>
  <c r="AZ85" i="49"/>
  <c r="AZ86" i="49"/>
  <c r="AZ87" i="49"/>
  <c r="AZ88" i="49"/>
  <c r="AZ89" i="49"/>
  <c r="AZ90" i="49"/>
  <c r="AZ91" i="49"/>
  <c r="AZ92" i="49"/>
  <c r="AZ93" i="49"/>
  <c r="AZ39" i="49"/>
  <c r="AZ42" i="49"/>
  <c r="AZ49" i="49"/>
  <c r="AZ50" i="49"/>
  <c r="AZ53" i="49"/>
  <c r="AZ54" i="49"/>
  <c r="AZ55" i="49"/>
  <c r="AZ56" i="49"/>
  <c r="AZ57" i="49"/>
  <c r="AZ58" i="49"/>
  <c r="AZ59" i="49"/>
  <c r="AZ60" i="49"/>
  <c r="AZ61" i="49"/>
  <c r="AZ62" i="49"/>
  <c r="AZ63" i="49"/>
  <c r="AZ64" i="49"/>
  <c r="AZ65" i="49"/>
  <c r="AZ66" i="49"/>
  <c r="AZ67" i="49"/>
  <c r="AZ68" i="49"/>
  <c r="AZ69" i="49"/>
  <c r="AZ70" i="49"/>
  <c r="AZ71" i="49"/>
  <c r="AZ72" i="49"/>
  <c r="AZ73" i="49"/>
  <c r="AZ74" i="49"/>
  <c r="AZ75" i="49"/>
  <c r="AZ76" i="49"/>
  <c r="AZ77" i="49"/>
  <c r="AZ78" i="49"/>
  <c r="AZ79" i="49"/>
  <c r="AZ80" i="49"/>
  <c r="AZ81" i="49"/>
  <c r="AZ82" i="49"/>
  <c r="AZ83" i="49"/>
  <c r="AZ28" i="49"/>
  <c r="AZ29" i="49"/>
  <c r="AZ31" i="49"/>
  <c r="AZ33" i="49"/>
  <c r="AZ26" i="49"/>
  <c r="AZ24" i="49"/>
  <c r="AZ23" i="49"/>
  <c r="AZ18" i="49"/>
  <c r="AZ16" i="49"/>
  <c r="AZ12" i="49"/>
  <c r="AV17" i="49" l="1"/>
  <c r="AU17" i="49"/>
  <c r="AT17" i="49"/>
  <c r="AS17" i="49"/>
  <c r="AR17" i="49"/>
  <c r="AP17" i="49"/>
  <c r="AO17" i="49"/>
  <c r="AN17" i="49"/>
  <c r="AM17" i="49"/>
  <c r="AL17" i="49"/>
  <c r="AO13" i="49"/>
  <c r="AN13" i="49"/>
  <c r="AM13" i="49"/>
  <c r="AL13" i="49"/>
  <c r="AP13" i="49"/>
  <c r="BP266" i="49"/>
  <c r="BO266" i="49"/>
  <c r="BN266" i="49"/>
  <c r="BM266" i="49"/>
  <c r="BK266" i="49"/>
  <c r="BJ266" i="49"/>
  <c r="BI266" i="49"/>
  <c r="BH266" i="49"/>
  <c r="BG266" i="49"/>
  <c r="BE266" i="49"/>
  <c r="BD266" i="49"/>
  <c r="BC266" i="49"/>
  <c r="BB266" i="49"/>
  <c r="BA266" i="49"/>
  <c r="BP187" i="49"/>
  <c r="BO187" i="49"/>
  <c r="BN187" i="49"/>
  <c r="BM187" i="49"/>
  <c r="BK187" i="49"/>
  <c r="BJ187" i="49"/>
  <c r="BI187" i="49"/>
  <c r="BH187" i="49"/>
  <c r="BG187" i="49"/>
  <c r="BE187" i="49"/>
  <c r="BD187" i="49"/>
  <c r="BC187" i="49"/>
  <c r="BB187" i="49"/>
  <c r="BA187" i="49"/>
  <c r="BP176" i="49"/>
  <c r="BO176" i="49"/>
  <c r="BN176" i="49"/>
  <c r="BM176" i="49"/>
  <c r="BK176" i="49"/>
  <c r="BJ176" i="49"/>
  <c r="BI176" i="49"/>
  <c r="BH176" i="49"/>
  <c r="BG176" i="49"/>
  <c r="BE176" i="49"/>
  <c r="BD176" i="49"/>
  <c r="BC176" i="49"/>
  <c r="BB176" i="49"/>
  <c r="BA176" i="49"/>
  <c r="BP175" i="49"/>
  <c r="BO175" i="49"/>
  <c r="BN175" i="49"/>
  <c r="BM175" i="49"/>
  <c r="BK175" i="49"/>
  <c r="BJ175" i="49"/>
  <c r="BI175" i="49"/>
  <c r="BH175" i="49"/>
  <c r="BG175" i="49"/>
  <c r="BE175" i="49"/>
  <c r="BD175" i="49"/>
  <c r="BC175" i="49"/>
  <c r="BB175" i="49"/>
  <c r="BA175" i="49"/>
  <c r="BP158" i="49"/>
  <c r="BO158" i="49"/>
  <c r="BN158" i="49"/>
  <c r="BM158" i="49"/>
  <c r="AP146" i="49"/>
  <c r="AP145" i="49"/>
  <c r="AP144" i="49"/>
  <c r="AP93" i="49"/>
  <c r="AJ146" i="49"/>
  <c r="AJ145" i="49"/>
  <c r="AJ144" i="49"/>
  <c r="AJ93" i="49"/>
  <c r="BP254" i="49" l="1"/>
  <c r="BO254" i="49"/>
  <c r="BN254" i="49"/>
  <c r="BM254" i="49"/>
  <c r="BK254" i="49"/>
  <c r="BJ254" i="49"/>
  <c r="BI254" i="49"/>
  <c r="BH254" i="49"/>
  <c r="BG254" i="49"/>
  <c r="BE254" i="49"/>
  <c r="BD254" i="49"/>
  <c r="BC254" i="49"/>
  <c r="BB254" i="49"/>
  <c r="BA254" i="49"/>
  <c r="BK80" i="49"/>
  <c r="BJ80" i="49"/>
  <c r="AN80" i="49"/>
  <c r="AO80" i="49"/>
  <c r="AP80" i="49"/>
  <c r="AR80" i="49"/>
  <c r="AS80" i="49"/>
  <c r="AT80" i="49"/>
  <c r="AV80" i="49"/>
  <c r="BQ80" i="49"/>
  <c r="BM80" i="49"/>
  <c r="BN80" i="49"/>
  <c r="BO80" i="49"/>
  <c r="BP80" i="49"/>
  <c r="AU80" i="49"/>
  <c r="BQ244" i="49"/>
  <c r="BQ243" i="49"/>
  <c r="BQ75" i="49"/>
  <c r="BQ74" i="49"/>
  <c r="BQ73" i="49"/>
  <c r="BQ72" i="49"/>
  <c r="AV243" i="49"/>
  <c r="AX243" i="49" s="1"/>
  <c r="AV72" i="49"/>
  <c r="BE223" i="49"/>
  <c r="BD223" i="49"/>
  <c r="BC223" i="49"/>
  <c r="BB223" i="49"/>
  <c r="BA223" i="49"/>
  <c r="BE165" i="49"/>
  <c r="BD165" i="49"/>
  <c r="BC165" i="49"/>
  <c r="BB165" i="49"/>
  <c r="BA165" i="49"/>
  <c r="BQ39" i="49"/>
  <c r="BP39" i="49"/>
  <c r="AV39" i="49"/>
  <c r="AU39" i="49"/>
  <c r="BO39" i="49"/>
  <c r="AT39" i="49"/>
  <c r="BN39" i="49"/>
  <c r="AS39" i="49"/>
  <c r="BM39" i="49"/>
  <c r="AR39" i="49"/>
  <c r="AP39" i="49"/>
  <c r="AN39" i="49"/>
  <c r="BI39" i="49"/>
  <c r="BQ41" i="49"/>
  <c r="BQ40" i="49"/>
  <c r="BK41" i="49"/>
  <c r="BK40" i="49"/>
  <c r="BK39" i="49"/>
  <c r="BJ39" i="49"/>
  <c r="AO39" i="49"/>
  <c r="AM39" i="49"/>
  <c r="BH39" i="49"/>
  <c r="BG39" i="49"/>
  <c r="BE40" i="49"/>
  <c r="BE41" i="49"/>
  <c r="AL39" i="49"/>
  <c r="BE39" i="49"/>
  <c r="BD39" i="49"/>
  <c r="AJ39" i="49"/>
  <c r="AI39" i="49"/>
  <c r="BC39" i="49"/>
  <c r="AH39" i="49"/>
  <c r="BB39" i="49"/>
  <c r="AG39" i="49"/>
  <c r="BA39" i="49"/>
  <c r="AF39" i="49"/>
  <c r="BQ124" i="49"/>
  <c r="BP124" i="49"/>
  <c r="BO124" i="49"/>
  <c r="BN124" i="49"/>
  <c r="BM124" i="49"/>
  <c r="BK124" i="49"/>
  <c r="BJ124" i="49"/>
  <c r="BI124" i="49"/>
  <c r="BH124" i="49"/>
  <c r="BG124" i="49"/>
  <c r="BE124" i="49"/>
  <c r="BD124" i="49"/>
  <c r="BC124" i="49"/>
  <c r="BB124" i="49"/>
  <c r="BA124" i="49"/>
  <c r="AV124" i="49"/>
  <c r="BM117" i="49"/>
  <c r="BN117" i="49"/>
  <c r="BO117" i="49"/>
  <c r="BP117" i="49"/>
  <c r="BQ117" i="49"/>
  <c r="BK117" i="49"/>
  <c r="BJ117" i="49"/>
  <c r="BI117" i="49"/>
  <c r="BH117" i="49"/>
  <c r="BG117" i="49"/>
  <c r="BE117" i="49"/>
  <c r="BD117" i="49"/>
  <c r="BC117" i="49"/>
  <c r="BB117" i="49"/>
  <c r="BA117" i="49"/>
  <c r="BP26" i="49"/>
  <c r="BQ26" i="49"/>
  <c r="BP8" i="49"/>
  <c r="BQ27" i="49"/>
  <c r="AV26" i="49"/>
  <c r="AU26" i="49"/>
  <c r="BO26" i="49"/>
  <c r="AT26" i="49"/>
  <c r="BN26" i="49"/>
  <c r="AS26" i="49"/>
  <c r="AR26" i="49"/>
  <c r="BM26" i="49"/>
  <c r="V26" i="49"/>
  <c r="BK26" i="49"/>
  <c r="BJ26" i="49"/>
  <c r="AP26" i="49"/>
  <c r="AO26" i="49"/>
  <c r="AN26" i="49"/>
  <c r="BN42" i="49"/>
  <c r="AV42" i="49"/>
  <c r="AS42" i="49"/>
  <c r="AR42" i="49"/>
  <c r="AP42" i="49"/>
  <c r="AM42" i="49"/>
  <c r="BJ42" i="49"/>
  <c r="AO42" i="49"/>
  <c r="AN42" i="49"/>
  <c r="BQ190" i="49" l="1"/>
  <c r="BQ88" i="49"/>
  <c r="BK190" i="49" l="1"/>
  <c r="BK88" i="49"/>
  <c r="BD190" i="49" l="1"/>
  <c r="BB190" i="49"/>
  <c r="BE190" i="49" s="1"/>
  <c r="BE88" i="49"/>
  <c r="BD88" i="49"/>
  <c r="BB88" i="49" l="1"/>
  <c r="AP266" i="49" l="1"/>
  <c r="AO266" i="49"/>
  <c r="AN266" i="49"/>
  <c r="AM266" i="49"/>
  <c r="AL266" i="49"/>
  <c r="AK266" i="49"/>
  <c r="BF266" i="49" s="1"/>
  <c r="AP265" i="49"/>
  <c r="AO265" i="49"/>
  <c r="AN265" i="49"/>
  <c r="AM265" i="49"/>
  <c r="AL265" i="49"/>
  <c r="AK265" i="49"/>
  <c r="BF265" i="49" s="1"/>
  <c r="AP264" i="49"/>
  <c r="AO264" i="49"/>
  <c r="AN264" i="49"/>
  <c r="AM264" i="49"/>
  <c r="AL264" i="49"/>
  <c r="AK264" i="49"/>
  <c r="BF264" i="49" s="1"/>
  <c r="AP263" i="49"/>
  <c r="AO263" i="49"/>
  <c r="AN263" i="49"/>
  <c r="AM263" i="49"/>
  <c r="AL263" i="49"/>
  <c r="AK263" i="49"/>
  <c r="BF263" i="49" s="1"/>
  <c r="AP262" i="49"/>
  <c r="AO262" i="49"/>
  <c r="AN262" i="49"/>
  <c r="AM262" i="49"/>
  <c r="AL262" i="49"/>
  <c r="AK262" i="49"/>
  <c r="BF262" i="49" s="1"/>
  <c r="AP260" i="49"/>
  <c r="AO260" i="49"/>
  <c r="AN260" i="49"/>
  <c r="AM260" i="49"/>
  <c r="AL260" i="49"/>
  <c r="AK260" i="49"/>
  <c r="BF260" i="49" s="1"/>
  <c r="AP259" i="49"/>
  <c r="AO259" i="49"/>
  <c r="AN259" i="49"/>
  <c r="AM259" i="49"/>
  <c r="AL259" i="49"/>
  <c r="AK259" i="49"/>
  <c r="BF259" i="49" s="1"/>
  <c r="AP257" i="49"/>
  <c r="AO257" i="49"/>
  <c r="AN257" i="49"/>
  <c r="AM257" i="49"/>
  <c r="AL257" i="49"/>
  <c r="AK257" i="49"/>
  <c r="BF257" i="49" s="1"/>
  <c r="AP256" i="49"/>
  <c r="AO256" i="49"/>
  <c r="AN256" i="49"/>
  <c r="AM256" i="49"/>
  <c r="AL256" i="49"/>
  <c r="AK256" i="49"/>
  <c r="BF256" i="49" s="1"/>
  <c r="AP255" i="49"/>
  <c r="AO255" i="49"/>
  <c r="AN255" i="49"/>
  <c r="AM255" i="49"/>
  <c r="AL255" i="49"/>
  <c r="AK255" i="49"/>
  <c r="BF255" i="49" s="1"/>
  <c r="AP254" i="49"/>
  <c r="AO254" i="49"/>
  <c r="AN254" i="49"/>
  <c r="AM254" i="49"/>
  <c r="AL254" i="49"/>
  <c r="AK254" i="49"/>
  <c r="BF254" i="49" s="1"/>
  <c r="AP253" i="49"/>
  <c r="AO253" i="49"/>
  <c r="AN253" i="49"/>
  <c r="AM253" i="49"/>
  <c r="AL253" i="49"/>
  <c r="AK253" i="49"/>
  <c r="BF253" i="49" s="1"/>
  <c r="AP252" i="49"/>
  <c r="AO252" i="49"/>
  <c r="AN252" i="49"/>
  <c r="AM252" i="49"/>
  <c r="AL252" i="49"/>
  <c r="AK252" i="49"/>
  <c r="BF252" i="49" s="1"/>
  <c r="AP251" i="49"/>
  <c r="AO251" i="49"/>
  <c r="AN251" i="49"/>
  <c r="AM251" i="49"/>
  <c r="AL251" i="49"/>
  <c r="AK251" i="49"/>
  <c r="BF251" i="49" s="1"/>
  <c r="AP250" i="49"/>
  <c r="AO250" i="49"/>
  <c r="AN250" i="49"/>
  <c r="AM250" i="49"/>
  <c r="AL250" i="49"/>
  <c r="AK250" i="49"/>
  <c r="BF250" i="49" s="1"/>
  <c r="AP249" i="49"/>
  <c r="AO249" i="49"/>
  <c r="AN249" i="49"/>
  <c r="AM249" i="49"/>
  <c r="AL249" i="49"/>
  <c r="AK249" i="49"/>
  <c r="BF249" i="49" s="1"/>
  <c r="AP248" i="49"/>
  <c r="AO248" i="49"/>
  <c r="AN248" i="49"/>
  <c r="AM248" i="49"/>
  <c r="AL248" i="49"/>
  <c r="AK248" i="49"/>
  <c r="BF248" i="49" s="1"/>
  <c r="AP247" i="49"/>
  <c r="AO247" i="49"/>
  <c r="AN247" i="49"/>
  <c r="AM247" i="49"/>
  <c r="AL247" i="49"/>
  <c r="AK247" i="49"/>
  <c r="BF247" i="49" s="1"/>
  <c r="AP246" i="49"/>
  <c r="AO246" i="49"/>
  <c r="AN246" i="49"/>
  <c r="AM246" i="49"/>
  <c r="AL246" i="49"/>
  <c r="AK246" i="49"/>
  <c r="BF246" i="49" s="1"/>
  <c r="AP245" i="49"/>
  <c r="AO245" i="49"/>
  <c r="AN245" i="49"/>
  <c r="AM245" i="49"/>
  <c r="AL245" i="49"/>
  <c r="AK245" i="49"/>
  <c r="BF245" i="49" s="1"/>
  <c r="AP244" i="49"/>
  <c r="AO244" i="49"/>
  <c r="AN244" i="49"/>
  <c r="AM244" i="49"/>
  <c r="AL244" i="49"/>
  <c r="AK244" i="49"/>
  <c r="BF244" i="49" s="1"/>
  <c r="AP243" i="49"/>
  <c r="AO243" i="49"/>
  <c r="AN243" i="49"/>
  <c r="AM243" i="49"/>
  <c r="AL243" i="49"/>
  <c r="AP242" i="49"/>
  <c r="AO242" i="49"/>
  <c r="AN242" i="49"/>
  <c r="AM242" i="49"/>
  <c r="AL242" i="49"/>
  <c r="AK242" i="49"/>
  <c r="BF242" i="49" s="1"/>
  <c r="AP241" i="49"/>
  <c r="AO241" i="49"/>
  <c r="AN241" i="49"/>
  <c r="AM241" i="49"/>
  <c r="AL241" i="49"/>
  <c r="AK241" i="49"/>
  <c r="BF241" i="49" s="1"/>
  <c r="AP240" i="49"/>
  <c r="AO240" i="49"/>
  <c r="AN240" i="49"/>
  <c r="AM240" i="49"/>
  <c r="AL240" i="49"/>
  <c r="AK240" i="49"/>
  <c r="BF240" i="49" s="1"/>
  <c r="AP238" i="49"/>
  <c r="AO238" i="49"/>
  <c r="AN238" i="49"/>
  <c r="AM238" i="49"/>
  <c r="AL238" i="49"/>
  <c r="AK238" i="49"/>
  <c r="BF238" i="49" s="1"/>
  <c r="AP237" i="49"/>
  <c r="AO237" i="49"/>
  <c r="AN237" i="49"/>
  <c r="AM237" i="49"/>
  <c r="AL237" i="49"/>
  <c r="AK237" i="49"/>
  <c r="BF237" i="49" s="1"/>
  <c r="AP236" i="49"/>
  <c r="AO236" i="49"/>
  <c r="AN236" i="49"/>
  <c r="AM236" i="49"/>
  <c r="AL236" i="49"/>
  <c r="AK236" i="49"/>
  <c r="BF236" i="49" s="1"/>
  <c r="AP235" i="49"/>
  <c r="AO235" i="49"/>
  <c r="AN235" i="49"/>
  <c r="AM235" i="49"/>
  <c r="AL235" i="49"/>
  <c r="AK235" i="49"/>
  <c r="BF235" i="49" s="1"/>
  <c r="AP234" i="49"/>
  <c r="AO234" i="49"/>
  <c r="AN234" i="49"/>
  <c r="AM234" i="49"/>
  <c r="AL234" i="49"/>
  <c r="AK234" i="49"/>
  <c r="BF234" i="49" s="1"/>
  <c r="AP233" i="49"/>
  <c r="AO233" i="49"/>
  <c r="AN233" i="49"/>
  <c r="AM233" i="49"/>
  <c r="AL233" i="49"/>
  <c r="AK233" i="49"/>
  <c r="BF233" i="49" s="1"/>
  <c r="AP232" i="49"/>
  <c r="AO232" i="49"/>
  <c r="AN232" i="49"/>
  <c r="AM232" i="49"/>
  <c r="AL232" i="49"/>
  <c r="AK232" i="49"/>
  <c r="BF232" i="49" s="1"/>
  <c r="AP231" i="49"/>
  <c r="AO231" i="49"/>
  <c r="AN231" i="49"/>
  <c r="AM231" i="49"/>
  <c r="AL231" i="49"/>
  <c r="AK231" i="49"/>
  <c r="BF231" i="49" s="1"/>
  <c r="AP230" i="49"/>
  <c r="AO230" i="49"/>
  <c r="AN230" i="49"/>
  <c r="AM230" i="49"/>
  <c r="AL230" i="49"/>
  <c r="AK230" i="49"/>
  <c r="BF230" i="49" s="1"/>
  <c r="AP229" i="49"/>
  <c r="AO229" i="49"/>
  <c r="AN229" i="49"/>
  <c r="AM229" i="49"/>
  <c r="AL229" i="49"/>
  <c r="AK229" i="49"/>
  <c r="BF229" i="49" s="1"/>
  <c r="AP228" i="49"/>
  <c r="AO228" i="49"/>
  <c r="AN228" i="49"/>
  <c r="AM228" i="49"/>
  <c r="AL228" i="49"/>
  <c r="AK228" i="49"/>
  <c r="BF228" i="49" s="1"/>
  <c r="AP227" i="49"/>
  <c r="AO227" i="49"/>
  <c r="AN227" i="49"/>
  <c r="AM227" i="49"/>
  <c r="AL227" i="49"/>
  <c r="AK227" i="49"/>
  <c r="BF227" i="49" s="1"/>
  <c r="AP225" i="49"/>
  <c r="AO225" i="49"/>
  <c r="AN225" i="49"/>
  <c r="AM225" i="49"/>
  <c r="AL225" i="49"/>
  <c r="AK225" i="49"/>
  <c r="BF225" i="49" s="1"/>
  <c r="AP224" i="49"/>
  <c r="AO224" i="49"/>
  <c r="AN224" i="49"/>
  <c r="AM224" i="49"/>
  <c r="AL224" i="49"/>
  <c r="AK224" i="49"/>
  <c r="BF224" i="49" s="1"/>
  <c r="AP223" i="49"/>
  <c r="AO223" i="49"/>
  <c r="AN223" i="49"/>
  <c r="AM223" i="49"/>
  <c r="AL223" i="49"/>
  <c r="AK223" i="49"/>
  <c r="BF223" i="49" s="1"/>
  <c r="AP217" i="49"/>
  <c r="AO217" i="49"/>
  <c r="AN217" i="49"/>
  <c r="AM217" i="49"/>
  <c r="AL217" i="49"/>
  <c r="AK217" i="49"/>
  <c r="BF217" i="49" s="1"/>
  <c r="AP216" i="49"/>
  <c r="AO216" i="49"/>
  <c r="AN216" i="49"/>
  <c r="AM216" i="49"/>
  <c r="AL216" i="49"/>
  <c r="AK216" i="49"/>
  <c r="BF216" i="49" s="1"/>
  <c r="AP215" i="49"/>
  <c r="AO215" i="49"/>
  <c r="AN215" i="49"/>
  <c r="AM215" i="49"/>
  <c r="AL215" i="49"/>
  <c r="AK215" i="49"/>
  <c r="BF215" i="49" s="1"/>
  <c r="AP214" i="49"/>
  <c r="AO214" i="49"/>
  <c r="AN214" i="49"/>
  <c r="AM214" i="49"/>
  <c r="AL214" i="49"/>
  <c r="AK214" i="49"/>
  <c r="BF214" i="49" s="1"/>
  <c r="AP213" i="49"/>
  <c r="AO213" i="49"/>
  <c r="AN213" i="49"/>
  <c r="AM213" i="49"/>
  <c r="AL213" i="49"/>
  <c r="AK213" i="49"/>
  <c r="BF213" i="49" s="1"/>
  <c r="AP212" i="49"/>
  <c r="AO212" i="49"/>
  <c r="AN212" i="49"/>
  <c r="AM212" i="49"/>
  <c r="AL212" i="49"/>
  <c r="AK212" i="49"/>
  <c r="BF212" i="49" s="1"/>
  <c r="AP211" i="49"/>
  <c r="AO211" i="49"/>
  <c r="AN211" i="49"/>
  <c r="AM211" i="49"/>
  <c r="AL211" i="49"/>
  <c r="AK211" i="49"/>
  <c r="BF211" i="49" s="1"/>
  <c r="AP210" i="49"/>
  <c r="AO210" i="49"/>
  <c r="AN210" i="49"/>
  <c r="AM210" i="49"/>
  <c r="AL210" i="49"/>
  <c r="AK210" i="49"/>
  <c r="BF210" i="49" s="1"/>
  <c r="AP209" i="49"/>
  <c r="AO209" i="49"/>
  <c r="AN209" i="49"/>
  <c r="AM209" i="49"/>
  <c r="AL209" i="49"/>
  <c r="AK209" i="49"/>
  <c r="BF209" i="49" s="1"/>
  <c r="AP208" i="49"/>
  <c r="AO208" i="49"/>
  <c r="AN208" i="49"/>
  <c r="AM208" i="49"/>
  <c r="AL208" i="49"/>
  <c r="AK208" i="49"/>
  <c r="BF208" i="49" s="1"/>
  <c r="AP206" i="49"/>
  <c r="AO206" i="49"/>
  <c r="AN206" i="49"/>
  <c r="AM206" i="49"/>
  <c r="AL206" i="49"/>
  <c r="AK206" i="49"/>
  <c r="BF206" i="49" s="1"/>
  <c r="AP205" i="49"/>
  <c r="AO205" i="49"/>
  <c r="AN205" i="49"/>
  <c r="AM205" i="49"/>
  <c r="AL205" i="49"/>
  <c r="AK205" i="49"/>
  <c r="BF205" i="49" s="1"/>
  <c r="AP204" i="49"/>
  <c r="AO204" i="49"/>
  <c r="AN204" i="49"/>
  <c r="AM204" i="49"/>
  <c r="AL204" i="49"/>
  <c r="AK204" i="49"/>
  <c r="BF204" i="49" s="1"/>
  <c r="AP203" i="49"/>
  <c r="AO203" i="49"/>
  <c r="AN203" i="49"/>
  <c r="AM203" i="49"/>
  <c r="AL203" i="49"/>
  <c r="AK203" i="49"/>
  <c r="BF203" i="49" s="1"/>
  <c r="AP202" i="49"/>
  <c r="AO202" i="49"/>
  <c r="AN202" i="49"/>
  <c r="AM202" i="49"/>
  <c r="AL202" i="49"/>
  <c r="AK202" i="49"/>
  <c r="BF202" i="49" s="1"/>
  <c r="AP201" i="49"/>
  <c r="AO201" i="49"/>
  <c r="AN201" i="49"/>
  <c r="AM201" i="49"/>
  <c r="AL201" i="49"/>
  <c r="AK201" i="49"/>
  <c r="BF201" i="49" s="1"/>
  <c r="AP200" i="49"/>
  <c r="AO200" i="49"/>
  <c r="AN200" i="49"/>
  <c r="AM200" i="49"/>
  <c r="AL200" i="49"/>
  <c r="AK200" i="49"/>
  <c r="BF200" i="49" s="1"/>
  <c r="AP199" i="49"/>
  <c r="AO199" i="49"/>
  <c r="AN199" i="49"/>
  <c r="AM199" i="49"/>
  <c r="AL199" i="49"/>
  <c r="AK199" i="49"/>
  <c r="BF199" i="49" s="1"/>
  <c r="AP198" i="49"/>
  <c r="AO198" i="49"/>
  <c r="AN198" i="49"/>
  <c r="AM198" i="49"/>
  <c r="AL198" i="49"/>
  <c r="AK198" i="49"/>
  <c r="BF198" i="49" s="1"/>
  <c r="AP197" i="49"/>
  <c r="AO197" i="49"/>
  <c r="AN197" i="49"/>
  <c r="AM197" i="49"/>
  <c r="AL197" i="49"/>
  <c r="AK197" i="49"/>
  <c r="BF197" i="49" s="1"/>
  <c r="AP196" i="49"/>
  <c r="AO196" i="49"/>
  <c r="AN196" i="49"/>
  <c r="AM196" i="49"/>
  <c r="AL196" i="49"/>
  <c r="AK196" i="49"/>
  <c r="BF196" i="49" s="1"/>
  <c r="AP191" i="49"/>
  <c r="AO191" i="49"/>
  <c r="AN191" i="49"/>
  <c r="AM191" i="49"/>
  <c r="AL191" i="49"/>
  <c r="AK191" i="49"/>
  <c r="BF191" i="49" s="1"/>
  <c r="AP189" i="49"/>
  <c r="AO189" i="49"/>
  <c r="AN189" i="49"/>
  <c r="AM189" i="49"/>
  <c r="AL189" i="49"/>
  <c r="AK189" i="49"/>
  <c r="BF189" i="49" s="1"/>
  <c r="AP188" i="49"/>
  <c r="AO188" i="49"/>
  <c r="AN188" i="49"/>
  <c r="AM188" i="49"/>
  <c r="AL188" i="49"/>
  <c r="AK188" i="49"/>
  <c r="BF188" i="49" s="1"/>
  <c r="AP187" i="49"/>
  <c r="AO187" i="49"/>
  <c r="AN187" i="49"/>
  <c r="AM187" i="49"/>
  <c r="AL187" i="49"/>
  <c r="AK187" i="49"/>
  <c r="BF187" i="49" s="1"/>
  <c r="AP186" i="49"/>
  <c r="AO186" i="49"/>
  <c r="AN186" i="49"/>
  <c r="AM186" i="49"/>
  <c r="AL186" i="49"/>
  <c r="AK186" i="49"/>
  <c r="BF186" i="49" s="1"/>
  <c r="AP185" i="49"/>
  <c r="AO185" i="49"/>
  <c r="AN185" i="49"/>
  <c r="AM185" i="49"/>
  <c r="AL185" i="49"/>
  <c r="AK185" i="49"/>
  <c r="BF185" i="49" s="1"/>
  <c r="AP184" i="49"/>
  <c r="AO184" i="49"/>
  <c r="AN184" i="49"/>
  <c r="AM184" i="49"/>
  <c r="AL184" i="49"/>
  <c r="AK184" i="49"/>
  <c r="BF184" i="49" s="1"/>
  <c r="AP183" i="49"/>
  <c r="AO183" i="49"/>
  <c r="AN183" i="49"/>
  <c r="AM183" i="49"/>
  <c r="AL183" i="49"/>
  <c r="AK183" i="49"/>
  <c r="BF183" i="49" s="1"/>
  <c r="AP182" i="49"/>
  <c r="AO182" i="49"/>
  <c r="AN182" i="49"/>
  <c r="AM182" i="49"/>
  <c r="AL182" i="49"/>
  <c r="AK182" i="49"/>
  <c r="BF182" i="49" s="1"/>
  <c r="AP181" i="49"/>
  <c r="AO181" i="49"/>
  <c r="AN181" i="49"/>
  <c r="AM181" i="49"/>
  <c r="AL181" i="49"/>
  <c r="AK181" i="49"/>
  <c r="BF181" i="49" s="1"/>
  <c r="AP180" i="49"/>
  <c r="AO180" i="49"/>
  <c r="AN180" i="49"/>
  <c r="AM180" i="49"/>
  <c r="AL180" i="49"/>
  <c r="AK180" i="49"/>
  <c r="BF180" i="49" s="1"/>
  <c r="AP179" i="49"/>
  <c r="AO179" i="49"/>
  <c r="AN179" i="49"/>
  <c r="AM179" i="49"/>
  <c r="AL179" i="49"/>
  <c r="AK179" i="49"/>
  <c r="BF179" i="49" s="1"/>
  <c r="AP178" i="49"/>
  <c r="AO178" i="49"/>
  <c r="AN178" i="49"/>
  <c r="AM178" i="49"/>
  <c r="AL178" i="49"/>
  <c r="AK178" i="49"/>
  <c r="BF178" i="49" s="1"/>
  <c r="AP177" i="49"/>
  <c r="AO177" i="49"/>
  <c r="AN177" i="49"/>
  <c r="AM177" i="49"/>
  <c r="AL177" i="49"/>
  <c r="AK177" i="49"/>
  <c r="BF177" i="49" s="1"/>
  <c r="AP176" i="49"/>
  <c r="AO176" i="49"/>
  <c r="AN176" i="49"/>
  <c r="AM176" i="49"/>
  <c r="AL176" i="49"/>
  <c r="AK176" i="49"/>
  <c r="BF176" i="49" s="1"/>
  <c r="AP175" i="49"/>
  <c r="AO175" i="49"/>
  <c r="AN175" i="49"/>
  <c r="AM175" i="49"/>
  <c r="AL175" i="49"/>
  <c r="AK175" i="49"/>
  <c r="BF175" i="49" s="1"/>
  <c r="AP174" i="49"/>
  <c r="AO174" i="49"/>
  <c r="AN174" i="49"/>
  <c r="AM174" i="49"/>
  <c r="AL174" i="49"/>
  <c r="AK174" i="49"/>
  <c r="BF174" i="49" s="1"/>
  <c r="AP173" i="49"/>
  <c r="AO173" i="49"/>
  <c r="AN173" i="49"/>
  <c r="AM173" i="49"/>
  <c r="AL173" i="49"/>
  <c r="AK173" i="49"/>
  <c r="BF173" i="49" s="1"/>
  <c r="AP170" i="49"/>
  <c r="AO170" i="49"/>
  <c r="AN170" i="49"/>
  <c r="AM170" i="49"/>
  <c r="AL170" i="49"/>
  <c r="AK170" i="49"/>
  <c r="BF170" i="49" s="1"/>
  <c r="AP169" i="49"/>
  <c r="AO169" i="49"/>
  <c r="AN169" i="49"/>
  <c r="AM169" i="49"/>
  <c r="AL169" i="49"/>
  <c r="AK169" i="49"/>
  <c r="BF169" i="49" s="1"/>
  <c r="AP167" i="49"/>
  <c r="AO167" i="49"/>
  <c r="AN167" i="49"/>
  <c r="AM167" i="49"/>
  <c r="AL167" i="49"/>
  <c r="AK167" i="49"/>
  <c r="BF167" i="49" s="1"/>
  <c r="AP166" i="49"/>
  <c r="AO166" i="49"/>
  <c r="AN166" i="49"/>
  <c r="AM166" i="49"/>
  <c r="AL166" i="49"/>
  <c r="AK166" i="49"/>
  <c r="BF166" i="49" s="1"/>
  <c r="AP165" i="49"/>
  <c r="AO165" i="49"/>
  <c r="AN165" i="49"/>
  <c r="AM165" i="49"/>
  <c r="AL165" i="49"/>
  <c r="AK165" i="49"/>
  <c r="BF165" i="49" s="1"/>
  <c r="AP164" i="49"/>
  <c r="AO164" i="49"/>
  <c r="AN164" i="49"/>
  <c r="AM164" i="49"/>
  <c r="AL164" i="49"/>
  <c r="AK164" i="49"/>
  <c r="BF164" i="49" s="1"/>
  <c r="AP156" i="49"/>
  <c r="AO156" i="49"/>
  <c r="AN156" i="49"/>
  <c r="AM156" i="49"/>
  <c r="AL156" i="49"/>
  <c r="AK156" i="49"/>
  <c r="BF156" i="49" s="1"/>
  <c r="AP150" i="49"/>
  <c r="AO150" i="49"/>
  <c r="AN150" i="49"/>
  <c r="AM150" i="49"/>
  <c r="AL150" i="49"/>
  <c r="AK150" i="49"/>
  <c r="BF150" i="49" s="1"/>
  <c r="AP149" i="49"/>
  <c r="AO149" i="49"/>
  <c r="AN149" i="49"/>
  <c r="AM149" i="49"/>
  <c r="AL149" i="49"/>
  <c r="AK149" i="49"/>
  <c r="BF149" i="49" s="1"/>
  <c r="AP148" i="49"/>
  <c r="AO148" i="49"/>
  <c r="AN148" i="49"/>
  <c r="AM148" i="49"/>
  <c r="AL148" i="49"/>
  <c r="AK148" i="49"/>
  <c r="BF148" i="49" s="1"/>
  <c r="AO147" i="49"/>
  <c r="AN147" i="49"/>
  <c r="AM147" i="49"/>
  <c r="AL147" i="49"/>
  <c r="AK147" i="49"/>
  <c r="BF147" i="49" s="1"/>
  <c r="AO143" i="49"/>
  <c r="AN143" i="49"/>
  <c r="AM143" i="49"/>
  <c r="AL143" i="49"/>
  <c r="AK143" i="49"/>
  <c r="BF143" i="49" s="1"/>
  <c r="AO142" i="49"/>
  <c r="AN142" i="49"/>
  <c r="AM142" i="49"/>
  <c r="AL142" i="49"/>
  <c r="AK142" i="49"/>
  <c r="BF142" i="49" s="1"/>
  <c r="AP141" i="49"/>
  <c r="AO141" i="49"/>
  <c r="AN141" i="49"/>
  <c r="AM141" i="49"/>
  <c r="AL141" i="49"/>
  <c r="AK141" i="49"/>
  <c r="BF141" i="49" s="1"/>
  <c r="AO139" i="49"/>
  <c r="AN139" i="49"/>
  <c r="AM139" i="49"/>
  <c r="AL139" i="49"/>
  <c r="AK139" i="49"/>
  <c r="BF139" i="49" s="1"/>
  <c r="AP138" i="49"/>
  <c r="AO138" i="49"/>
  <c r="AN138" i="49"/>
  <c r="AM138" i="49"/>
  <c r="AL138" i="49"/>
  <c r="AK138" i="49"/>
  <c r="BF138" i="49" s="1"/>
  <c r="AP137" i="49"/>
  <c r="AO137" i="49"/>
  <c r="AN137" i="49"/>
  <c r="AM137" i="49"/>
  <c r="AL137" i="49"/>
  <c r="AK137" i="49"/>
  <c r="BF137" i="49" s="1"/>
  <c r="AP133" i="49"/>
  <c r="AO133" i="49"/>
  <c r="AN133" i="49"/>
  <c r="AM133" i="49"/>
  <c r="AL133" i="49"/>
  <c r="AK133" i="49"/>
  <c r="BF133" i="49" s="1"/>
  <c r="AP132" i="49"/>
  <c r="AO132" i="49"/>
  <c r="AN132" i="49"/>
  <c r="AM132" i="49"/>
  <c r="AL132" i="49"/>
  <c r="AK132" i="49"/>
  <c r="BF132" i="49" s="1"/>
  <c r="AP131" i="49"/>
  <c r="AO131" i="49"/>
  <c r="AN131" i="49"/>
  <c r="AM131" i="49"/>
  <c r="AL131" i="49"/>
  <c r="AK131" i="49"/>
  <c r="BF131" i="49" s="1"/>
  <c r="AP130" i="49"/>
  <c r="AO130" i="49"/>
  <c r="AN130" i="49"/>
  <c r="AM130" i="49"/>
  <c r="AL130" i="49"/>
  <c r="AK130" i="49"/>
  <c r="BF130" i="49" s="1"/>
  <c r="AP129" i="49"/>
  <c r="AO129" i="49"/>
  <c r="AN129" i="49"/>
  <c r="AM129" i="49"/>
  <c r="AL129" i="49"/>
  <c r="AK129" i="49"/>
  <c r="BF129" i="49" s="1"/>
  <c r="AP127" i="49"/>
  <c r="AO127" i="49"/>
  <c r="AN127" i="49"/>
  <c r="AM127" i="49"/>
  <c r="AL127" i="49"/>
  <c r="AK127" i="49"/>
  <c r="BF127" i="49" s="1"/>
  <c r="AP126" i="49"/>
  <c r="AO126" i="49"/>
  <c r="AN126" i="49"/>
  <c r="AM126" i="49"/>
  <c r="AL126" i="49"/>
  <c r="AK126" i="49"/>
  <c r="BF126" i="49" s="1"/>
  <c r="AP125" i="49"/>
  <c r="AO125" i="49"/>
  <c r="AN125" i="49"/>
  <c r="AM125" i="49"/>
  <c r="AL125" i="49"/>
  <c r="AK125" i="49"/>
  <c r="BF125" i="49" s="1"/>
  <c r="AP124" i="49"/>
  <c r="AO124" i="49"/>
  <c r="AN124" i="49"/>
  <c r="AM124" i="49"/>
  <c r="AL124" i="49"/>
  <c r="AK124" i="49"/>
  <c r="BF124" i="49" s="1"/>
  <c r="AP123" i="49"/>
  <c r="AO123" i="49"/>
  <c r="AN123" i="49"/>
  <c r="AM123" i="49"/>
  <c r="AL123" i="49"/>
  <c r="AK123" i="49"/>
  <c r="BF123" i="49" s="1"/>
  <c r="AP122" i="49"/>
  <c r="AO122" i="49"/>
  <c r="AN122" i="49"/>
  <c r="AM122" i="49"/>
  <c r="AL122" i="49"/>
  <c r="AK122" i="49"/>
  <c r="BF122" i="49" s="1"/>
  <c r="AP121" i="49"/>
  <c r="AO121" i="49"/>
  <c r="AN121" i="49"/>
  <c r="AM121" i="49"/>
  <c r="AL121" i="49"/>
  <c r="AK121" i="49"/>
  <c r="BF121" i="49" s="1"/>
  <c r="AP120" i="49"/>
  <c r="AO120" i="49"/>
  <c r="AN120" i="49"/>
  <c r="AM120" i="49"/>
  <c r="AL120" i="49"/>
  <c r="AK120" i="49"/>
  <c r="BF120" i="49" s="1"/>
  <c r="AP118" i="49"/>
  <c r="AO118" i="49"/>
  <c r="AN118" i="49"/>
  <c r="AM118" i="49"/>
  <c r="AL118" i="49"/>
  <c r="AK118" i="49"/>
  <c r="BF118" i="49" s="1"/>
  <c r="AP117" i="49"/>
  <c r="AO117" i="49"/>
  <c r="AN117" i="49"/>
  <c r="AM117" i="49"/>
  <c r="AL117" i="49"/>
  <c r="AK117" i="49"/>
  <c r="BF117" i="49" s="1"/>
  <c r="AP116" i="49"/>
  <c r="AO116" i="49"/>
  <c r="AN116" i="49"/>
  <c r="AM116" i="49"/>
  <c r="AL116" i="49"/>
  <c r="AK116" i="49"/>
  <c r="BF116" i="49" s="1"/>
  <c r="AP115" i="49"/>
  <c r="AO115" i="49"/>
  <c r="AN115" i="49"/>
  <c r="AM115" i="49"/>
  <c r="AL115" i="49"/>
  <c r="AK115" i="49"/>
  <c r="BF115" i="49" s="1"/>
  <c r="AP114" i="49"/>
  <c r="AO114" i="49"/>
  <c r="AN114" i="49"/>
  <c r="AM114" i="49"/>
  <c r="AL114" i="49"/>
  <c r="AK114" i="49"/>
  <c r="BF114" i="49" s="1"/>
  <c r="AP113" i="49"/>
  <c r="AO113" i="49"/>
  <c r="AN113" i="49"/>
  <c r="AM113" i="49"/>
  <c r="AL113" i="49"/>
  <c r="AK113" i="49"/>
  <c r="BF113" i="49" s="1"/>
  <c r="AP112" i="49"/>
  <c r="AO112" i="49"/>
  <c r="AN112" i="49"/>
  <c r="AM112" i="49"/>
  <c r="AL112" i="49"/>
  <c r="AK112" i="49"/>
  <c r="BF112" i="49" s="1"/>
  <c r="AP111" i="49"/>
  <c r="AO111" i="49"/>
  <c r="AN111" i="49"/>
  <c r="AM111" i="49"/>
  <c r="AL111" i="49"/>
  <c r="AK111" i="49"/>
  <c r="BF111" i="49" s="1"/>
  <c r="AP110" i="49"/>
  <c r="AO110" i="49"/>
  <c r="AN110" i="49"/>
  <c r="AM110" i="49"/>
  <c r="AL110" i="49"/>
  <c r="AK110" i="49"/>
  <c r="BF110" i="49" s="1"/>
  <c r="AP109" i="49"/>
  <c r="AO109" i="49"/>
  <c r="AN109" i="49"/>
  <c r="AM109" i="49"/>
  <c r="AL109" i="49"/>
  <c r="AK109" i="49"/>
  <c r="BF109" i="49" s="1"/>
  <c r="AP108" i="49"/>
  <c r="AO108" i="49"/>
  <c r="AN108" i="49"/>
  <c r="AM108" i="49"/>
  <c r="AL108" i="49"/>
  <c r="AK108" i="49"/>
  <c r="BF108" i="49" s="1"/>
  <c r="AP107" i="49"/>
  <c r="AO107" i="49"/>
  <c r="AN107" i="49"/>
  <c r="AM107" i="49"/>
  <c r="AL107" i="49"/>
  <c r="AK107" i="49"/>
  <c r="BF107" i="49" s="1"/>
  <c r="AP106" i="49"/>
  <c r="AO106" i="49"/>
  <c r="AN106" i="49"/>
  <c r="AM106" i="49"/>
  <c r="AL106" i="49"/>
  <c r="AK106" i="49"/>
  <c r="BF106" i="49" s="1"/>
  <c r="AP105" i="49"/>
  <c r="AO105" i="49"/>
  <c r="AN105" i="49"/>
  <c r="AM105" i="49"/>
  <c r="AL105" i="49"/>
  <c r="AK105" i="49"/>
  <c r="BF105" i="49" s="1"/>
  <c r="AP104" i="49"/>
  <c r="AO104" i="49"/>
  <c r="AN104" i="49"/>
  <c r="AM104" i="49"/>
  <c r="AL104" i="49"/>
  <c r="AK104" i="49"/>
  <c r="BF104" i="49" s="1"/>
  <c r="AP103" i="49"/>
  <c r="AO103" i="49"/>
  <c r="AN103" i="49"/>
  <c r="AM103" i="49"/>
  <c r="AL103" i="49"/>
  <c r="AK103" i="49"/>
  <c r="BF103" i="49" s="1"/>
  <c r="AP102" i="49"/>
  <c r="AO102" i="49"/>
  <c r="AN102" i="49"/>
  <c r="AM102" i="49"/>
  <c r="AL102" i="49"/>
  <c r="AK102" i="49"/>
  <c r="BF102" i="49" s="1"/>
  <c r="AP101" i="49"/>
  <c r="AO101" i="49"/>
  <c r="AN101" i="49"/>
  <c r="AM101" i="49"/>
  <c r="AL101" i="49"/>
  <c r="AK101" i="49"/>
  <c r="BF101" i="49" s="1"/>
  <c r="AP100" i="49"/>
  <c r="AO100" i="49"/>
  <c r="AN100" i="49"/>
  <c r="AM100" i="49"/>
  <c r="AL100" i="49"/>
  <c r="AK100" i="49"/>
  <c r="BF100" i="49" s="1"/>
  <c r="AP99" i="49"/>
  <c r="AO99" i="49"/>
  <c r="AN99" i="49"/>
  <c r="AM99" i="49"/>
  <c r="AL99" i="49"/>
  <c r="AK99" i="49"/>
  <c r="BF99" i="49" s="1"/>
  <c r="AP98" i="49"/>
  <c r="AO98" i="49"/>
  <c r="AN98" i="49"/>
  <c r="AM98" i="49"/>
  <c r="AL98" i="49"/>
  <c r="AK98" i="49"/>
  <c r="BF98" i="49" s="1"/>
  <c r="AO95" i="49"/>
  <c r="AN95" i="49"/>
  <c r="AM95" i="49"/>
  <c r="AL95" i="49"/>
  <c r="AK95" i="49"/>
  <c r="BF95" i="49" s="1"/>
  <c r="AO94" i="49"/>
  <c r="AN94" i="49"/>
  <c r="AM94" i="49"/>
  <c r="AL94" i="49"/>
  <c r="AK94" i="49"/>
  <c r="BF94" i="49" s="1"/>
  <c r="AP92" i="49"/>
  <c r="AO92" i="49"/>
  <c r="AN92" i="49"/>
  <c r="AM92" i="49"/>
  <c r="AL92" i="49"/>
  <c r="AK92" i="49"/>
  <c r="BF92" i="49" s="1"/>
  <c r="AP91" i="49"/>
  <c r="AO91" i="49"/>
  <c r="AN91" i="49"/>
  <c r="AM91" i="49"/>
  <c r="AL91" i="49"/>
  <c r="AK91" i="49"/>
  <c r="BF91" i="49" s="1"/>
  <c r="AP90" i="49"/>
  <c r="AO90" i="49"/>
  <c r="AN90" i="49"/>
  <c r="AM90" i="49"/>
  <c r="AL90" i="49"/>
  <c r="AK90" i="49"/>
  <c r="BF90" i="49" s="1"/>
  <c r="AP89" i="49"/>
  <c r="AO89" i="49"/>
  <c r="AN89" i="49"/>
  <c r="AM89" i="49"/>
  <c r="AL89" i="49"/>
  <c r="AK89" i="49"/>
  <c r="BF89" i="49" s="1"/>
  <c r="AP87" i="49"/>
  <c r="AO87" i="49"/>
  <c r="AN87" i="49"/>
  <c r="AM87" i="49"/>
  <c r="AL87" i="49"/>
  <c r="AK87" i="49"/>
  <c r="BF87" i="49" s="1"/>
  <c r="AP86" i="49"/>
  <c r="AO86" i="49"/>
  <c r="AN86" i="49"/>
  <c r="AM86" i="49"/>
  <c r="AL86" i="49"/>
  <c r="AK86" i="49"/>
  <c r="BF86" i="49" s="1"/>
  <c r="AP82" i="49"/>
  <c r="AO82" i="49"/>
  <c r="AN82" i="49"/>
  <c r="AM82" i="49"/>
  <c r="AL82" i="49"/>
  <c r="AK82" i="49"/>
  <c r="BF82" i="49" s="1"/>
  <c r="AP81" i="49"/>
  <c r="AO81" i="49"/>
  <c r="AN81" i="49"/>
  <c r="AM81" i="49"/>
  <c r="AL81" i="49"/>
  <c r="AK81" i="49"/>
  <c r="BF81" i="49" s="1"/>
  <c r="AP79" i="49"/>
  <c r="AO79" i="49"/>
  <c r="AN79" i="49"/>
  <c r="AM79" i="49"/>
  <c r="AL79" i="49"/>
  <c r="AK79" i="49"/>
  <c r="BF79" i="49" s="1"/>
  <c r="AP78" i="49"/>
  <c r="AO78" i="49"/>
  <c r="AN78" i="49"/>
  <c r="AM78" i="49"/>
  <c r="AL78" i="49"/>
  <c r="AK78" i="49"/>
  <c r="BF78" i="49" s="1"/>
  <c r="AP77" i="49"/>
  <c r="AO77" i="49"/>
  <c r="AN77" i="49"/>
  <c r="AM77" i="49"/>
  <c r="AL77" i="49"/>
  <c r="AK77" i="49"/>
  <c r="BF77" i="49" s="1"/>
  <c r="AP76" i="49"/>
  <c r="AO76" i="49"/>
  <c r="AN76" i="49"/>
  <c r="AM76" i="49"/>
  <c r="AL76" i="49"/>
  <c r="AK76" i="49"/>
  <c r="BF76" i="49" s="1"/>
  <c r="AP75" i="49"/>
  <c r="AO75" i="49"/>
  <c r="AN75" i="49"/>
  <c r="AM75" i="49"/>
  <c r="AL75" i="49"/>
  <c r="AK75" i="49"/>
  <c r="BF75" i="49" s="1"/>
  <c r="AP74" i="49"/>
  <c r="AO74" i="49"/>
  <c r="AN74" i="49"/>
  <c r="AM74" i="49"/>
  <c r="AL74" i="49"/>
  <c r="AK74" i="49"/>
  <c r="BF74" i="49" s="1"/>
  <c r="AP73" i="49"/>
  <c r="AO73" i="49"/>
  <c r="AN73" i="49"/>
  <c r="AM73" i="49"/>
  <c r="AL73" i="49"/>
  <c r="AK73" i="49"/>
  <c r="BF73" i="49" s="1"/>
  <c r="AV266" i="49"/>
  <c r="AU266" i="49"/>
  <c r="AT266" i="49"/>
  <c r="AS266" i="49"/>
  <c r="AR266" i="49"/>
  <c r="AV265" i="49"/>
  <c r="AU265" i="49"/>
  <c r="AT265" i="49"/>
  <c r="AS265" i="49"/>
  <c r="AR265" i="49"/>
  <c r="AQ265" i="49"/>
  <c r="BL265" i="49" s="1"/>
  <c r="AV264" i="49"/>
  <c r="AU264" i="49"/>
  <c r="AT264" i="49"/>
  <c r="AS264" i="49"/>
  <c r="AR264" i="49"/>
  <c r="AQ264" i="49"/>
  <c r="BL264" i="49" s="1"/>
  <c r="AV263" i="49"/>
  <c r="AU263" i="49"/>
  <c r="AT263" i="49"/>
  <c r="AS263" i="49"/>
  <c r="AR263" i="49"/>
  <c r="AQ263" i="49"/>
  <c r="BL263" i="49" s="1"/>
  <c r="AV262" i="49"/>
  <c r="AU262" i="49"/>
  <c r="AT262" i="49"/>
  <c r="AS262" i="49"/>
  <c r="AR262" i="49"/>
  <c r="AQ262" i="49"/>
  <c r="BL262" i="49" s="1"/>
  <c r="AV261" i="49"/>
  <c r="AU261" i="49"/>
  <c r="AT261" i="49"/>
  <c r="AS261" i="49"/>
  <c r="AR261" i="49"/>
  <c r="AQ261" i="49"/>
  <c r="BL261" i="49" s="1"/>
  <c r="AV260" i="49"/>
  <c r="AU260" i="49"/>
  <c r="AT260" i="49"/>
  <c r="AS260" i="49"/>
  <c r="AR260" i="49"/>
  <c r="AQ260" i="49"/>
  <c r="BL260" i="49" s="1"/>
  <c r="AV259" i="49"/>
  <c r="AU259" i="49"/>
  <c r="AT259" i="49"/>
  <c r="AS259" i="49"/>
  <c r="AR259" i="49"/>
  <c r="AV257" i="49"/>
  <c r="AU257" i="49"/>
  <c r="AT257" i="49"/>
  <c r="AS257" i="49"/>
  <c r="AR257" i="49"/>
  <c r="AQ257" i="49"/>
  <c r="BL257" i="49" s="1"/>
  <c r="AV256" i="49"/>
  <c r="AU256" i="49"/>
  <c r="AT256" i="49"/>
  <c r="AS256" i="49"/>
  <c r="AR256" i="49"/>
  <c r="AQ256" i="49"/>
  <c r="BL256" i="49" s="1"/>
  <c r="AV255" i="49"/>
  <c r="AU255" i="49"/>
  <c r="AT255" i="49"/>
  <c r="AS255" i="49"/>
  <c r="AR255" i="49"/>
  <c r="AV254" i="49"/>
  <c r="AU254" i="49"/>
  <c r="AT254" i="49"/>
  <c r="AS254" i="49"/>
  <c r="AR254" i="49"/>
  <c r="AQ254" i="49"/>
  <c r="BL254" i="49" s="1"/>
  <c r="AV253" i="49"/>
  <c r="AU253" i="49"/>
  <c r="AT253" i="49"/>
  <c r="AS253" i="49"/>
  <c r="AR253" i="49"/>
  <c r="AQ253" i="49"/>
  <c r="BL253" i="49" s="1"/>
  <c r="AV252" i="49"/>
  <c r="AU252" i="49"/>
  <c r="AT252" i="49"/>
  <c r="AS252" i="49"/>
  <c r="AR252" i="49"/>
  <c r="AQ252" i="49"/>
  <c r="BL252" i="49" s="1"/>
  <c r="AV251" i="49"/>
  <c r="AU251" i="49"/>
  <c r="AT251" i="49"/>
  <c r="AS251" i="49"/>
  <c r="AR251" i="49"/>
  <c r="AQ251" i="49"/>
  <c r="BL251" i="49" s="1"/>
  <c r="AV250" i="49"/>
  <c r="AU250" i="49"/>
  <c r="AT250" i="49"/>
  <c r="AS250" i="49"/>
  <c r="AR250" i="49"/>
  <c r="AQ250" i="49"/>
  <c r="BL250" i="49" s="1"/>
  <c r="AV249" i="49"/>
  <c r="AU249" i="49"/>
  <c r="AT249" i="49"/>
  <c r="AS249" i="49"/>
  <c r="AR249" i="49"/>
  <c r="AQ249" i="49"/>
  <c r="BL249" i="49" s="1"/>
  <c r="AV248" i="49"/>
  <c r="AU248" i="49"/>
  <c r="AT248" i="49"/>
  <c r="AS248" i="49"/>
  <c r="AR248" i="49"/>
  <c r="AQ248" i="49"/>
  <c r="BL248" i="49" s="1"/>
  <c r="AV247" i="49"/>
  <c r="AU247" i="49"/>
  <c r="AT247" i="49"/>
  <c r="AS247" i="49"/>
  <c r="AR247" i="49"/>
  <c r="AQ247" i="49"/>
  <c r="BL247" i="49" s="1"/>
  <c r="AV246" i="49"/>
  <c r="AU246" i="49"/>
  <c r="AT246" i="49"/>
  <c r="AS246" i="49"/>
  <c r="AR246" i="49"/>
  <c r="AQ246" i="49"/>
  <c r="BL246" i="49" s="1"/>
  <c r="AV245" i="49"/>
  <c r="AU245" i="49"/>
  <c r="AT245" i="49"/>
  <c r="AS245" i="49"/>
  <c r="AR245" i="49"/>
  <c r="AQ245" i="49"/>
  <c r="BL245" i="49" s="1"/>
  <c r="AU244" i="49"/>
  <c r="AT244" i="49"/>
  <c r="AS244" i="49"/>
  <c r="AR244" i="49"/>
  <c r="AV242" i="49"/>
  <c r="AU242" i="49"/>
  <c r="AT242" i="49"/>
  <c r="AS242" i="49"/>
  <c r="AR242" i="49"/>
  <c r="AQ242" i="49"/>
  <c r="BL242" i="49" s="1"/>
  <c r="AV241" i="49"/>
  <c r="AU241" i="49"/>
  <c r="AT241" i="49"/>
  <c r="AS241" i="49"/>
  <c r="AR241" i="49"/>
  <c r="AQ241" i="49"/>
  <c r="BL241" i="49" s="1"/>
  <c r="AV240" i="49"/>
  <c r="AU240" i="49"/>
  <c r="AT240" i="49"/>
  <c r="AS240" i="49"/>
  <c r="AR240" i="49"/>
  <c r="AV239" i="49"/>
  <c r="AU239" i="49"/>
  <c r="AT239" i="49"/>
  <c r="AS239" i="49"/>
  <c r="AR239" i="49"/>
  <c r="AQ239" i="49"/>
  <c r="BL239" i="49" s="1"/>
  <c r="AV238" i="49"/>
  <c r="AU238" i="49"/>
  <c r="AT238" i="49"/>
  <c r="AS238" i="49"/>
  <c r="AR238" i="49"/>
  <c r="AQ238" i="49"/>
  <c r="BL238" i="49" s="1"/>
  <c r="AV237" i="49"/>
  <c r="AU237" i="49"/>
  <c r="AT237" i="49"/>
  <c r="AS237" i="49"/>
  <c r="AR237" i="49"/>
  <c r="AQ237" i="49"/>
  <c r="BL237" i="49" s="1"/>
  <c r="AV236" i="49"/>
  <c r="AU236" i="49"/>
  <c r="AT236" i="49"/>
  <c r="AS236" i="49"/>
  <c r="AR236" i="49"/>
  <c r="AQ236" i="49"/>
  <c r="BL236" i="49" s="1"/>
  <c r="AV235" i="49"/>
  <c r="AU235" i="49"/>
  <c r="AT235" i="49"/>
  <c r="AS235" i="49"/>
  <c r="AR235" i="49"/>
  <c r="AQ235" i="49"/>
  <c r="BL235" i="49" s="1"/>
  <c r="AV234" i="49"/>
  <c r="AU234" i="49"/>
  <c r="AT234" i="49"/>
  <c r="AS234" i="49"/>
  <c r="AR234" i="49"/>
  <c r="AQ234" i="49"/>
  <c r="BL234" i="49" s="1"/>
  <c r="AV233" i="49"/>
  <c r="AU233" i="49"/>
  <c r="AT233" i="49"/>
  <c r="AS233" i="49"/>
  <c r="AR233" i="49"/>
  <c r="AQ233" i="49"/>
  <c r="BL233" i="49" s="1"/>
  <c r="AV232" i="49"/>
  <c r="AU232" i="49"/>
  <c r="AT232" i="49"/>
  <c r="AS232" i="49"/>
  <c r="AR232" i="49"/>
  <c r="AV231" i="49"/>
  <c r="AU231" i="49"/>
  <c r="AT231" i="49"/>
  <c r="AS231" i="49"/>
  <c r="AR231" i="49"/>
  <c r="AQ231" i="49"/>
  <c r="BL231" i="49" s="1"/>
  <c r="AV230" i="49"/>
  <c r="AU230" i="49"/>
  <c r="AT230" i="49"/>
  <c r="AS230" i="49"/>
  <c r="AR230" i="49"/>
  <c r="AV229" i="49"/>
  <c r="AU229" i="49"/>
  <c r="AT229" i="49"/>
  <c r="AS229" i="49"/>
  <c r="AR229" i="49"/>
  <c r="AQ229" i="49"/>
  <c r="BL229" i="49" s="1"/>
  <c r="AV228" i="49"/>
  <c r="AU228" i="49"/>
  <c r="AT228" i="49"/>
  <c r="AS228" i="49"/>
  <c r="AR228" i="49"/>
  <c r="AQ228" i="49"/>
  <c r="BL228" i="49" s="1"/>
  <c r="AV227" i="49"/>
  <c r="AU227" i="49"/>
  <c r="AT227" i="49"/>
  <c r="AS227" i="49"/>
  <c r="AR227" i="49"/>
  <c r="AV226" i="49"/>
  <c r="AU226" i="49"/>
  <c r="AT226" i="49"/>
  <c r="AS226" i="49"/>
  <c r="AR226" i="49"/>
  <c r="AQ226" i="49"/>
  <c r="BL226" i="49" s="1"/>
  <c r="AV225" i="49"/>
  <c r="AU225" i="49"/>
  <c r="AT225" i="49"/>
  <c r="AS225" i="49"/>
  <c r="AR225" i="49"/>
  <c r="AQ225" i="49"/>
  <c r="BL225" i="49" s="1"/>
  <c r="AV224" i="49"/>
  <c r="AU224" i="49"/>
  <c r="AT224" i="49"/>
  <c r="AS224" i="49"/>
  <c r="AR224" i="49"/>
  <c r="AQ224" i="49"/>
  <c r="BL224" i="49" s="1"/>
  <c r="AV223" i="49"/>
  <c r="AU223" i="49"/>
  <c r="AT223" i="49"/>
  <c r="AS223" i="49"/>
  <c r="AR223" i="49"/>
  <c r="AQ223" i="49"/>
  <c r="BL223" i="49" s="1"/>
  <c r="AV221" i="49"/>
  <c r="AU221" i="49"/>
  <c r="AT221" i="49"/>
  <c r="AS221" i="49"/>
  <c r="AR221" i="49"/>
  <c r="AQ221" i="49"/>
  <c r="BL221" i="49" s="1"/>
  <c r="AV220" i="49"/>
  <c r="AU220" i="49"/>
  <c r="AT220" i="49"/>
  <c r="AS220" i="49"/>
  <c r="AR220" i="49"/>
  <c r="AQ220" i="49"/>
  <c r="BL220" i="49" s="1"/>
  <c r="AV219" i="49"/>
  <c r="AU219" i="49"/>
  <c r="AT219" i="49"/>
  <c r="AS219" i="49"/>
  <c r="AR219" i="49"/>
  <c r="AQ219" i="49"/>
  <c r="BL219" i="49" s="1"/>
  <c r="AV218" i="49"/>
  <c r="AU218" i="49"/>
  <c r="AT218" i="49"/>
  <c r="AS218" i="49"/>
  <c r="AR218" i="49"/>
  <c r="AQ218" i="49"/>
  <c r="BL218" i="49" s="1"/>
  <c r="AV217" i="49"/>
  <c r="AU217" i="49"/>
  <c r="AT217" i="49"/>
  <c r="AS217" i="49"/>
  <c r="AR217" i="49"/>
  <c r="AQ217" i="49"/>
  <c r="BL217" i="49" s="1"/>
  <c r="AV216" i="49"/>
  <c r="AU216" i="49"/>
  <c r="AT216" i="49"/>
  <c r="AS216" i="49"/>
  <c r="AR216" i="49"/>
  <c r="AQ216" i="49"/>
  <c r="BL216" i="49" s="1"/>
  <c r="AV215" i="49"/>
  <c r="AU215" i="49"/>
  <c r="AT215" i="49"/>
  <c r="AS215" i="49"/>
  <c r="AR215" i="49"/>
  <c r="AQ215" i="49"/>
  <c r="BL215" i="49" s="1"/>
  <c r="AV214" i="49"/>
  <c r="AU214" i="49"/>
  <c r="AT214" i="49"/>
  <c r="AS214" i="49"/>
  <c r="AR214" i="49"/>
  <c r="AQ214" i="49"/>
  <c r="BL214" i="49" s="1"/>
  <c r="AV213" i="49"/>
  <c r="AU213" i="49"/>
  <c r="AT213" i="49"/>
  <c r="AS213" i="49"/>
  <c r="AR213" i="49"/>
  <c r="AQ213" i="49"/>
  <c r="BL213" i="49" s="1"/>
  <c r="AV212" i="49"/>
  <c r="AU212" i="49"/>
  <c r="AT212" i="49"/>
  <c r="AS212" i="49"/>
  <c r="AR212" i="49"/>
  <c r="AQ212" i="49"/>
  <c r="BL212" i="49" s="1"/>
  <c r="AV211" i="49"/>
  <c r="AU211" i="49"/>
  <c r="AT211" i="49"/>
  <c r="AS211" i="49"/>
  <c r="AR211" i="49"/>
  <c r="AQ211" i="49"/>
  <c r="BL211" i="49" s="1"/>
  <c r="AV210" i="49"/>
  <c r="AU210" i="49"/>
  <c r="AT210" i="49"/>
  <c r="AS210" i="49"/>
  <c r="AR210" i="49"/>
  <c r="AQ210" i="49"/>
  <c r="BL210" i="49" s="1"/>
  <c r="AV209" i="49"/>
  <c r="AU209" i="49"/>
  <c r="AT209" i="49"/>
  <c r="AS209" i="49"/>
  <c r="AR209" i="49"/>
  <c r="AQ209" i="49"/>
  <c r="BL209" i="49" s="1"/>
  <c r="AV208" i="49"/>
  <c r="AU208" i="49"/>
  <c r="AT208" i="49"/>
  <c r="AS208" i="49"/>
  <c r="AR208" i="49"/>
  <c r="AQ208" i="49"/>
  <c r="BL208" i="49" s="1"/>
  <c r="AV206" i="49"/>
  <c r="AU206" i="49"/>
  <c r="AT206" i="49"/>
  <c r="AS206" i="49"/>
  <c r="AR206" i="49"/>
  <c r="AQ206" i="49"/>
  <c r="BL206" i="49" s="1"/>
  <c r="AV205" i="49"/>
  <c r="AU205" i="49"/>
  <c r="AT205" i="49"/>
  <c r="AS205" i="49"/>
  <c r="AR205" i="49"/>
  <c r="AQ205" i="49"/>
  <c r="BL205" i="49" s="1"/>
  <c r="AV204" i="49"/>
  <c r="AU204" i="49"/>
  <c r="AT204" i="49"/>
  <c r="AS204" i="49"/>
  <c r="AR204" i="49"/>
  <c r="AQ204" i="49"/>
  <c r="BL204" i="49" s="1"/>
  <c r="AV203" i="49"/>
  <c r="AU203" i="49"/>
  <c r="AT203" i="49"/>
  <c r="AS203" i="49"/>
  <c r="AR203" i="49"/>
  <c r="AQ203" i="49"/>
  <c r="BL203" i="49" s="1"/>
  <c r="AV202" i="49"/>
  <c r="AU202" i="49"/>
  <c r="AT202" i="49"/>
  <c r="AS202" i="49"/>
  <c r="AR202" i="49"/>
  <c r="AQ202" i="49"/>
  <c r="BL202" i="49" s="1"/>
  <c r="AV201" i="49"/>
  <c r="AU201" i="49"/>
  <c r="AT201" i="49"/>
  <c r="AS201" i="49"/>
  <c r="AR201" i="49"/>
  <c r="AQ201" i="49"/>
  <c r="BL201" i="49" s="1"/>
  <c r="AV200" i="49"/>
  <c r="AU200" i="49"/>
  <c r="AT200" i="49"/>
  <c r="AS200" i="49"/>
  <c r="AR200" i="49"/>
  <c r="AQ200" i="49"/>
  <c r="BL200" i="49" s="1"/>
  <c r="AV199" i="49"/>
  <c r="AU199" i="49"/>
  <c r="AT199" i="49"/>
  <c r="AS199" i="49"/>
  <c r="AR199" i="49"/>
  <c r="AQ199" i="49"/>
  <c r="BL199" i="49" s="1"/>
  <c r="AV198" i="49"/>
  <c r="AU198" i="49"/>
  <c r="AT198" i="49"/>
  <c r="AS198" i="49"/>
  <c r="AR198" i="49"/>
  <c r="AQ198" i="49"/>
  <c r="BL198" i="49" s="1"/>
  <c r="AV197" i="49"/>
  <c r="AU197" i="49"/>
  <c r="AT197" i="49"/>
  <c r="AS197" i="49"/>
  <c r="AR197" i="49"/>
  <c r="AQ197" i="49"/>
  <c r="BL197" i="49" s="1"/>
  <c r="AV196" i="49"/>
  <c r="AU196" i="49"/>
  <c r="AT196" i="49"/>
  <c r="AS196" i="49"/>
  <c r="AR196" i="49"/>
  <c r="AQ196" i="49"/>
  <c r="BL196" i="49" s="1"/>
  <c r="AV192" i="49"/>
  <c r="AU192" i="49"/>
  <c r="AT192" i="49"/>
  <c r="AS192" i="49"/>
  <c r="AR192" i="49"/>
  <c r="AQ192" i="49"/>
  <c r="BL192" i="49" s="1"/>
  <c r="AV191" i="49"/>
  <c r="AU191" i="49"/>
  <c r="AT191" i="49"/>
  <c r="AS191" i="49"/>
  <c r="AR191" i="49"/>
  <c r="AQ191" i="49"/>
  <c r="BL191" i="49" s="1"/>
  <c r="AV189" i="49"/>
  <c r="AU189" i="49"/>
  <c r="AT189" i="49"/>
  <c r="AS189" i="49"/>
  <c r="AR189" i="49"/>
  <c r="AQ189" i="49"/>
  <c r="BL189" i="49" s="1"/>
  <c r="AV188" i="49"/>
  <c r="AU188" i="49"/>
  <c r="AT188" i="49"/>
  <c r="AS188" i="49"/>
  <c r="AR188" i="49"/>
  <c r="AQ188" i="49"/>
  <c r="BL188" i="49" s="1"/>
  <c r="AV187" i="49"/>
  <c r="AU187" i="49"/>
  <c r="AT187" i="49"/>
  <c r="AS187" i="49"/>
  <c r="AR187" i="49"/>
  <c r="AQ187" i="49"/>
  <c r="BL187" i="49" s="1"/>
  <c r="AV186" i="49"/>
  <c r="AU186" i="49"/>
  <c r="AT186" i="49"/>
  <c r="AS186" i="49"/>
  <c r="AR186" i="49"/>
  <c r="AQ186" i="49"/>
  <c r="BL186" i="49" s="1"/>
  <c r="AV185" i="49"/>
  <c r="AU185" i="49"/>
  <c r="AT185" i="49"/>
  <c r="AS185" i="49"/>
  <c r="AR185" i="49"/>
  <c r="AQ185" i="49"/>
  <c r="BL185" i="49" s="1"/>
  <c r="AV184" i="49"/>
  <c r="AU184" i="49"/>
  <c r="AT184" i="49"/>
  <c r="AS184" i="49"/>
  <c r="AR184" i="49"/>
  <c r="AQ184" i="49"/>
  <c r="BL184" i="49" s="1"/>
  <c r="AV183" i="49"/>
  <c r="AU183" i="49"/>
  <c r="AT183" i="49"/>
  <c r="AS183" i="49"/>
  <c r="AR183" i="49"/>
  <c r="AQ183" i="49"/>
  <c r="BL183" i="49" s="1"/>
  <c r="AV182" i="49"/>
  <c r="AU182" i="49"/>
  <c r="AT182" i="49"/>
  <c r="AS182" i="49"/>
  <c r="AR182" i="49"/>
  <c r="AQ182" i="49"/>
  <c r="BL182" i="49" s="1"/>
  <c r="AV181" i="49"/>
  <c r="AU181" i="49"/>
  <c r="AT181" i="49"/>
  <c r="AS181" i="49"/>
  <c r="AR181" i="49"/>
  <c r="AQ181" i="49"/>
  <c r="BL181" i="49" s="1"/>
  <c r="AV180" i="49"/>
  <c r="AU180" i="49"/>
  <c r="AT180" i="49"/>
  <c r="AS180" i="49"/>
  <c r="AR180" i="49"/>
  <c r="AQ180" i="49"/>
  <c r="BL180" i="49" s="1"/>
  <c r="AV179" i="49"/>
  <c r="AU179" i="49"/>
  <c r="AT179" i="49"/>
  <c r="AS179" i="49"/>
  <c r="AR179" i="49"/>
  <c r="AQ179" i="49"/>
  <c r="BL179" i="49" s="1"/>
  <c r="AV178" i="49"/>
  <c r="AU178" i="49"/>
  <c r="AT178" i="49"/>
  <c r="AS178" i="49"/>
  <c r="AR178" i="49"/>
  <c r="AQ178" i="49"/>
  <c r="BL178" i="49" s="1"/>
  <c r="AV177" i="49"/>
  <c r="AU177" i="49"/>
  <c r="AT177" i="49"/>
  <c r="AS177" i="49"/>
  <c r="AR177" i="49"/>
  <c r="AQ177" i="49"/>
  <c r="BL177" i="49" s="1"/>
  <c r="AV176" i="49"/>
  <c r="AU176" i="49"/>
  <c r="AT176" i="49"/>
  <c r="AS176" i="49"/>
  <c r="AR176" i="49"/>
  <c r="AV175" i="49"/>
  <c r="AU175" i="49"/>
  <c r="AT175" i="49"/>
  <c r="AS175" i="49"/>
  <c r="AR175" i="49"/>
  <c r="AQ175" i="49"/>
  <c r="BL175" i="49" s="1"/>
  <c r="AV174" i="49"/>
  <c r="AU174" i="49"/>
  <c r="AT174" i="49"/>
  <c r="AS174" i="49"/>
  <c r="AR174" i="49"/>
  <c r="AQ174" i="49"/>
  <c r="BL174" i="49" s="1"/>
  <c r="AV173" i="49"/>
  <c r="AU173" i="49"/>
  <c r="AT173" i="49"/>
  <c r="AS173" i="49"/>
  <c r="AR173" i="49"/>
  <c r="AQ173" i="49"/>
  <c r="BL173" i="49" s="1"/>
  <c r="AV171" i="49"/>
  <c r="AU171" i="49"/>
  <c r="AT171" i="49"/>
  <c r="AS171" i="49"/>
  <c r="AR171" i="49"/>
  <c r="AQ171" i="49"/>
  <c r="BL171" i="49" s="1"/>
  <c r="AV170" i="49"/>
  <c r="AU170" i="49"/>
  <c r="AT170" i="49"/>
  <c r="AS170" i="49"/>
  <c r="AR170" i="49"/>
  <c r="AQ170" i="49"/>
  <c r="BL170" i="49" s="1"/>
  <c r="AV169" i="49"/>
  <c r="AU169" i="49"/>
  <c r="AT169" i="49"/>
  <c r="AS169" i="49"/>
  <c r="AR169" i="49"/>
  <c r="AQ169" i="49"/>
  <c r="BL169" i="49" s="1"/>
  <c r="AV168" i="49"/>
  <c r="AU168" i="49"/>
  <c r="AT168" i="49"/>
  <c r="AS168" i="49"/>
  <c r="AR168" i="49"/>
  <c r="AQ168" i="49"/>
  <c r="BL168" i="49" s="1"/>
  <c r="AV167" i="49"/>
  <c r="AU167" i="49"/>
  <c r="AT167" i="49"/>
  <c r="AS167" i="49"/>
  <c r="AR167" i="49"/>
  <c r="AQ167" i="49"/>
  <c r="BL167" i="49" s="1"/>
  <c r="AV166" i="49"/>
  <c r="AU166" i="49"/>
  <c r="AT166" i="49"/>
  <c r="AS166" i="49"/>
  <c r="AR166" i="49"/>
  <c r="AQ166" i="49"/>
  <c r="BL166" i="49" s="1"/>
  <c r="AV165" i="49"/>
  <c r="AU165" i="49"/>
  <c r="AT165" i="49"/>
  <c r="AS165" i="49"/>
  <c r="AR165" i="49"/>
  <c r="AQ165" i="49"/>
  <c r="BL165" i="49" s="1"/>
  <c r="AV163" i="49"/>
  <c r="AU163" i="49"/>
  <c r="AT163" i="49"/>
  <c r="AS163" i="49"/>
  <c r="AR163" i="49"/>
  <c r="AQ163" i="49"/>
  <c r="BL163" i="49" s="1"/>
  <c r="AV162" i="49"/>
  <c r="AU162" i="49"/>
  <c r="AT162" i="49"/>
  <c r="AS162" i="49"/>
  <c r="AR162" i="49"/>
  <c r="AQ162" i="49"/>
  <c r="BL162" i="49" s="1"/>
  <c r="AV161" i="49"/>
  <c r="AU161" i="49"/>
  <c r="AT161" i="49"/>
  <c r="AS161" i="49"/>
  <c r="AR161" i="49"/>
  <c r="AQ161" i="49"/>
  <c r="BL161" i="49" s="1"/>
  <c r="AV160" i="49"/>
  <c r="AU160" i="49"/>
  <c r="AT160" i="49"/>
  <c r="AS160" i="49"/>
  <c r="AR160" i="49"/>
  <c r="AQ160" i="49"/>
  <c r="BL160" i="49" s="1"/>
  <c r="AV159" i="49"/>
  <c r="AU159" i="49"/>
  <c r="AT159" i="49"/>
  <c r="AS159" i="49"/>
  <c r="AR159" i="49"/>
  <c r="AV158" i="49"/>
  <c r="AU158" i="49"/>
  <c r="AT158" i="49"/>
  <c r="AS158" i="49"/>
  <c r="AR158" i="49"/>
  <c r="AQ158" i="49"/>
  <c r="BL158" i="49" s="1"/>
  <c r="AV157" i="49"/>
  <c r="AU157" i="49"/>
  <c r="AT157" i="49"/>
  <c r="AS157" i="49"/>
  <c r="AR157" i="49"/>
  <c r="AQ157" i="49"/>
  <c r="BL157" i="49" s="1"/>
  <c r="AV156" i="49"/>
  <c r="AU156" i="49"/>
  <c r="AT156" i="49"/>
  <c r="AS156" i="49"/>
  <c r="AR156" i="49"/>
  <c r="AQ156" i="49"/>
  <c r="BL156" i="49" s="1"/>
  <c r="AV155" i="49"/>
  <c r="AU155" i="49"/>
  <c r="AT155" i="49"/>
  <c r="AS155" i="49"/>
  <c r="AR155" i="49"/>
  <c r="AQ155" i="49"/>
  <c r="BL155" i="49" s="1"/>
  <c r="AV154" i="49"/>
  <c r="AU154" i="49"/>
  <c r="AT154" i="49"/>
  <c r="AS154" i="49"/>
  <c r="AR154" i="49"/>
  <c r="AV153" i="49"/>
  <c r="AU153" i="49"/>
  <c r="AT153" i="49"/>
  <c r="AS153" i="49"/>
  <c r="AR153" i="49"/>
  <c r="AV152" i="49"/>
  <c r="AU152" i="49"/>
  <c r="AT152" i="49"/>
  <c r="AS152" i="49"/>
  <c r="AR152" i="49"/>
  <c r="AQ152" i="49"/>
  <c r="BL152" i="49" s="1"/>
  <c r="AV151" i="49"/>
  <c r="AU151" i="49"/>
  <c r="AT151" i="49"/>
  <c r="AS151" i="49"/>
  <c r="AR151" i="49"/>
  <c r="AQ151" i="49"/>
  <c r="BL151" i="49" s="1"/>
  <c r="AV150" i="49"/>
  <c r="AU150" i="49"/>
  <c r="AT150" i="49"/>
  <c r="AS150" i="49"/>
  <c r="AR150" i="49"/>
  <c r="AQ150" i="49"/>
  <c r="BL150" i="49" s="1"/>
  <c r="AV149" i="49"/>
  <c r="AU149" i="49"/>
  <c r="AT149" i="49"/>
  <c r="AS149" i="49"/>
  <c r="AR149" i="49"/>
  <c r="AQ149" i="49"/>
  <c r="BL149" i="49" s="1"/>
  <c r="AV148" i="49"/>
  <c r="AU148" i="49"/>
  <c r="AT148" i="49"/>
  <c r="AS148" i="49"/>
  <c r="AR148" i="49"/>
  <c r="AQ148" i="49"/>
  <c r="BL148" i="49" s="1"/>
  <c r="AU147" i="49"/>
  <c r="AT147" i="49"/>
  <c r="AS147" i="49"/>
  <c r="AR147" i="49"/>
  <c r="AU146" i="49"/>
  <c r="AT146" i="49"/>
  <c r="AS146" i="49"/>
  <c r="AR146" i="49"/>
  <c r="AQ146" i="49"/>
  <c r="BL146" i="49" s="1"/>
  <c r="AU145" i="49"/>
  <c r="AT145" i="49"/>
  <c r="AS145" i="49"/>
  <c r="AR145" i="49"/>
  <c r="AQ145" i="49"/>
  <c r="BL145" i="49" s="1"/>
  <c r="AU144" i="49"/>
  <c r="AT144" i="49"/>
  <c r="AS144" i="49"/>
  <c r="AR144" i="49"/>
  <c r="AQ144" i="49"/>
  <c r="BL144" i="49" s="1"/>
  <c r="AU143" i="49"/>
  <c r="AT143" i="49"/>
  <c r="AS143" i="49"/>
  <c r="AR143" i="49"/>
  <c r="AQ143" i="49"/>
  <c r="BL143" i="49" s="1"/>
  <c r="AU142" i="49"/>
  <c r="AT142" i="49"/>
  <c r="AS142" i="49"/>
  <c r="AR142" i="49"/>
  <c r="AQ142" i="49"/>
  <c r="BL142" i="49" s="1"/>
  <c r="AV141" i="49"/>
  <c r="AU141" i="49"/>
  <c r="AT141" i="49"/>
  <c r="AS141" i="49"/>
  <c r="AR141" i="49"/>
  <c r="AQ141" i="49"/>
  <c r="BL141" i="49" s="1"/>
  <c r="AV140" i="49"/>
  <c r="AU140" i="49"/>
  <c r="AT140" i="49"/>
  <c r="AS140" i="49"/>
  <c r="AR140" i="49"/>
  <c r="AQ140" i="49"/>
  <c r="BL140" i="49" s="1"/>
  <c r="AU139" i="49"/>
  <c r="AT139" i="49"/>
  <c r="AS139" i="49"/>
  <c r="AR139" i="49"/>
  <c r="AQ139" i="49"/>
  <c r="BL139" i="49" s="1"/>
  <c r="AV138" i="49"/>
  <c r="AU138" i="49"/>
  <c r="AT138" i="49"/>
  <c r="AS138" i="49"/>
  <c r="AR138" i="49"/>
  <c r="AQ138" i="49"/>
  <c r="BL138" i="49" s="1"/>
  <c r="AV137" i="49"/>
  <c r="AU137" i="49"/>
  <c r="AT137" i="49"/>
  <c r="AS137" i="49"/>
  <c r="AR137" i="49"/>
  <c r="AQ137" i="49"/>
  <c r="BL137" i="49" s="1"/>
  <c r="AV136" i="49"/>
  <c r="AU136" i="49"/>
  <c r="AT136" i="49"/>
  <c r="AS136" i="49"/>
  <c r="AR136" i="49"/>
  <c r="AQ136" i="49"/>
  <c r="BL136" i="49" s="1"/>
  <c r="AV135" i="49"/>
  <c r="AU135" i="49"/>
  <c r="AT135" i="49"/>
  <c r="AS135" i="49"/>
  <c r="AR135" i="49"/>
  <c r="AQ135" i="49"/>
  <c r="BL135" i="49" s="1"/>
  <c r="AV134" i="49"/>
  <c r="AU134" i="49"/>
  <c r="AT134" i="49"/>
  <c r="AS134" i="49"/>
  <c r="AR134" i="49"/>
  <c r="AQ134" i="49"/>
  <c r="BL134" i="49" s="1"/>
  <c r="AV133" i="49"/>
  <c r="AU133" i="49"/>
  <c r="AT133" i="49"/>
  <c r="AS133" i="49"/>
  <c r="AR133" i="49"/>
  <c r="AQ133" i="49"/>
  <c r="BL133" i="49" s="1"/>
  <c r="AV132" i="49"/>
  <c r="AU132" i="49"/>
  <c r="AT132" i="49"/>
  <c r="AS132" i="49"/>
  <c r="AR132" i="49"/>
  <c r="AQ132" i="49"/>
  <c r="BL132" i="49" s="1"/>
  <c r="AV131" i="49"/>
  <c r="AU131" i="49"/>
  <c r="AT131" i="49"/>
  <c r="AS131" i="49"/>
  <c r="AR131" i="49"/>
  <c r="AQ131" i="49"/>
  <c r="BL131" i="49" s="1"/>
  <c r="AV130" i="49"/>
  <c r="AU130" i="49"/>
  <c r="AT130" i="49"/>
  <c r="AS130" i="49"/>
  <c r="AR130" i="49"/>
  <c r="AQ130" i="49"/>
  <c r="BL130" i="49" s="1"/>
  <c r="AV129" i="49"/>
  <c r="AU129" i="49"/>
  <c r="AT129" i="49"/>
  <c r="AS129" i="49"/>
  <c r="AR129" i="49"/>
  <c r="AQ129" i="49"/>
  <c r="BL129" i="49" s="1"/>
  <c r="AV127" i="49"/>
  <c r="AU127" i="49"/>
  <c r="AT127" i="49"/>
  <c r="AS127" i="49"/>
  <c r="AR127" i="49"/>
  <c r="AQ127" i="49"/>
  <c r="BL127" i="49" s="1"/>
  <c r="AV126" i="49"/>
  <c r="AU126" i="49"/>
  <c r="AT126" i="49"/>
  <c r="AS126" i="49"/>
  <c r="AR126" i="49"/>
  <c r="AQ126" i="49"/>
  <c r="BL126" i="49" s="1"/>
  <c r="AV125" i="49"/>
  <c r="AU125" i="49"/>
  <c r="AT125" i="49"/>
  <c r="AS125" i="49"/>
  <c r="AR125" i="49"/>
  <c r="AQ125" i="49"/>
  <c r="BL125" i="49" s="1"/>
  <c r="AU124" i="49"/>
  <c r="AT124" i="49"/>
  <c r="AS124" i="49"/>
  <c r="AR124" i="49"/>
  <c r="AQ124" i="49"/>
  <c r="BL124" i="49" s="1"/>
  <c r="AV123" i="49"/>
  <c r="AU123" i="49"/>
  <c r="AT123" i="49"/>
  <c r="AS123" i="49"/>
  <c r="AR123" i="49"/>
  <c r="AQ123" i="49"/>
  <c r="BL123" i="49" s="1"/>
  <c r="AV122" i="49"/>
  <c r="AU122" i="49"/>
  <c r="AT122" i="49"/>
  <c r="AS122" i="49"/>
  <c r="AR122" i="49"/>
  <c r="AQ122" i="49"/>
  <c r="BL122" i="49" s="1"/>
  <c r="AV121" i="49"/>
  <c r="AU121" i="49"/>
  <c r="AT121" i="49"/>
  <c r="AS121" i="49"/>
  <c r="AR121" i="49"/>
  <c r="AQ121" i="49"/>
  <c r="BL121" i="49" s="1"/>
  <c r="AV120" i="49"/>
  <c r="AU120" i="49"/>
  <c r="AT120" i="49"/>
  <c r="AS120" i="49"/>
  <c r="AR120" i="49"/>
  <c r="AQ120" i="49"/>
  <c r="BL120" i="49" s="1"/>
  <c r="AV118" i="49"/>
  <c r="AU118" i="49"/>
  <c r="AT118" i="49"/>
  <c r="AS118" i="49"/>
  <c r="AR118" i="49"/>
  <c r="AQ118" i="49"/>
  <c r="BL118" i="49" s="1"/>
  <c r="AV117" i="49"/>
  <c r="AU117" i="49"/>
  <c r="AT117" i="49"/>
  <c r="AS117" i="49"/>
  <c r="AR117" i="49"/>
  <c r="AQ117" i="49"/>
  <c r="BL117" i="49" s="1"/>
  <c r="AV116" i="49"/>
  <c r="AU116" i="49"/>
  <c r="AT116" i="49"/>
  <c r="AS116" i="49"/>
  <c r="AR116" i="49"/>
  <c r="AQ116" i="49"/>
  <c r="BL116" i="49" s="1"/>
  <c r="AV115" i="49"/>
  <c r="AU115" i="49"/>
  <c r="AT115" i="49"/>
  <c r="AS115" i="49"/>
  <c r="AR115" i="49"/>
  <c r="AQ115" i="49"/>
  <c r="BL115" i="49" s="1"/>
  <c r="AV114" i="49"/>
  <c r="AU114" i="49"/>
  <c r="AT114" i="49"/>
  <c r="AS114" i="49"/>
  <c r="AR114" i="49"/>
  <c r="AQ114" i="49"/>
  <c r="BL114" i="49" s="1"/>
  <c r="AV113" i="49"/>
  <c r="AU113" i="49"/>
  <c r="AT113" i="49"/>
  <c r="AS113" i="49"/>
  <c r="AR113" i="49"/>
  <c r="AQ113" i="49"/>
  <c r="BL113" i="49" s="1"/>
  <c r="AV112" i="49"/>
  <c r="AU112" i="49"/>
  <c r="AT112" i="49"/>
  <c r="AS112" i="49"/>
  <c r="AR112" i="49"/>
  <c r="AQ112" i="49"/>
  <c r="BL112" i="49" s="1"/>
  <c r="AV111" i="49"/>
  <c r="AU111" i="49"/>
  <c r="AT111" i="49"/>
  <c r="AS111" i="49"/>
  <c r="AR111" i="49"/>
  <c r="AQ111" i="49"/>
  <c r="BL111" i="49" s="1"/>
  <c r="AV110" i="49"/>
  <c r="AU110" i="49"/>
  <c r="AT110" i="49"/>
  <c r="AS110" i="49"/>
  <c r="AR110" i="49"/>
  <c r="AQ110" i="49"/>
  <c r="BL110" i="49" s="1"/>
  <c r="AV109" i="49"/>
  <c r="AU109" i="49"/>
  <c r="AT109" i="49"/>
  <c r="AS109" i="49"/>
  <c r="AR109" i="49"/>
  <c r="AQ109" i="49"/>
  <c r="BL109" i="49" s="1"/>
  <c r="AV108" i="49"/>
  <c r="AU108" i="49"/>
  <c r="AT108" i="49"/>
  <c r="AS108" i="49"/>
  <c r="AR108" i="49"/>
  <c r="AQ108" i="49"/>
  <c r="BL108" i="49" s="1"/>
  <c r="AV107" i="49"/>
  <c r="AU107" i="49"/>
  <c r="AT107" i="49"/>
  <c r="AS107" i="49"/>
  <c r="AR107" i="49"/>
  <c r="AQ107" i="49"/>
  <c r="BL107" i="49" s="1"/>
  <c r="AV106" i="49"/>
  <c r="AU106" i="49"/>
  <c r="AT106" i="49"/>
  <c r="AS106" i="49"/>
  <c r="AR106" i="49"/>
  <c r="AQ106" i="49"/>
  <c r="BL106" i="49" s="1"/>
  <c r="AV105" i="49"/>
  <c r="AU105" i="49"/>
  <c r="AT105" i="49"/>
  <c r="AS105" i="49"/>
  <c r="AR105" i="49"/>
  <c r="AQ105" i="49"/>
  <c r="BL105" i="49" s="1"/>
  <c r="AV104" i="49"/>
  <c r="AU104" i="49"/>
  <c r="AT104" i="49"/>
  <c r="AS104" i="49"/>
  <c r="AR104" i="49"/>
  <c r="AQ104" i="49"/>
  <c r="BL104" i="49" s="1"/>
  <c r="AV103" i="49"/>
  <c r="AU103" i="49"/>
  <c r="AT103" i="49"/>
  <c r="AS103" i="49"/>
  <c r="AR103" i="49"/>
  <c r="AQ103" i="49"/>
  <c r="BL103" i="49" s="1"/>
  <c r="AV102" i="49"/>
  <c r="AU102" i="49"/>
  <c r="AT102" i="49"/>
  <c r="AS102" i="49"/>
  <c r="AR102" i="49"/>
  <c r="AQ102" i="49"/>
  <c r="BL102" i="49" s="1"/>
  <c r="AV101" i="49"/>
  <c r="AU101" i="49"/>
  <c r="AT101" i="49"/>
  <c r="AS101" i="49"/>
  <c r="AR101" i="49"/>
  <c r="AQ101" i="49"/>
  <c r="BL101" i="49" s="1"/>
  <c r="AV100" i="49"/>
  <c r="AU100" i="49"/>
  <c r="AT100" i="49"/>
  <c r="AS100" i="49"/>
  <c r="AR100" i="49"/>
  <c r="AQ100" i="49"/>
  <c r="BL100" i="49" s="1"/>
  <c r="AV99" i="49"/>
  <c r="AU99" i="49"/>
  <c r="AT99" i="49"/>
  <c r="AS99" i="49"/>
  <c r="AR99" i="49"/>
  <c r="AQ99" i="49"/>
  <c r="BL99" i="49" s="1"/>
  <c r="AV98" i="49"/>
  <c r="AU98" i="49"/>
  <c r="AT98" i="49"/>
  <c r="AS98" i="49"/>
  <c r="AR98" i="49"/>
  <c r="AQ98" i="49"/>
  <c r="BL98" i="49" s="1"/>
  <c r="AV97" i="49"/>
  <c r="AU97" i="49"/>
  <c r="AT97" i="49"/>
  <c r="AS97" i="49"/>
  <c r="AR97" i="49"/>
  <c r="AV96" i="49"/>
  <c r="AU96" i="49"/>
  <c r="AT96" i="49"/>
  <c r="AS96" i="49"/>
  <c r="AR96" i="49"/>
  <c r="AQ96" i="49"/>
  <c r="BL96" i="49" s="1"/>
  <c r="AU95" i="49"/>
  <c r="AT95" i="49"/>
  <c r="AS95" i="49"/>
  <c r="AR95" i="49"/>
  <c r="AQ95" i="49"/>
  <c r="BL95" i="49" s="1"/>
  <c r="AU94" i="49"/>
  <c r="AT94" i="49"/>
  <c r="AS94" i="49"/>
  <c r="AR94" i="49"/>
  <c r="AQ94" i="49"/>
  <c r="BL94" i="49" s="1"/>
  <c r="AU93" i="49"/>
  <c r="AT93" i="49"/>
  <c r="AS93" i="49"/>
  <c r="AR93" i="49"/>
  <c r="AQ93" i="49"/>
  <c r="BL93" i="49" s="1"/>
  <c r="AV92" i="49"/>
  <c r="AU92" i="49"/>
  <c r="AT92" i="49"/>
  <c r="AS92" i="49"/>
  <c r="AR92" i="49"/>
  <c r="AQ92" i="49"/>
  <c r="BL92" i="49" s="1"/>
  <c r="AV91" i="49"/>
  <c r="AU91" i="49"/>
  <c r="AT91" i="49"/>
  <c r="AS91" i="49"/>
  <c r="AR91" i="49"/>
  <c r="AQ91" i="49"/>
  <c r="BL91" i="49" s="1"/>
  <c r="AV90" i="49"/>
  <c r="AU90" i="49"/>
  <c r="AT90" i="49"/>
  <c r="AS90" i="49"/>
  <c r="AR90" i="49"/>
  <c r="AQ90" i="49"/>
  <c r="BL90" i="49" s="1"/>
  <c r="AV87" i="49"/>
  <c r="AU87" i="49"/>
  <c r="AT87" i="49"/>
  <c r="AS87" i="49"/>
  <c r="AR87" i="49"/>
  <c r="AQ87" i="49"/>
  <c r="BL87" i="49" s="1"/>
  <c r="AV86" i="49"/>
  <c r="AU86" i="49"/>
  <c r="AT86" i="49"/>
  <c r="AS86" i="49"/>
  <c r="AR86" i="49"/>
  <c r="AQ86" i="49"/>
  <c r="BL86" i="49" s="1"/>
  <c r="AV84" i="49"/>
  <c r="AU84" i="49"/>
  <c r="AT84" i="49"/>
  <c r="AS84" i="49"/>
  <c r="AR84" i="49"/>
  <c r="AV83" i="49"/>
  <c r="AU83" i="49"/>
  <c r="AT83" i="49"/>
  <c r="AS83" i="49"/>
  <c r="AR83" i="49"/>
  <c r="AV82" i="49"/>
  <c r="AU82" i="49"/>
  <c r="AT82" i="49"/>
  <c r="AS82" i="49"/>
  <c r="AR82" i="49"/>
  <c r="AQ82" i="49"/>
  <c r="BL82" i="49" s="1"/>
  <c r="AV81" i="49"/>
  <c r="AU81" i="49"/>
  <c r="AT81" i="49"/>
  <c r="AS81" i="49"/>
  <c r="AR81" i="49"/>
  <c r="AQ81" i="49"/>
  <c r="BL81" i="49" s="1"/>
  <c r="AV79" i="49"/>
  <c r="AU79" i="49"/>
  <c r="AT79" i="49"/>
  <c r="AS79" i="49"/>
  <c r="AR79" i="49"/>
  <c r="AQ79" i="49"/>
  <c r="BL79" i="49" s="1"/>
  <c r="AV78" i="49"/>
  <c r="AU78" i="49"/>
  <c r="AT78" i="49"/>
  <c r="AS78" i="49"/>
  <c r="AR78" i="49"/>
  <c r="AQ78" i="49"/>
  <c r="BL78" i="49" s="1"/>
  <c r="AV77" i="49"/>
  <c r="AU77" i="49"/>
  <c r="AT77" i="49"/>
  <c r="AS77" i="49"/>
  <c r="AR77" i="49"/>
  <c r="AQ77" i="49"/>
  <c r="BL77" i="49" s="1"/>
  <c r="AV76" i="49"/>
  <c r="AU76" i="49"/>
  <c r="AT76" i="49"/>
  <c r="AS76" i="49"/>
  <c r="AR76" i="49"/>
  <c r="AQ76" i="49"/>
  <c r="BL76" i="49" s="1"/>
  <c r="AU75" i="49"/>
  <c r="AT75" i="49"/>
  <c r="AS75" i="49"/>
  <c r="AR75" i="49"/>
  <c r="AQ75" i="49"/>
  <c r="BL75" i="49" s="1"/>
  <c r="AU74" i="49"/>
  <c r="AT74" i="49"/>
  <c r="AS74" i="49"/>
  <c r="AR74" i="49"/>
  <c r="AU73" i="49"/>
  <c r="AT73" i="49"/>
  <c r="AS73" i="49"/>
  <c r="AR73" i="49"/>
  <c r="AQ68" i="49"/>
  <c r="BL68" i="49" s="1"/>
  <c r="AR68" i="49"/>
  <c r="AS68" i="49"/>
  <c r="AT68" i="49"/>
  <c r="AU68" i="49"/>
  <c r="AV68" i="49"/>
  <c r="AQ69" i="49"/>
  <c r="BL69" i="49" s="1"/>
  <c r="AR69" i="49"/>
  <c r="AS69" i="49"/>
  <c r="AT69" i="49"/>
  <c r="AU69" i="49"/>
  <c r="AV69" i="49"/>
  <c r="AQ70" i="49"/>
  <c r="BL70" i="49" s="1"/>
  <c r="AR70" i="49"/>
  <c r="AS70" i="49"/>
  <c r="AT70" i="49"/>
  <c r="AU70" i="49"/>
  <c r="AV70" i="49"/>
  <c r="AQ71" i="49"/>
  <c r="BL71" i="49" s="1"/>
  <c r="AR71" i="49"/>
  <c r="AS71" i="49"/>
  <c r="AT71" i="49"/>
  <c r="AU71" i="49"/>
  <c r="AV71" i="49"/>
  <c r="AU65" i="49"/>
  <c r="AT65" i="49"/>
  <c r="AS65" i="49"/>
  <c r="AR65" i="49"/>
  <c r="AQ65" i="49"/>
  <c r="BL65" i="49" s="1"/>
  <c r="AU64" i="49"/>
  <c r="AT64" i="49"/>
  <c r="AS64" i="49"/>
  <c r="AR64" i="49"/>
  <c r="AQ64" i="49"/>
  <c r="BL64" i="49" s="1"/>
  <c r="AU63" i="49"/>
  <c r="AT63" i="49"/>
  <c r="AS63" i="49"/>
  <c r="AR63" i="49"/>
  <c r="AQ63" i="49"/>
  <c r="BL63" i="49" s="1"/>
  <c r="AU62" i="49"/>
  <c r="AT62" i="49"/>
  <c r="AS62" i="49"/>
  <c r="AR62" i="49"/>
  <c r="AQ62" i="49"/>
  <c r="BL62" i="49" s="1"/>
  <c r="AU61" i="49"/>
  <c r="AT61" i="49"/>
  <c r="AS61" i="49"/>
  <c r="AR61" i="49"/>
  <c r="AQ61" i="49"/>
  <c r="BL61" i="49" s="1"/>
  <c r="AU60" i="49"/>
  <c r="AT60" i="49"/>
  <c r="AS60" i="49"/>
  <c r="AR60" i="49"/>
  <c r="AQ60" i="49"/>
  <c r="BL60" i="49" s="1"/>
  <c r="AU57" i="49"/>
  <c r="AT57" i="49"/>
  <c r="AS57" i="49"/>
  <c r="AR57" i="49"/>
  <c r="AQ57" i="49"/>
  <c r="BL57" i="49" s="1"/>
  <c r="AU56" i="49"/>
  <c r="AT56" i="49"/>
  <c r="AS56" i="49"/>
  <c r="AR56" i="49"/>
  <c r="AQ56" i="49"/>
  <c r="BL56" i="49" s="1"/>
  <c r="AU55" i="49"/>
  <c r="AT55" i="49"/>
  <c r="AS55" i="49"/>
  <c r="AR55" i="49"/>
  <c r="AU54" i="49"/>
  <c r="AT54" i="49"/>
  <c r="AS54" i="49"/>
  <c r="AR54" i="49"/>
  <c r="AQ54" i="49"/>
  <c r="BL54" i="49" s="1"/>
  <c r="AU52" i="49"/>
  <c r="AT52" i="49"/>
  <c r="AS52" i="49"/>
  <c r="AR52" i="49"/>
  <c r="AQ52" i="49"/>
  <c r="BL52" i="49" s="1"/>
  <c r="AU51" i="49"/>
  <c r="AT51" i="49"/>
  <c r="AS51" i="49"/>
  <c r="AR51" i="49"/>
  <c r="AQ51" i="49"/>
  <c r="BL51" i="49" s="1"/>
  <c r="AU50" i="49"/>
  <c r="AT50" i="49"/>
  <c r="AS50" i="49"/>
  <c r="AR50" i="49"/>
  <c r="AQ50" i="49"/>
  <c r="BL50" i="49" s="1"/>
  <c r="AU49" i="49"/>
  <c r="AT49" i="49"/>
  <c r="AS49" i="49"/>
  <c r="AR49" i="49"/>
  <c r="AU48" i="49"/>
  <c r="AT48" i="49"/>
  <c r="AS48" i="49"/>
  <c r="AR48" i="49"/>
  <c r="AQ48" i="49"/>
  <c r="BL48" i="49" s="1"/>
  <c r="AU47" i="49"/>
  <c r="AT47" i="49"/>
  <c r="AS47" i="49"/>
  <c r="AR47" i="49"/>
  <c r="AQ47" i="49"/>
  <c r="BL47" i="49" s="1"/>
  <c r="AU46" i="49"/>
  <c r="AT46" i="49"/>
  <c r="AS46" i="49"/>
  <c r="AR46" i="49"/>
  <c r="AQ46" i="49"/>
  <c r="BL46" i="49" s="1"/>
  <c r="AU45" i="49"/>
  <c r="AT45" i="49"/>
  <c r="AS45" i="49"/>
  <c r="AR45" i="49"/>
  <c r="AQ45" i="49"/>
  <c r="BL45" i="49" s="1"/>
  <c r="AU44" i="49"/>
  <c r="AT44" i="49"/>
  <c r="AS44" i="49"/>
  <c r="AR44" i="49"/>
  <c r="AQ44" i="49"/>
  <c r="BL44" i="49" s="1"/>
  <c r="AU43" i="49"/>
  <c r="AT43" i="49"/>
  <c r="AS43" i="49"/>
  <c r="AR43" i="49"/>
  <c r="AQ43" i="49"/>
  <c r="BL43" i="49" s="1"/>
  <c r="AU40" i="49"/>
  <c r="AT40" i="49"/>
  <c r="AS40" i="49"/>
  <c r="AR40" i="49"/>
  <c r="AQ40" i="49"/>
  <c r="BL40" i="49" s="1"/>
  <c r="AU38" i="49"/>
  <c r="AT38" i="49"/>
  <c r="AS38" i="49"/>
  <c r="AR38" i="49"/>
  <c r="AQ38" i="49"/>
  <c r="BL38" i="49" s="1"/>
  <c r="AU37" i="49"/>
  <c r="AT37" i="49"/>
  <c r="AS37" i="49"/>
  <c r="AR37" i="49"/>
  <c r="AQ37" i="49"/>
  <c r="BL37" i="49" s="1"/>
  <c r="AU36" i="49"/>
  <c r="AT36" i="49"/>
  <c r="AS36" i="49"/>
  <c r="AR36" i="49"/>
  <c r="AQ36" i="49"/>
  <c r="BL36" i="49" s="1"/>
  <c r="AU35" i="49"/>
  <c r="AT35" i="49"/>
  <c r="AS35" i="49"/>
  <c r="AR35" i="49"/>
  <c r="AQ35" i="49"/>
  <c r="BL35" i="49" s="1"/>
  <c r="AU34" i="49"/>
  <c r="AT34" i="49"/>
  <c r="AS34" i="49"/>
  <c r="AR34" i="49"/>
  <c r="AQ34" i="49"/>
  <c r="BL34" i="49" s="1"/>
  <c r="AU32" i="49"/>
  <c r="AT32" i="49"/>
  <c r="AS32" i="49"/>
  <c r="AR32" i="49"/>
  <c r="AQ32" i="49"/>
  <c r="BL32" i="49" s="1"/>
  <c r="AU31" i="49"/>
  <c r="AT31" i="49"/>
  <c r="AS31" i="49"/>
  <c r="AR31" i="49"/>
  <c r="AQ31" i="49"/>
  <c r="BL31" i="49" s="1"/>
  <c r="AU30" i="49"/>
  <c r="AT30" i="49"/>
  <c r="AS30" i="49"/>
  <c r="AR30" i="49"/>
  <c r="AQ30" i="49"/>
  <c r="BL30" i="49" s="1"/>
  <c r="AU29" i="49"/>
  <c r="AT29" i="49"/>
  <c r="AS29" i="49"/>
  <c r="AR29" i="49"/>
  <c r="AQ29" i="49"/>
  <c r="BL29" i="49" s="1"/>
  <c r="AU27" i="49"/>
  <c r="AT27" i="49"/>
  <c r="AS27" i="49"/>
  <c r="AR27" i="49"/>
  <c r="AQ27" i="49"/>
  <c r="BL27" i="49" s="1"/>
  <c r="AU22" i="49"/>
  <c r="AT22" i="49"/>
  <c r="AS22" i="49"/>
  <c r="AR22" i="49"/>
  <c r="AQ22" i="49"/>
  <c r="BL22" i="49" s="1"/>
  <c r="AU21" i="49"/>
  <c r="AT21" i="49"/>
  <c r="AS21" i="49"/>
  <c r="AR21" i="49"/>
  <c r="AQ21" i="49"/>
  <c r="BL21" i="49" s="1"/>
  <c r="AU20" i="49"/>
  <c r="AT20" i="49"/>
  <c r="AS20" i="49"/>
  <c r="AR20" i="49"/>
  <c r="AQ20" i="49"/>
  <c r="BL20" i="49" s="1"/>
  <c r="AU19" i="49"/>
  <c r="AT19" i="49"/>
  <c r="AS19" i="49"/>
  <c r="AR19" i="49"/>
  <c r="AQ19" i="49"/>
  <c r="BL19" i="49" s="1"/>
  <c r="AU15" i="49"/>
  <c r="AT15" i="49"/>
  <c r="AS15" i="49"/>
  <c r="AR15" i="49"/>
  <c r="AQ15" i="49"/>
  <c r="BL15" i="49" s="1"/>
  <c r="AU14" i="49"/>
  <c r="AT14" i="49"/>
  <c r="AS14" i="49"/>
  <c r="AR14" i="49"/>
  <c r="AQ14" i="49"/>
  <c r="BL14" i="49" s="1"/>
  <c r="AU13" i="49"/>
  <c r="AT13" i="49"/>
  <c r="AS13" i="49"/>
  <c r="AR13" i="49"/>
  <c r="AU41" i="49"/>
  <c r="AT41" i="49"/>
  <c r="AS41" i="49"/>
  <c r="AR41" i="49"/>
  <c r="AQ41" i="49"/>
  <c r="BL41" i="49" s="1"/>
  <c r="AP15" i="49"/>
  <c r="AO15" i="49"/>
  <c r="AN15" i="49"/>
  <c r="AM15" i="49"/>
  <c r="AL15" i="49"/>
  <c r="AK15" i="49"/>
  <c r="BF15" i="49" s="1"/>
  <c r="AP14" i="49"/>
  <c r="AO14" i="49"/>
  <c r="AN14" i="49"/>
  <c r="AM14" i="49"/>
  <c r="AL14" i="49"/>
  <c r="AK14" i="49"/>
  <c r="BF14" i="49" s="1"/>
  <c r="AP22" i="49"/>
  <c r="AO22" i="49"/>
  <c r="AN22" i="49"/>
  <c r="AM22" i="49"/>
  <c r="AL22" i="49"/>
  <c r="AK22" i="49"/>
  <c r="BF22" i="49" s="1"/>
  <c r="AP21" i="49"/>
  <c r="AO21" i="49"/>
  <c r="AN21" i="49"/>
  <c r="AM21" i="49"/>
  <c r="AL21" i="49"/>
  <c r="AK21" i="49"/>
  <c r="BF21" i="49" s="1"/>
  <c r="AP20" i="49"/>
  <c r="AO20" i="49"/>
  <c r="AN20" i="49"/>
  <c r="AM20" i="49"/>
  <c r="AL20" i="49"/>
  <c r="AK20" i="49"/>
  <c r="BF20" i="49" s="1"/>
  <c r="AP19" i="49"/>
  <c r="AO19" i="49"/>
  <c r="AN19" i="49"/>
  <c r="AM19" i="49"/>
  <c r="AL19" i="49"/>
  <c r="AK19" i="49"/>
  <c r="BF19" i="49" s="1"/>
  <c r="AP25" i="49"/>
  <c r="AO25" i="49"/>
  <c r="AN25" i="49"/>
  <c r="AM25" i="49"/>
  <c r="AL25" i="49"/>
  <c r="AP30" i="49"/>
  <c r="AO30" i="49"/>
  <c r="AN30" i="49"/>
  <c r="AM30" i="49"/>
  <c r="AL30" i="49"/>
  <c r="AK30" i="49"/>
  <c r="BF30" i="49" s="1"/>
  <c r="AP29" i="49"/>
  <c r="AO29" i="49"/>
  <c r="AN29" i="49"/>
  <c r="AM29" i="49"/>
  <c r="AL29" i="49"/>
  <c r="AK29" i="49"/>
  <c r="BF29" i="49" s="1"/>
  <c r="AP27" i="49"/>
  <c r="AO27" i="49"/>
  <c r="AN27" i="49"/>
  <c r="AM27" i="49"/>
  <c r="AL27" i="49"/>
  <c r="AK27" i="49"/>
  <c r="BF27" i="49" s="1"/>
  <c r="AP32" i="49"/>
  <c r="AO32" i="49"/>
  <c r="AN32" i="49"/>
  <c r="AM32" i="49"/>
  <c r="AL32" i="49"/>
  <c r="AK32" i="49"/>
  <c r="BF32" i="49" s="1"/>
  <c r="AP38" i="49"/>
  <c r="AO38" i="49"/>
  <c r="AN38" i="49"/>
  <c r="AM38" i="49"/>
  <c r="AL38" i="49"/>
  <c r="AK38" i="49"/>
  <c r="BF38" i="49" s="1"/>
  <c r="AP37" i="49"/>
  <c r="AO37" i="49"/>
  <c r="AN37" i="49"/>
  <c r="AM37" i="49"/>
  <c r="AL37" i="49"/>
  <c r="AK37" i="49"/>
  <c r="BF37" i="49" s="1"/>
  <c r="AP36" i="49"/>
  <c r="AO36" i="49"/>
  <c r="AN36" i="49"/>
  <c r="AM36" i="49"/>
  <c r="AL36" i="49"/>
  <c r="AK36" i="49"/>
  <c r="BF36" i="49" s="1"/>
  <c r="AP35" i="49"/>
  <c r="AO35" i="49"/>
  <c r="AN35" i="49"/>
  <c r="AM35" i="49"/>
  <c r="AL35" i="49"/>
  <c r="AK35" i="49"/>
  <c r="BF35" i="49" s="1"/>
  <c r="AP34" i="49"/>
  <c r="AO34" i="49"/>
  <c r="AN34" i="49"/>
  <c r="AM34" i="49"/>
  <c r="AL34" i="49"/>
  <c r="AK34" i="49"/>
  <c r="BF34" i="49" s="1"/>
  <c r="AP41" i="49"/>
  <c r="AO41" i="49"/>
  <c r="AN41" i="49"/>
  <c r="AM41" i="49"/>
  <c r="AL41" i="49"/>
  <c r="AK41" i="49"/>
  <c r="BF41" i="49" s="1"/>
  <c r="AP40" i="49"/>
  <c r="AO40" i="49"/>
  <c r="AN40" i="49"/>
  <c r="AM40" i="49"/>
  <c r="AL40" i="49"/>
  <c r="AK40" i="49"/>
  <c r="BF40" i="49" s="1"/>
  <c r="AP52" i="49"/>
  <c r="AO52" i="49"/>
  <c r="AN52" i="49"/>
  <c r="AM52" i="49"/>
  <c r="AL52" i="49"/>
  <c r="AK52" i="49"/>
  <c r="BF52" i="49" s="1"/>
  <c r="AP51" i="49"/>
  <c r="AO51" i="49"/>
  <c r="AN51" i="49"/>
  <c r="AM51" i="49"/>
  <c r="AL51" i="49"/>
  <c r="AK51" i="49"/>
  <c r="BF51" i="49" s="1"/>
  <c r="AP50" i="49"/>
  <c r="AO50" i="49"/>
  <c r="AN50" i="49"/>
  <c r="AM50" i="49"/>
  <c r="AL50" i="49"/>
  <c r="AK50" i="49"/>
  <c r="BF50" i="49" s="1"/>
  <c r="AP49" i="49"/>
  <c r="AO49" i="49"/>
  <c r="AN49" i="49"/>
  <c r="AM49" i="49"/>
  <c r="AL49" i="49"/>
  <c r="AK49" i="49"/>
  <c r="BF49" i="49" s="1"/>
  <c r="AP48" i="49"/>
  <c r="AO48" i="49"/>
  <c r="AN48" i="49"/>
  <c r="AM48" i="49"/>
  <c r="AL48" i="49"/>
  <c r="AK48" i="49"/>
  <c r="BF48" i="49" s="1"/>
  <c r="AP47" i="49"/>
  <c r="AO47" i="49"/>
  <c r="AN47" i="49"/>
  <c r="AM47" i="49"/>
  <c r="AL47" i="49"/>
  <c r="AK47" i="49"/>
  <c r="BF47" i="49" s="1"/>
  <c r="AP46" i="49"/>
  <c r="AO46" i="49"/>
  <c r="AN46" i="49"/>
  <c r="AM46" i="49"/>
  <c r="AL46" i="49"/>
  <c r="AK46" i="49"/>
  <c r="BF46" i="49" s="1"/>
  <c r="AP45" i="49"/>
  <c r="AO45" i="49"/>
  <c r="AN45" i="49"/>
  <c r="AM45" i="49"/>
  <c r="AL45" i="49"/>
  <c r="AK45" i="49"/>
  <c r="BF45" i="49" s="1"/>
  <c r="AP44" i="49"/>
  <c r="AO44" i="49"/>
  <c r="AN44" i="49"/>
  <c r="AM44" i="49"/>
  <c r="AL44" i="49"/>
  <c r="AK44" i="49"/>
  <c r="BF44" i="49" s="1"/>
  <c r="AP43" i="49"/>
  <c r="AO43" i="49"/>
  <c r="AN43" i="49"/>
  <c r="AM43" i="49"/>
  <c r="AL43" i="49"/>
  <c r="AK43" i="49"/>
  <c r="BF43" i="49" s="1"/>
  <c r="AP54" i="49"/>
  <c r="AO54" i="49"/>
  <c r="AN54" i="49"/>
  <c r="AM54" i="49"/>
  <c r="AL54" i="49"/>
  <c r="AK54" i="49"/>
  <c r="BF54" i="49" s="1"/>
  <c r="AP56" i="49"/>
  <c r="AO56" i="49"/>
  <c r="AN56" i="49"/>
  <c r="AM56" i="49"/>
  <c r="AL56" i="49"/>
  <c r="AK56" i="49"/>
  <c r="BF56" i="49" s="1"/>
  <c r="AK57" i="49"/>
  <c r="BF57" i="49" s="1"/>
  <c r="AP57" i="49"/>
  <c r="AO57" i="49"/>
  <c r="AN57" i="49"/>
  <c r="AM57" i="49"/>
  <c r="AL57" i="49"/>
  <c r="AJ15" i="49"/>
  <c r="AI15" i="49"/>
  <c r="AH15" i="49"/>
  <c r="AG15" i="49"/>
  <c r="AF15" i="49"/>
  <c r="AE15" i="49"/>
  <c r="AZ15" i="49" s="1"/>
  <c r="AJ14" i="49"/>
  <c r="AI14" i="49"/>
  <c r="AH14" i="49"/>
  <c r="AG14" i="49"/>
  <c r="AF14" i="49"/>
  <c r="AE14" i="49"/>
  <c r="AZ14" i="49" s="1"/>
  <c r="AJ13" i="49"/>
  <c r="AI13" i="49"/>
  <c r="AH13" i="49"/>
  <c r="AG13" i="49"/>
  <c r="AF13" i="49"/>
  <c r="AE13" i="49"/>
  <c r="AZ13" i="49" s="1"/>
  <c r="AJ17" i="49"/>
  <c r="AI17" i="49"/>
  <c r="AH17" i="49"/>
  <c r="AG17" i="49"/>
  <c r="AF17" i="49"/>
  <c r="AE17" i="49"/>
  <c r="AZ17" i="49" s="1"/>
  <c r="AJ22" i="49"/>
  <c r="AI22" i="49"/>
  <c r="AH22" i="49"/>
  <c r="AG22" i="49"/>
  <c r="AF22" i="49"/>
  <c r="AE22" i="49"/>
  <c r="AZ22" i="49" s="1"/>
  <c r="AJ21" i="49"/>
  <c r="AI21" i="49"/>
  <c r="AH21" i="49"/>
  <c r="AG21" i="49"/>
  <c r="AF21" i="49"/>
  <c r="AE21" i="49"/>
  <c r="AZ21" i="49" s="1"/>
  <c r="AJ20" i="49"/>
  <c r="AI20" i="49"/>
  <c r="AH20" i="49"/>
  <c r="AG20" i="49"/>
  <c r="AF20" i="49"/>
  <c r="AE20" i="49"/>
  <c r="AZ20" i="49" s="1"/>
  <c r="AJ19" i="49"/>
  <c r="AI19" i="49"/>
  <c r="AH19" i="49"/>
  <c r="AG19" i="49"/>
  <c r="AF19" i="49"/>
  <c r="AE19" i="49"/>
  <c r="AZ19" i="49" s="1"/>
  <c r="AJ25" i="49"/>
  <c r="AI25" i="49"/>
  <c r="AH25" i="49"/>
  <c r="AG25" i="49"/>
  <c r="AF25" i="49"/>
  <c r="AE25" i="49"/>
  <c r="AZ25" i="49" s="1"/>
  <c r="AJ30" i="49"/>
  <c r="AI30" i="49"/>
  <c r="AH30" i="49"/>
  <c r="AG30" i="49"/>
  <c r="AF30" i="49"/>
  <c r="AE30" i="49"/>
  <c r="AZ30" i="49" s="1"/>
  <c r="AJ29" i="49"/>
  <c r="AI29" i="49"/>
  <c r="AH29" i="49"/>
  <c r="AG29" i="49"/>
  <c r="AF29" i="49"/>
  <c r="AJ27" i="49"/>
  <c r="AI27" i="49"/>
  <c r="AH27" i="49"/>
  <c r="AG27" i="49"/>
  <c r="AF27" i="49"/>
  <c r="AE27" i="49"/>
  <c r="AZ27" i="49" s="1"/>
  <c r="AJ32" i="49"/>
  <c r="AI32" i="49"/>
  <c r="AH32" i="49"/>
  <c r="AG32" i="49"/>
  <c r="AF32" i="49"/>
  <c r="AE32" i="49"/>
  <c r="AZ32" i="49" s="1"/>
  <c r="AJ36" i="49"/>
  <c r="AI36" i="49"/>
  <c r="AH36" i="49"/>
  <c r="AG36" i="49"/>
  <c r="AF36" i="49"/>
  <c r="AE36" i="49"/>
  <c r="AZ36" i="49" s="1"/>
  <c r="AJ35" i="49"/>
  <c r="AI35" i="49"/>
  <c r="AH35" i="49"/>
  <c r="AG35" i="49"/>
  <c r="AF35" i="49"/>
  <c r="AE35" i="49"/>
  <c r="AZ35" i="49" s="1"/>
  <c r="AJ34" i="49"/>
  <c r="AI34" i="49"/>
  <c r="AH34" i="49"/>
  <c r="AG34" i="49"/>
  <c r="AF34" i="49"/>
  <c r="AE34" i="49"/>
  <c r="AZ34" i="49" s="1"/>
  <c r="AJ37" i="49"/>
  <c r="AI37" i="49"/>
  <c r="AH37" i="49"/>
  <c r="AG37" i="49"/>
  <c r="AF37" i="49"/>
  <c r="AE37" i="49"/>
  <c r="AZ37" i="49" s="1"/>
  <c r="AJ38" i="49"/>
  <c r="AI38" i="49"/>
  <c r="AH38" i="49"/>
  <c r="AG38" i="49"/>
  <c r="AF38" i="49"/>
  <c r="AE38" i="49"/>
  <c r="AZ38" i="49" s="1"/>
  <c r="AJ40" i="49"/>
  <c r="AI40" i="49"/>
  <c r="AH40" i="49"/>
  <c r="AG40" i="49"/>
  <c r="AF40" i="49"/>
  <c r="AE40" i="49"/>
  <c r="AZ40" i="49" s="1"/>
  <c r="AJ41" i="49"/>
  <c r="AI41" i="49"/>
  <c r="AH41" i="49"/>
  <c r="AG41" i="49"/>
  <c r="AF41" i="49"/>
  <c r="AE41" i="49"/>
  <c r="AZ41" i="49" s="1"/>
  <c r="AE44" i="49"/>
  <c r="AZ44" i="49" s="1"/>
  <c r="AF44" i="49"/>
  <c r="AG44" i="49"/>
  <c r="AH44" i="49"/>
  <c r="AI44" i="49"/>
  <c r="AJ44" i="49"/>
  <c r="AE45" i="49"/>
  <c r="AZ45" i="49" s="1"/>
  <c r="AF45" i="49"/>
  <c r="AG45" i="49"/>
  <c r="AH45" i="49"/>
  <c r="AI45" i="49"/>
  <c r="AJ45" i="49"/>
  <c r="AE46" i="49"/>
  <c r="AZ46" i="49" s="1"/>
  <c r="AF46" i="49"/>
  <c r="AG46" i="49"/>
  <c r="AH46" i="49"/>
  <c r="AI46" i="49"/>
  <c r="AJ46" i="49"/>
  <c r="AE47" i="49"/>
  <c r="AZ47" i="49" s="1"/>
  <c r="AF47" i="49"/>
  <c r="AG47" i="49"/>
  <c r="AH47" i="49"/>
  <c r="AI47" i="49"/>
  <c r="AJ47" i="49"/>
  <c r="AE48" i="49"/>
  <c r="AZ48" i="49" s="1"/>
  <c r="AF48" i="49"/>
  <c r="AG48" i="49"/>
  <c r="AH48" i="49"/>
  <c r="AI48" i="49"/>
  <c r="AJ48" i="49"/>
  <c r="AE51" i="49"/>
  <c r="AZ51" i="49" s="1"/>
  <c r="AF51" i="49"/>
  <c r="AG51" i="49"/>
  <c r="AH51" i="49"/>
  <c r="AI51" i="49"/>
  <c r="AJ51" i="49"/>
  <c r="AE52" i="49"/>
  <c r="AZ52" i="49" s="1"/>
  <c r="AF52" i="49"/>
  <c r="AG52" i="49"/>
  <c r="AH52" i="49"/>
  <c r="AI52" i="49"/>
  <c r="AJ52" i="49"/>
  <c r="AE43" i="49"/>
  <c r="AZ43" i="49" s="1"/>
  <c r="AJ43" i="49"/>
  <c r="AI43" i="49"/>
  <c r="AH43" i="49"/>
  <c r="AG43" i="49"/>
  <c r="AF43" i="49"/>
  <c r="AJ54" i="49"/>
  <c r="AI54" i="49"/>
  <c r="AH54" i="49"/>
  <c r="AG54" i="49"/>
  <c r="AF54" i="49"/>
  <c r="AJ57" i="49"/>
  <c r="AI57" i="49"/>
  <c r="AH57" i="49"/>
  <c r="AG57" i="49"/>
  <c r="AF57" i="49"/>
  <c r="AJ56" i="49"/>
  <c r="AI56" i="49"/>
  <c r="AH56" i="49"/>
  <c r="AG56" i="49"/>
  <c r="AF56" i="49"/>
  <c r="AJ263" i="49"/>
  <c r="AI263" i="49"/>
  <c r="AH263" i="49"/>
  <c r="AG263" i="49"/>
  <c r="AF263" i="49"/>
  <c r="AE263" i="49"/>
  <c r="AZ263" i="49" s="1"/>
  <c r="AJ264" i="49"/>
  <c r="AI264" i="49"/>
  <c r="AH264" i="49"/>
  <c r="AG264" i="49"/>
  <c r="AF264" i="49"/>
  <c r="AE264" i="49"/>
  <c r="AZ264" i="49" s="1"/>
  <c r="AJ265" i="49"/>
  <c r="AI265" i="49"/>
  <c r="AH265" i="49"/>
  <c r="AG265" i="49"/>
  <c r="AF265" i="49"/>
  <c r="AE265" i="49"/>
  <c r="AZ265" i="49" s="1"/>
  <c r="AJ266" i="49"/>
  <c r="AI266" i="49"/>
  <c r="AH266" i="49"/>
  <c r="AG266" i="49"/>
  <c r="AF266" i="49"/>
  <c r="AE266" i="49"/>
  <c r="AZ266" i="49" s="1"/>
  <c r="AJ262" i="49"/>
  <c r="AI262" i="49"/>
  <c r="AH262" i="49"/>
  <c r="AG262" i="49"/>
  <c r="AF262" i="49"/>
  <c r="AE262" i="49"/>
  <c r="AZ262" i="49" s="1"/>
  <c r="AJ261" i="49"/>
  <c r="AI261" i="49"/>
  <c r="AH261" i="49"/>
  <c r="AG261" i="49"/>
  <c r="AF261" i="49"/>
  <c r="AE261" i="49"/>
  <c r="AZ261" i="49" s="1"/>
  <c r="AJ260" i="49"/>
  <c r="AI260" i="49"/>
  <c r="AH260" i="49"/>
  <c r="AG260" i="49"/>
  <c r="AF260" i="49"/>
  <c r="AE260" i="49"/>
  <c r="AZ260" i="49" s="1"/>
  <c r="AJ259" i="49"/>
  <c r="AI259" i="49"/>
  <c r="AH259" i="49"/>
  <c r="AG259" i="49"/>
  <c r="AF259" i="49"/>
  <c r="AE259" i="49"/>
  <c r="AZ259" i="49" s="1"/>
  <c r="AJ257" i="49"/>
  <c r="AI257" i="49"/>
  <c r="AH257" i="49"/>
  <c r="AG257" i="49"/>
  <c r="AF257" i="49"/>
  <c r="AE257" i="49"/>
  <c r="AZ257" i="49" s="1"/>
  <c r="AJ256" i="49"/>
  <c r="AI256" i="49"/>
  <c r="AH256" i="49"/>
  <c r="AG256" i="49"/>
  <c r="AF256" i="49"/>
  <c r="AE256" i="49"/>
  <c r="AZ256" i="49" s="1"/>
  <c r="AJ255" i="49"/>
  <c r="AI255" i="49"/>
  <c r="AH255" i="49"/>
  <c r="AG255" i="49"/>
  <c r="AF255" i="49"/>
  <c r="AE255" i="49"/>
  <c r="AZ255" i="49" s="1"/>
  <c r="AJ254" i="49"/>
  <c r="AI254" i="49"/>
  <c r="AH254" i="49"/>
  <c r="AG254" i="49"/>
  <c r="AF254" i="49"/>
  <c r="AE254" i="49"/>
  <c r="AZ254" i="49" s="1"/>
  <c r="AJ253" i="49"/>
  <c r="AI253" i="49"/>
  <c r="AH253" i="49"/>
  <c r="AG253" i="49"/>
  <c r="AF253" i="49"/>
  <c r="AE253" i="49"/>
  <c r="AZ253" i="49" s="1"/>
  <c r="AJ252" i="49"/>
  <c r="AI252" i="49"/>
  <c r="AH252" i="49"/>
  <c r="AG252" i="49"/>
  <c r="AF252" i="49"/>
  <c r="AE252" i="49"/>
  <c r="AZ252" i="49" s="1"/>
  <c r="AJ251" i="49"/>
  <c r="AI251" i="49"/>
  <c r="AH251" i="49"/>
  <c r="AG251" i="49"/>
  <c r="AF251" i="49"/>
  <c r="AE251" i="49"/>
  <c r="AZ251" i="49" s="1"/>
  <c r="AJ250" i="49"/>
  <c r="AI250" i="49"/>
  <c r="AH250" i="49"/>
  <c r="AG250" i="49"/>
  <c r="AF250" i="49"/>
  <c r="AE250" i="49"/>
  <c r="AZ250" i="49" s="1"/>
  <c r="AJ249" i="49"/>
  <c r="AI249" i="49"/>
  <c r="AH249" i="49"/>
  <c r="AG249" i="49"/>
  <c r="AF249" i="49"/>
  <c r="AE249" i="49"/>
  <c r="AZ249" i="49" s="1"/>
  <c r="AJ248" i="49"/>
  <c r="AI248" i="49"/>
  <c r="AH248" i="49"/>
  <c r="AG248" i="49"/>
  <c r="AF248" i="49"/>
  <c r="AE248" i="49"/>
  <c r="AZ248" i="49" s="1"/>
  <c r="AJ247" i="49"/>
  <c r="AI247" i="49"/>
  <c r="AH247" i="49"/>
  <c r="AG247" i="49"/>
  <c r="AF247" i="49"/>
  <c r="AE247" i="49"/>
  <c r="AZ247" i="49" s="1"/>
  <c r="AJ246" i="49"/>
  <c r="AI246" i="49"/>
  <c r="AH246" i="49"/>
  <c r="AG246" i="49"/>
  <c r="AF246" i="49"/>
  <c r="AE246" i="49"/>
  <c r="AZ246" i="49" s="1"/>
  <c r="AJ245" i="49"/>
  <c r="AI245" i="49"/>
  <c r="AH245" i="49"/>
  <c r="AG245" i="49"/>
  <c r="AF245" i="49"/>
  <c r="AE245" i="49"/>
  <c r="AZ245" i="49" s="1"/>
  <c r="AJ244" i="49"/>
  <c r="AI244" i="49"/>
  <c r="AH244" i="49"/>
  <c r="AG244" i="49"/>
  <c r="AF244" i="49"/>
  <c r="AE244" i="49"/>
  <c r="AZ244" i="49" s="1"/>
  <c r="AJ242" i="49"/>
  <c r="AI242" i="49"/>
  <c r="AH242" i="49"/>
  <c r="AG242" i="49"/>
  <c r="AF242" i="49"/>
  <c r="AE242" i="49"/>
  <c r="AZ242" i="49" s="1"/>
  <c r="AJ241" i="49"/>
  <c r="AI241" i="49"/>
  <c r="AH241" i="49"/>
  <c r="AG241" i="49"/>
  <c r="AF241" i="49"/>
  <c r="AE241" i="49"/>
  <c r="AZ241" i="49" s="1"/>
  <c r="AJ240" i="49"/>
  <c r="AI240" i="49"/>
  <c r="AH240" i="49"/>
  <c r="AG240" i="49"/>
  <c r="AF240" i="49"/>
  <c r="AE240" i="49"/>
  <c r="AZ240" i="49" s="1"/>
  <c r="AJ238" i="49"/>
  <c r="AI238" i="49"/>
  <c r="AH238" i="49"/>
  <c r="AG238" i="49"/>
  <c r="AF238" i="49"/>
  <c r="AE238" i="49"/>
  <c r="AZ238" i="49" s="1"/>
  <c r="AJ237" i="49"/>
  <c r="AI237" i="49"/>
  <c r="AH237" i="49"/>
  <c r="AG237" i="49"/>
  <c r="AF237" i="49"/>
  <c r="AE237" i="49"/>
  <c r="AZ237" i="49" s="1"/>
  <c r="AJ236" i="49"/>
  <c r="AI236" i="49"/>
  <c r="AH236" i="49"/>
  <c r="AG236" i="49"/>
  <c r="AF236" i="49"/>
  <c r="AE236" i="49"/>
  <c r="AZ236" i="49" s="1"/>
  <c r="AJ235" i="49"/>
  <c r="AI235" i="49"/>
  <c r="AH235" i="49"/>
  <c r="AG235" i="49"/>
  <c r="AF235" i="49"/>
  <c r="AE235" i="49"/>
  <c r="AZ235" i="49" s="1"/>
  <c r="AJ234" i="49"/>
  <c r="AI234" i="49"/>
  <c r="AH234" i="49"/>
  <c r="AG234" i="49"/>
  <c r="AF234" i="49"/>
  <c r="AE234" i="49"/>
  <c r="AZ234" i="49" s="1"/>
  <c r="AJ233" i="49"/>
  <c r="AI233" i="49"/>
  <c r="AH233" i="49"/>
  <c r="AG233" i="49"/>
  <c r="AF233" i="49"/>
  <c r="AE233" i="49"/>
  <c r="AZ233" i="49" s="1"/>
  <c r="AJ230" i="49"/>
  <c r="AI230" i="49"/>
  <c r="AH230" i="49"/>
  <c r="AG230" i="49"/>
  <c r="AF230" i="49"/>
  <c r="AE230" i="49"/>
  <c r="AZ230" i="49" s="1"/>
  <c r="AJ231" i="49"/>
  <c r="AI231" i="49"/>
  <c r="AH231" i="49"/>
  <c r="AG231" i="49"/>
  <c r="AF231" i="49"/>
  <c r="AE231" i="49"/>
  <c r="AZ231" i="49" s="1"/>
  <c r="AJ232" i="49"/>
  <c r="AI232" i="49"/>
  <c r="AH232" i="49"/>
  <c r="AG232" i="49"/>
  <c r="AF232" i="49"/>
  <c r="AE232" i="49"/>
  <c r="AZ232" i="49" s="1"/>
  <c r="AJ229" i="49"/>
  <c r="AI229" i="49"/>
  <c r="AH229" i="49"/>
  <c r="AG229" i="49"/>
  <c r="AF229" i="49"/>
  <c r="AE229" i="49"/>
  <c r="AZ229" i="49" s="1"/>
  <c r="AJ228" i="49"/>
  <c r="AI228" i="49"/>
  <c r="AH228" i="49"/>
  <c r="AG228" i="49"/>
  <c r="AF228" i="49"/>
  <c r="AE228" i="49"/>
  <c r="AZ228" i="49" s="1"/>
  <c r="AJ227" i="49"/>
  <c r="AI227" i="49"/>
  <c r="AH227" i="49"/>
  <c r="AG227" i="49"/>
  <c r="AF227" i="49"/>
  <c r="AE227" i="49"/>
  <c r="AZ227" i="49" s="1"/>
  <c r="AJ226" i="49"/>
  <c r="AI226" i="49"/>
  <c r="AH226" i="49"/>
  <c r="AG226" i="49"/>
  <c r="AF226" i="49"/>
  <c r="AE226" i="49"/>
  <c r="AZ226" i="49" s="1"/>
  <c r="AJ225" i="49"/>
  <c r="AI225" i="49"/>
  <c r="AH225" i="49"/>
  <c r="AG225" i="49"/>
  <c r="AF225" i="49"/>
  <c r="AE225" i="49"/>
  <c r="AZ225" i="49" s="1"/>
  <c r="AJ224" i="49"/>
  <c r="AI224" i="49"/>
  <c r="AH224" i="49"/>
  <c r="AG224" i="49"/>
  <c r="AF224" i="49"/>
  <c r="AE224" i="49"/>
  <c r="AZ224" i="49" s="1"/>
  <c r="AJ223" i="49"/>
  <c r="AI223" i="49"/>
  <c r="AH223" i="49"/>
  <c r="AG223" i="49"/>
  <c r="AF223" i="49"/>
  <c r="AE223" i="49"/>
  <c r="AZ223" i="49" s="1"/>
  <c r="AJ217" i="49"/>
  <c r="AI217" i="49"/>
  <c r="AH217" i="49"/>
  <c r="AG217" i="49"/>
  <c r="AF217" i="49"/>
  <c r="AE217" i="49"/>
  <c r="AZ217" i="49" s="1"/>
  <c r="AJ216" i="49"/>
  <c r="AI216" i="49"/>
  <c r="AH216" i="49"/>
  <c r="AG216" i="49"/>
  <c r="AF216" i="49"/>
  <c r="AE216" i="49"/>
  <c r="AZ216" i="49" s="1"/>
  <c r="AJ215" i="49"/>
  <c r="AI215" i="49"/>
  <c r="AH215" i="49"/>
  <c r="AG215" i="49"/>
  <c r="AF215" i="49"/>
  <c r="AE215" i="49"/>
  <c r="AZ215" i="49" s="1"/>
  <c r="AJ214" i="49"/>
  <c r="AI214" i="49"/>
  <c r="AH214" i="49"/>
  <c r="AG214" i="49"/>
  <c r="AF214" i="49"/>
  <c r="AE214" i="49"/>
  <c r="AZ214" i="49" s="1"/>
  <c r="AJ213" i="49"/>
  <c r="AI213" i="49"/>
  <c r="AH213" i="49"/>
  <c r="AG213" i="49"/>
  <c r="AF213" i="49"/>
  <c r="AE213" i="49"/>
  <c r="AZ213" i="49" s="1"/>
  <c r="AJ212" i="49"/>
  <c r="AI212" i="49"/>
  <c r="AH212" i="49"/>
  <c r="AG212" i="49"/>
  <c r="AF212" i="49"/>
  <c r="AE212" i="49"/>
  <c r="AZ212" i="49" s="1"/>
  <c r="AJ211" i="49"/>
  <c r="AI211" i="49"/>
  <c r="AH211" i="49"/>
  <c r="AG211" i="49"/>
  <c r="AF211" i="49"/>
  <c r="AE211" i="49"/>
  <c r="AZ211" i="49" s="1"/>
  <c r="AJ210" i="49"/>
  <c r="AI210" i="49"/>
  <c r="AH210" i="49"/>
  <c r="AG210" i="49"/>
  <c r="AF210" i="49"/>
  <c r="AE210" i="49"/>
  <c r="AZ210" i="49" s="1"/>
  <c r="AJ209" i="49"/>
  <c r="AI209" i="49"/>
  <c r="AH209" i="49"/>
  <c r="AG209" i="49"/>
  <c r="AF209" i="49"/>
  <c r="AE209" i="49"/>
  <c r="AZ209" i="49" s="1"/>
  <c r="AJ208" i="49"/>
  <c r="AI208" i="49"/>
  <c r="AH208" i="49"/>
  <c r="AG208" i="49"/>
  <c r="AF208" i="49"/>
  <c r="AE208" i="49"/>
  <c r="AZ208" i="49" s="1"/>
  <c r="AE200" i="49"/>
  <c r="AZ200" i="49" s="1"/>
  <c r="AF200" i="49"/>
  <c r="AG200" i="49"/>
  <c r="AH200" i="49"/>
  <c r="AI200" i="49"/>
  <c r="AJ200" i="49"/>
  <c r="AE201" i="49"/>
  <c r="AZ201" i="49" s="1"/>
  <c r="AF201" i="49"/>
  <c r="AG201" i="49"/>
  <c r="AH201" i="49"/>
  <c r="AI201" i="49"/>
  <c r="AJ201" i="49"/>
  <c r="AE202" i="49"/>
  <c r="AZ202" i="49" s="1"/>
  <c r="AF202" i="49"/>
  <c r="AG202" i="49"/>
  <c r="AH202" i="49"/>
  <c r="AI202" i="49"/>
  <c r="AJ202" i="49"/>
  <c r="AE203" i="49"/>
  <c r="AZ203" i="49" s="1"/>
  <c r="AF203" i="49"/>
  <c r="AG203" i="49"/>
  <c r="AH203" i="49"/>
  <c r="AI203" i="49"/>
  <c r="AJ203" i="49"/>
  <c r="AE204" i="49"/>
  <c r="AZ204" i="49" s="1"/>
  <c r="AF204" i="49"/>
  <c r="AG204" i="49"/>
  <c r="AH204" i="49"/>
  <c r="AI204" i="49"/>
  <c r="AJ204" i="49"/>
  <c r="AE205" i="49"/>
  <c r="AZ205" i="49" s="1"/>
  <c r="AF205" i="49"/>
  <c r="AG205" i="49"/>
  <c r="AH205" i="49"/>
  <c r="AI205" i="49"/>
  <c r="AJ205" i="49"/>
  <c r="AJ206" i="49"/>
  <c r="AI206" i="49"/>
  <c r="AH206" i="49"/>
  <c r="AG206" i="49"/>
  <c r="AF206" i="49"/>
  <c r="AE206" i="49"/>
  <c r="AZ206" i="49" s="1"/>
  <c r="AJ199" i="49"/>
  <c r="AI199" i="49"/>
  <c r="AH199" i="49"/>
  <c r="AG199" i="49"/>
  <c r="AF199" i="49"/>
  <c r="AE199" i="49"/>
  <c r="AZ199" i="49" s="1"/>
  <c r="AJ198" i="49"/>
  <c r="AI198" i="49"/>
  <c r="AH198" i="49"/>
  <c r="AG198" i="49"/>
  <c r="AF198" i="49"/>
  <c r="AE198" i="49"/>
  <c r="AZ198" i="49" s="1"/>
  <c r="AJ197" i="49"/>
  <c r="AI197" i="49"/>
  <c r="AH197" i="49"/>
  <c r="AG197" i="49"/>
  <c r="AF197" i="49"/>
  <c r="AE197" i="49"/>
  <c r="AZ197" i="49" s="1"/>
  <c r="AJ196" i="49"/>
  <c r="AI196" i="49"/>
  <c r="AH196" i="49"/>
  <c r="AG196" i="49"/>
  <c r="AF196" i="49"/>
  <c r="AE196" i="49"/>
  <c r="AZ196" i="49" s="1"/>
  <c r="AJ191" i="49"/>
  <c r="AI191" i="49"/>
  <c r="AH191" i="49"/>
  <c r="AG191" i="49"/>
  <c r="AF191" i="49"/>
  <c r="AE191" i="49"/>
  <c r="AZ191" i="49" s="1"/>
  <c r="AJ187" i="49"/>
  <c r="AI187" i="49"/>
  <c r="AH187" i="49"/>
  <c r="AG187" i="49"/>
  <c r="AF187" i="49"/>
  <c r="AE187" i="49"/>
  <c r="AZ187" i="49" s="1"/>
  <c r="AJ188" i="49"/>
  <c r="AI188" i="49"/>
  <c r="AH188" i="49"/>
  <c r="AG188" i="49"/>
  <c r="AF188" i="49"/>
  <c r="AE188" i="49"/>
  <c r="AZ188" i="49" s="1"/>
  <c r="AJ189" i="49"/>
  <c r="AI189" i="49"/>
  <c r="AH189" i="49"/>
  <c r="AG189" i="49"/>
  <c r="AF189" i="49"/>
  <c r="AE189" i="49"/>
  <c r="AZ189" i="49" s="1"/>
  <c r="AJ186" i="49"/>
  <c r="AI186" i="49"/>
  <c r="AH186" i="49"/>
  <c r="AG186" i="49"/>
  <c r="AF186" i="49"/>
  <c r="AE186" i="49"/>
  <c r="AZ186" i="49" s="1"/>
  <c r="AE176" i="49"/>
  <c r="AZ176" i="49" s="1"/>
  <c r="AF176" i="49"/>
  <c r="AG176" i="49"/>
  <c r="AH176" i="49"/>
  <c r="AI176" i="49"/>
  <c r="AJ176" i="49"/>
  <c r="AE177" i="49"/>
  <c r="AZ177" i="49" s="1"/>
  <c r="AF177" i="49"/>
  <c r="AG177" i="49"/>
  <c r="AH177" i="49"/>
  <c r="AI177" i="49"/>
  <c r="AJ177" i="49"/>
  <c r="AE178" i="49"/>
  <c r="AZ178" i="49" s="1"/>
  <c r="AF178" i="49"/>
  <c r="AG178" i="49"/>
  <c r="AH178" i="49"/>
  <c r="AI178" i="49"/>
  <c r="AJ178" i="49"/>
  <c r="AE179" i="49"/>
  <c r="AZ179" i="49" s="1"/>
  <c r="AF179" i="49"/>
  <c r="AG179" i="49"/>
  <c r="AH179" i="49"/>
  <c r="AI179" i="49"/>
  <c r="AJ179" i="49"/>
  <c r="AE180" i="49"/>
  <c r="AZ180" i="49" s="1"/>
  <c r="AF180" i="49"/>
  <c r="AG180" i="49"/>
  <c r="AH180" i="49"/>
  <c r="AI180" i="49"/>
  <c r="AJ180" i="49"/>
  <c r="AE181" i="49"/>
  <c r="AZ181" i="49" s="1"/>
  <c r="AF181" i="49"/>
  <c r="AG181" i="49"/>
  <c r="AH181" i="49"/>
  <c r="AI181" i="49"/>
  <c r="AJ181" i="49"/>
  <c r="AE182" i="49"/>
  <c r="AZ182" i="49" s="1"/>
  <c r="AF182" i="49"/>
  <c r="AG182" i="49"/>
  <c r="AH182" i="49"/>
  <c r="AI182" i="49"/>
  <c r="AJ182" i="49"/>
  <c r="AE183" i="49"/>
  <c r="AZ183" i="49" s="1"/>
  <c r="AF183" i="49"/>
  <c r="AG183" i="49"/>
  <c r="AH183" i="49"/>
  <c r="AI183" i="49"/>
  <c r="AJ183" i="49"/>
  <c r="AJ184" i="49"/>
  <c r="AI184" i="49"/>
  <c r="AH184" i="49"/>
  <c r="AG184" i="49"/>
  <c r="AF184" i="49"/>
  <c r="AE184" i="49"/>
  <c r="AZ184" i="49" s="1"/>
  <c r="AJ175" i="49"/>
  <c r="AI175" i="49"/>
  <c r="AH175" i="49"/>
  <c r="AG175" i="49"/>
  <c r="AF175" i="49"/>
  <c r="AE175" i="49"/>
  <c r="AZ175" i="49" s="1"/>
  <c r="AJ174" i="49"/>
  <c r="AI174" i="49"/>
  <c r="AH174" i="49"/>
  <c r="AG174" i="49"/>
  <c r="AF174" i="49"/>
  <c r="AE174" i="49"/>
  <c r="AZ174" i="49" s="1"/>
  <c r="AJ173" i="49"/>
  <c r="AI173" i="49"/>
  <c r="AH173" i="49"/>
  <c r="AG173" i="49"/>
  <c r="AF173" i="49"/>
  <c r="AE173" i="49"/>
  <c r="AZ173" i="49" s="1"/>
  <c r="AJ171" i="49"/>
  <c r="AI171" i="49"/>
  <c r="AH171" i="49"/>
  <c r="AG171" i="49"/>
  <c r="AF171" i="49"/>
  <c r="AE171" i="49"/>
  <c r="AZ171" i="49" s="1"/>
  <c r="AJ170" i="49"/>
  <c r="AI170" i="49"/>
  <c r="AH170" i="49"/>
  <c r="AG170" i="49"/>
  <c r="AF170" i="49"/>
  <c r="AE170" i="49"/>
  <c r="AZ170" i="49" s="1"/>
  <c r="AJ169" i="49"/>
  <c r="AI169" i="49"/>
  <c r="AH169" i="49"/>
  <c r="AG169" i="49"/>
  <c r="AF169" i="49"/>
  <c r="AE169" i="49"/>
  <c r="AZ169" i="49" s="1"/>
  <c r="AJ168" i="49"/>
  <c r="AI168" i="49"/>
  <c r="AH168" i="49"/>
  <c r="AG168" i="49"/>
  <c r="AF168" i="49"/>
  <c r="AE168" i="49"/>
  <c r="AZ168" i="49" s="1"/>
  <c r="AJ167" i="49"/>
  <c r="AI167" i="49"/>
  <c r="AH167" i="49"/>
  <c r="AG167" i="49"/>
  <c r="AF167" i="49"/>
  <c r="AE167" i="49"/>
  <c r="AZ167" i="49" s="1"/>
  <c r="AJ166" i="49"/>
  <c r="AI166" i="49"/>
  <c r="AH166" i="49"/>
  <c r="AG166" i="49"/>
  <c r="AF166" i="49"/>
  <c r="AE166" i="49"/>
  <c r="AZ166" i="49" s="1"/>
  <c r="AJ165" i="49"/>
  <c r="AI165" i="49"/>
  <c r="AH165" i="49"/>
  <c r="AG165" i="49"/>
  <c r="AF165" i="49"/>
  <c r="AE165" i="49"/>
  <c r="AZ165" i="49" s="1"/>
  <c r="AJ164" i="49"/>
  <c r="AI164" i="49"/>
  <c r="AH164" i="49"/>
  <c r="AG164" i="49"/>
  <c r="AF164" i="49"/>
  <c r="AE164" i="49"/>
  <c r="AZ164" i="49" s="1"/>
  <c r="AJ160" i="49"/>
  <c r="AJ156" i="49"/>
  <c r="AI156" i="49"/>
  <c r="AH156" i="49"/>
  <c r="AG156" i="49"/>
  <c r="AF156" i="49"/>
  <c r="AE156" i="49"/>
  <c r="AZ156" i="49" s="1"/>
  <c r="AJ155" i="49"/>
  <c r="AI155" i="49"/>
  <c r="AH155" i="49"/>
  <c r="AG155" i="49"/>
  <c r="AF155" i="49"/>
  <c r="AE155" i="49"/>
  <c r="AZ155" i="49" s="1"/>
  <c r="AJ150" i="49"/>
  <c r="AI150" i="49"/>
  <c r="AH150" i="49"/>
  <c r="AG150" i="49"/>
  <c r="AF150" i="49"/>
  <c r="AE150" i="49"/>
  <c r="AZ150" i="49" s="1"/>
  <c r="AJ149" i="49"/>
  <c r="AI149" i="49"/>
  <c r="AH149" i="49"/>
  <c r="AG149" i="49"/>
  <c r="AF149" i="49"/>
  <c r="AE149" i="49"/>
  <c r="AZ149" i="49" s="1"/>
  <c r="AJ148" i="49"/>
  <c r="AI148" i="49"/>
  <c r="AH148" i="49"/>
  <c r="AG148" i="49"/>
  <c r="AF148" i="49"/>
  <c r="AE148" i="49"/>
  <c r="AZ148" i="49" s="1"/>
  <c r="AI147" i="49"/>
  <c r="AH147" i="49"/>
  <c r="AG147" i="49"/>
  <c r="AF147" i="49"/>
  <c r="AE147" i="49"/>
  <c r="AZ147" i="49" s="1"/>
  <c r="AI143" i="49"/>
  <c r="AH143" i="49"/>
  <c r="AG143" i="49"/>
  <c r="AF143" i="49"/>
  <c r="AE143" i="49"/>
  <c r="AZ143" i="49" s="1"/>
  <c r="AI142" i="49"/>
  <c r="AH142" i="49"/>
  <c r="AG142" i="49"/>
  <c r="AF142" i="49"/>
  <c r="AE142" i="49"/>
  <c r="AZ142" i="49" s="1"/>
  <c r="AJ141" i="49"/>
  <c r="AI141" i="49"/>
  <c r="AH141" i="49"/>
  <c r="AG141" i="49"/>
  <c r="AF141" i="49"/>
  <c r="AE141" i="49"/>
  <c r="AZ141" i="49" s="1"/>
  <c r="AI139" i="49"/>
  <c r="AH139" i="49"/>
  <c r="AG139" i="49"/>
  <c r="AF139" i="49"/>
  <c r="AE139" i="49"/>
  <c r="AZ139" i="49" s="1"/>
  <c r="AJ138" i="49"/>
  <c r="AI138" i="49"/>
  <c r="AH138" i="49"/>
  <c r="AG138" i="49"/>
  <c r="AF138" i="49"/>
  <c r="AE138" i="49"/>
  <c r="AZ138" i="49" s="1"/>
  <c r="AJ137" i="49"/>
  <c r="AI137" i="49"/>
  <c r="AH137" i="49"/>
  <c r="AG137" i="49"/>
  <c r="AF137" i="49"/>
  <c r="AE137" i="49"/>
  <c r="AZ137" i="49" s="1"/>
  <c r="AJ135" i="49"/>
  <c r="AI135" i="49"/>
  <c r="AH135" i="49"/>
  <c r="AG135" i="49"/>
  <c r="AF135" i="49"/>
  <c r="AE135" i="49"/>
  <c r="AZ135" i="49" s="1"/>
  <c r="AE133" i="49"/>
  <c r="AZ133" i="49" s="1"/>
  <c r="AF133" i="49"/>
  <c r="AG133" i="49"/>
  <c r="AH133" i="49"/>
  <c r="AI133" i="49"/>
  <c r="AJ133" i="49"/>
  <c r="AE129" i="49"/>
  <c r="AZ129" i="49" s="1"/>
  <c r="AF129" i="49"/>
  <c r="AG129" i="49"/>
  <c r="AH129" i="49"/>
  <c r="AI129" i="49"/>
  <c r="AJ129" i="49"/>
  <c r="AE130" i="49"/>
  <c r="AZ130" i="49" s="1"/>
  <c r="AF130" i="49"/>
  <c r="AG130" i="49"/>
  <c r="AH130" i="49"/>
  <c r="AI130" i="49"/>
  <c r="AJ130" i="49"/>
  <c r="AE131" i="49"/>
  <c r="AZ131" i="49" s="1"/>
  <c r="AF131" i="49"/>
  <c r="AG131" i="49"/>
  <c r="AH131" i="49"/>
  <c r="AI131" i="49"/>
  <c r="AJ131" i="49"/>
  <c r="AE132" i="49"/>
  <c r="AZ132" i="49" s="1"/>
  <c r="AF132" i="49"/>
  <c r="AG132" i="49"/>
  <c r="AH132" i="49"/>
  <c r="AI132" i="49"/>
  <c r="AJ132" i="49"/>
  <c r="AE126" i="49"/>
  <c r="AZ126" i="49" s="1"/>
  <c r="AF126" i="49"/>
  <c r="AG126" i="49"/>
  <c r="AH126" i="49"/>
  <c r="AI126" i="49"/>
  <c r="AJ126" i="49"/>
  <c r="AE127" i="49"/>
  <c r="AZ127" i="49" s="1"/>
  <c r="AF127" i="49"/>
  <c r="AG127" i="49"/>
  <c r="AH127" i="49"/>
  <c r="AI127" i="49"/>
  <c r="AJ127" i="49"/>
  <c r="AE121" i="49"/>
  <c r="AZ121" i="49" s="1"/>
  <c r="AF121" i="49"/>
  <c r="AG121" i="49"/>
  <c r="AH121" i="49"/>
  <c r="AI121" i="49"/>
  <c r="AJ121" i="49"/>
  <c r="AE122" i="49"/>
  <c r="AZ122" i="49" s="1"/>
  <c r="AF122" i="49"/>
  <c r="AG122" i="49"/>
  <c r="AH122" i="49"/>
  <c r="AI122" i="49"/>
  <c r="AJ122" i="49"/>
  <c r="AE123" i="49"/>
  <c r="AZ123" i="49" s="1"/>
  <c r="AF123" i="49"/>
  <c r="AG123" i="49"/>
  <c r="AH123" i="49"/>
  <c r="AI123" i="49"/>
  <c r="AJ123" i="49"/>
  <c r="AE124" i="49"/>
  <c r="AZ124" i="49" s="1"/>
  <c r="AF124" i="49"/>
  <c r="AG124" i="49"/>
  <c r="AH124" i="49"/>
  <c r="AI124" i="49"/>
  <c r="AJ124" i="49"/>
  <c r="AE125" i="49"/>
  <c r="AZ125" i="49" s="1"/>
  <c r="AF125" i="49"/>
  <c r="AG125" i="49"/>
  <c r="AH125" i="49"/>
  <c r="AI125" i="49"/>
  <c r="AJ125" i="49"/>
  <c r="AJ120" i="49"/>
  <c r="AI120" i="49"/>
  <c r="AH120" i="49"/>
  <c r="AG120" i="49"/>
  <c r="AF120" i="49"/>
  <c r="AE120" i="49"/>
  <c r="AZ120" i="49" s="1"/>
  <c r="AE116" i="49"/>
  <c r="AZ116" i="49" s="1"/>
  <c r="AF116" i="49"/>
  <c r="AG116" i="49"/>
  <c r="AH116" i="49"/>
  <c r="AI116" i="49"/>
  <c r="AJ116" i="49"/>
  <c r="AE117" i="49"/>
  <c r="AZ117" i="49" s="1"/>
  <c r="AF117" i="49"/>
  <c r="AG117" i="49"/>
  <c r="AH117" i="49"/>
  <c r="AI117" i="49"/>
  <c r="AJ117" i="49"/>
  <c r="AE118" i="49"/>
  <c r="AZ118" i="49" s="1"/>
  <c r="AF118" i="49"/>
  <c r="AG118" i="49"/>
  <c r="AH118" i="49"/>
  <c r="AI118" i="49"/>
  <c r="AJ118" i="49"/>
  <c r="AE112" i="49"/>
  <c r="AZ112" i="49" s="1"/>
  <c r="AF112" i="49"/>
  <c r="AG112" i="49"/>
  <c r="AH112" i="49"/>
  <c r="AI112" i="49"/>
  <c r="AJ112" i="49"/>
  <c r="AE113" i="49"/>
  <c r="AZ113" i="49" s="1"/>
  <c r="AF113" i="49"/>
  <c r="AG113" i="49"/>
  <c r="AH113" i="49"/>
  <c r="AI113" i="49"/>
  <c r="AJ113" i="49"/>
  <c r="AE114" i="49"/>
  <c r="AZ114" i="49" s="1"/>
  <c r="AF114" i="49"/>
  <c r="AG114" i="49"/>
  <c r="AH114" i="49"/>
  <c r="AI114" i="49"/>
  <c r="AJ114" i="49"/>
  <c r="AE115" i="49"/>
  <c r="AZ115" i="49" s="1"/>
  <c r="AF115" i="49"/>
  <c r="AG115" i="49"/>
  <c r="AH115" i="49"/>
  <c r="AI115" i="49"/>
  <c r="AJ115" i="49"/>
  <c r="AE107" i="49"/>
  <c r="AZ107" i="49" s="1"/>
  <c r="AF107" i="49"/>
  <c r="AG107" i="49"/>
  <c r="AH107" i="49"/>
  <c r="AI107" i="49"/>
  <c r="AJ107" i="49"/>
  <c r="AE108" i="49"/>
  <c r="AZ108" i="49" s="1"/>
  <c r="AF108" i="49"/>
  <c r="AG108" i="49"/>
  <c r="AH108" i="49"/>
  <c r="AI108" i="49"/>
  <c r="AJ108" i="49"/>
  <c r="AE109" i="49"/>
  <c r="AZ109" i="49" s="1"/>
  <c r="AF109" i="49"/>
  <c r="AG109" i="49"/>
  <c r="AH109" i="49"/>
  <c r="AI109" i="49"/>
  <c r="AJ109" i="49"/>
  <c r="AE110" i="49"/>
  <c r="AZ110" i="49" s="1"/>
  <c r="AF110" i="49"/>
  <c r="AG110" i="49"/>
  <c r="AH110" i="49"/>
  <c r="AI110" i="49"/>
  <c r="AJ110" i="49"/>
  <c r="AE111" i="49"/>
  <c r="AZ111" i="49" s="1"/>
  <c r="AF111" i="49"/>
  <c r="AG111" i="49"/>
  <c r="AH111" i="49"/>
  <c r="AI111" i="49"/>
  <c r="AJ111" i="49"/>
  <c r="AE99" i="49"/>
  <c r="AZ99" i="49" s="1"/>
  <c r="AF99" i="49"/>
  <c r="AG99" i="49"/>
  <c r="AH99" i="49"/>
  <c r="AI99" i="49"/>
  <c r="AJ99" i="49"/>
  <c r="AE100" i="49"/>
  <c r="AZ100" i="49" s="1"/>
  <c r="AF100" i="49"/>
  <c r="AG100" i="49"/>
  <c r="AH100" i="49"/>
  <c r="AI100" i="49"/>
  <c r="AJ100" i="49"/>
  <c r="AE101" i="49"/>
  <c r="AZ101" i="49" s="1"/>
  <c r="AF101" i="49"/>
  <c r="AG101" i="49"/>
  <c r="AH101" i="49"/>
  <c r="AI101" i="49"/>
  <c r="AJ101" i="49"/>
  <c r="AE102" i="49"/>
  <c r="AZ102" i="49" s="1"/>
  <c r="AF102" i="49"/>
  <c r="AG102" i="49"/>
  <c r="AH102" i="49"/>
  <c r="AI102" i="49"/>
  <c r="AJ102" i="49"/>
  <c r="AE103" i="49"/>
  <c r="AZ103" i="49" s="1"/>
  <c r="AF103" i="49"/>
  <c r="AG103" i="49"/>
  <c r="AH103" i="49"/>
  <c r="AI103" i="49"/>
  <c r="AJ103" i="49"/>
  <c r="AE104" i="49"/>
  <c r="AZ104" i="49" s="1"/>
  <c r="AF104" i="49"/>
  <c r="AG104" i="49"/>
  <c r="AH104" i="49"/>
  <c r="AI104" i="49"/>
  <c r="AJ104" i="49"/>
  <c r="AE105" i="49"/>
  <c r="AZ105" i="49" s="1"/>
  <c r="AF105" i="49"/>
  <c r="AG105" i="49"/>
  <c r="AH105" i="49"/>
  <c r="AI105" i="49"/>
  <c r="AJ105" i="49"/>
  <c r="AE106" i="49"/>
  <c r="AZ106" i="49" s="1"/>
  <c r="AF106" i="49"/>
  <c r="AG106" i="49"/>
  <c r="AH106" i="49"/>
  <c r="AI106" i="49"/>
  <c r="AJ106" i="49"/>
  <c r="AE98" i="49"/>
  <c r="AZ98" i="49" s="1"/>
  <c r="AJ98" i="49"/>
  <c r="AI98" i="49"/>
  <c r="AH98" i="49"/>
  <c r="AG98" i="49"/>
  <c r="AF98" i="49"/>
  <c r="AI95" i="49"/>
  <c r="AH95" i="49"/>
  <c r="AG95" i="49"/>
  <c r="AF95" i="49"/>
  <c r="AI94" i="49"/>
  <c r="AH94" i="49"/>
  <c r="AG94" i="49"/>
  <c r="AF94" i="49"/>
  <c r="AJ92" i="49"/>
  <c r="AI92" i="49"/>
  <c r="AH92" i="49"/>
  <c r="AG92" i="49"/>
  <c r="AF92" i="49"/>
  <c r="AJ91" i="49"/>
  <c r="AI91" i="49"/>
  <c r="AH91" i="49"/>
  <c r="AG91" i="49"/>
  <c r="AF91" i="49"/>
  <c r="AJ90" i="49"/>
  <c r="AI90" i="49"/>
  <c r="AH90" i="49"/>
  <c r="AG90" i="49"/>
  <c r="AF90" i="49"/>
  <c r="AJ87" i="49"/>
  <c r="AI87" i="49"/>
  <c r="AH87" i="49"/>
  <c r="AG87" i="49"/>
  <c r="AF87" i="49"/>
  <c r="AJ86" i="49"/>
  <c r="AI86" i="49"/>
  <c r="AH86" i="49"/>
  <c r="AG86" i="49"/>
  <c r="AF86" i="49"/>
  <c r="AJ85" i="49"/>
  <c r="AI85" i="49"/>
  <c r="AH85" i="49"/>
  <c r="AG85" i="49"/>
  <c r="AF85" i="49"/>
  <c r="AJ84" i="49"/>
  <c r="AI84" i="49"/>
  <c r="AH84" i="49"/>
  <c r="AG84" i="49"/>
  <c r="AF84" i="49"/>
  <c r="AJ82" i="49"/>
  <c r="AI82" i="49"/>
  <c r="AH82" i="49"/>
  <c r="AG82" i="49"/>
  <c r="AF82" i="49"/>
  <c r="AJ81" i="49"/>
  <c r="AI81" i="49"/>
  <c r="AH81" i="49"/>
  <c r="AG81" i="49"/>
  <c r="AF81" i="49"/>
  <c r="AF76" i="49"/>
  <c r="AG76" i="49"/>
  <c r="AH76" i="49"/>
  <c r="AI76" i="49"/>
  <c r="AJ76" i="49"/>
  <c r="AF77" i="49"/>
  <c r="AG77" i="49"/>
  <c r="AH77" i="49"/>
  <c r="AI77" i="49"/>
  <c r="AJ77" i="49"/>
  <c r="AF78" i="49"/>
  <c r="AG78" i="49"/>
  <c r="AH78" i="49"/>
  <c r="AI78" i="49"/>
  <c r="AJ78" i="49"/>
  <c r="AF79" i="49"/>
  <c r="AG79" i="49"/>
  <c r="AH79" i="49"/>
  <c r="AI79" i="49"/>
  <c r="AJ79" i="49"/>
  <c r="AJ75" i="49"/>
  <c r="AI75" i="49"/>
  <c r="AH75" i="49"/>
  <c r="AG75" i="49"/>
  <c r="AF75" i="49"/>
  <c r="AJ74" i="49"/>
  <c r="AI74" i="49"/>
  <c r="AH74" i="49"/>
  <c r="AG74" i="49"/>
  <c r="AF74" i="49"/>
  <c r="AJ73" i="49"/>
  <c r="AI73" i="49"/>
  <c r="AH73" i="49"/>
  <c r="AG73" i="49"/>
  <c r="AF73" i="49"/>
  <c r="AP71" i="49"/>
  <c r="AO71" i="49"/>
  <c r="AN71" i="49"/>
  <c r="AM71" i="49"/>
  <c r="AL71" i="49"/>
  <c r="AJ71" i="49"/>
  <c r="AI71" i="49"/>
  <c r="AH71" i="49"/>
  <c r="AG71" i="49"/>
  <c r="AF71" i="49"/>
  <c r="AP70" i="49"/>
  <c r="AO70" i="49"/>
  <c r="AN70" i="49"/>
  <c r="AM70" i="49"/>
  <c r="AL70" i="49"/>
  <c r="AJ70" i="49"/>
  <c r="AI70" i="49"/>
  <c r="AH70" i="49"/>
  <c r="AG70" i="49"/>
  <c r="AF70" i="49"/>
  <c r="AP69" i="49"/>
  <c r="AO69" i="49"/>
  <c r="AN69" i="49"/>
  <c r="AM69" i="49"/>
  <c r="AL69" i="49"/>
  <c r="AJ69" i="49"/>
  <c r="AI69" i="49"/>
  <c r="AH69" i="49"/>
  <c r="AG69" i="49"/>
  <c r="AF69" i="49"/>
  <c r="AP68" i="49"/>
  <c r="AO68" i="49"/>
  <c r="AN68" i="49"/>
  <c r="AM68" i="49"/>
  <c r="AL68" i="49"/>
  <c r="AJ68" i="49"/>
  <c r="AI68" i="49"/>
  <c r="AH68" i="49"/>
  <c r="AG68" i="49"/>
  <c r="AF68" i="49"/>
  <c r="AL61" i="49"/>
  <c r="AM61" i="49"/>
  <c r="AN61" i="49"/>
  <c r="AO61" i="49"/>
  <c r="AP61" i="49"/>
  <c r="AL62" i="49"/>
  <c r="AM62" i="49"/>
  <c r="AN62" i="49"/>
  <c r="AO62" i="49"/>
  <c r="AP62" i="49"/>
  <c r="AL63" i="49"/>
  <c r="AM63" i="49"/>
  <c r="AN63" i="49"/>
  <c r="AO63" i="49"/>
  <c r="AP63" i="49"/>
  <c r="AL64" i="49"/>
  <c r="AM64" i="49"/>
  <c r="AN64" i="49"/>
  <c r="AO64" i="49"/>
  <c r="AP64" i="49"/>
  <c r="AL65" i="49"/>
  <c r="AM65" i="49"/>
  <c r="AN65" i="49"/>
  <c r="AO65" i="49"/>
  <c r="AP65" i="49"/>
  <c r="AM60" i="49"/>
  <c r="AN60" i="49"/>
  <c r="AO60" i="49"/>
  <c r="AP60" i="49"/>
  <c r="AL60" i="49"/>
  <c r="AJ65" i="49"/>
  <c r="AI65" i="49"/>
  <c r="AH65" i="49"/>
  <c r="AG65" i="49"/>
  <c r="AF65" i="49"/>
  <c r="AJ64" i="49"/>
  <c r="AI64" i="49"/>
  <c r="AH64" i="49"/>
  <c r="AG64" i="49"/>
  <c r="AF64" i="49"/>
  <c r="AJ63" i="49"/>
  <c r="AI63" i="49"/>
  <c r="AH63" i="49"/>
  <c r="AG63" i="49"/>
  <c r="AF63" i="49"/>
  <c r="AJ62" i="49"/>
  <c r="AI62" i="49"/>
  <c r="AH62" i="49"/>
  <c r="AG62" i="49"/>
  <c r="AF62" i="49"/>
  <c r="AF61" i="49"/>
  <c r="AG61" i="49"/>
  <c r="AH61" i="49"/>
  <c r="AI61" i="49"/>
  <c r="AJ61" i="49"/>
  <c r="AJ60" i="49"/>
  <c r="BQ58" i="49"/>
  <c r="BQ59" i="49"/>
  <c r="AV58" i="49"/>
  <c r="AV59" i="49"/>
  <c r="AP58" i="49"/>
  <c r="BK58" i="49"/>
  <c r="AQ59" i="49"/>
  <c r="BI58" i="49"/>
  <c r="AN58" i="49"/>
  <c r="AJ59" i="49"/>
  <c r="BH58" i="49"/>
  <c r="AM58" i="49"/>
  <c r="BE58" i="49"/>
  <c r="BD58" i="49"/>
  <c r="AJ58" i="49"/>
  <c r="AI58" i="49"/>
  <c r="BC58" i="49"/>
  <c r="AH58" i="49"/>
  <c r="BB58" i="49"/>
  <c r="AG58" i="49"/>
  <c r="AO58" i="49"/>
  <c r="BG58" i="49"/>
  <c r="AL58" i="49"/>
  <c r="BA66" i="49"/>
  <c r="BE66" i="49" s="1"/>
  <c r="AF66" i="49"/>
  <c r="AJ66" i="49"/>
  <c r="AP66" i="49"/>
  <c r="AV66" i="49"/>
  <c r="BK66" i="49"/>
  <c r="BQ66" i="49"/>
  <c r="BM66" i="49"/>
  <c r="AR66" i="49"/>
  <c r="BB66" i="49"/>
  <c r="AG66" i="49"/>
  <c r="BC66" i="49"/>
  <c r="AH66" i="49"/>
  <c r="BH66" i="49"/>
  <c r="AM66" i="49"/>
  <c r="AI66" i="49"/>
  <c r="AL66" i="49"/>
  <c r="BD66" i="49"/>
  <c r="BG66" i="49"/>
  <c r="BJ66" i="49"/>
  <c r="AO66" i="49"/>
  <c r="AU66" i="49"/>
  <c r="AU59" i="49"/>
  <c r="BP66" i="49"/>
  <c r="BO59" i="49"/>
  <c r="BO66" i="49"/>
  <c r="BN66" i="49"/>
  <c r="BI66" i="49"/>
  <c r="AT66" i="49"/>
  <c r="AS66" i="49"/>
  <c r="AN66" i="49"/>
  <c r="AT59" i="49"/>
  <c r="BQ266" i="49" l="1"/>
  <c r="BQ175" i="49"/>
  <c r="BQ187" i="49"/>
  <c r="BQ176" i="49"/>
  <c r="AV95" i="49"/>
  <c r="AV143" i="49"/>
  <c r="AJ139" i="49"/>
  <c r="AJ143" i="49"/>
  <c r="AP139" i="49"/>
  <c r="AP143" i="49"/>
  <c r="AJ94" i="49"/>
  <c r="AV139" i="49"/>
  <c r="AV145" i="49"/>
  <c r="AV147" i="49"/>
  <c r="AP95" i="49"/>
  <c r="AJ142" i="49"/>
  <c r="AV146" i="49"/>
  <c r="AP94" i="49"/>
  <c r="AV94" i="49"/>
  <c r="AV142" i="49"/>
  <c r="AP142" i="49"/>
  <c r="AV144" i="49"/>
  <c r="AJ95" i="49"/>
  <c r="AJ147" i="49"/>
  <c r="AP147" i="49"/>
  <c r="BQ254" i="49"/>
  <c r="AV74" i="49"/>
  <c r="AV73" i="49"/>
  <c r="AV244" i="49"/>
  <c r="AV75" i="49"/>
  <c r="AV19" i="49"/>
  <c r="AV57" i="49"/>
  <c r="AV48" i="49"/>
  <c r="AV65" i="49"/>
  <c r="AV46" i="49"/>
  <c r="AV41" i="49"/>
  <c r="AV21" i="49"/>
  <c r="AV34" i="49"/>
  <c r="AV37" i="49"/>
  <c r="AV64" i="49"/>
  <c r="AV14" i="49"/>
  <c r="AV43" i="49"/>
  <c r="AV51" i="49"/>
  <c r="AV52" i="49"/>
  <c r="AV62" i="49"/>
  <c r="AV30" i="49"/>
  <c r="AV13" i="49"/>
  <c r="AV40" i="49"/>
  <c r="AV45" i="49"/>
  <c r="AV50" i="49"/>
  <c r="AV61" i="49"/>
  <c r="AV20" i="49"/>
  <c r="AV32" i="49"/>
  <c r="AV47" i="49"/>
  <c r="AV54" i="49"/>
  <c r="AV60" i="49"/>
  <c r="AV15" i="49"/>
  <c r="AV29" i="49"/>
  <c r="AV44" i="49"/>
  <c r="AV63" i="49"/>
  <c r="AV22" i="49"/>
  <c r="AV27" i="49"/>
  <c r="AV35" i="49"/>
  <c r="AV36" i="49"/>
  <c r="AV38" i="49"/>
  <c r="AV49" i="49"/>
  <c r="AV56" i="49"/>
  <c r="J66" i="49"/>
  <c r="AX39" i="49"/>
  <c r="AQ39" i="49"/>
  <c r="K39" i="49"/>
  <c r="AV193" i="49"/>
  <c r="AP193" i="49"/>
  <c r="AJ193" i="49"/>
  <c r="AV195" i="49"/>
  <c r="AJ195" i="49"/>
  <c r="AP195" i="49"/>
  <c r="AJ42" i="49"/>
  <c r="J39" i="49"/>
  <c r="W28" i="49"/>
  <c r="X28" i="49"/>
  <c r="J26" i="49"/>
  <c r="AV16" i="49" l="1"/>
  <c r="AV23" i="49"/>
  <c r="AV24" i="49"/>
  <c r="AV25" i="49"/>
  <c r="AV33" i="49"/>
  <c r="AV12" i="49"/>
  <c r="AP261" i="49"/>
  <c r="AP239" i="49"/>
  <c r="AP226" i="49"/>
  <c r="AP221" i="49"/>
  <c r="AP220" i="49"/>
  <c r="AP219" i="49"/>
  <c r="AP218" i="49"/>
  <c r="AP171" i="49"/>
  <c r="AP168" i="49"/>
  <c r="AP163" i="49"/>
  <c r="AP161" i="49"/>
  <c r="AP160" i="49"/>
  <c r="AP159" i="49"/>
  <c r="AP158" i="49"/>
  <c r="AP157" i="49"/>
  <c r="AP155" i="49"/>
  <c r="AP154" i="49"/>
  <c r="AP153" i="49"/>
  <c r="AP152" i="49"/>
  <c r="AP151" i="49"/>
  <c r="AP140" i="49"/>
  <c r="AP136" i="49"/>
  <c r="AP135" i="49"/>
  <c r="AP134" i="49"/>
  <c r="AP97" i="49"/>
  <c r="AP96" i="49"/>
  <c r="AP84" i="49"/>
  <c r="AP83" i="49"/>
  <c r="AP72" i="49"/>
  <c r="AP55" i="49"/>
  <c r="AP33" i="49"/>
  <c r="AP24" i="49"/>
  <c r="AP23" i="49"/>
  <c r="AP18" i="49"/>
  <c r="AP16" i="49"/>
  <c r="AP12" i="49"/>
  <c r="AJ16" i="49"/>
  <c r="AJ23" i="49"/>
  <c r="AJ24" i="49"/>
  <c r="AJ31" i="49"/>
  <c r="AJ33" i="49"/>
  <c r="AJ80" i="49"/>
  <c r="AJ83" i="49"/>
  <c r="AJ89" i="49"/>
  <c r="AJ96" i="49"/>
  <c r="AJ97" i="49"/>
  <c r="AJ134" i="49"/>
  <c r="AJ136" i="49"/>
  <c r="AJ140" i="49"/>
  <c r="AJ151" i="49"/>
  <c r="AJ152" i="49"/>
  <c r="AJ153" i="49"/>
  <c r="AJ154" i="49"/>
  <c r="AJ157" i="49"/>
  <c r="AJ158" i="49"/>
  <c r="AJ159" i="49"/>
  <c r="AJ161" i="49"/>
  <c r="AJ162" i="49"/>
  <c r="AJ163" i="49"/>
  <c r="AJ185" i="49"/>
  <c r="AJ218" i="49"/>
  <c r="AJ219" i="49"/>
  <c r="AJ220" i="49"/>
  <c r="AJ221" i="49"/>
  <c r="AJ239" i="49"/>
  <c r="AJ12" i="49"/>
  <c r="BQ158" i="49" l="1"/>
  <c r="BK158" i="49"/>
  <c r="BE158" i="49"/>
  <c r="J17" i="49"/>
  <c r="J18" i="49"/>
  <c r="J16" i="49"/>
  <c r="K232" i="49" l="1"/>
  <c r="L232" i="49" s="1"/>
  <c r="J155" i="49"/>
  <c r="BZ142" i="49" l="1"/>
  <c r="BZ143" i="49"/>
  <c r="H58" i="49" l="1"/>
  <c r="W195" i="49"/>
  <c r="W194" i="49"/>
  <c r="W193" i="49"/>
  <c r="W192" i="49"/>
  <c r="W56" i="49"/>
  <c r="W55" i="49"/>
  <c r="W44" i="49"/>
  <c r="W40" i="49"/>
  <c r="W30" i="49"/>
  <c r="L66" i="49" l="1"/>
  <c r="V27" i="49"/>
  <c r="AW66" i="49" l="1"/>
  <c r="AX66" i="49" s="1"/>
  <c r="W125" i="49"/>
  <c r="W99" i="49"/>
  <c r="W81" i="49"/>
  <c r="W186" i="49"/>
  <c r="W119" i="49"/>
  <c r="W39" i="49"/>
  <c r="W95" i="49"/>
  <c r="W67" i="49"/>
  <c r="W36" i="49"/>
  <c r="W94" i="49"/>
  <c r="W66" i="49"/>
  <c r="W80" i="49"/>
  <c r="W27" i="49"/>
  <c r="W93" i="49"/>
  <c r="W26" i="49"/>
  <c r="W64" i="49"/>
  <c r="X27" i="49"/>
  <c r="W82" i="49"/>
  <c r="X26" i="49"/>
  <c r="W43" i="49"/>
  <c r="W42" i="49"/>
  <c r="W65" i="49" l="1"/>
  <c r="V93" i="49"/>
  <c r="V94" i="49"/>
  <c r="V95" i="49"/>
  <c r="V82" i="49"/>
  <c r="V81" i="49"/>
  <c r="V80" i="49"/>
  <c r="V67" i="49"/>
  <c r="V62" i="49"/>
  <c r="V61" i="49"/>
  <c r="V59" i="49"/>
  <c r="V43" i="49"/>
  <c r="V42" i="49"/>
  <c r="V39" i="49"/>
  <c r="V36" i="49"/>
  <c r="V33" i="49"/>
  <c r="J33" i="49" s="1"/>
  <c r="K12" i="49"/>
  <c r="K67" i="49" l="1"/>
  <c r="J67" i="49"/>
  <c r="L67" i="49" l="1"/>
  <c r="K151" i="49" l="1"/>
  <c r="L151" i="49" s="1"/>
  <c r="J151" i="49"/>
  <c r="J152" i="49"/>
  <c r="K152" i="49"/>
  <c r="J261" i="49" l="1"/>
  <c r="K255" i="49"/>
  <c r="K256" i="49"/>
  <c r="K261" i="49"/>
  <c r="L261" i="49" s="1"/>
  <c r="K192" i="49"/>
  <c r="L192" i="49" s="1"/>
  <c r="J192" i="49"/>
  <c r="L256" i="49" l="1"/>
  <c r="L255" i="49"/>
  <c r="CS101" i="49" l="1"/>
  <c r="CS100" i="49"/>
  <c r="CS99" i="49"/>
  <c r="CS98" i="49"/>
  <c r="CS97" i="49"/>
  <c r="CS96" i="49"/>
  <c r="CS95" i="49"/>
  <c r="CS94" i="49"/>
  <c r="CS93" i="49"/>
  <c r="CS92" i="49"/>
  <c r="CS91" i="49"/>
  <c r="CS90" i="49"/>
  <c r="CS89" i="49"/>
  <c r="CS88" i="49"/>
  <c r="CS87" i="49"/>
  <c r="CS86" i="49"/>
  <c r="CS85" i="49"/>
  <c r="CS84" i="49"/>
  <c r="CS83" i="49"/>
  <c r="CS82" i="49"/>
  <c r="CS81" i="49"/>
  <c r="CS80" i="49"/>
  <c r="CS79" i="49"/>
  <c r="CS78" i="49"/>
  <c r="CS77" i="49"/>
  <c r="CS76" i="49"/>
  <c r="CS75" i="49"/>
  <c r="CS74" i="49"/>
  <c r="CS73" i="49"/>
  <c r="CS72" i="49"/>
  <c r="CS71" i="49"/>
  <c r="CS70" i="49"/>
  <c r="CS69" i="49"/>
  <c r="CS68" i="49"/>
  <c r="CS67" i="49"/>
  <c r="CS66" i="49"/>
  <c r="CS65" i="49"/>
  <c r="CS64" i="49"/>
  <c r="CS63" i="49"/>
  <c r="CS62" i="49"/>
  <c r="CS61" i="49"/>
  <c r="CS60" i="49"/>
  <c r="CS59" i="49"/>
  <c r="CS58" i="49"/>
  <c r="CS57" i="49"/>
  <c r="CS56" i="49"/>
  <c r="CS55" i="49"/>
  <c r="CS54" i="49"/>
  <c r="CS53" i="49"/>
  <c r="CS52" i="49"/>
  <c r="CS51" i="49"/>
  <c r="CS50" i="49"/>
  <c r="CS49" i="49"/>
  <c r="CS48" i="49"/>
  <c r="CS47" i="49"/>
  <c r="CS46" i="49"/>
  <c r="CS45" i="49"/>
  <c r="CS44" i="49"/>
  <c r="CS43" i="49"/>
  <c r="CS42" i="49"/>
  <c r="CS41" i="49"/>
  <c r="CS40" i="49"/>
  <c r="CS39" i="49"/>
  <c r="CS38" i="49"/>
  <c r="CS37" i="49"/>
  <c r="CS36" i="49"/>
  <c r="CS35" i="49"/>
  <c r="CS34" i="49"/>
  <c r="CS33" i="49"/>
  <c r="CS32" i="49"/>
  <c r="CS31" i="49"/>
  <c r="CS30" i="49"/>
  <c r="CS29" i="49"/>
  <c r="CS28" i="49"/>
  <c r="CS27" i="49"/>
  <c r="CS26" i="49"/>
  <c r="CS25" i="49"/>
  <c r="CS24" i="49"/>
  <c r="CS23" i="49"/>
  <c r="CS22" i="49"/>
  <c r="CS21" i="49"/>
  <c r="CS20" i="49"/>
  <c r="CS19" i="49"/>
  <c r="CS18" i="49"/>
  <c r="CS17" i="49"/>
  <c r="CS16" i="49"/>
  <c r="CS15" i="49"/>
  <c r="CS14" i="49"/>
  <c r="CS13" i="49"/>
  <c r="CS12" i="49"/>
  <c r="CR12" i="49"/>
  <c r="CR101" i="49"/>
  <c r="CR100" i="49"/>
  <c r="CR99" i="49"/>
  <c r="CR98" i="49"/>
  <c r="CR97" i="49"/>
  <c r="CR96" i="49"/>
  <c r="CR95" i="49"/>
  <c r="CR94" i="49"/>
  <c r="CR93" i="49"/>
  <c r="CR92" i="49"/>
  <c r="CR91" i="49"/>
  <c r="CR90" i="49"/>
  <c r="CR89" i="49"/>
  <c r="CR88" i="49"/>
  <c r="CR87" i="49"/>
  <c r="CR86" i="49"/>
  <c r="CR85" i="49"/>
  <c r="CR84" i="49"/>
  <c r="CR83" i="49"/>
  <c r="CR82" i="49"/>
  <c r="CR81" i="49"/>
  <c r="CR80" i="49"/>
  <c r="CR79" i="49"/>
  <c r="CR78" i="49"/>
  <c r="CR77" i="49"/>
  <c r="CR76" i="49"/>
  <c r="CR75" i="49"/>
  <c r="CR74" i="49"/>
  <c r="CR73" i="49"/>
  <c r="CR72" i="49"/>
  <c r="CR71" i="49"/>
  <c r="CR70" i="49"/>
  <c r="CR69" i="49"/>
  <c r="CR68" i="49"/>
  <c r="CR67" i="49"/>
  <c r="CR66" i="49"/>
  <c r="CR65" i="49"/>
  <c r="CR64" i="49"/>
  <c r="CR63" i="49"/>
  <c r="CR62" i="49"/>
  <c r="CR61" i="49"/>
  <c r="CR60" i="49"/>
  <c r="CR59" i="49"/>
  <c r="CR58" i="49"/>
  <c r="CR57" i="49"/>
  <c r="CR56" i="49"/>
  <c r="CR55" i="49"/>
  <c r="CR54" i="49"/>
  <c r="CR53" i="49"/>
  <c r="CR52" i="49"/>
  <c r="CR51" i="49"/>
  <c r="CR50" i="49"/>
  <c r="CR49" i="49"/>
  <c r="CR48" i="49"/>
  <c r="CR47" i="49"/>
  <c r="CR46" i="49"/>
  <c r="CR45" i="49"/>
  <c r="CR44" i="49"/>
  <c r="CR43" i="49"/>
  <c r="CR42" i="49"/>
  <c r="CR41" i="49"/>
  <c r="CR40" i="49"/>
  <c r="CR39" i="49"/>
  <c r="CR38" i="49"/>
  <c r="CR37" i="49"/>
  <c r="CR36" i="49"/>
  <c r="CR35" i="49"/>
  <c r="CR34" i="49"/>
  <c r="CR33" i="49"/>
  <c r="CR32" i="49"/>
  <c r="CR31" i="49"/>
  <c r="CR30" i="49"/>
  <c r="CR29" i="49"/>
  <c r="CR28" i="49"/>
  <c r="CR27" i="49"/>
  <c r="CR26" i="49"/>
  <c r="CR25" i="49"/>
  <c r="CR24" i="49"/>
  <c r="CR23" i="49"/>
  <c r="CR22" i="49"/>
  <c r="CR21" i="49"/>
  <c r="CR20" i="49"/>
  <c r="CR19" i="49"/>
  <c r="CR18" i="49"/>
  <c r="CR17" i="49"/>
  <c r="CR16" i="49"/>
  <c r="CR15" i="49"/>
  <c r="CR14" i="49"/>
  <c r="CR13" i="49"/>
  <c r="CY101" i="49"/>
  <c r="CY100" i="49"/>
  <c r="CY99" i="49"/>
  <c r="CY98" i="49"/>
  <c r="CY97" i="49"/>
  <c r="CY96" i="49"/>
  <c r="CY95" i="49"/>
  <c r="CY94" i="49"/>
  <c r="CY93" i="49"/>
  <c r="CY92" i="49"/>
  <c r="CY91" i="49"/>
  <c r="CY90" i="49"/>
  <c r="CY89" i="49"/>
  <c r="CY88" i="49"/>
  <c r="CY87" i="49"/>
  <c r="CY86" i="49"/>
  <c r="CY85" i="49"/>
  <c r="CY84" i="49"/>
  <c r="CY83" i="49"/>
  <c r="CY82" i="49"/>
  <c r="CY81" i="49"/>
  <c r="CY80" i="49"/>
  <c r="CY79" i="49"/>
  <c r="CY78" i="49"/>
  <c r="CY77" i="49"/>
  <c r="CY76" i="49"/>
  <c r="CY75" i="49"/>
  <c r="CY74" i="49"/>
  <c r="CY73" i="49"/>
  <c r="CY72" i="49"/>
  <c r="CY71" i="49"/>
  <c r="CY70" i="49"/>
  <c r="CY69" i="49"/>
  <c r="CY68" i="49"/>
  <c r="CY67" i="49"/>
  <c r="CY66" i="49"/>
  <c r="CY65" i="49"/>
  <c r="CY64" i="49"/>
  <c r="CY63" i="49"/>
  <c r="CY62" i="49"/>
  <c r="CY61" i="49"/>
  <c r="CY60" i="49"/>
  <c r="CY59" i="49"/>
  <c r="CY58" i="49"/>
  <c r="CY57" i="49"/>
  <c r="CY56" i="49"/>
  <c r="CY55" i="49"/>
  <c r="CY54" i="49"/>
  <c r="CY53" i="49"/>
  <c r="CY52" i="49"/>
  <c r="CY51" i="49"/>
  <c r="CY50" i="49"/>
  <c r="CY49" i="49"/>
  <c r="CY48" i="49"/>
  <c r="CY47" i="49"/>
  <c r="CY46" i="49"/>
  <c r="CY45" i="49"/>
  <c r="CY44" i="49"/>
  <c r="CY43" i="49"/>
  <c r="CY42" i="49"/>
  <c r="CY41" i="49"/>
  <c r="CY40" i="49"/>
  <c r="CY39" i="49"/>
  <c r="CY38" i="49"/>
  <c r="CY37" i="49"/>
  <c r="CY36" i="49"/>
  <c r="CY35" i="49"/>
  <c r="CY34" i="49"/>
  <c r="CY33" i="49"/>
  <c r="CY32" i="49"/>
  <c r="CY31" i="49"/>
  <c r="CY30" i="49"/>
  <c r="CY29" i="49"/>
  <c r="CY28" i="49"/>
  <c r="CY27" i="49"/>
  <c r="CY26" i="49"/>
  <c r="CY25" i="49"/>
  <c r="CY24" i="49"/>
  <c r="CY23" i="49"/>
  <c r="CY22" i="49"/>
  <c r="CY21" i="49"/>
  <c r="CY20" i="49"/>
  <c r="CY19" i="49"/>
  <c r="CY18" i="49"/>
  <c r="CY17" i="49"/>
  <c r="CY16" i="49"/>
  <c r="CY15" i="49"/>
  <c r="CY14" i="49"/>
  <c r="CY13" i="49"/>
  <c r="CY12" i="49"/>
  <c r="K65" i="49"/>
  <c r="BZ154" i="49"/>
  <c r="BZ153" i="49"/>
  <c r="BZ152" i="49"/>
  <c r="BZ147" i="49"/>
  <c r="BZ219" i="49"/>
  <c r="BZ218" i="49"/>
  <c r="BZ146" i="49"/>
  <c r="BZ145" i="49"/>
  <c r="BZ144" i="49"/>
  <c r="BZ151" i="49"/>
  <c r="W139" i="49"/>
  <c r="J35" i="49"/>
  <c r="K217" i="49"/>
  <c r="J217" i="49"/>
  <c r="K214" i="49"/>
  <c r="K161" i="49"/>
  <c r="K162" i="49"/>
  <c r="K163" i="49"/>
  <c r="CE46" i="49"/>
  <c r="CE45" i="49"/>
  <c r="CE235" i="49"/>
  <c r="CE234" i="49"/>
  <c r="CF256" i="49"/>
  <c r="CF255" i="49"/>
  <c r="W217" i="49"/>
  <c r="CF44" i="49"/>
  <c r="CF43" i="49"/>
  <c r="K43" i="49"/>
  <c r="K241" i="49"/>
  <c r="L241" i="49" s="1"/>
  <c r="L254" i="49"/>
  <c r="K253" i="49"/>
  <c r="L253" i="49" s="1"/>
  <c r="CF75" i="49"/>
  <c r="CF74" i="49"/>
  <c r="K213" i="49"/>
  <c r="L213" i="49" s="1"/>
  <c r="K198" i="49"/>
  <c r="CF210" i="49"/>
  <c r="K248" i="49"/>
  <c r="L248" i="49" s="1"/>
  <c r="K247" i="49"/>
  <c r="L247" i="49" s="1"/>
  <c r="CF244" i="49"/>
  <c r="CF243" i="49"/>
  <c r="K244" i="49"/>
  <c r="L244" i="49" s="1"/>
  <c r="K243" i="49"/>
  <c r="L243" i="49" s="1"/>
  <c r="K48" i="49"/>
  <c r="K72" i="49"/>
  <c r="L73" i="49" s="1"/>
  <c r="J72" i="49"/>
  <c r="J207" i="49"/>
  <c r="J53" i="49"/>
  <c r="CF197" i="49"/>
  <c r="CF29" i="49"/>
  <c r="K29" i="49"/>
  <c r="CF237" i="49"/>
  <c r="K237" i="49"/>
  <c r="L237" i="49" s="1"/>
  <c r="CF95" i="49"/>
  <c r="CF94" i="49"/>
  <c r="CF93" i="49"/>
  <c r="CF73" i="49"/>
  <c r="CF72" i="49"/>
  <c r="CF110" i="49"/>
  <c r="CF108" i="49"/>
  <c r="CF107" i="49"/>
  <c r="CF28" i="49"/>
  <c r="CF48" i="49"/>
  <c r="CF47" i="49"/>
  <c r="CF67" i="49"/>
  <c r="CF66" i="49"/>
  <c r="CF63" i="49"/>
  <c r="CF60" i="49"/>
  <c r="CF62" i="49"/>
  <c r="CF61" i="49"/>
  <c r="CF59" i="49"/>
  <c r="CF58" i="49"/>
  <c r="CF22" i="49"/>
  <c r="CF21" i="49"/>
  <c r="CF20" i="49"/>
  <c r="K236" i="49"/>
  <c r="L236" i="49" s="1"/>
  <c r="J154" i="49"/>
  <c r="K155" i="49"/>
  <c r="L155" i="49" s="1"/>
  <c r="J219" i="49"/>
  <c r="J239" i="49"/>
  <c r="V240" i="49"/>
  <c r="K240" i="49" s="1"/>
  <c r="V239" i="49"/>
  <c r="V31" i="49"/>
  <c r="Y14" i="49"/>
  <c r="Y15" i="49"/>
  <c r="Y33" i="49"/>
  <c r="Y35" i="49"/>
  <c r="Y37" i="49"/>
  <c r="Y38" i="49"/>
  <c r="Y41" i="49"/>
  <c r="Y51" i="49"/>
  <c r="Y52" i="49"/>
  <c r="Y57" i="49"/>
  <c r="Y68" i="49"/>
  <c r="Y69" i="49"/>
  <c r="Y71" i="49"/>
  <c r="Y76" i="49"/>
  <c r="Y77" i="49"/>
  <c r="Y78" i="49"/>
  <c r="Y79" i="49"/>
  <c r="Y92" i="49"/>
  <c r="Y98" i="49"/>
  <c r="Y100" i="49"/>
  <c r="Y101" i="49"/>
  <c r="Y102" i="49"/>
  <c r="Y103" i="49"/>
  <c r="Y104" i="49"/>
  <c r="Y105" i="49"/>
  <c r="Y106" i="49"/>
  <c r="Y107" i="49"/>
  <c r="Y108" i="49"/>
  <c r="Y109" i="49"/>
  <c r="Y110" i="49"/>
  <c r="Y111" i="49"/>
  <c r="Y112" i="49"/>
  <c r="Y113" i="49"/>
  <c r="Y114" i="49"/>
  <c r="Y115" i="49"/>
  <c r="Y116" i="49"/>
  <c r="Y117" i="49"/>
  <c r="Y118" i="49"/>
  <c r="Y120" i="49"/>
  <c r="Y121" i="49"/>
  <c r="Y122" i="49"/>
  <c r="Y123" i="49"/>
  <c r="Y124" i="49"/>
  <c r="Y127" i="49"/>
  <c r="Y128" i="49"/>
  <c r="Y130" i="49"/>
  <c r="Y132" i="49"/>
  <c r="Y133" i="49"/>
  <c r="Y141" i="49"/>
  <c r="Y149" i="49"/>
  <c r="Y150" i="49"/>
  <c r="Y156" i="49"/>
  <c r="Y172" i="49"/>
  <c r="Y173" i="49"/>
  <c r="Y174" i="49"/>
  <c r="Y175" i="49"/>
  <c r="Y177" i="49"/>
  <c r="Y181" i="49"/>
  <c r="Y191" i="49"/>
  <c r="Y199" i="49"/>
  <c r="Y200" i="49"/>
  <c r="Y201" i="49"/>
  <c r="Y202" i="49"/>
  <c r="Y203" i="49"/>
  <c r="Y204" i="49"/>
  <c r="Y205" i="49"/>
  <c r="Y209" i="49"/>
  <c r="Y210" i="49"/>
  <c r="Y212" i="49"/>
  <c r="Y241" i="49"/>
  <c r="Y245" i="49"/>
  <c r="Y246" i="49"/>
  <c r="Y249" i="49"/>
  <c r="Y250" i="49"/>
  <c r="Y251" i="49"/>
  <c r="Y252" i="49"/>
  <c r="Y254" i="49"/>
  <c r="Y257" i="49"/>
  <c r="Y258" i="49"/>
  <c r="Y259" i="49"/>
  <c r="Y260" i="49"/>
  <c r="Y261" i="49"/>
  <c r="J31" i="49"/>
  <c r="K238" i="49"/>
  <c r="K227" i="49"/>
  <c r="K176" i="49"/>
  <c r="J168" i="49"/>
  <c r="K220" i="49"/>
  <c r="L220" i="49" s="1"/>
  <c r="J220" i="49"/>
  <c r="J157" i="49"/>
  <c r="J153" i="49"/>
  <c r="L152" i="49"/>
  <c r="K44" i="49"/>
  <c r="K229" i="49"/>
  <c r="K228" i="49"/>
  <c r="L228" i="49" s="1"/>
  <c r="V196" i="49"/>
  <c r="V187" i="49"/>
  <c r="V186" i="49"/>
  <c r="K186" i="49" s="1"/>
  <c r="L186" i="49" s="1"/>
  <c r="J221" i="49"/>
  <c r="K170" i="49"/>
  <c r="L170" i="49" s="1"/>
  <c r="K224" i="49"/>
  <c r="J159" i="49"/>
  <c r="J160" i="49"/>
  <c r="J158" i="49"/>
  <c r="K235" i="49"/>
  <c r="J235" i="49"/>
  <c r="K234" i="49"/>
  <c r="J234" i="49"/>
  <c r="K206" i="49"/>
  <c r="K233" i="49"/>
  <c r="K190" i="49"/>
  <c r="J190" i="49"/>
  <c r="K231" i="49"/>
  <c r="K230" i="49"/>
  <c r="K184" i="49"/>
  <c r="K183" i="49"/>
  <c r="L183" i="49" s="1"/>
  <c r="K180" i="49"/>
  <c r="K179" i="49"/>
  <c r="L179" i="49" s="1"/>
  <c r="J171" i="49"/>
  <c r="J226" i="49"/>
  <c r="K225" i="49"/>
  <c r="K169" i="49"/>
  <c r="K167" i="49"/>
  <c r="L167" i="49" s="1"/>
  <c r="K166" i="49"/>
  <c r="L166" i="49" s="1"/>
  <c r="K165" i="49"/>
  <c r="K223" i="49"/>
  <c r="K158" i="49"/>
  <c r="J218" i="49"/>
  <c r="J144" i="49"/>
  <c r="K36" i="49"/>
  <c r="L36" i="49" s="1"/>
  <c r="L161" i="49"/>
  <c r="AW161" i="49" s="1"/>
  <c r="AX161" i="49" s="1"/>
  <c r="L162" i="49"/>
  <c r="AW162" i="49" s="1"/>
  <c r="AX162" i="49" s="1"/>
  <c r="L163" i="49"/>
  <c r="AW163" i="49" s="1"/>
  <c r="AX163" i="49" s="1"/>
  <c r="L137" i="49"/>
  <c r="L136" i="49"/>
  <c r="AW136" i="49" s="1"/>
  <c r="AX136" i="49" s="1"/>
  <c r="L14" i="49"/>
  <c r="L15" i="49"/>
  <c r="L37" i="49"/>
  <c r="L38" i="49"/>
  <c r="L41" i="49"/>
  <c r="L52" i="49"/>
  <c r="L57" i="49"/>
  <c r="L69" i="49"/>
  <c r="L70" i="49"/>
  <c r="L71" i="49"/>
  <c r="L76" i="49"/>
  <c r="L77" i="49"/>
  <c r="L78" i="49"/>
  <c r="L79" i="49"/>
  <c r="L92" i="49"/>
  <c r="L98" i="49"/>
  <c r="L100" i="49"/>
  <c r="L101" i="49"/>
  <c r="L102" i="49"/>
  <c r="L103" i="49"/>
  <c r="L104" i="49"/>
  <c r="L105" i="49"/>
  <c r="L106" i="49"/>
  <c r="L108" i="49"/>
  <c r="L109" i="49"/>
  <c r="L110" i="49"/>
  <c r="L111" i="49"/>
  <c r="L112" i="49"/>
  <c r="L113" i="49"/>
  <c r="L114" i="49"/>
  <c r="L115" i="49"/>
  <c r="L116" i="49"/>
  <c r="L117" i="49"/>
  <c r="L118" i="49"/>
  <c r="L120" i="49"/>
  <c r="L121" i="49"/>
  <c r="L122" i="49"/>
  <c r="L123" i="49"/>
  <c r="L124" i="49"/>
  <c r="L127" i="49"/>
  <c r="L128" i="49"/>
  <c r="L130" i="49"/>
  <c r="L132" i="49"/>
  <c r="L133" i="49"/>
  <c r="L138" i="49"/>
  <c r="L139" i="49"/>
  <c r="L141" i="49"/>
  <c r="L149" i="49"/>
  <c r="L150" i="49"/>
  <c r="L156" i="49"/>
  <c r="L172" i="49"/>
  <c r="L173" i="49"/>
  <c r="L174" i="49"/>
  <c r="L175" i="49"/>
  <c r="L181" i="49"/>
  <c r="L182" i="49"/>
  <c r="L185" i="49"/>
  <c r="AW185" i="49" s="1"/>
  <c r="AX185" i="49" s="1"/>
  <c r="L188" i="49"/>
  <c r="L199" i="49"/>
  <c r="L200" i="49"/>
  <c r="L202" i="49"/>
  <c r="L204" i="49"/>
  <c r="L205" i="49"/>
  <c r="L209" i="49"/>
  <c r="L210" i="49"/>
  <c r="L211" i="49"/>
  <c r="L212" i="49"/>
  <c r="L216" i="49"/>
  <c r="X148" i="49"/>
  <c r="X182" i="49"/>
  <c r="X187" i="49"/>
  <c r="X188" i="49"/>
  <c r="K33" i="49"/>
  <c r="L33" i="49" s="1"/>
  <c r="AW33" i="49" s="1"/>
  <c r="AX33" i="49" s="1"/>
  <c r="K215" i="49"/>
  <c r="K208" i="49"/>
  <c r="K203" i="49"/>
  <c r="L203" i="49" s="1"/>
  <c r="V201" i="49"/>
  <c r="K201" i="49" s="1"/>
  <c r="L201" i="49" s="1"/>
  <c r="K197" i="49"/>
  <c r="J197" i="49"/>
  <c r="J195" i="49"/>
  <c r="J194" i="49"/>
  <c r="J193" i="49"/>
  <c r="K191" i="49"/>
  <c r="L191" i="49" s="1"/>
  <c r="W189" i="49"/>
  <c r="K189" i="49"/>
  <c r="W188" i="49"/>
  <c r="W187" i="49"/>
  <c r="K187" i="49"/>
  <c r="L187" i="49" s="1"/>
  <c r="W182" i="49"/>
  <c r="K178" i="49"/>
  <c r="L178" i="49" s="1"/>
  <c r="V177" i="49"/>
  <c r="K177" i="49"/>
  <c r="L177" i="49" s="1"/>
  <c r="W148" i="49"/>
  <c r="V148" i="49"/>
  <c r="K148" i="49" s="1"/>
  <c r="L148" i="49" s="1"/>
  <c r="K147" i="49"/>
  <c r="J146" i="49"/>
  <c r="J145" i="49"/>
  <c r="K143" i="49"/>
  <c r="K142" i="49"/>
  <c r="V140" i="49"/>
  <c r="W140" i="49" s="1"/>
  <c r="J135" i="49"/>
  <c r="J134" i="49"/>
  <c r="K131" i="49"/>
  <c r="K129" i="49"/>
  <c r="V126" i="49"/>
  <c r="V125" i="49"/>
  <c r="K125" i="49"/>
  <c r="V119" i="49"/>
  <c r="K107" i="49"/>
  <c r="L107" i="49" s="1"/>
  <c r="V99" i="49"/>
  <c r="K97" i="49"/>
  <c r="J97" i="49"/>
  <c r="J96" i="49"/>
  <c r="K91" i="49"/>
  <c r="K90" i="49"/>
  <c r="K89" i="49"/>
  <c r="J89" i="49"/>
  <c r="J88" i="49"/>
  <c r="K87" i="49"/>
  <c r="J87" i="49"/>
  <c r="K86" i="49"/>
  <c r="J86" i="49"/>
  <c r="J85" i="49"/>
  <c r="K84" i="49"/>
  <c r="L84" i="49" s="1"/>
  <c r="J82" i="49"/>
  <c r="J81" i="49"/>
  <c r="J80" i="49"/>
  <c r="K75" i="49"/>
  <c r="L75" i="49" s="1"/>
  <c r="K74" i="49"/>
  <c r="L74" i="49" s="1"/>
  <c r="V71" i="49"/>
  <c r="V70" i="49"/>
  <c r="K68" i="49"/>
  <c r="L68" i="49" s="1"/>
  <c r="V64" i="49"/>
  <c r="K64" i="49" s="1"/>
  <c r="J64" i="49"/>
  <c r="K63" i="49"/>
  <c r="J63" i="49"/>
  <c r="K61" i="49"/>
  <c r="K60" i="49"/>
  <c r="J60" i="49"/>
  <c r="V58" i="49"/>
  <c r="K58" i="49" s="1"/>
  <c r="K56" i="49"/>
  <c r="K55" i="49"/>
  <c r="J55" i="49"/>
  <c r="K54" i="49"/>
  <c r="K51" i="49"/>
  <c r="L51" i="49" s="1"/>
  <c r="K50" i="49"/>
  <c r="J49" i="49"/>
  <c r="J48" i="49"/>
  <c r="K47" i="49"/>
  <c r="J47" i="49"/>
  <c r="K46" i="49"/>
  <c r="J46" i="49"/>
  <c r="K45" i="49"/>
  <c r="J45" i="49"/>
  <c r="J44" i="49"/>
  <c r="J43" i="49"/>
  <c r="K40" i="49"/>
  <c r="L40" i="49" s="1"/>
  <c r="J34" i="49"/>
  <c r="W32" i="49"/>
  <c r="V32" i="49"/>
  <c r="K32" i="49"/>
  <c r="W31" i="49"/>
  <c r="K30" i="49"/>
  <c r="J29" i="49"/>
  <c r="K28" i="49"/>
  <c r="L28" i="49" s="1"/>
  <c r="J24" i="49"/>
  <c r="J23" i="49"/>
  <c r="K20" i="49"/>
  <c r="L20" i="49" s="1"/>
  <c r="K17" i="49"/>
  <c r="J13" i="49"/>
  <c r="L39" i="49"/>
  <c r="K126" i="49"/>
  <c r="L126" i="49" s="1"/>
  <c r="K196" i="49"/>
  <c r="L196" i="49" s="1"/>
  <c r="K27" i="49"/>
  <c r="L27" i="49" s="1"/>
  <c r="J61" i="49"/>
  <c r="W126" i="49"/>
  <c r="J62" i="49"/>
  <c r="J93" i="49"/>
  <c r="J140" i="49"/>
  <c r="J59" i="49"/>
  <c r="K82" i="49"/>
  <c r="K81" i="49"/>
  <c r="K94" i="49"/>
  <c r="K95" i="49"/>
  <c r="K59" i="49"/>
  <c r="J119" i="49"/>
  <c r="K42" i="49"/>
  <c r="L42" i="49" s="1"/>
  <c r="J42" i="49"/>
  <c r="K62" i="49"/>
  <c r="K99" i="49"/>
  <c r="L99" i="49" s="1"/>
  <c r="K119" i="49"/>
  <c r="L119" i="49" s="1"/>
  <c r="C54" i="16"/>
  <c r="D54" i="16" s="1"/>
  <c r="C55" i="16"/>
  <c r="D55" i="16"/>
  <c r="C56" i="16"/>
  <c r="D56" i="16"/>
  <c r="C57" i="16"/>
  <c r="D57" i="16" s="1"/>
  <c r="C59" i="16"/>
  <c r="D59" i="16" s="1"/>
  <c r="C53" i="16"/>
  <c r="D53" i="16"/>
  <c r="C276" i="16"/>
  <c r="D276" i="16" s="1"/>
  <c r="E276" i="16"/>
  <c r="F276" i="16" s="1"/>
  <c r="G276" i="16" s="1"/>
  <c r="H276" i="16" s="1"/>
  <c r="I276" i="16" s="1"/>
  <c r="C275" i="16"/>
  <c r="D275" i="16" s="1"/>
  <c r="E275" i="16"/>
  <c r="F275" i="16" s="1"/>
  <c r="G275" i="16" s="1"/>
  <c r="H275" i="16" s="1"/>
  <c r="I275" i="16" s="1"/>
  <c r="C274" i="16"/>
  <c r="D274" i="16"/>
  <c r="E274" i="16"/>
  <c r="F274" i="16" s="1"/>
  <c r="G274" i="16" s="1"/>
  <c r="H274" i="16"/>
  <c r="I274" i="16" s="1"/>
  <c r="C273" i="16"/>
  <c r="D273" i="16" s="1"/>
  <c r="E273" i="16"/>
  <c r="F273" i="16" s="1"/>
  <c r="G273" i="16"/>
  <c r="H273" i="16" s="1"/>
  <c r="I273" i="16" s="1"/>
  <c r="C272" i="16"/>
  <c r="D272" i="16" s="1"/>
  <c r="E272" i="16" s="1"/>
  <c r="F272" i="16"/>
  <c r="G272" i="16" s="1"/>
  <c r="H272" i="16"/>
  <c r="I272" i="16" s="1"/>
  <c r="C271" i="16"/>
  <c r="D271" i="16"/>
  <c r="E271" i="16" s="1"/>
  <c r="F271" i="16" s="1"/>
  <c r="G271" i="16" s="1"/>
  <c r="H271" i="16" s="1"/>
  <c r="I271" i="16" s="1"/>
  <c r="C270" i="16"/>
  <c r="D270" i="16"/>
  <c r="E270" i="16" s="1"/>
  <c r="F270" i="16"/>
  <c r="G270" i="16" s="1"/>
  <c r="H270" i="16"/>
  <c r="I270" i="16" s="1"/>
  <c r="C269" i="16"/>
  <c r="D269" i="16"/>
  <c r="E269" i="16"/>
  <c r="F269" i="16" s="1"/>
  <c r="G269" i="16" s="1"/>
  <c r="H269" i="16" s="1"/>
  <c r="I269" i="16" s="1"/>
  <c r="C268" i="16"/>
  <c r="D268" i="16" s="1"/>
  <c r="E268" i="16" s="1"/>
  <c r="F268" i="16" s="1"/>
  <c r="G268" i="16" s="1"/>
  <c r="H268" i="16" s="1"/>
  <c r="I268" i="16" s="1"/>
  <c r="C267" i="16"/>
  <c r="D267" i="16"/>
  <c r="E267" i="16" s="1"/>
  <c r="F267" i="16" s="1"/>
  <c r="G267" i="16"/>
  <c r="H267" i="16"/>
  <c r="I267" i="16" s="1"/>
  <c r="C266" i="16"/>
  <c r="D266" i="16"/>
  <c r="E266" i="16" s="1"/>
  <c r="F266" i="16"/>
  <c r="G266" i="16" s="1"/>
  <c r="H266" i="16"/>
  <c r="I266" i="16"/>
  <c r="C265" i="16"/>
  <c r="D265" i="16" s="1"/>
  <c r="E265" i="16" s="1"/>
  <c r="F265" i="16"/>
  <c r="G265" i="16"/>
  <c r="H265" i="16" s="1"/>
  <c r="I265" i="16" s="1"/>
  <c r="C264" i="16"/>
  <c r="D264" i="16" s="1"/>
  <c r="E264" i="16" s="1"/>
  <c r="F264" i="16"/>
  <c r="G264" i="16" s="1"/>
  <c r="H264" i="16" s="1"/>
  <c r="I264" i="16" s="1"/>
  <c r="C263" i="16"/>
  <c r="D263" i="16" s="1"/>
  <c r="E263" i="16" s="1"/>
  <c r="F263" i="16" s="1"/>
  <c r="G263" i="16" s="1"/>
  <c r="H263" i="16"/>
  <c r="I263" i="16" s="1"/>
  <c r="C262" i="16"/>
  <c r="D262" i="16" s="1"/>
  <c r="E262" i="16"/>
  <c r="F262" i="16" s="1"/>
  <c r="G262" i="16" s="1"/>
  <c r="H262" i="16"/>
  <c r="I262" i="16" s="1"/>
  <c r="C261" i="16"/>
  <c r="D261" i="16"/>
  <c r="E261" i="16" s="1"/>
  <c r="F261" i="16" s="1"/>
  <c r="G261" i="16" s="1"/>
  <c r="H261" i="16" s="1"/>
  <c r="I261" i="16" s="1"/>
  <c r="C260" i="16"/>
  <c r="D260" i="16" s="1"/>
  <c r="E260" i="16" s="1"/>
  <c r="F260" i="16"/>
  <c r="G260" i="16" s="1"/>
  <c r="H260" i="16" s="1"/>
  <c r="I260" i="16" s="1"/>
  <c r="C259" i="16"/>
  <c r="D259" i="16" s="1"/>
  <c r="E259" i="16" s="1"/>
  <c r="F259" i="16"/>
  <c r="G259" i="16" s="1"/>
  <c r="H259" i="16" s="1"/>
  <c r="I259" i="16" s="1"/>
  <c r="C258" i="16"/>
  <c r="D258" i="16"/>
  <c r="E258" i="16" s="1"/>
  <c r="F258" i="16" s="1"/>
  <c r="G258" i="16" s="1"/>
  <c r="H258" i="16" s="1"/>
  <c r="I258" i="16" s="1"/>
  <c r="C257" i="16"/>
  <c r="D257" i="16" s="1"/>
  <c r="E257" i="16"/>
  <c r="F257" i="16" s="1"/>
  <c r="G257" i="16" s="1"/>
  <c r="H257" i="16" s="1"/>
  <c r="I257" i="16"/>
  <c r="C256" i="16"/>
  <c r="D256" i="16"/>
  <c r="E256" i="16" s="1"/>
  <c r="F256" i="16" s="1"/>
  <c r="G256" i="16" s="1"/>
  <c r="H256" i="16" s="1"/>
  <c r="I256" i="16" s="1"/>
  <c r="C255" i="16"/>
  <c r="D255" i="16" s="1"/>
  <c r="E255" i="16" s="1"/>
  <c r="F255" i="16"/>
  <c r="G255" i="16"/>
  <c r="H255" i="16" s="1"/>
  <c r="I255" i="16" s="1"/>
  <c r="C254" i="16"/>
  <c r="D254" i="16"/>
  <c r="E254" i="16"/>
  <c r="F254" i="16" s="1"/>
  <c r="G254" i="16" s="1"/>
  <c r="H254" i="16" s="1"/>
  <c r="I254" i="16" s="1"/>
  <c r="C253" i="16"/>
  <c r="D253" i="16"/>
  <c r="E253" i="16"/>
  <c r="F253" i="16" s="1"/>
  <c r="G253" i="16" s="1"/>
  <c r="H253" i="16" s="1"/>
  <c r="I253" i="16" s="1"/>
  <c r="C252" i="16"/>
  <c r="D252" i="16" s="1"/>
  <c r="E252" i="16" s="1"/>
  <c r="F252" i="16" s="1"/>
  <c r="G252" i="16" s="1"/>
  <c r="H252" i="16" s="1"/>
  <c r="I252" i="16" s="1"/>
  <c r="C251" i="16"/>
  <c r="D251" i="16"/>
  <c r="E251" i="16" s="1"/>
  <c r="F251" i="16" s="1"/>
  <c r="G251" i="16" s="1"/>
  <c r="H251" i="16" s="1"/>
  <c r="I251" i="16" s="1"/>
  <c r="C250" i="16"/>
  <c r="D250" i="16"/>
  <c r="E250" i="16" s="1"/>
  <c r="F250" i="16" s="1"/>
  <c r="G250" i="16" s="1"/>
  <c r="H250" i="16" s="1"/>
  <c r="I250" i="16" s="1"/>
  <c r="C249" i="16"/>
  <c r="D249" i="16"/>
  <c r="E249" i="16" s="1"/>
  <c r="F249" i="16" s="1"/>
  <c r="G249" i="16" s="1"/>
  <c r="H249" i="16" s="1"/>
  <c r="I249" i="16" s="1"/>
  <c r="C248" i="16"/>
  <c r="D248" i="16" s="1"/>
  <c r="E248" i="16"/>
  <c r="F248" i="16" s="1"/>
  <c r="G248" i="16" s="1"/>
  <c r="H248" i="16" s="1"/>
  <c r="I248" i="16" s="1"/>
  <c r="C247" i="16"/>
  <c r="D247" i="16"/>
  <c r="E247" i="16"/>
  <c r="F247" i="16" s="1"/>
  <c r="G247" i="16" s="1"/>
  <c r="H247" i="16" s="1"/>
  <c r="I247" i="16" s="1"/>
  <c r="C246" i="16"/>
  <c r="D246" i="16" s="1"/>
  <c r="E246" i="16" s="1"/>
  <c r="F246" i="16" s="1"/>
  <c r="G246" i="16" s="1"/>
  <c r="H246" i="16" s="1"/>
  <c r="I246" i="16" s="1"/>
  <c r="C245" i="16"/>
  <c r="D245" i="16"/>
  <c r="E245" i="16" s="1"/>
  <c r="F245" i="16" s="1"/>
  <c r="G245" i="16" s="1"/>
  <c r="H245" i="16" s="1"/>
  <c r="I245" i="16" s="1"/>
  <c r="C244" i="16"/>
  <c r="D244" i="16" s="1"/>
  <c r="E244" i="16" s="1"/>
  <c r="F244" i="16" s="1"/>
  <c r="G244" i="16" s="1"/>
  <c r="H244" i="16" s="1"/>
  <c r="I244" i="16" s="1"/>
  <c r="C243" i="16"/>
  <c r="D243" i="16" s="1"/>
  <c r="E243" i="16" s="1"/>
  <c r="F243" i="16"/>
  <c r="G243" i="16" s="1"/>
  <c r="H243" i="16" s="1"/>
  <c r="I243" i="16" s="1"/>
  <c r="C242" i="16"/>
  <c r="D242" i="16"/>
  <c r="E242" i="16" s="1"/>
  <c r="F242" i="16" s="1"/>
  <c r="G242" i="16" s="1"/>
  <c r="H242" i="16"/>
  <c r="I242" i="16" s="1"/>
  <c r="C241" i="16"/>
  <c r="D241" i="16" s="1"/>
  <c r="E241" i="16" s="1"/>
  <c r="F241" i="16" s="1"/>
  <c r="G241" i="16" s="1"/>
  <c r="H241" i="16" s="1"/>
  <c r="I241" i="16" s="1"/>
  <c r="C240" i="16"/>
  <c r="D240" i="16"/>
  <c r="E240" i="16" s="1"/>
  <c r="F240" i="16" s="1"/>
  <c r="G240" i="16" s="1"/>
  <c r="H240" i="16" s="1"/>
  <c r="I240" i="16" s="1"/>
  <c r="C239" i="16"/>
  <c r="D239" i="16" s="1"/>
  <c r="E239" i="16" s="1"/>
  <c r="F239" i="16" s="1"/>
  <c r="G239" i="16"/>
  <c r="H239" i="16"/>
  <c r="I239" i="16" s="1"/>
  <c r="C238" i="16"/>
  <c r="D238" i="16"/>
  <c r="E238" i="16" s="1"/>
  <c r="F238" i="16" s="1"/>
  <c r="G238" i="16" s="1"/>
  <c r="H238" i="16" s="1"/>
  <c r="I238" i="16" s="1"/>
  <c r="C237" i="16"/>
  <c r="D237" i="16"/>
  <c r="E237" i="16"/>
  <c r="F237" i="16"/>
  <c r="G237" i="16" s="1"/>
  <c r="H237" i="16" s="1"/>
  <c r="I237" i="16"/>
  <c r="C236" i="16"/>
  <c r="D236" i="16" s="1"/>
  <c r="E236" i="16" s="1"/>
  <c r="F236" i="16" s="1"/>
  <c r="G236" i="16" s="1"/>
  <c r="H236" i="16"/>
  <c r="I236" i="16" s="1"/>
  <c r="C235" i="16"/>
  <c r="D235" i="16"/>
  <c r="E235" i="16" s="1"/>
  <c r="F235" i="16"/>
  <c r="G235" i="16" s="1"/>
  <c r="H235" i="16" s="1"/>
  <c r="I235" i="16" s="1"/>
  <c r="C234" i="16"/>
  <c r="D234" i="16" s="1"/>
  <c r="E234" i="16"/>
  <c r="F234" i="16" s="1"/>
  <c r="G234" i="16" s="1"/>
  <c r="H234" i="16"/>
  <c r="I234" i="16" s="1"/>
  <c r="C233" i="16"/>
  <c r="D233" i="16"/>
  <c r="E233" i="16" s="1"/>
  <c r="F233" i="16" s="1"/>
  <c r="G233" i="16" s="1"/>
  <c r="H233" i="16" s="1"/>
  <c r="I233" i="16" s="1"/>
  <c r="C232" i="16"/>
  <c r="D232" i="16" s="1"/>
  <c r="E232" i="16" s="1"/>
  <c r="F232" i="16" s="1"/>
  <c r="G232" i="16" s="1"/>
  <c r="H232" i="16" s="1"/>
  <c r="I232" i="16" s="1"/>
  <c r="C231" i="16"/>
  <c r="D231" i="16" s="1"/>
  <c r="E231" i="16" s="1"/>
  <c r="F231" i="16"/>
  <c r="G231" i="16" s="1"/>
  <c r="H231" i="16"/>
  <c r="I231" i="16" s="1"/>
  <c r="C230" i="16"/>
  <c r="D230" i="16" s="1"/>
  <c r="E230" i="16"/>
  <c r="F230" i="16" s="1"/>
  <c r="G230" i="16" s="1"/>
  <c r="H230" i="16" s="1"/>
  <c r="I230" i="16" s="1"/>
  <c r="C229" i="16"/>
  <c r="D229" i="16"/>
  <c r="E229" i="16" s="1"/>
  <c r="F229" i="16"/>
  <c r="G229" i="16"/>
  <c r="H229" i="16" s="1"/>
  <c r="I229" i="16"/>
  <c r="C228" i="16"/>
  <c r="D228" i="16" s="1"/>
  <c r="E228" i="16"/>
  <c r="F228" i="16" s="1"/>
  <c r="G228" i="16" s="1"/>
  <c r="H228" i="16"/>
  <c r="I228" i="16" s="1"/>
  <c r="C227" i="16"/>
  <c r="D227" i="16"/>
  <c r="E227" i="16" s="1"/>
  <c r="F227" i="16" s="1"/>
  <c r="G227" i="16" s="1"/>
  <c r="H227" i="16" s="1"/>
  <c r="I227" i="16" s="1"/>
  <c r="C226" i="16"/>
  <c r="D226" i="16" s="1"/>
  <c r="E226" i="16" s="1"/>
  <c r="F226" i="16" s="1"/>
  <c r="G226" i="16"/>
  <c r="H226" i="16" s="1"/>
  <c r="I226" i="16" s="1"/>
  <c r="C225" i="16"/>
  <c r="D225" i="16" s="1"/>
  <c r="E225" i="16"/>
  <c r="F225" i="16" s="1"/>
  <c r="G225" i="16" s="1"/>
  <c r="H225" i="16" s="1"/>
  <c r="I225" i="16" s="1"/>
  <c r="C224" i="16"/>
  <c r="D224" i="16"/>
  <c r="E224" i="16" s="1"/>
  <c r="F224" i="16" s="1"/>
  <c r="G224" i="16"/>
  <c r="H224" i="16" s="1"/>
  <c r="I224" i="16" s="1"/>
  <c r="C223" i="16"/>
  <c r="D223" i="16" s="1"/>
  <c r="E223" i="16" s="1"/>
  <c r="F223" i="16" s="1"/>
  <c r="G223" i="16"/>
  <c r="H223" i="16" s="1"/>
  <c r="I223" i="16" s="1"/>
  <c r="C222" i="16"/>
  <c r="D222" i="16"/>
  <c r="E222" i="16"/>
  <c r="F222" i="16" s="1"/>
  <c r="G222" i="16" s="1"/>
  <c r="H222" i="16" s="1"/>
  <c r="I222" i="16" s="1"/>
  <c r="C221" i="16"/>
  <c r="D221" i="16"/>
  <c r="E221" i="16" s="1"/>
  <c r="F221" i="16" s="1"/>
  <c r="G221" i="16" s="1"/>
  <c r="H221" i="16" s="1"/>
  <c r="I221" i="16" s="1"/>
  <c r="C220" i="16"/>
  <c r="D220" i="16" s="1"/>
  <c r="E220" i="16" s="1"/>
  <c r="F220" i="16" s="1"/>
  <c r="G220" i="16" s="1"/>
  <c r="H220" i="16"/>
  <c r="I220" i="16" s="1"/>
  <c r="C219" i="16"/>
  <c r="D219" i="16"/>
  <c r="E219" i="16" s="1"/>
  <c r="F219" i="16" s="1"/>
  <c r="G219" i="16" s="1"/>
  <c r="H219" i="16"/>
  <c r="I219" i="16" s="1"/>
  <c r="C218" i="16"/>
  <c r="D218" i="16"/>
  <c r="E218" i="16" s="1"/>
  <c r="F218" i="16" s="1"/>
  <c r="G218" i="16"/>
  <c r="H218" i="16" s="1"/>
  <c r="I218" i="16" s="1"/>
  <c r="C217" i="16"/>
  <c r="D217" i="16"/>
  <c r="E217" i="16" s="1"/>
  <c r="F217" i="16" s="1"/>
  <c r="G217" i="16" s="1"/>
  <c r="H217" i="16" s="1"/>
  <c r="I217" i="16" s="1"/>
  <c r="C216" i="16"/>
  <c r="D216" i="16" s="1"/>
  <c r="E216" i="16" s="1"/>
  <c r="F216" i="16" s="1"/>
  <c r="G216" i="16"/>
  <c r="H216" i="16" s="1"/>
  <c r="I216" i="16" s="1"/>
  <c r="C215" i="16"/>
  <c r="D215" i="16"/>
  <c r="E215" i="16" s="1"/>
  <c r="F215" i="16" s="1"/>
  <c r="G215" i="16" s="1"/>
  <c r="H215" i="16"/>
  <c r="I215" i="16" s="1"/>
  <c r="C214" i="16"/>
  <c r="D214" i="16" s="1"/>
  <c r="E214" i="16" s="1"/>
  <c r="F214" i="16"/>
  <c r="G214" i="16" s="1"/>
  <c r="H214" i="16" s="1"/>
  <c r="I214" i="16" s="1"/>
  <c r="C213" i="16"/>
  <c r="D213" i="16"/>
  <c r="E213" i="16" s="1"/>
  <c r="F213" i="16" s="1"/>
  <c r="G213" i="16"/>
  <c r="H213" i="16" s="1"/>
  <c r="I213" i="16" s="1"/>
  <c r="C212" i="16"/>
  <c r="D212" i="16" s="1"/>
  <c r="E212" i="16"/>
  <c r="F212" i="16" s="1"/>
  <c r="G212" i="16" s="1"/>
  <c r="H212" i="16" s="1"/>
  <c r="I212" i="16" s="1"/>
  <c r="C211" i="16"/>
  <c r="D211" i="16" s="1"/>
  <c r="E211" i="16" s="1"/>
  <c r="F211" i="16"/>
  <c r="G211" i="16" s="1"/>
  <c r="H211" i="16" s="1"/>
  <c r="I211" i="16" s="1"/>
  <c r="C210" i="16"/>
  <c r="D210" i="16"/>
  <c r="E210" i="16"/>
  <c r="F210" i="16" s="1"/>
  <c r="G210" i="16" s="1"/>
  <c r="H210" i="16"/>
  <c r="I210" i="16" s="1"/>
  <c r="C209" i="16"/>
  <c r="D209" i="16"/>
  <c r="E209" i="16" s="1"/>
  <c r="F209" i="16" s="1"/>
  <c r="G209" i="16" s="1"/>
  <c r="H209" i="16" s="1"/>
  <c r="I209" i="16" s="1"/>
  <c r="C208" i="16"/>
  <c r="D208" i="16"/>
  <c r="E208" i="16" s="1"/>
  <c r="F208" i="16"/>
  <c r="G208" i="16" s="1"/>
  <c r="H208" i="16" s="1"/>
  <c r="I208" i="16"/>
  <c r="C207" i="16"/>
  <c r="D207" i="16" s="1"/>
  <c r="E207" i="16"/>
  <c r="F207" i="16" s="1"/>
  <c r="G207" i="16" s="1"/>
  <c r="H207" i="16" s="1"/>
  <c r="I207" i="16" s="1"/>
  <c r="C206" i="16"/>
  <c r="D206" i="16"/>
  <c r="E206" i="16" s="1"/>
  <c r="F206" i="16" s="1"/>
  <c r="G206" i="16" s="1"/>
  <c r="H206" i="16" s="1"/>
  <c r="I206" i="16" s="1"/>
  <c r="C205" i="16"/>
  <c r="D205" i="16"/>
  <c r="E205" i="16"/>
  <c r="F205" i="16" s="1"/>
  <c r="G205" i="16" s="1"/>
  <c r="H205" i="16" s="1"/>
  <c r="I205" i="16" s="1"/>
  <c r="C204" i="16"/>
  <c r="D204" i="16" s="1"/>
  <c r="E204" i="16" s="1"/>
  <c r="F204" i="16" s="1"/>
  <c r="G204" i="16" s="1"/>
  <c r="H204" i="16"/>
  <c r="I204" i="16" s="1"/>
  <c r="C203" i="16"/>
  <c r="D203" i="16"/>
  <c r="E203" i="16" s="1"/>
  <c r="F203" i="16"/>
  <c r="G203" i="16" s="1"/>
  <c r="H203" i="16" s="1"/>
  <c r="I203" i="16" s="1"/>
  <c r="C202" i="16"/>
  <c r="D202" i="16" s="1"/>
  <c r="E202" i="16" s="1"/>
  <c r="F202" i="16" s="1"/>
  <c r="G202" i="16"/>
  <c r="H202" i="16" s="1"/>
  <c r="I202" i="16" s="1"/>
  <c r="C201" i="16"/>
  <c r="D201" i="16"/>
  <c r="E201" i="16" s="1"/>
  <c r="F201" i="16" s="1"/>
  <c r="G201" i="16" s="1"/>
  <c r="H201" i="16" s="1"/>
  <c r="I201" i="16" s="1"/>
  <c r="C200" i="16"/>
  <c r="D200" i="16" s="1"/>
  <c r="E200" i="16" s="1"/>
  <c r="F200" i="16"/>
  <c r="G200" i="16" s="1"/>
  <c r="H200" i="16" s="1"/>
  <c r="I200" i="16" s="1"/>
  <c r="C199" i="16"/>
  <c r="D199" i="16"/>
  <c r="E199" i="16" s="1"/>
  <c r="F199" i="16" s="1"/>
  <c r="G199" i="16" s="1"/>
  <c r="H199" i="16" s="1"/>
  <c r="I199" i="16" s="1"/>
  <c r="C198" i="16"/>
  <c r="D198" i="16" s="1"/>
  <c r="E198" i="16"/>
  <c r="F198" i="16" s="1"/>
  <c r="G198" i="16"/>
  <c r="H198" i="16"/>
  <c r="I198" i="16" s="1"/>
  <c r="C197" i="16"/>
  <c r="D197" i="16"/>
  <c r="E197" i="16" s="1"/>
  <c r="F197" i="16"/>
  <c r="G197" i="16" s="1"/>
  <c r="H197" i="16" s="1"/>
  <c r="I197" i="16" s="1"/>
  <c r="C196" i="16"/>
  <c r="D196" i="16" s="1"/>
  <c r="E196" i="16"/>
  <c r="F196" i="16" s="1"/>
  <c r="G196" i="16" s="1"/>
  <c r="H196" i="16" s="1"/>
  <c r="I196" i="16" s="1"/>
  <c r="C195" i="16"/>
  <c r="D195" i="16"/>
  <c r="E195" i="16" s="1"/>
  <c r="F195" i="16" s="1"/>
  <c r="G195" i="16" s="1"/>
  <c r="H195" i="16" s="1"/>
  <c r="I195" i="16" s="1"/>
  <c r="C194" i="16"/>
  <c r="D194" i="16" s="1"/>
  <c r="E194" i="16" s="1"/>
  <c r="F194" i="16" s="1"/>
  <c r="G194" i="16"/>
  <c r="H194" i="16" s="1"/>
  <c r="I194" i="16" s="1"/>
  <c r="C193" i="16"/>
  <c r="D193" i="16" s="1"/>
  <c r="E193" i="16"/>
  <c r="F193" i="16"/>
  <c r="G193" i="16" s="1"/>
  <c r="H193" i="16" s="1"/>
  <c r="I193" i="16" s="1"/>
  <c r="C192" i="16"/>
  <c r="D192" i="16"/>
  <c r="E192" i="16"/>
  <c r="F192" i="16" s="1"/>
  <c r="G192" i="16" s="1"/>
  <c r="H192" i="16" s="1"/>
  <c r="I192" i="16" s="1"/>
  <c r="C191" i="16"/>
  <c r="D191" i="16"/>
  <c r="E191" i="16" s="1"/>
  <c r="F191" i="16" s="1"/>
  <c r="G191" i="16" s="1"/>
  <c r="H191" i="16" s="1"/>
  <c r="I191" i="16" s="1"/>
  <c r="C190" i="16"/>
  <c r="D190" i="16"/>
  <c r="E190" i="16" s="1"/>
  <c r="F190" i="16"/>
  <c r="G190" i="16" s="1"/>
  <c r="H190" i="16" s="1"/>
  <c r="I190" i="16" s="1"/>
  <c r="C189" i="16"/>
  <c r="D189" i="16"/>
  <c r="E189" i="16"/>
  <c r="F189" i="16"/>
  <c r="G189" i="16" s="1"/>
  <c r="H189" i="16" s="1"/>
  <c r="I189" i="16" s="1"/>
  <c r="C188" i="16"/>
  <c r="D188" i="16" s="1"/>
  <c r="E188" i="16" s="1"/>
  <c r="F188" i="16" s="1"/>
  <c r="G188" i="16" s="1"/>
  <c r="H188" i="16"/>
  <c r="I188" i="16" s="1"/>
  <c r="C187" i="16"/>
  <c r="D187" i="16" s="1"/>
  <c r="E187" i="16" s="1"/>
  <c r="F187" i="16"/>
  <c r="G187" i="16" s="1"/>
  <c r="H187" i="16" s="1"/>
  <c r="I187" i="16" s="1"/>
  <c r="C186" i="16"/>
  <c r="D186" i="16"/>
  <c r="E186" i="16"/>
  <c r="F186" i="16" s="1"/>
  <c r="G186" i="16"/>
  <c r="H186" i="16" s="1"/>
  <c r="I186" i="16"/>
  <c r="C185" i="16"/>
  <c r="D185" i="16" s="1"/>
  <c r="E185" i="16" s="1"/>
  <c r="F185" i="16" s="1"/>
  <c r="G185" i="16" s="1"/>
  <c r="H185" i="16"/>
  <c r="I185" i="16" s="1"/>
  <c r="C184" i="16"/>
  <c r="D184" i="16"/>
  <c r="E184" i="16" s="1"/>
  <c r="F184" i="16" s="1"/>
  <c r="G184" i="16" s="1"/>
  <c r="H184" i="16" s="1"/>
  <c r="I184" i="16" s="1"/>
  <c r="C183" i="16"/>
  <c r="D183" i="16"/>
  <c r="E183" i="16"/>
  <c r="F183" i="16" s="1"/>
  <c r="G183" i="16"/>
  <c r="H183" i="16" s="1"/>
  <c r="I183" i="16" s="1"/>
  <c r="C182" i="16"/>
  <c r="D182" i="16" s="1"/>
  <c r="E182" i="16" s="1"/>
  <c r="F182" i="16" s="1"/>
  <c r="G182" i="16" s="1"/>
  <c r="H182" i="16" s="1"/>
  <c r="I182" i="16" s="1"/>
  <c r="C181" i="16"/>
  <c r="D181" i="16"/>
  <c r="E181" i="16"/>
  <c r="F181" i="16" s="1"/>
  <c r="G181" i="16" s="1"/>
  <c r="H181" i="16" s="1"/>
  <c r="I181" i="16" s="1"/>
  <c r="C180" i="16"/>
  <c r="D180" i="16" s="1"/>
  <c r="E180" i="16"/>
  <c r="F180" i="16" s="1"/>
  <c r="G180" i="16" s="1"/>
  <c r="H180" i="16" s="1"/>
  <c r="I180" i="16" s="1"/>
  <c r="C179" i="16"/>
  <c r="D179" i="16" s="1"/>
  <c r="E179" i="16" s="1"/>
  <c r="F179" i="16" s="1"/>
  <c r="G179" i="16"/>
  <c r="H179" i="16" s="1"/>
  <c r="I179" i="16" s="1"/>
  <c r="C178" i="16"/>
  <c r="D178" i="16"/>
  <c r="E178" i="16"/>
  <c r="F178" i="16" s="1"/>
  <c r="G178" i="16" s="1"/>
  <c r="H178" i="16" s="1"/>
  <c r="I178" i="16" s="1"/>
  <c r="C177" i="16"/>
  <c r="D177" i="16" s="1"/>
  <c r="E177" i="16" s="1"/>
  <c r="F177" i="16" s="1"/>
  <c r="G177" i="16" s="1"/>
  <c r="H177" i="16" s="1"/>
  <c r="I177" i="16" s="1"/>
  <c r="C176" i="16"/>
  <c r="D176" i="16" s="1"/>
  <c r="E176" i="16" s="1"/>
  <c r="F176" i="16"/>
  <c r="G176" i="16" s="1"/>
  <c r="H176" i="16" s="1"/>
  <c r="I176" i="16"/>
  <c r="C175" i="16"/>
  <c r="D175" i="16" s="1"/>
  <c r="E175" i="16"/>
  <c r="F175" i="16" s="1"/>
  <c r="G175" i="16" s="1"/>
  <c r="H175" i="16" s="1"/>
  <c r="I175" i="16" s="1"/>
  <c r="C174" i="16"/>
  <c r="D174" i="16" s="1"/>
  <c r="E174" i="16" s="1"/>
  <c r="F174" i="16" s="1"/>
  <c r="G174" i="16" s="1"/>
  <c r="H174" i="16"/>
  <c r="I174" i="16" s="1"/>
  <c r="C173" i="16"/>
  <c r="D173" i="16"/>
  <c r="E173" i="16"/>
  <c r="F173" i="16" s="1"/>
  <c r="G173" i="16"/>
  <c r="H173" i="16" s="1"/>
  <c r="I173" i="16" s="1"/>
  <c r="C172" i="16"/>
  <c r="D172" i="16" s="1"/>
  <c r="E172" i="16" s="1"/>
  <c r="F172" i="16" s="1"/>
  <c r="G172" i="16" s="1"/>
  <c r="H172" i="16" s="1"/>
  <c r="I172" i="16" s="1"/>
  <c r="C171" i="16"/>
  <c r="D171" i="16" s="1"/>
  <c r="E171" i="16" s="1"/>
  <c r="F171" i="16" s="1"/>
  <c r="G171" i="16" s="1"/>
  <c r="H171" i="16" s="1"/>
  <c r="I171" i="16" s="1"/>
  <c r="C170" i="16"/>
  <c r="D170" i="16"/>
  <c r="E170" i="16" s="1"/>
  <c r="F170" i="16" s="1"/>
  <c r="G170" i="16"/>
  <c r="H170" i="16" s="1"/>
  <c r="I170" i="16" s="1"/>
  <c r="C169" i="16"/>
  <c r="D169" i="16" s="1"/>
  <c r="E169" i="16" s="1"/>
  <c r="F169" i="16" s="1"/>
  <c r="G169" i="16" s="1"/>
  <c r="H169" i="16" s="1"/>
  <c r="I169" i="16"/>
  <c r="C168" i="16"/>
  <c r="D168" i="16" s="1"/>
  <c r="E168" i="16" s="1"/>
  <c r="F168" i="16"/>
  <c r="G168" i="16"/>
  <c r="H168" i="16" s="1"/>
  <c r="I168" i="16" s="1"/>
  <c r="C167" i="16"/>
  <c r="D167" i="16"/>
  <c r="E167" i="16" s="1"/>
  <c r="F167" i="16" s="1"/>
  <c r="G167" i="16" s="1"/>
  <c r="H167" i="16" s="1"/>
  <c r="I167" i="16" s="1"/>
  <c r="C166" i="16"/>
  <c r="D166" i="16"/>
  <c r="E166" i="16" s="1"/>
  <c r="F166" i="16" s="1"/>
  <c r="G166" i="16" s="1"/>
  <c r="H166" i="16"/>
  <c r="I166" i="16" s="1"/>
  <c r="C165" i="16"/>
  <c r="D165" i="16"/>
  <c r="E165" i="16"/>
  <c r="F165" i="16" s="1"/>
  <c r="G165" i="16" s="1"/>
  <c r="H165" i="16" s="1"/>
  <c r="I165" i="16" s="1"/>
  <c r="C164" i="16"/>
  <c r="D164" i="16" s="1"/>
  <c r="E164" i="16"/>
  <c r="F164" i="16" s="1"/>
  <c r="G164" i="16" s="1"/>
  <c r="H164" i="16" s="1"/>
  <c r="I164" i="16" s="1"/>
  <c r="AL163" i="16"/>
  <c r="AN163" i="16" s="1"/>
  <c r="AP163" i="16" s="1"/>
  <c r="AR163" i="16" s="1"/>
  <c r="AK163" i="16"/>
  <c r="AM163" i="16"/>
  <c r="AO163" i="16" s="1"/>
  <c r="AQ163" i="16" s="1"/>
  <c r="AS163" i="16" s="1"/>
  <c r="C163" i="16"/>
  <c r="D163" i="16" s="1"/>
  <c r="E163" i="16" s="1"/>
  <c r="F163" i="16" s="1"/>
  <c r="G163" i="16" s="1"/>
  <c r="H163" i="16"/>
  <c r="I163" i="16" s="1"/>
  <c r="AL162" i="16"/>
  <c r="AN162" i="16"/>
  <c r="AP162" i="16" s="1"/>
  <c r="AR162" i="16"/>
  <c r="AK162" i="16"/>
  <c r="AM162" i="16"/>
  <c r="AO162" i="16" s="1"/>
  <c r="AQ162" i="16" s="1"/>
  <c r="AS162" i="16" s="1"/>
  <c r="C162" i="16"/>
  <c r="D162" i="16" s="1"/>
  <c r="E162" i="16" s="1"/>
  <c r="F162" i="16" s="1"/>
  <c r="G162" i="16" s="1"/>
  <c r="H162" i="16"/>
  <c r="I162" i="16" s="1"/>
  <c r="AL161" i="16"/>
  <c r="AN161" i="16" s="1"/>
  <c r="AP161" i="16" s="1"/>
  <c r="AR161" i="16" s="1"/>
  <c r="AK161" i="16"/>
  <c r="AM161" i="16"/>
  <c r="AO161" i="16" s="1"/>
  <c r="AQ161" i="16" s="1"/>
  <c r="AS161" i="16" s="1"/>
  <c r="C161" i="16"/>
  <c r="D161" i="16" s="1"/>
  <c r="E161" i="16" s="1"/>
  <c r="F161" i="16" s="1"/>
  <c r="G161" i="16" s="1"/>
  <c r="H161" i="16" s="1"/>
  <c r="I161" i="16" s="1"/>
  <c r="AL160" i="16"/>
  <c r="AN160" i="16" s="1"/>
  <c r="AP160" i="16"/>
  <c r="AR160" i="16" s="1"/>
  <c r="AK160" i="16"/>
  <c r="AM160" i="16" s="1"/>
  <c r="AO160" i="16" s="1"/>
  <c r="AQ160" i="16" s="1"/>
  <c r="AS160" i="16"/>
  <c r="C160" i="16"/>
  <c r="D160" i="16"/>
  <c r="E160" i="16" s="1"/>
  <c r="F160" i="16" s="1"/>
  <c r="G160" i="16" s="1"/>
  <c r="H160" i="16" s="1"/>
  <c r="I160" i="16" s="1"/>
  <c r="AL159" i="16"/>
  <c r="AN159" i="16"/>
  <c r="AP159" i="16"/>
  <c r="AR159" i="16" s="1"/>
  <c r="AK159" i="16"/>
  <c r="AM159" i="16" s="1"/>
  <c r="AO159" i="16" s="1"/>
  <c r="AQ159" i="16" s="1"/>
  <c r="AS159" i="16" s="1"/>
  <c r="C159" i="16"/>
  <c r="D159" i="16"/>
  <c r="E159" i="16" s="1"/>
  <c r="F159" i="16" s="1"/>
  <c r="G159" i="16" s="1"/>
  <c r="H159" i="16" s="1"/>
  <c r="I159" i="16" s="1"/>
  <c r="AL158" i="16"/>
  <c r="AN158" i="16" s="1"/>
  <c r="AP158" i="16" s="1"/>
  <c r="AR158" i="16" s="1"/>
  <c r="AK158" i="16"/>
  <c r="AM158" i="16"/>
  <c r="AO158" i="16" s="1"/>
  <c r="AQ158" i="16" s="1"/>
  <c r="AS158" i="16" s="1"/>
  <c r="C158" i="16"/>
  <c r="D158" i="16" s="1"/>
  <c r="E158" i="16" s="1"/>
  <c r="F158" i="16" s="1"/>
  <c r="G158" i="16" s="1"/>
  <c r="H158" i="16" s="1"/>
  <c r="I158" i="16" s="1"/>
  <c r="AL157" i="16"/>
  <c r="AN157" i="16" s="1"/>
  <c r="AP157" i="16" s="1"/>
  <c r="AR157" i="16" s="1"/>
  <c r="AK157" i="16"/>
  <c r="AM157" i="16"/>
  <c r="AO157" i="16"/>
  <c r="AQ157" i="16" s="1"/>
  <c r="AS157" i="16" s="1"/>
  <c r="C157" i="16"/>
  <c r="D157" i="16"/>
  <c r="E157" i="16" s="1"/>
  <c r="F157" i="16" s="1"/>
  <c r="G157" i="16" s="1"/>
  <c r="H157" i="16" s="1"/>
  <c r="I157" i="16" s="1"/>
  <c r="C156" i="16"/>
  <c r="D156" i="16" s="1"/>
  <c r="E156" i="16" s="1"/>
  <c r="F156" i="16" s="1"/>
  <c r="G156" i="16" s="1"/>
  <c r="H156" i="16" s="1"/>
  <c r="I156" i="16" s="1"/>
  <c r="C155" i="16"/>
  <c r="D155" i="16"/>
  <c r="E155" i="16" s="1"/>
  <c r="F155" i="16" s="1"/>
  <c r="G155" i="16" s="1"/>
  <c r="H155" i="16" s="1"/>
  <c r="I155" i="16" s="1"/>
  <c r="C154" i="16"/>
  <c r="D154" i="16" s="1"/>
  <c r="E154" i="16"/>
  <c r="F154" i="16"/>
  <c r="G154" i="16"/>
  <c r="H154" i="16" s="1"/>
  <c r="I154" i="16" s="1"/>
  <c r="C153" i="16"/>
  <c r="D153" i="16" s="1"/>
  <c r="E153" i="16" s="1"/>
  <c r="F153" i="16" s="1"/>
  <c r="G153" i="16" s="1"/>
  <c r="H153" i="16" s="1"/>
  <c r="I153" i="16" s="1"/>
  <c r="C152" i="16"/>
  <c r="D152" i="16" s="1"/>
  <c r="E152" i="16" s="1"/>
  <c r="F152" i="16" s="1"/>
  <c r="G152" i="16" s="1"/>
  <c r="H152" i="16" s="1"/>
  <c r="I152" i="16" s="1"/>
  <c r="C151" i="16"/>
  <c r="D151" i="16"/>
  <c r="E151" i="16" s="1"/>
  <c r="F151" i="16" s="1"/>
  <c r="G151" i="16" s="1"/>
  <c r="H151" i="16" s="1"/>
  <c r="I151" i="16" s="1"/>
  <c r="C150" i="16"/>
  <c r="D150" i="16"/>
  <c r="E150" i="16"/>
  <c r="F150" i="16" s="1"/>
  <c r="G150" i="16" s="1"/>
  <c r="H150" i="16" s="1"/>
  <c r="I150" i="16" s="1"/>
  <c r="C149" i="16"/>
  <c r="D149" i="16" s="1"/>
  <c r="E149" i="16" s="1"/>
  <c r="F149" i="16"/>
  <c r="G149" i="16" s="1"/>
  <c r="H149" i="16" s="1"/>
  <c r="I149" i="16" s="1"/>
  <c r="C148" i="16"/>
  <c r="D148" i="16" s="1"/>
  <c r="E148" i="16" s="1"/>
  <c r="F148" i="16" s="1"/>
  <c r="G148" i="16" s="1"/>
  <c r="H148" i="16" s="1"/>
  <c r="I148" i="16" s="1"/>
  <c r="C147" i="16"/>
  <c r="D147" i="16"/>
  <c r="E147" i="16" s="1"/>
  <c r="F147" i="16" s="1"/>
  <c r="G147" i="16" s="1"/>
  <c r="H147" i="16" s="1"/>
  <c r="I147" i="16"/>
  <c r="C146" i="16"/>
  <c r="D146" i="16" s="1"/>
  <c r="E146" i="16"/>
  <c r="F146" i="16" s="1"/>
  <c r="G146" i="16"/>
  <c r="H146" i="16" s="1"/>
  <c r="I146" i="16" s="1"/>
  <c r="C145" i="16"/>
  <c r="D145" i="16"/>
  <c r="E145" i="16" s="1"/>
  <c r="F145" i="16" s="1"/>
  <c r="G145" i="16"/>
  <c r="H145" i="16" s="1"/>
  <c r="I145" i="16" s="1"/>
  <c r="C144" i="16"/>
  <c r="D144" i="16" s="1"/>
  <c r="E144" i="16" s="1"/>
  <c r="F144" i="16" s="1"/>
  <c r="G144" i="16"/>
  <c r="H144" i="16" s="1"/>
  <c r="I144" i="16" s="1"/>
  <c r="C143" i="16"/>
  <c r="D143" i="16" s="1"/>
  <c r="E143" i="16"/>
  <c r="F143" i="16" s="1"/>
  <c r="G143" i="16" s="1"/>
  <c r="H143" i="16" s="1"/>
  <c r="I143" i="16" s="1"/>
  <c r="C142" i="16"/>
  <c r="D142" i="16"/>
  <c r="E142" i="16"/>
  <c r="F142" i="16" s="1"/>
  <c r="G142" i="16" s="1"/>
  <c r="H142" i="16" s="1"/>
  <c r="I142" i="16" s="1"/>
  <c r="C141" i="16"/>
  <c r="D141" i="16"/>
  <c r="E141" i="16" s="1"/>
  <c r="F141" i="16"/>
  <c r="G141" i="16" s="1"/>
  <c r="H141" i="16" s="1"/>
  <c r="I141" i="16" s="1"/>
  <c r="C140" i="16"/>
  <c r="D140" i="16" s="1"/>
  <c r="E140" i="16" s="1"/>
  <c r="F140" i="16" s="1"/>
  <c r="G140" i="16" s="1"/>
  <c r="H140" i="16" s="1"/>
  <c r="I140" i="16" s="1"/>
  <c r="C139" i="16"/>
  <c r="D139" i="16"/>
  <c r="E139" i="16" s="1"/>
  <c r="F139" i="16" s="1"/>
  <c r="G139" i="16" s="1"/>
  <c r="H139" i="16" s="1"/>
  <c r="I139" i="16" s="1"/>
  <c r="C138" i="16"/>
  <c r="D138" i="16" s="1"/>
  <c r="E138" i="16"/>
  <c r="F138" i="16" s="1"/>
  <c r="G138" i="16" s="1"/>
  <c r="H138" i="16" s="1"/>
  <c r="I138" i="16" s="1"/>
  <c r="C137" i="16"/>
  <c r="D137" i="16"/>
  <c r="E137" i="16" s="1"/>
  <c r="F137" i="16" s="1"/>
  <c r="G137" i="16" s="1"/>
  <c r="H137" i="16" s="1"/>
  <c r="I137" i="16" s="1"/>
  <c r="AL136" i="16"/>
  <c r="AN136" i="16"/>
  <c r="AP136" i="16"/>
  <c r="AR136" i="16" s="1"/>
  <c r="AK136" i="16"/>
  <c r="AM136" i="16"/>
  <c r="AO136" i="16" s="1"/>
  <c r="AQ136" i="16" s="1"/>
  <c r="AS136" i="16" s="1"/>
  <c r="C136" i="16"/>
  <c r="D136" i="16"/>
  <c r="E136" i="16" s="1"/>
  <c r="F136" i="16" s="1"/>
  <c r="G136" i="16"/>
  <c r="H136" i="16" s="1"/>
  <c r="I136" i="16" s="1"/>
  <c r="AL135" i="16"/>
  <c r="AN135" i="16" s="1"/>
  <c r="AP135" i="16" s="1"/>
  <c r="AR135" i="16" s="1"/>
  <c r="AK135" i="16"/>
  <c r="AM135" i="16"/>
  <c r="AO135" i="16"/>
  <c r="AQ135" i="16" s="1"/>
  <c r="AS135" i="16" s="1"/>
  <c r="C135" i="16"/>
  <c r="D135" i="16" s="1"/>
  <c r="E135" i="16" s="1"/>
  <c r="F135" i="16" s="1"/>
  <c r="G135" i="16" s="1"/>
  <c r="H135" i="16" s="1"/>
  <c r="I135" i="16" s="1"/>
  <c r="AL134" i="16"/>
  <c r="AN134" i="16"/>
  <c r="AP134" i="16" s="1"/>
  <c r="AR134" i="16" s="1"/>
  <c r="AK134" i="16"/>
  <c r="AM134" i="16" s="1"/>
  <c r="AO134" i="16" s="1"/>
  <c r="AQ134" i="16" s="1"/>
  <c r="AS134" i="16" s="1"/>
  <c r="C134" i="16"/>
  <c r="D134" i="16"/>
  <c r="E134" i="16" s="1"/>
  <c r="F134" i="16" s="1"/>
  <c r="G134" i="16" s="1"/>
  <c r="H134" i="16" s="1"/>
  <c r="I134" i="16" s="1"/>
  <c r="AL133" i="16"/>
  <c r="AN133" i="16"/>
  <c r="AP133" i="16" s="1"/>
  <c r="AR133" i="16" s="1"/>
  <c r="AK133" i="16"/>
  <c r="AM133" i="16" s="1"/>
  <c r="AO133" i="16" s="1"/>
  <c r="AQ133" i="16" s="1"/>
  <c r="AS133" i="16" s="1"/>
  <c r="C133" i="16"/>
  <c r="D133" i="16" s="1"/>
  <c r="E133" i="16" s="1"/>
  <c r="F133" i="16" s="1"/>
  <c r="G133" i="16" s="1"/>
  <c r="H133" i="16" s="1"/>
  <c r="I133" i="16" s="1"/>
  <c r="AL132" i="16"/>
  <c r="AN132" i="16"/>
  <c r="AP132" i="16" s="1"/>
  <c r="AR132" i="16" s="1"/>
  <c r="AK132" i="16"/>
  <c r="AM132" i="16"/>
  <c r="AO132" i="16"/>
  <c r="AQ132" i="16"/>
  <c r="AS132" i="16" s="1"/>
  <c r="C132" i="16"/>
  <c r="D132" i="16"/>
  <c r="E132" i="16" s="1"/>
  <c r="F132" i="16" s="1"/>
  <c r="G132" i="16" s="1"/>
  <c r="H132" i="16" s="1"/>
  <c r="I132" i="16" s="1"/>
  <c r="AL131" i="16"/>
  <c r="AN131" i="16"/>
  <c r="AP131" i="16" s="1"/>
  <c r="AR131" i="16" s="1"/>
  <c r="AK131" i="16"/>
  <c r="AM131" i="16"/>
  <c r="AO131" i="16" s="1"/>
  <c r="AQ131" i="16" s="1"/>
  <c r="AS131" i="16" s="1"/>
  <c r="C131" i="16"/>
  <c r="D131" i="16" s="1"/>
  <c r="E131" i="16" s="1"/>
  <c r="F131" i="16" s="1"/>
  <c r="G131" i="16" s="1"/>
  <c r="H131" i="16" s="1"/>
  <c r="I131" i="16" s="1"/>
  <c r="AL130" i="16"/>
  <c r="AN130" i="16" s="1"/>
  <c r="AP130" i="16" s="1"/>
  <c r="AR130" i="16" s="1"/>
  <c r="AK130" i="16"/>
  <c r="AM130" i="16" s="1"/>
  <c r="AO130" i="16"/>
  <c r="AQ130" i="16" s="1"/>
  <c r="AS130" i="16" s="1"/>
  <c r="C130" i="16"/>
  <c r="D130" i="16" s="1"/>
  <c r="E130" i="16" s="1"/>
  <c r="F130" i="16" s="1"/>
  <c r="G130" i="16" s="1"/>
  <c r="H130" i="16" s="1"/>
  <c r="I130" i="16" s="1"/>
  <c r="C129" i="16"/>
  <c r="D129" i="16"/>
  <c r="E129" i="16" s="1"/>
  <c r="F129" i="16" s="1"/>
  <c r="G129" i="16" s="1"/>
  <c r="H129" i="16" s="1"/>
  <c r="I129" i="16" s="1"/>
  <c r="C128" i="16"/>
  <c r="D128" i="16"/>
  <c r="E128" i="16" s="1"/>
  <c r="F128" i="16" s="1"/>
  <c r="G128" i="16" s="1"/>
  <c r="H128" i="16" s="1"/>
  <c r="I128" i="16" s="1"/>
  <c r="C127" i="16"/>
  <c r="D127" i="16" s="1"/>
  <c r="E127" i="16" s="1"/>
  <c r="F127" i="16"/>
  <c r="G127" i="16" s="1"/>
  <c r="H127" i="16" s="1"/>
  <c r="I127" i="16" s="1"/>
  <c r="C126" i="16"/>
  <c r="D126" i="16" s="1"/>
  <c r="E126" i="16" s="1"/>
  <c r="F126" i="16" s="1"/>
  <c r="G126" i="16" s="1"/>
  <c r="H126" i="16" s="1"/>
  <c r="I126" i="16" s="1"/>
  <c r="C125" i="16"/>
  <c r="D125" i="16"/>
  <c r="E125" i="16" s="1"/>
  <c r="F125" i="16" s="1"/>
  <c r="G125" i="16" s="1"/>
  <c r="H125" i="16" s="1"/>
  <c r="I125" i="16" s="1"/>
  <c r="C124" i="16"/>
  <c r="D124" i="16"/>
  <c r="E124" i="16"/>
  <c r="F124" i="16"/>
  <c r="G124" i="16" s="1"/>
  <c r="H124" i="16" s="1"/>
  <c r="I124" i="16" s="1"/>
  <c r="C123" i="16"/>
  <c r="D123" i="16" s="1"/>
  <c r="E123" i="16"/>
  <c r="F123" i="16" s="1"/>
  <c r="G123" i="16" s="1"/>
  <c r="H123" i="16" s="1"/>
  <c r="I123" i="16" s="1"/>
  <c r="C122" i="16"/>
  <c r="D122" i="16"/>
  <c r="E122" i="16" s="1"/>
  <c r="F122" i="16" s="1"/>
  <c r="G122" i="16" s="1"/>
  <c r="H122" i="16" s="1"/>
  <c r="I122" i="16" s="1"/>
  <c r="C121" i="16"/>
  <c r="D121" i="16" s="1"/>
  <c r="E121" i="16" s="1"/>
  <c r="F121" i="16" s="1"/>
  <c r="G121" i="16" s="1"/>
  <c r="H121" i="16" s="1"/>
  <c r="I121" i="16" s="1"/>
  <c r="C120" i="16"/>
  <c r="D120" i="16" s="1"/>
  <c r="E120" i="16" s="1"/>
  <c r="F120" i="16" s="1"/>
  <c r="G120" i="16" s="1"/>
  <c r="H120" i="16"/>
  <c r="I120" i="16" s="1"/>
  <c r="C119" i="16"/>
  <c r="D119" i="16"/>
  <c r="E119" i="16" s="1"/>
  <c r="F119" i="16" s="1"/>
  <c r="G119" i="16" s="1"/>
  <c r="H119" i="16" s="1"/>
  <c r="I119" i="16" s="1"/>
  <c r="C118" i="16"/>
  <c r="D118" i="16"/>
  <c r="E118" i="16" s="1"/>
  <c r="F118" i="16" s="1"/>
  <c r="G118" i="16" s="1"/>
  <c r="H118" i="16" s="1"/>
  <c r="I118" i="16" s="1"/>
  <c r="C117" i="16"/>
  <c r="D117" i="16" s="1"/>
  <c r="E117" i="16"/>
  <c r="F117" i="16" s="1"/>
  <c r="G117" i="16" s="1"/>
  <c r="H117" i="16" s="1"/>
  <c r="I117" i="16" s="1"/>
  <c r="C116" i="16"/>
  <c r="D116" i="16"/>
  <c r="E116" i="16"/>
  <c r="F116" i="16" s="1"/>
  <c r="G116" i="16" s="1"/>
  <c r="H116" i="16" s="1"/>
  <c r="I116" i="16" s="1"/>
  <c r="C115" i="16"/>
  <c r="D115" i="16" s="1"/>
  <c r="E115" i="16" s="1"/>
  <c r="F115" i="16"/>
  <c r="G115" i="16" s="1"/>
  <c r="H115" i="16" s="1"/>
  <c r="I115" i="16" s="1"/>
  <c r="C114" i="16"/>
  <c r="D114" i="16"/>
  <c r="E114" i="16" s="1"/>
  <c r="F114" i="16"/>
  <c r="G114" i="16" s="1"/>
  <c r="H114" i="16" s="1"/>
  <c r="I114" i="16"/>
  <c r="C113" i="16"/>
  <c r="D113" i="16" s="1"/>
  <c r="E113" i="16" s="1"/>
  <c r="F113" i="16" s="1"/>
  <c r="G113" i="16"/>
  <c r="H113" i="16"/>
  <c r="I113" i="16" s="1"/>
  <c r="C112" i="16"/>
  <c r="D112" i="16" s="1"/>
  <c r="E112" i="16" s="1"/>
  <c r="F112" i="16" s="1"/>
  <c r="G112" i="16" s="1"/>
  <c r="H112" i="16" s="1"/>
  <c r="I112" i="16" s="1"/>
  <c r="C111" i="16"/>
  <c r="D111" i="16"/>
  <c r="E111" i="16"/>
  <c r="F111" i="16" s="1"/>
  <c r="G111" i="16" s="1"/>
  <c r="H111" i="16" s="1"/>
  <c r="I111" i="16" s="1"/>
  <c r="C110" i="16"/>
  <c r="D110" i="16"/>
  <c r="E110" i="16"/>
  <c r="F110" i="16"/>
  <c r="G110" i="16"/>
  <c r="H110" i="16" s="1"/>
  <c r="I110" i="16" s="1"/>
  <c r="C109" i="16"/>
  <c r="D109" i="16" s="1"/>
  <c r="E109" i="16" s="1"/>
  <c r="F109" i="16" s="1"/>
  <c r="G109" i="16" s="1"/>
  <c r="H109" i="16" s="1"/>
  <c r="I109" i="16" s="1"/>
  <c r="C108" i="16"/>
  <c r="D108" i="16"/>
  <c r="E108" i="16" s="1"/>
  <c r="F108" i="16" s="1"/>
  <c r="G108" i="16" s="1"/>
  <c r="H108" i="16" s="1"/>
  <c r="I108" i="16" s="1"/>
  <c r="C107" i="16"/>
  <c r="D107" i="16" s="1"/>
  <c r="E107" i="16"/>
  <c r="F107" i="16" s="1"/>
  <c r="G107" i="16" s="1"/>
  <c r="H107" i="16" s="1"/>
  <c r="I107" i="16" s="1"/>
  <c r="C106" i="16"/>
  <c r="D106" i="16"/>
  <c r="E106" i="16" s="1"/>
  <c r="F106" i="16" s="1"/>
  <c r="G106" i="16" s="1"/>
  <c r="H106" i="16" s="1"/>
  <c r="I106" i="16"/>
  <c r="C105" i="16"/>
  <c r="D105" i="16"/>
  <c r="E105" i="16"/>
  <c r="F105" i="16" s="1"/>
  <c r="G105" i="16" s="1"/>
  <c r="H105" i="16" s="1"/>
  <c r="I105" i="16" s="1"/>
  <c r="C104" i="16"/>
  <c r="D104" i="16" s="1"/>
  <c r="E104" i="16" s="1"/>
  <c r="F104" i="16" s="1"/>
  <c r="G104" i="16" s="1"/>
  <c r="H104" i="16" s="1"/>
  <c r="I104" i="16" s="1"/>
  <c r="C103" i="16"/>
  <c r="D103" i="16"/>
  <c r="E103" i="16" s="1"/>
  <c r="F103" i="16" s="1"/>
  <c r="G103" i="16"/>
  <c r="H103" i="16" s="1"/>
  <c r="I103" i="16" s="1"/>
  <c r="C102" i="16"/>
  <c r="D102" i="16"/>
  <c r="E102" i="16" s="1"/>
  <c r="F102" i="16" s="1"/>
  <c r="G102" i="16" s="1"/>
  <c r="H102" i="16" s="1"/>
  <c r="I102" i="16" s="1"/>
  <c r="C101" i="16"/>
  <c r="D101" i="16"/>
  <c r="E101" i="16" s="1"/>
  <c r="F101" i="16" s="1"/>
  <c r="G101" i="16" s="1"/>
  <c r="H101" i="16" s="1"/>
  <c r="I101" i="16" s="1"/>
  <c r="C100" i="16"/>
  <c r="D100" i="16"/>
  <c r="E100" i="16" s="1"/>
  <c r="F100" i="16" s="1"/>
  <c r="G100" i="16" s="1"/>
  <c r="H100" i="16" s="1"/>
  <c r="I100" i="16" s="1"/>
  <c r="C99" i="16"/>
  <c r="D99" i="16" s="1"/>
  <c r="E99" i="16" s="1"/>
  <c r="F99" i="16" s="1"/>
  <c r="G99" i="16" s="1"/>
  <c r="H99" i="16" s="1"/>
  <c r="I99" i="16" s="1"/>
  <c r="C98" i="16"/>
  <c r="D98" i="16"/>
  <c r="E98" i="16" s="1"/>
  <c r="F98" i="16"/>
  <c r="G98" i="16" s="1"/>
  <c r="H98" i="16" s="1"/>
  <c r="I98" i="16" s="1"/>
  <c r="C97" i="16"/>
  <c r="D97" i="16"/>
  <c r="E97" i="16" s="1"/>
  <c r="F97" i="16" s="1"/>
  <c r="G97" i="16" s="1"/>
  <c r="H97" i="16" s="1"/>
  <c r="I97" i="16" s="1"/>
  <c r="C96" i="16"/>
  <c r="D96" i="16"/>
  <c r="E96" i="16" s="1"/>
  <c r="F96" i="16" s="1"/>
  <c r="G96" i="16" s="1"/>
  <c r="H96" i="16" s="1"/>
  <c r="I96" i="16" s="1"/>
  <c r="C95" i="16"/>
  <c r="D95" i="16"/>
  <c r="E95" i="16"/>
  <c r="F95" i="16" s="1"/>
  <c r="G95" i="16" s="1"/>
  <c r="H95" i="16" s="1"/>
  <c r="I95" i="16" s="1"/>
  <c r="C94" i="16"/>
  <c r="D94" i="16"/>
  <c r="E94" i="16" s="1"/>
  <c r="F94" i="16" s="1"/>
  <c r="G94" i="16" s="1"/>
  <c r="H94" i="16" s="1"/>
  <c r="I94" i="16" s="1"/>
  <c r="C93" i="16"/>
  <c r="D93" i="16" s="1"/>
  <c r="E93" i="16" s="1"/>
  <c r="F93" i="16" s="1"/>
  <c r="G93" i="16"/>
  <c r="H93" i="16" s="1"/>
  <c r="I93" i="16" s="1"/>
  <c r="C92" i="16"/>
  <c r="D92" i="16"/>
  <c r="E92" i="16"/>
  <c r="F92" i="16" s="1"/>
  <c r="G92" i="16" s="1"/>
  <c r="H92" i="16" s="1"/>
  <c r="I92" i="16"/>
  <c r="C91" i="16"/>
  <c r="D91" i="16" s="1"/>
  <c r="E91" i="16"/>
  <c r="F91" i="16"/>
  <c r="G91" i="16" s="1"/>
  <c r="H91" i="16" s="1"/>
  <c r="I91" i="16" s="1"/>
  <c r="C90" i="16"/>
  <c r="D90" i="16" s="1"/>
  <c r="E90" i="16" s="1"/>
  <c r="F90" i="16" s="1"/>
  <c r="G90" i="16" s="1"/>
  <c r="H90" i="16" s="1"/>
  <c r="I90" i="16" s="1"/>
  <c r="C89" i="16"/>
  <c r="D89" i="16"/>
  <c r="E89" i="16" s="1"/>
  <c r="F89" i="16" s="1"/>
  <c r="G89" i="16" s="1"/>
  <c r="H89" i="16"/>
  <c r="I89" i="16" s="1"/>
  <c r="C88" i="16"/>
  <c r="D88" i="16"/>
  <c r="E88" i="16" s="1"/>
  <c r="F88" i="16" s="1"/>
  <c r="G88" i="16" s="1"/>
  <c r="H88" i="16" s="1"/>
  <c r="I88" i="16" s="1"/>
  <c r="C87" i="16"/>
  <c r="D87" i="16" s="1"/>
  <c r="E87" i="16" s="1"/>
  <c r="F87" i="16" s="1"/>
  <c r="G87" i="16" s="1"/>
  <c r="H87" i="16" s="1"/>
  <c r="I87" i="16" s="1"/>
  <c r="C86" i="16"/>
  <c r="D86" i="16" s="1"/>
  <c r="E86" i="16" s="1"/>
  <c r="F86" i="16" s="1"/>
  <c r="G86" i="16" s="1"/>
  <c r="H86" i="16" s="1"/>
  <c r="I86" i="16" s="1"/>
  <c r="C85" i="16"/>
  <c r="D85" i="16"/>
  <c r="E85" i="16" s="1"/>
  <c r="F85" i="16" s="1"/>
  <c r="G85" i="16"/>
  <c r="H85" i="16" s="1"/>
  <c r="I85" i="16" s="1"/>
  <c r="C84" i="16"/>
  <c r="D84" i="16"/>
  <c r="E84" i="16"/>
  <c r="F84" i="16" s="1"/>
  <c r="G84" i="16" s="1"/>
  <c r="H84" i="16"/>
  <c r="I84" i="16" s="1"/>
  <c r="C83" i="16"/>
  <c r="D83" i="16" s="1"/>
  <c r="E83" i="16"/>
  <c r="F83" i="16" s="1"/>
  <c r="G83" i="16" s="1"/>
  <c r="H83" i="16" s="1"/>
  <c r="I83" i="16" s="1"/>
  <c r="C82" i="16"/>
  <c r="D82" i="16" s="1"/>
  <c r="E82" i="16" s="1"/>
  <c r="F82" i="16" s="1"/>
  <c r="G82" i="16" s="1"/>
  <c r="H82" i="16" s="1"/>
  <c r="I82" i="16" s="1"/>
  <c r="C81" i="16"/>
  <c r="D81" i="16" s="1"/>
  <c r="E81" i="16" s="1"/>
  <c r="F81" i="16" s="1"/>
  <c r="G81" i="16" s="1"/>
  <c r="H81" i="16" s="1"/>
  <c r="I81" i="16" s="1"/>
  <c r="C80" i="16"/>
  <c r="D80" i="16"/>
  <c r="E80" i="16" s="1"/>
  <c r="F80" i="16" s="1"/>
  <c r="G80" i="16" s="1"/>
  <c r="H80" i="16"/>
  <c r="I80" i="16" s="1"/>
  <c r="C79" i="16"/>
  <c r="D79" i="16"/>
  <c r="E79" i="16" s="1"/>
  <c r="F79" i="16" s="1"/>
  <c r="G79" i="16" s="1"/>
  <c r="H79" i="16" s="1"/>
  <c r="I79" i="16" s="1"/>
  <c r="C78" i="16"/>
  <c r="D78" i="16" s="1"/>
  <c r="E78" i="16" s="1"/>
  <c r="F78" i="16" s="1"/>
  <c r="G78" i="16" s="1"/>
  <c r="H78" i="16" s="1"/>
  <c r="I78" i="16" s="1"/>
  <c r="C77" i="16"/>
  <c r="D77" i="16" s="1"/>
  <c r="E77" i="16" s="1"/>
  <c r="F77" i="16" s="1"/>
  <c r="G77" i="16" s="1"/>
  <c r="H77" i="16" s="1"/>
  <c r="I77" i="16" s="1"/>
  <c r="C76" i="16"/>
  <c r="D76" i="16"/>
  <c r="E76" i="16" s="1"/>
  <c r="F76" i="16"/>
  <c r="G76" i="16" s="1"/>
  <c r="H76" i="16" s="1"/>
  <c r="I76" i="16" s="1"/>
  <c r="C75" i="16"/>
  <c r="D75" i="16" s="1"/>
  <c r="E75" i="16"/>
  <c r="F75" i="16" s="1"/>
  <c r="G75" i="16" s="1"/>
  <c r="H75" i="16" s="1"/>
  <c r="I75" i="16" s="1"/>
  <c r="C74" i="16"/>
  <c r="D74" i="16"/>
  <c r="E74" i="16" s="1"/>
  <c r="F74" i="16" s="1"/>
  <c r="G74" i="16" s="1"/>
  <c r="H74" i="16" s="1"/>
  <c r="I74" i="16" s="1"/>
  <c r="C73" i="16"/>
  <c r="D73" i="16" s="1"/>
  <c r="E73" i="16" s="1"/>
  <c r="F73" i="16" s="1"/>
  <c r="G73" i="16" s="1"/>
  <c r="H73" i="16" s="1"/>
  <c r="I73" i="16" s="1"/>
  <c r="C72" i="16"/>
  <c r="D72" i="16" s="1"/>
  <c r="E72" i="16"/>
  <c r="F72" i="16" s="1"/>
  <c r="G72" i="16" s="1"/>
  <c r="H72" i="16" s="1"/>
  <c r="I72" i="16" s="1"/>
  <c r="AJ38" i="16"/>
  <c r="AL38" i="16"/>
  <c r="AN38" i="16" s="1"/>
  <c r="AP38" i="16" s="1"/>
  <c r="AI38" i="16"/>
  <c r="AK38" i="16" s="1"/>
  <c r="AM38" i="16" s="1"/>
  <c r="AO38" i="16" s="1"/>
  <c r="AQ38" i="16" s="1"/>
  <c r="AJ37" i="16"/>
  <c r="AL37" i="16"/>
  <c r="AN37" i="16" s="1"/>
  <c r="AP37" i="16" s="1"/>
  <c r="AI37" i="16"/>
  <c r="AK37" i="16"/>
  <c r="AM37" i="16"/>
  <c r="AO37" i="16"/>
  <c r="AQ37" i="16" s="1"/>
  <c r="AJ36" i="16"/>
  <c r="AL36" i="16" s="1"/>
  <c r="AN36" i="16" s="1"/>
  <c r="AP36" i="16" s="1"/>
  <c r="AI36" i="16"/>
  <c r="AK36" i="16" s="1"/>
  <c r="AM36" i="16" s="1"/>
  <c r="AO36" i="16" s="1"/>
  <c r="AQ36" i="16" s="1"/>
  <c r="AJ35" i="16"/>
  <c r="AL35" i="16" s="1"/>
  <c r="AN35" i="16" s="1"/>
  <c r="AP35" i="16" s="1"/>
  <c r="AI35" i="16"/>
  <c r="AK35" i="16" s="1"/>
  <c r="AM35" i="16" s="1"/>
  <c r="AO35" i="16" s="1"/>
  <c r="AQ35" i="16" s="1"/>
  <c r="AJ34" i="16"/>
  <c r="AL34" i="16" s="1"/>
  <c r="AN34" i="16" s="1"/>
  <c r="AP34" i="16" s="1"/>
  <c r="AI34" i="16"/>
  <c r="AK34" i="16" s="1"/>
  <c r="AM34" i="16" s="1"/>
  <c r="AO34" i="16" s="1"/>
  <c r="AQ34" i="16" s="1"/>
  <c r="AJ33" i="16"/>
  <c r="AL33" i="16"/>
  <c r="AN33" i="16" s="1"/>
  <c r="AP33" i="16"/>
  <c r="AI33" i="16"/>
  <c r="AK33" i="16"/>
  <c r="AM33" i="16"/>
  <c r="AO33" i="16" s="1"/>
  <c r="AQ33" i="16" s="1"/>
  <c r="AJ32" i="16"/>
  <c r="AL32" i="16" s="1"/>
  <c r="AN32" i="16" s="1"/>
  <c r="AP32" i="16" s="1"/>
  <c r="AI32" i="16"/>
  <c r="AK32" i="16"/>
  <c r="AM32" i="16"/>
  <c r="AO32" i="16" s="1"/>
  <c r="AQ32" i="16" s="1"/>
  <c r="AJ9" i="16"/>
  <c r="AL9" i="16" s="1"/>
  <c r="AN9" i="16" s="1"/>
  <c r="AP9" i="16"/>
  <c r="AR9" i="16" s="1"/>
  <c r="AT9" i="16" s="1"/>
  <c r="AV9" i="16" s="1"/>
  <c r="AX9" i="16" s="1"/>
  <c r="AZ9" i="16" s="1"/>
  <c r="AI9" i="16"/>
  <c r="AK9" i="16" s="1"/>
  <c r="AM9" i="16"/>
  <c r="AO9" i="16" s="1"/>
  <c r="AQ9" i="16" s="1"/>
  <c r="AS9" i="16" s="1"/>
  <c r="AU9" i="16" s="1"/>
  <c r="AW9" i="16" s="1"/>
  <c r="AY9" i="16" s="1"/>
  <c r="BA9" i="16" s="1"/>
  <c r="AJ8" i="16"/>
  <c r="AL8" i="16" s="1"/>
  <c r="AN8" i="16" s="1"/>
  <c r="AP8" i="16" s="1"/>
  <c r="AR8" i="16" s="1"/>
  <c r="AT8" i="16" s="1"/>
  <c r="AV8" i="16" s="1"/>
  <c r="AX8" i="16" s="1"/>
  <c r="AZ8" i="16"/>
  <c r="AI8" i="16"/>
  <c r="AK8" i="16"/>
  <c r="AM8" i="16"/>
  <c r="AO8" i="16" s="1"/>
  <c r="AQ8" i="16" s="1"/>
  <c r="AS8" i="16" s="1"/>
  <c r="AU8" i="16" s="1"/>
  <c r="AW8" i="16"/>
  <c r="AY8" i="16" s="1"/>
  <c r="BA8" i="16" s="1"/>
  <c r="AJ7" i="16"/>
  <c r="AL7" i="16" s="1"/>
  <c r="AN7" i="16" s="1"/>
  <c r="AP7" i="16" s="1"/>
  <c r="AR7" i="16" s="1"/>
  <c r="AT7" i="16"/>
  <c r="AV7" i="16" s="1"/>
  <c r="AX7" i="16" s="1"/>
  <c r="AZ7" i="16" s="1"/>
  <c r="AI7" i="16"/>
  <c r="AK7" i="16"/>
  <c r="AM7" i="16" s="1"/>
  <c r="AO7" i="16" s="1"/>
  <c r="AQ7" i="16" s="1"/>
  <c r="AS7" i="16" s="1"/>
  <c r="AU7" i="16" s="1"/>
  <c r="AW7" i="16" s="1"/>
  <c r="AY7" i="16" s="1"/>
  <c r="BA7" i="16" s="1"/>
  <c r="AJ6" i="16"/>
  <c r="AL6" i="16" s="1"/>
  <c r="AN6" i="16"/>
  <c r="AP6" i="16" s="1"/>
  <c r="AR6" i="16" s="1"/>
  <c r="AT6" i="16" s="1"/>
  <c r="AV6" i="16" s="1"/>
  <c r="AX6" i="16" s="1"/>
  <c r="AZ6" i="16" s="1"/>
  <c r="AI6" i="16"/>
  <c r="AK6" i="16"/>
  <c r="AM6" i="16" s="1"/>
  <c r="AO6" i="16" s="1"/>
  <c r="AQ6" i="16" s="1"/>
  <c r="AS6" i="16" s="1"/>
  <c r="AU6" i="16" s="1"/>
  <c r="AW6" i="16" s="1"/>
  <c r="AY6" i="16" s="1"/>
  <c r="BA6" i="16"/>
  <c r="AJ5" i="16"/>
  <c r="AL5" i="16"/>
  <c r="AN5" i="16"/>
  <c r="AP5" i="16" s="1"/>
  <c r="AR5" i="16" s="1"/>
  <c r="AT5" i="16" s="1"/>
  <c r="AV5" i="16" s="1"/>
  <c r="AX5" i="16"/>
  <c r="AZ5" i="16" s="1"/>
  <c r="AI5" i="16"/>
  <c r="AK5" i="16"/>
  <c r="AM5" i="16" s="1"/>
  <c r="AO5" i="16" s="1"/>
  <c r="AQ5" i="16" s="1"/>
  <c r="AS5" i="16" s="1"/>
  <c r="AU5" i="16" s="1"/>
  <c r="AW5" i="16" s="1"/>
  <c r="AY5" i="16" s="1"/>
  <c r="BA5" i="16" s="1"/>
  <c r="AJ4" i="16"/>
  <c r="AL4" i="16"/>
  <c r="AN4" i="16" s="1"/>
  <c r="AP4" i="16" s="1"/>
  <c r="AR4" i="16"/>
  <c r="AT4" i="16" s="1"/>
  <c r="AV4" i="16" s="1"/>
  <c r="AX4" i="16" s="1"/>
  <c r="AZ4" i="16" s="1"/>
  <c r="AI4" i="16"/>
  <c r="AK4" i="16" s="1"/>
  <c r="AM4" i="16" s="1"/>
  <c r="AO4" i="16"/>
  <c r="AQ4" i="16" s="1"/>
  <c r="AS4" i="16" s="1"/>
  <c r="AU4" i="16" s="1"/>
  <c r="AW4" i="16" s="1"/>
  <c r="AY4" i="16" s="1"/>
  <c r="BA4" i="16" s="1"/>
  <c r="AJ3" i="16"/>
  <c r="AL3" i="16"/>
  <c r="AN3" i="16" s="1"/>
  <c r="AP3" i="16" s="1"/>
  <c r="AR3" i="16" s="1"/>
  <c r="AT3" i="16" s="1"/>
  <c r="AV3" i="16" s="1"/>
  <c r="AX3" i="16" s="1"/>
  <c r="AZ3" i="16" s="1"/>
  <c r="AI3" i="16"/>
  <c r="AK3" i="16" s="1"/>
  <c r="AM3" i="16" s="1"/>
  <c r="AO3" i="16" s="1"/>
  <c r="AQ3" i="16" s="1"/>
  <c r="AS3" i="16" s="1"/>
  <c r="AU3" i="16" s="1"/>
  <c r="AW3" i="16" s="1"/>
  <c r="AY3" i="16"/>
  <c r="BA3" i="16" s="1"/>
  <c r="N37" i="12"/>
  <c r="N36" i="12"/>
  <c r="M34" i="12"/>
  <c r="G40" i="12"/>
  <c r="H40" i="12"/>
  <c r="I40" i="12"/>
  <c r="J40" i="12"/>
  <c r="K40" i="12"/>
  <c r="L40" i="12"/>
  <c r="M40" i="12"/>
  <c r="N40" i="12"/>
  <c r="F40" i="12"/>
  <c r="C32" i="12"/>
  <c r="C44" i="12" s="1"/>
  <c r="D32" i="12"/>
  <c r="E32" i="12"/>
  <c r="F32" i="12"/>
  <c r="G32" i="12"/>
  <c r="H32" i="12"/>
  <c r="H44" i="12" s="1"/>
  <c r="I32" i="12"/>
  <c r="J32" i="12"/>
  <c r="K32" i="12"/>
  <c r="L32" i="12"/>
  <c r="M32" i="12"/>
  <c r="N32" i="12"/>
  <c r="C33" i="12"/>
  <c r="D33" i="12"/>
  <c r="E33" i="12"/>
  <c r="F33" i="12"/>
  <c r="G33" i="12"/>
  <c r="H33" i="12"/>
  <c r="I33" i="12"/>
  <c r="J33" i="12"/>
  <c r="K33" i="12"/>
  <c r="L33" i="12"/>
  <c r="N33" i="12"/>
  <c r="C34" i="12"/>
  <c r="D34" i="12"/>
  <c r="E34" i="12"/>
  <c r="F34" i="12"/>
  <c r="G34" i="12"/>
  <c r="H34" i="12"/>
  <c r="I34" i="12"/>
  <c r="J34" i="12"/>
  <c r="K34" i="12"/>
  <c r="L34" i="12"/>
  <c r="N34" i="12"/>
  <c r="C35" i="12"/>
  <c r="D35" i="12"/>
  <c r="E35" i="12"/>
  <c r="F35" i="12"/>
  <c r="G35" i="12"/>
  <c r="H35" i="12"/>
  <c r="I35" i="12"/>
  <c r="J35" i="12"/>
  <c r="K35" i="12"/>
  <c r="L35" i="12"/>
  <c r="M35" i="12"/>
  <c r="N35" i="12"/>
  <c r="C36" i="12"/>
  <c r="D36" i="12"/>
  <c r="E36" i="12"/>
  <c r="F36" i="12"/>
  <c r="G36" i="12"/>
  <c r="G44" i="12" s="1"/>
  <c r="H36" i="12"/>
  <c r="I36" i="12"/>
  <c r="J36" i="12"/>
  <c r="K36" i="12"/>
  <c r="L36" i="12"/>
  <c r="M36" i="12"/>
  <c r="C37" i="12"/>
  <c r="D37" i="12"/>
  <c r="E37" i="12"/>
  <c r="F37" i="12"/>
  <c r="G37" i="12"/>
  <c r="H37" i="12"/>
  <c r="I37" i="12"/>
  <c r="J37" i="12"/>
  <c r="K37" i="12"/>
  <c r="L37" i="12"/>
  <c r="M37" i="12"/>
  <c r="C38" i="12"/>
  <c r="D38" i="12"/>
  <c r="E38" i="12"/>
  <c r="F38" i="12"/>
  <c r="G38" i="12"/>
  <c r="H38" i="12"/>
  <c r="I38" i="12"/>
  <c r="J38" i="12"/>
  <c r="K38" i="12"/>
  <c r="L38" i="12"/>
  <c r="M38" i="12"/>
  <c r="N38" i="12"/>
  <c r="C39" i="12"/>
  <c r="D39" i="12"/>
  <c r="E39" i="12"/>
  <c r="F39" i="12"/>
  <c r="G39" i="12"/>
  <c r="H39" i="12"/>
  <c r="I39" i="12"/>
  <c r="J39" i="12"/>
  <c r="K39" i="12"/>
  <c r="L39" i="12"/>
  <c r="M39" i="12"/>
  <c r="N39" i="12"/>
  <c r="C40" i="12"/>
  <c r="D40" i="12"/>
  <c r="E40" i="12"/>
  <c r="C41" i="12"/>
  <c r="D41" i="12"/>
  <c r="E41" i="12"/>
  <c r="F41" i="12"/>
  <c r="G41" i="12"/>
  <c r="H41" i="12"/>
  <c r="I41" i="12"/>
  <c r="J41" i="12"/>
  <c r="K41" i="12"/>
  <c r="L41" i="12"/>
  <c r="M41" i="12"/>
  <c r="N41" i="12"/>
  <c r="C42" i="12"/>
  <c r="D42" i="12"/>
  <c r="E42" i="12"/>
  <c r="F42" i="12"/>
  <c r="G42" i="12"/>
  <c r="H42" i="12"/>
  <c r="I42" i="12"/>
  <c r="J42" i="12"/>
  <c r="K42" i="12"/>
  <c r="L42" i="12"/>
  <c r="M42" i="12"/>
  <c r="N42" i="12"/>
  <c r="C43" i="12"/>
  <c r="D43" i="12"/>
  <c r="E43" i="12"/>
  <c r="F43" i="12"/>
  <c r="G43" i="12"/>
  <c r="H43" i="12"/>
  <c r="I43" i="12"/>
  <c r="J43" i="12"/>
  <c r="K43" i="12"/>
  <c r="L43" i="12"/>
  <c r="M43" i="12"/>
  <c r="N43" i="12"/>
  <c r="F50" i="12"/>
  <c r="D50" i="12"/>
  <c r="C17" i="14"/>
  <c r="F86" i="13"/>
  <c r="E86" i="13"/>
  <c r="D86" i="13"/>
  <c r="N65" i="12"/>
  <c r="M65" i="12"/>
  <c r="L65" i="12"/>
  <c r="K65" i="12"/>
  <c r="J65" i="12"/>
  <c r="I65" i="12"/>
  <c r="H65" i="12"/>
  <c r="G65" i="12"/>
  <c r="F65" i="12"/>
  <c r="E65" i="12"/>
  <c r="D65" i="12"/>
  <c r="C65" i="12"/>
  <c r="D51" i="12"/>
  <c r="E51" i="12" s="1"/>
  <c r="F51" i="12" s="1"/>
  <c r="G51" i="12" s="1"/>
  <c r="H51" i="12" s="1"/>
  <c r="I51" i="12" s="1"/>
  <c r="J51" i="12" s="1"/>
  <c r="K51" i="12" s="1"/>
  <c r="L51" i="12" s="1"/>
  <c r="M51" i="12" s="1"/>
  <c r="N51" i="12" s="1"/>
  <c r="N31" i="12"/>
  <c r="M31" i="12"/>
  <c r="L31" i="12"/>
  <c r="L44" i="12" s="1"/>
  <c r="K31" i="12"/>
  <c r="J31" i="12"/>
  <c r="J44" i="12" s="1"/>
  <c r="I31" i="12"/>
  <c r="I44" i="12" s="1"/>
  <c r="H31" i="12"/>
  <c r="G31" i="12"/>
  <c r="F31" i="12"/>
  <c r="E31" i="12"/>
  <c r="D31" i="12"/>
  <c r="C31" i="12"/>
  <c r="D30" i="12"/>
  <c r="E30" i="12"/>
  <c r="F30" i="12" s="1"/>
  <c r="G30" i="12" s="1"/>
  <c r="H30" i="12" s="1"/>
  <c r="I30" i="12" s="1"/>
  <c r="J30" i="12"/>
  <c r="K30" i="12" s="1"/>
  <c r="L30" i="12" s="1"/>
  <c r="M30" i="12" s="1"/>
  <c r="N30" i="12" s="1"/>
  <c r="F29" i="12"/>
  <c r="D29" i="12"/>
  <c r="C31" i="11"/>
  <c r="N44" i="12"/>
  <c r="K44" i="12"/>
  <c r="AW244" i="49" l="1"/>
  <c r="AQ244" i="49"/>
  <c r="BL244" i="49" s="1"/>
  <c r="AW73" i="49"/>
  <c r="AQ73" i="49"/>
  <c r="BL73" i="49" s="1"/>
  <c r="AW39" i="49"/>
  <c r="AQ74" i="49"/>
  <c r="BL74" i="49" s="1"/>
  <c r="AW74" i="49"/>
  <c r="AX74" i="49" s="1"/>
  <c r="AQ243" i="49"/>
  <c r="BL243" i="49" s="1"/>
  <c r="Y70" i="49"/>
  <c r="AF60" i="49"/>
  <c r="AH60" i="49"/>
  <c r="L89" i="49"/>
  <c r="F44" i="12"/>
  <c r="M44" i="12"/>
  <c r="E44" i="12"/>
  <c r="J50" i="12"/>
  <c r="D44" i="12"/>
  <c r="L91" i="49"/>
  <c r="J58" i="49"/>
  <c r="L59" i="49" s="1"/>
  <c r="L32" i="49"/>
  <c r="K35" i="49"/>
  <c r="L35" i="49" s="1"/>
  <c r="L34" i="49"/>
  <c r="Y192" i="49"/>
  <c r="Y154" i="49"/>
  <c r="Y13" i="49"/>
  <c r="L160" i="49"/>
  <c r="K153" i="49"/>
  <c r="K144" i="49"/>
  <c r="K159" i="49"/>
  <c r="K194" i="49"/>
  <c r="L226" i="49"/>
  <c r="K146" i="49"/>
  <c r="K193" i="49"/>
  <c r="L218" i="49"/>
  <c r="K23" i="49"/>
  <c r="K219" i="49"/>
  <c r="L221" i="49"/>
  <c r="L168" i="49"/>
  <c r="L207" i="49"/>
  <c r="K154" i="49"/>
  <c r="L53" i="49"/>
  <c r="Y237" i="49"/>
  <c r="Y193" i="49"/>
  <c r="K13" i="49"/>
  <c r="L154" i="49"/>
  <c r="AW154" i="49" s="1"/>
  <c r="AX154" i="49" s="1"/>
  <c r="L65" i="49"/>
  <c r="L219" i="49"/>
  <c r="AW219" i="49" s="1"/>
  <c r="AX219" i="49" s="1"/>
  <c r="L224" i="49"/>
  <c r="L90" i="49"/>
  <c r="L64" i="49"/>
  <c r="L47" i="49"/>
  <c r="L234" i="49"/>
  <c r="L217" i="49"/>
  <c r="L43" i="49"/>
  <c r="L45" i="49"/>
  <c r="L129" i="49"/>
  <c r="L197" i="49"/>
  <c r="L159" i="49"/>
  <c r="L61" i="49"/>
  <c r="L146" i="49"/>
  <c r="AW146" i="49" s="1"/>
  <c r="AX146" i="49" s="1"/>
  <c r="L81" i="49"/>
  <c r="L169" i="49"/>
  <c r="L87" i="49"/>
  <c r="L153" i="49"/>
  <c r="AW153" i="49" s="1"/>
  <c r="AX153" i="49" s="1"/>
  <c r="L19" i="49"/>
  <c r="K145" i="49"/>
  <c r="L86" i="49"/>
  <c r="L145" i="49"/>
  <c r="AW145" i="49" s="1"/>
  <c r="AX145" i="49" s="1"/>
  <c r="L131" i="49"/>
  <c r="L223" i="49"/>
  <c r="L62" i="49"/>
  <c r="L95" i="49"/>
  <c r="L48" i="49"/>
  <c r="L29" i="49"/>
  <c r="K221" i="49"/>
  <c r="L176" i="49"/>
  <c r="L135" i="49"/>
  <c r="L134" i="49"/>
  <c r="L144" i="49"/>
  <c r="AW144" i="49" s="1"/>
  <c r="AX144" i="49" s="1"/>
  <c r="L190" i="49"/>
  <c r="L44" i="49"/>
  <c r="L229" i="49"/>
  <c r="Y81" i="49"/>
  <c r="L171" i="49"/>
  <c r="L180" i="49"/>
  <c r="L239" i="49"/>
  <c r="AW239" i="49" s="1"/>
  <c r="AX239" i="49" s="1"/>
  <c r="L17" i="49"/>
  <c r="Y119" i="49"/>
  <c r="L235" i="49"/>
  <c r="Y80" i="49"/>
  <c r="L125" i="49"/>
  <c r="L193" i="49"/>
  <c r="AW193" i="49" s="1"/>
  <c r="AX193" i="49" s="1"/>
  <c r="Y161" i="49"/>
  <c r="L25" i="49"/>
  <c r="L46" i="49"/>
  <c r="K218" i="49"/>
  <c r="Y231" i="49"/>
  <c r="Y60" i="49"/>
  <c r="L194" i="49"/>
  <c r="Y234" i="49"/>
  <c r="Y185" i="49"/>
  <c r="Y190" i="49"/>
  <c r="Y31" i="49"/>
  <c r="Y89" i="49"/>
  <c r="Y96" i="49"/>
  <c r="Y217" i="49"/>
  <c r="Y29" i="49"/>
  <c r="Y163" i="49"/>
  <c r="Y222" i="49"/>
  <c r="Y55" i="49"/>
  <c r="Y90" i="49"/>
  <c r="Y152" i="49"/>
  <c r="Y74" i="49"/>
  <c r="Y18" i="49"/>
  <c r="Y135" i="49"/>
  <c r="Y227" i="49"/>
  <c r="Y184" i="49"/>
  <c r="Y83" i="49"/>
  <c r="Y196" i="49"/>
  <c r="Y197" i="49"/>
  <c r="Y134" i="49"/>
  <c r="Y178" i="49"/>
  <c r="Y183" i="49"/>
  <c r="Y40" i="49"/>
  <c r="Y17" i="49"/>
  <c r="Y225" i="49"/>
  <c r="Y97" i="49"/>
  <c r="Y25" i="49"/>
  <c r="Y166" i="49"/>
  <c r="Y131" i="49"/>
  <c r="Y223" i="49"/>
  <c r="Y72" i="49"/>
  <c r="Y137" i="49"/>
  <c r="K22" i="49"/>
  <c r="Y179" i="49"/>
  <c r="L142" i="49"/>
  <c r="Y182" i="49"/>
  <c r="L208" i="49"/>
  <c r="L214" i="49"/>
  <c r="L206" i="49"/>
  <c r="Y162" i="49"/>
  <c r="L54" i="49"/>
  <c r="L215" i="49"/>
  <c r="K195" i="49"/>
  <c r="L195" i="49"/>
  <c r="AW195" i="49" s="1"/>
  <c r="AX195" i="49" s="1"/>
  <c r="L225" i="49"/>
  <c r="Y99" i="49"/>
  <c r="L240" i="49"/>
  <c r="Y235" i="49"/>
  <c r="Y224" i="49"/>
  <c r="Y32" i="49"/>
  <c r="Y159" i="49"/>
  <c r="Y138" i="49"/>
  <c r="Y86" i="49"/>
  <c r="Y189" i="49"/>
  <c r="Y188" i="49"/>
  <c r="L238" i="49"/>
  <c r="L140" i="49"/>
  <c r="Y46" i="49"/>
  <c r="Y85" i="49"/>
  <c r="Y84" i="49"/>
  <c r="Y195" i="49"/>
  <c r="Y59" i="49"/>
  <c r="Y168" i="49"/>
  <c r="Y171" i="49"/>
  <c r="Y87" i="49"/>
  <c r="Y73" i="49"/>
  <c r="Y22" i="49"/>
  <c r="Y61" i="49"/>
  <c r="L94" i="49"/>
  <c r="L56" i="49"/>
  <c r="L233" i="49"/>
  <c r="Y126" i="49"/>
  <c r="L158" i="49"/>
  <c r="L227" i="49"/>
  <c r="L82" i="49"/>
  <c r="Y187" i="49"/>
  <c r="Y216" i="49"/>
  <c r="Y24" i="49"/>
  <c r="Y151" i="49"/>
  <c r="Y82" i="49"/>
  <c r="Y62" i="49"/>
  <c r="Y165" i="49"/>
  <c r="Y164" i="49"/>
  <c r="Y34" i="49"/>
  <c r="Y247" i="49"/>
  <c r="Y140" i="49"/>
  <c r="Y27" i="49"/>
  <c r="Y160" i="49"/>
  <c r="Y170" i="49"/>
  <c r="Y63" i="49"/>
  <c r="Y230" i="49"/>
  <c r="Y211" i="49"/>
  <c r="Y45" i="49"/>
  <c r="Y125" i="49"/>
  <c r="Y253" i="49"/>
  <c r="Y42" i="49"/>
  <c r="Y136" i="49"/>
  <c r="Y153" i="49"/>
  <c r="Y39" i="49"/>
  <c r="Y206" i="49"/>
  <c r="Y19" i="49"/>
  <c r="Y219" i="49"/>
  <c r="Y240" i="49"/>
  <c r="L60" i="49"/>
  <c r="L63" i="49"/>
  <c r="Y20" i="49"/>
  <c r="Y233" i="49"/>
  <c r="Y93" i="49"/>
  <c r="Y75" i="49"/>
  <c r="Y158" i="49"/>
  <c r="Y58" i="49"/>
  <c r="Y47" i="49"/>
  <c r="Y215" i="49"/>
  <c r="Y16" i="49"/>
  <c r="Y144" i="49"/>
  <c r="Y65" i="49"/>
  <c r="Y155" i="49"/>
  <c r="Y256" i="49"/>
  <c r="Y239" i="49"/>
  <c r="Y157" i="49"/>
  <c r="Y44" i="49"/>
  <c r="Y66" i="49"/>
  <c r="Y255" i="49"/>
  <c r="Y194" i="49"/>
  <c r="Y248" i="49"/>
  <c r="Y36" i="49"/>
  <c r="Y186" i="49"/>
  <c r="Y180" i="49"/>
  <c r="Y21" i="49"/>
  <c r="Y229" i="49"/>
  <c r="Y54" i="49"/>
  <c r="Y214" i="49"/>
  <c r="Y91" i="49"/>
  <c r="Y143" i="49"/>
  <c r="Y169" i="49"/>
  <c r="Y64" i="49"/>
  <c r="Y208" i="49"/>
  <c r="Y50" i="49"/>
  <c r="L30" i="49"/>
  <c r="L198" i="49"/>
  <c r="Y49" i="49"/>
  <c r="Y56" i="49"/>
  <c r="Y207" i="49"/>
  <c r="Y67" i="49"/>
  <c r="Y142" i="49"/>
  <c r="Y221" i="49"/>
  <c r="Y228" i="49"/>
  <c r="Y238" i="49"/>
  <c r="L50" i="49"/>
  <c r="X126" i="49"/>
  <c r="Y43" i="49"/>
  <c r="Y232" i="49"/>
  <c r="Y88" i="49"/>
  <c r="Y218" i="49"/>
  <c r="Y167" i="49"/>
  <c r="Y23" i="49"/>
  <c r="Y12" i="49"/>
  <c r="Y94" i="49"/>
  <c r="Y145" i="49"/>
  <c r="Y53" i="49"/>
  <c r="Y220" i="49"/>
  <c r="L143" i="49"/>
  <c r="L147" i="49"/>
  <c r="Y146" i="49"/>
  <c r="Y244" i="49"/>
  <c r="Y139" i="49"/>
  <c r="Y243" i="49"/>
  <c r="Y26" i="49"/>
  <c r="Y176" i="49"/>
  <c r="Y48" i="49"/>
  <c r="Y129" i="49"/>
  <c r="Y95" i="49"/>
  <c r="Y226" i="49"/>
  <c r="Y198" i="49"/>
  <c r="Y30" i="49"/>
  <c r="Y213" i="49"/>
  <c r="Y147" i="49"/>
  <c r="Y148" i="49"/>
  <c r="Y28" i="49"/>
  <c r="L21" i="49"/>
  <c r="L165" i="49"/>
  <c r="L184" i="49"/>
  <c r="L157" i="49"/>
  <c r="K157" i="49"/>
  <c r="L230" i="49"/>
  <c r="L231" i="49"/>
  <c r="K160" i="49"/>
  <c r="L72" i="49"/>
  <c r="AW134" i="49" l="1"/>
  <c r="AX134" i="49" s="1"/>
  <c r="AW35" i="49"/>
  <c r="AX35" i="49" s="1"/>
  <c r="AW53" i="49"/>
  <c r="AX53" i="49" s="1"/>
  <c r="AW157" i="49"/>
  <c r="AX157" i="49" s="1"/>
  <c r="AW159" i="49"/>
  <c r="AX159" i="49" s="1"/>
  <c r="AW218" i="49"/>
  <c r="AX218" i="49" s="1"/>
  <c r="AW140" i="49"/>
  <c r="AX140" i="49" s="1"/>
  <c r="AQ72" i="49"/>
  <c r="BL72" i="49" s="1"/>
  <c r="AI60" i="49"/>
  <c r="AG60" i="49"/>
  <c r="J275" i="49"/>
  <c r="K275" i="49"/>
  <c r="L22" i="49"/>
  <c r="L275" i="4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slu117</author>
    <author>jfrith4</author>
    <author>Sharon</author>
    <author>smustri</author>
  </authors>
  <commentList>
    <comment ref="L11" authorId="0" shapeId="0" xr:uid="{00000000-0006-0000-0300-000001000000}">
      <text>
        <r>
          <rPr>
            <b/>
            <sz val="9"/>
            <color indexed="81"/>
            <rFont val="Tahoma"/>
            <family val="2"/>
          </rPr>
          <t>slu117:</t>
        </r>
        <r>
          <rPr>
            <sz val="9"/>
            <color indexed="81"/>
            <rFont val="Tahoma"/>
            <family val="2"/>
          </rPr>
          <t xml:space="preserve">
manually calculated</t>
        </r>
      </text>
    </comment>
    <comment ref="Y11" authorId="1" shapeId="0" xr:uid="{00000000-0006-0000-0300-000002000000}">
      <text>
        <r>
          <rPr>
            <b/>
            <sz val="9"/>
            <color indexed="81"/>
            <rFont val="Tahoma"/>
            <family val="2"/>
          </rPr>
          <t>jfrith4:</t>
        </r>
        <r>
          <rPr>
            <sz val="9"/>
            <color indexed="81"/>
            <rFont val="Tahoma"/>
            <family val="2"/>
          </rPr>
          <t xml:space="preserve">
This should auto populate based on production cost. NB doesn’t take into account royalties.</t>
        </r>
      </text>
    </comment>
    <comment ref="Z11" authorId="1" shapeId="0" xr:uid="{00000000-0006-0000-0300-000003000000}">
      <text>
        <r>
          <rPr>
            <b/>
            <sz val="9"/>
            <color indexed="81"/>
            <rFont val="Tahoma"/>
            <family val="2"/>
          </rPr>
          <t>jfrith4:</t>
        </r>
        <r>
          <rPr>
            <sz val="9"/>
            <color indexed="81"/>
            <rFont val="Tahoma"/>
            <family val="2"/>
          </rPr>
          <t xml:space="preserve">
based on Ore grade easiest to compare between the same ores</t>
        </r>
      </text>
    </comment>
    <comment ref="AA11" authorId="1" shapeId="0" xr:uid="{00000000-0006-0000-0300-000004000000}">
      <text>
        <r>
          <rPr>
            <b/>
            <sz val="9"/>
            <color indexed="81"/>
            <rFont val="Tahoma"/>
            <family val="2"/>
          </rPr>
          <t>jfrith4:</t>
        </r>
        <r>
          <rPr>
            <sz val="9"/>
            <color indexed="81"/>
            <rFont val="Tahoma"/>
            <family val="2"/>
          </rPr>
          <t xml:space="preserve">
If no offtakers 1, if not all supply subject to offtake 3, if all supply covered by offtake agreements 5</t>
        </r>
      </text>
    </comment>
    <comment ref="AB11" authorId="1" shapeId="0" xr:uid="{00000000-0006-0000-0300-000005000000}">
      <text>
        <r>
          <rPr>
            <b/>
            <sz val="9"/>
            <color indexed="81"/>
            <rFont val="Tahoma"/>
            <family val="2"/>
          </rPr>
          <t>jfrith4:</t>
        </r>
        <r>
          <rPr>
            <sz val="9"/>
            <color indexed="81"/>
            <rFont val="Tahoma"/>
            <family val="2"/>
          </rPr>
          <t xml:space="preserve">
Risk within country, low grade ore, high magnesium:lithium ratio, final product etc</t>
        </r>
      </text>
    </comment>
    <comment ref="AC11" authorId="1" shapeId="0" xr:uid="{00000000-0006-0000-0300-000006000000}">
      <text>
        <r>
          <rPr>
            <b/>
            <sz val="9"/>
            <color indexed="81"/>
            <rFont val="Tahoma"/>
            <family val="2"/>
          </rPr>
          <t>jfrith4:</t>
        </r>
        <r>
          <rPr>
            <sz val="9"/>
            <color indexed="81"/>
            <rFont val="Tahoma"/>
            <family val="2"/>
          </rPr>
          <t xml:space="preserve">
does the company have a sound balance sheet/available cash for development (based on cash and equivalents). See company filings on the terminal. -ve=1, 0-500k=2, 500k-10m=3, 10m-500m=4, 500m+=5</t>
        </r>
      </text>
    </comment>
    <comment ref="BS11" authorId="0" shapeId="0" xr:uid="{00000000-0006-0000-0300-000007000000}">
      <text>
        <r>
          <rPr>
            <b/>
            <sz val="9"/>
            <color indexed="81"/>
            <rFont val="Tahoma"/>
            <family val="2"/>
          </rPr>
          <t>slu117:</t>
        </r>
        <r>
          <rPr>
            <sz val="9"/>
            <color indexed="81"/>
            <rFont val="Tahoma"/>
            <family val="2"/>
          </rPr>
          <t xml:space="preserve">
Waste to Plant Feed (LOM) - for mine to plants
</t>
        </r>
      </text>
    </comment>
    <comment ref="BT11" authorId="0" shapeId="0" xr:uid="{00000000-0006-0000-0300-000008000000}">
      <text>
        <r>
          <rPr>
            <b/>
            <sz val="9"/>
            <color indexed="81"/>
            <rFont val="Tahoma"/>
            <family val="2"/>
          </rPr>
          <t>slu117:</t>
        </r>
        <r>
          <rPr>
            <sz val="9"/>
            <color indexed="81"/>
            <rFont val="Tahoma"/>
            <family val="2"/>
          </rPr>
          <t xml:space="preserve">
Recovery of lithium in concentrate to finished product (plants)</t>
        </r>
      </text>
    </comment>
    <comment ref="R12" authorId="0" shapeId="0" xr:uid="{00000000-0006-0000-0300-000009000000}">
      <text>
        <r>
          <rPr>
            <b/>
            <sz val="9"/>
            <color indexed="81"/>
            <rFont val="Tahoma"/>
            <family val="2"/>
          </rPr>
          <t>slu117:</t>
        </r>
        <r>
          <rPr>
            <sz val="9"/>
            <color indexed="81"/>
            <rFont val="Tahoma"/>
            <family val="2"/>
          </rPr>
          <t xml:space="preserve">
assume advantage similar: http://www.advantagelithium.com/_resources/pdf/en_Doppelseite_Lithium_2018.pdf</t>
        </r>
      </text>
    </comment>
    <comment ref="W12" authorId="0" shapeId="0" xr:uid="{00000000-0006-0000-0300-00000A000000}">
      <text>
        <r>
          <rPr>
            <b/>
            <sz val="9"/>
            <color indexed="81"/>
            <rFont val="Tahoma"/>
            <family val="2"/>
          </rPr>
          <t>slu117:</t>
        </r>
        <r>
          <rPr>
            <sz val="9"/>
            <color indexed="81"/>
            <rFont val="Tahoma"/>
            <family val="2"/>
          </rPr>
          <t xml:space="preserve">
https://westernmininghistory.com/mine_detail/10295160/</t>
        </r>
      </text>
    </comment>
    <comment ref="H13" authorId="0" shapeId="0" xr:uid="{00000000-0006-0000-0300-00000B000000}">
      <text>
        <r>
          <rPr>
            <b/>
            <sz val="9"/>
            <color indexed="81"/>
            <rFont val="Tahoma"/>
            <family val="2"/>
          </rPr>
          <t>slu117:</t>
        </r>
        <r>
          <rPr>
            <sz val="9"/>
            <color indexed="81"/>
            <rFont val="Tahoma"/>
            <family val="2"/>
          </rPr>
          <t xml:space="preserve">
5,000t lithium hydroxide
</t>
        </r>
      </text>
    </comment>
    <comment ref="O13" authorId="0" shapeId="0" xr:uid="{00000000-0006-0000-0300-00000C000000}">
      <text>
        <r>
          <rPr>
            <b/>
            <sz val="9"/>
            <color indexed="81"/>
            <rFont val="Tahoma"/>
            <family val="2"/>
          </rPr>
          <t>slu117:</t>
        </r>
        <r>
          <rPr>
            <sz val="9"/>
            <color indexed="81"/>
            <rFont val="Tahoma"/>
            <family val="2"/>
          </rPr>
          <t xml:space="preserve">
BNEF assumptions</t>
        </r>
      </text>
    </comment>
    <comment ref="B14" authorId="0" shapeId="0" xr:uid="{00000000-0006-0000-0300-00000D000000}">
      <text>
        <r>
          <rPr>
            <b/>
            <sz val="9"/>
            <color indexed="81"/>
            <rFont val="Tahoma"/>
            <family val="2"/>
          </rPr>
          <t>slu117:</t>
        </r>
        <r>
          <rPr>
            <sz val="9"/>
            <color indexed="81"/>
            <rFont val="Tahoma"/>
            <family val="2"/>
          </rPr>
          <t xml:space="preserve">
Rockwood became a wholly owned subsidiary of Albermarle in 2015</t>
        </r>
      </text>
    </comment>
    <comment ref="B15" authorId="0" shapeId="0" xr:uid="{00000000-0006-0000-0300-00000E000000}">
      <text>
        <r>
          <rPr>
            <b/>
            <sz val="9"/>
            <color indexed="81"/>
            <rFont val="Tahoma"/>
            <family val="2"/>
          </rPr>
          <t>slu117:</t>
        </r>
        <r>
          <rPr>
            <sz val="9"/>
            <color indexed="81"/>
            <rFont val="Tahoma"/>
            <family val="2"/>
          </rPr>
          <t xml:space="preserve">
acquired Antofalla Minerals SA (AMSA) in Dec 2018</t>
        </r>
      </text>
    </comment>
    <comment ref="B23" authorId="0" shapeId="0" xr:uid="{00000000-0006-0000-0300-00000F000000}">
      <text>
        <r>
          <rPr>
            <b/>
            <sz val="9"/>
            <color indexed="81"/>
            <rFont val="Tahoma"/>
            <family val="2"/>
          </rPr>
          <t>slu117:</t>
        </r>
        <r>
          <rPr>
            <sz val="9"/>
            <color indexed="81"/>
            <rFont val="Tahoma"/>
            <family val="2"/>
          </rPr>
          <t xml:space="preserve">
Rockwood became a wholly owned subsidiary of Albermarle in 2015</t>
        </r>
      </text>
    </comment>
    <comment ref="B24" authorId="0" shapeId="0" xr:uid="{00000000-0006-0000-0300-000010000000}">
      <text>
        <r>
          <rPr>
            <b/>
            <sz val="9"/>
            <color indexed="81"/>
            <rFont val="Tahoma"/>
            <family val="2"/>
          </rPr>
          <t>slu117:</t>
        </r>
        <r>
          <rPr>
            <sz val="9"/>
            <color indexed="81"/>
            <rFont val="Tahoma"/>
            <family val="2"/>
          </rPr>
          <t xml:space="preserve">
Rockwood became a wholly owned subsidiary of Albermarle in 2015</t>
        </r>
      </text>
    </comment>
    <comment ref="B25" authorId="0" shapeId="0" xr:uid="{00000000-0006-0000-0300-000011000000}">
      <text>
        <r>
          <rPr>
            <b/>
            <sz val="9"/>
            <color indexed="81"/>
            <rFont val="Tahoma"/>
            <family val="2"/>
          </rPr>
          <t>slu117:</t>
        </r>
        <r>
          <rPr>
            <sz val="9"/>
            <color indexed="81"/>
            <rFont val="Tahoma"/>
            <family val="2"/>
          </rPr>
          <t xml:space="preserve">
Rockwood became a wholly owned subsidiary of Albermarle in 2015</t>
        </r>
      </text>
    </comment>
    <comment ref="AP26" authorId="2" shapeId="0" xr:uid="{ECCDE6D6-913A-42F9-9207-E33EFEAED4B0}">
      <text>
        <r>
          <rPr>
            <b/>
            <sz val="9"/>
            <color indexed="81"/>
            <rFont val="Tahoma"/>
            <family val="2"/>
          </rPr>
          <t>Sharon:</t>
        </r>
        <r>
          <rPr>
            <sz val="9"/>
            <color indexed="81"/>
            <rFont val="Tahoma"/>
            <family val="2"/>
          </rPr>
          <t xml:space="preserve">
26,746wmt (li concentrate @ 5.94%Li2O). Production started July 2019.</t>
        </r>
      </text>
    </comment>
    <comment ref="AV26" authorId="2" shapeId="0" xr:uid="{4542D25B-62F8-4643-8CDD-AB6ED170BEA1}">
      <text>
        <r>
          <rPr>
            <b/>
            <sz val="9"/>
            <color indexed="81"/>
            <rFont val="Tahoma"/>
            <charset val="1"/>
          </rPr>
          <t>Sharon:</t>
        </r>
        <r>
          <rPr>
            <sz val="9"/>
            <color indexed="81"/>
            <rFont val="Tahoma"/>
            <charset val="1"/>
          </rPr>
          <t xml:space="preserve">
164,694wmt (li concentrate @ 5.94%Li2O) </t>
        </r>
      </text>
    </comment>
    <comment ref="BX26" authorId="0" shapeId="0" xr:uid="{00000000-0006-0000-0300-000012000000}">
      <text>
        <r>
          <rPr>
            <b/>
            <sz val="9"/>
            <color indexed="81"/>
            <rFont val="Tahoma"/>
            <family val="2"/>
          </rPr>
          <t>slu117:</t>
        </r>
        <r>
          <rPr>
            <sz val="9"/>
            <color indexed="81"/>
            <rFont val="Tahoma"/>
            <family val="2"/>
          </rPr>
          <t xml:space="preserve">
Kalgoorlie Power System (KPS)
</t>
        </r>
      </text>
    </comment>
    <comment ref="O27" authorId="2" shapeId="0" xr:uid="{9BD32ADB-41AA-47EE-8BF8-BDCB7F0F48EF}">
      <text>
        <r>
          <rPr>
            <b/>
            <sz val="9"/>
            <color indexed="81"/>
            <rFont val="Tahoma"/>
            <family val="2"/>
          </rPr>
          <t>Sharon:</t>
        </r>
        <r>
          <rPr>
            <sz val="9"/>
            <color indexed="81"/>
            <rFont val="Tahoma"/>
            <family val="2"/>
          </rPr>
          <t xml:space="preserve">
likely delayed, "commence as soon as practical subject to market conditions"</t>
        </r>
      </text>
    </comment>
    <comment ref="BX27" authorId="0" shapeId="0" xr:uid="{00000000-0006-0000-0300-000013000000}">
      <text>
        <r>
          <rPr>
            <b/>
            <sz val="9"/>
            <color indexed="81"/>
            <rFont val="Tahoma"/>
            <family val="2"/>
          </rPr>
          <t>slu117:</t>
        </r>
        <r>
          <rPr>
            <sz val="9"/>
            <color indexed="81"/>
            <rFont val="Tahoma"/>
            <family val="2"/>
          </rPr>
          <t xml:space="preserve">
Kalgoorlie Power System (KPS)
</t>
        </r>
      </text>
    </comment>
    <comment ref="B28" authorId="0" shapeId="0" xr:uid="{00000000-0006-0000-0300-000014000000}">
      <text>
        <r>
          <rPr>
            <b/>
            <sz val="9"/>
            <color indexed="81"/>
            <rFont val="Tahoma"/>
            <family val="2"/>
          </rPr>
          <t>slu117:</t>
        </r>
        <r>
          <rPr>
            <sz val="9"/>
            <color indexed="81"/>
            <rFont val="Tahoma"/>
            <family val="2"/>
          </rPr>
          <t xml:space="preserve">
10% held by Hanwa, 40% held by Oman soverign wealth fund, 20% held by Nextview New Energy Lion (2018), Ganfeng 30% (May 2019)</t>
        </r>
      </text>
    </comment>
    <comment ref="C28" authorId="0" shapeId="0" xr:uid="{00000000-0006-0000-0300-000015000000}">
      <text>
        <r>
          <rPr>
            <b/>
            <sz val="9"/>
            <color indexed="81"/>
            <rFont val="Tahoma"/>
            <family val="2"/>
          </rPr>
          <t>slu117:</t>
        </r>
        <r>
          <rPr>
            <sz val="9"/>
            <color indexed="81"/>
            <rFont val="Tahoma"/>
            <family val="2"/>
          </rPr>
          <t xml:space="preserve">
50% ownership</t>
        </r>
      </text>
    </comment>
    <comment ref="P28" authorId="2" shapeId="0" xr:uid="{0CB92DD7-A797-4498-9E85-CA5CDF6355D5}">
      <text>
        <r>
          <rPr>
            <b/>
            <sz val="9"/>
            <color indexed="81"/>
            <rFont val="Tahoma"/>
            <family val="2"/>
          </rPr>
          <t>Sharon:</t>
        </r>
        <r>
          <rPr>
            <sz val="9"/>
            <color indexed="81"/>
            <rFont val="Tahoma"/>
            <family val="2"/>
          </rPr>
          <t xml:space="preserve">
</t>
        </r>
      </text>
    </comment>
    <comment ref="W28" authorId="3" shapeId="0" xr:uid="{00000000-0006-0000-0300-000016000000}">
      <text>
        <r>
          <rPr>
            <b/>
            <sz val="9"/>
            <color indexed="81"/>
            <rFont val="Tahoma"/>
            <family val="2"/>
          </rPr>
          <t>smustri:</t>
        </r>
        <r>
          <rPr>
            <sz val="9"/>
            <color indexed="81"/>
            <rFont val="Tahoma"/>
            <family val="2"/>
          </rPr>
          <t xml:space="preserve">
reported as 13,058 EUR/t LiF; they use 1EUR=1.12 USD; 5112 tpa LiF (expressed in LCE terms)</t>
        </r>
      </text>
    </comment>
    <comment ref="X28" authorId="3" shapeId="0" xr:uid="{F585CFE8-8917-4D31-8B4A-5D819AAA6B00}">
      <text>
        <r>
          <rPr>
            <b/>
            <sz val="9"/>
            <color indexed="81"/>
            <rFont val="Tahoma"/>
            <family val="2"/>
          </rPr>
          <t>smustri:</t>
        </r>
        <r>
          <rPr>
            <sz val="9"/>
            <color indexed="81"/>
            <rFont val="Tahoma"/>
            <family val="2"/>
          </rPr>
          <t xml:space="preserve">
reported as 13,665 EUR/t LiF; they use 1EUR=1.12 USD; 5112 tpa LiF (expressed in LCE terms)</t>
        </r>
      </text>
    </comment>
    <comment ref="B29" authorId="0" shapeId="0" xr:uid="{00000000-0006-0000-0300-000017000000}">
      <text>
        <r>
          <rPr>
            <b/>
            <sz val="9"/>
            <color indexed="81"/>
            <rFont val="Tahoma"/>
            <family val="2"/>
          </rPr>
          <t>slu117:</t>
        </r>
        <r>
          <rPr>
            <sz val="9"/>
            <color indexed="81"/>
            <rFont val="Tahoma"/>
            <family val="2"/>
          </rPr>
          <t xml:space="preserve">
10% held by Hanwa, 40% held by Oman soverign wealth fund, 20% held by Nextview New Energy Lion (2018), Ganfeng 30% (May 2019)</t>
        </r>
      </text>
    </comment>
    <comment ref="C29" authorId="0" shapeId="0" xr:uid="{00000000-0006-0000-0300-000018000000}">
      <text>
        <r>
          <rPr>
            <b/>
            <sz val="9"/>
            <color indexed="81"/>
            <rFont val="Tahoma"/>
            <family val="2"/>
          </rPr>
          <t>slu117:</t>
        </r>
        <r>
          <rPr>
            <sz val="9"/>
            <color indexed="81"/>
            <rFont val="Tahoma"/>
            <family val="2"/>
          </rPr>
          <t xml:space="preserve">
JV w Rare Earth Minerals, with 10% equity stake from Hanwa; Ganfeng 22.5% direct stake</t>
        </r>
      </text>
    </comment>
    <comment ref="W29" authorId="0" shapeId="0" xr:uid="{00000000-0006-0000-0300-000019000000}">
      <text>
        <r>
          <rPr>
            <b/>
            <sz val="9"/>
            <color indexed="81"/>
            <rFont val="Tahoma"/>
            <family val="2"/>
          </rPr>
          <t>slu117:</t>
        </r>
        <r>
          <rPr>
            <sz val="9"/>
            <color indexed="81"/>
            <rFont val="Tahoma"/>
            <family val="2"/>
          </rPr>
          <t xml:space="preserve">
assumed $1 discount from full cost, which is reflective of LAC clay project</t>
        </r>
      </text>
    </comment>
    <comment ref="BZ29" authorId="0" shapeId="0" xr:uid="{00000000-0006-0000-0300-00001A000000}">
      <text>
        <r>
          <rPr>
            <b/>
            <sz val="9"/>
            <color indexed="81"/>
            <rFont val="Tahoma"/>
            <family val="2"/>
          </rPr>
          <t>slu117:</t>
        </r>
        <r>
          <rPr>
            <sz val="9"/>
            <color indexed="81"/>
            <rFont val="Tahoma"/>
            <family val="2"/>
          </rPr>
          <t xml:space="preserve">
https://www.bacanoralithium.com/pdfs/Bacanora-FS-Technical-Report-25-01-2018.pdf 
assuming Financial model results</t>
        </r>
      </text>
    </comment>
    <comment ref="CE29" authorId="3" shapeId="0" xr:uid="{00000000-0006-0000-0300-00001B000000}">
      <text>
        <r>
          <rPr>
            <b/>
            <sz val="9"/>
            <color indexed="81"/>
            <rFont val="Tahoma"/>
            <family val="2"/>
          </rPr>
          <t>smustri:</t>
        </r>
        <r>
          <rPr>
            <sz val="9"/>
            <color indexed="81"/>
            <rFont val="Tahoma"/>
            <family val="2"/>
          </rPr>
          <t xml:space="preserve">
$420 million usd stage 1, plus $380 million usd for stage 2</t>
        </r>
      </text>
    </comment>
    <comment ref="B30" authorId="0" shapeId="0" xr:uid="{00000000-0006-0000-0300-00001C000000}">
      <text>
        <r>
          <rPr>
            <b/>
            <sz val="9"/>
            <color indexed="81"/>
            <rFont val="Tahoma"/>
            <family val="2"/>
          </rPr>
          <t>slu117:</t>
        </r>
        <r>
          <rPr>
            <sz val="9"/>
            <color indexed="81"/>
            <rFont val="Tahoma"/>
            <family val="2"/>
          </rPr>
          <t xml:space="preserve">
10% held by Hanwa, 40% held by Oman soverign wealth fund, 20% held by Nextview New Energy Lion (2018), Ganfeng 30% (May 2019)</t>
        </r>
      </text>
    </comment>
    <comment ref="CE30" authorId="3" shapeId="0" xr:uid="{00000000-0006-0000-0300-00001D000000}">
      <text>
        <r>
          <rPr>
            <b/>
            <sz val="9"/>
            <color indexed="81"/>
            <rFont val="Tahoma"/>
            <family val="2"/>
          </rPr>
          <t>smustri:</t>
        </r>
        <r>
          <rPr>
            <sz val="9"/>
            <color indexed="81"/>
            <rFont val="Tahoma"/>
            <family val="2"/>
          </rPr>
          <t xml:space="preserve">
$420 million usd stage 1, plus $380 million usd for stage 2</t>
        </r>
      </text>
    </comment>
    <comment ref="W31" authorId="0" shapeId="0" xr:uid="{00000000-0006-0000-0300-00001E000000}">
      <text>
        <r>
          <rPr>
            <b/>
            <sz val="9"/>
            <color indexed="81"/>
            <rFont val="Tahoma"/>
            <family val="2"/>
          </rPr>
          <t>slu117:</t>
        </r>
        <r>
          <rPr>
            <sz val="9"/>
            <color indexed="81"/>
            <rFont val="Tahoma"/>
            <family val="2"/>
          </rPr>
          <t xml:space="preserve">
estimate (assume Desert Lion costs)</t>
        </r>
      </text>
    </comment>
    <comment ref="W32" authorId="0" shapeId="0" xr:uid="{00000000-0006-0000-0300-00001F000000}">
      <text>
        <r>
          <rPr>
            <b/>
            <sz val="9"/>
            <color indexed="81"/>
            <rFont val="Tahoma"/>
            <family val="2"/>
          </rPr>
          <t>slu117:</t>
        </r>
        <r>
          <rPr>
            <sz val="9"/>
            <color indexed="81"/>
            <rFont val="Tahoma"/>
            <family val="2"/>
          </rPr>
          <t xml:space="preserve">
estimate (assume Desert Lion costs)</t>
        </r>
      </text>
    </comment>
    <comment ref="B37" authorId="0" shapeId="0" xr:uid="{00000000-0006-0000-0300-000020000000}">
      <text>
        <r>
          <rPr>
            <b/>
            <sz val="9"/>
            <color indexed="81"/>
            <rFont val="Tahoma"/>
            <family val="2"/>
          </rPr>
          <t>slu117:</t>
        </r>
        <r>
          <rPr>
            <sz val="9"/>
            <color indexed="81"/>
            <rFont val="Tahoma"/>
            <family val="2"/>
          </rPr>
          <t xml:space="preserve">
Lepidico: 11.5% Galaxy Resources
Desert Lion Energy: 
</t>
        </r>
      </text>
    </comment>
    <comment ref="R39" authorId="0" shapeId="0" xr:uid="{00000000-0006-0000-0300-000021000000}">
      <text>
        <r>
          <rPr>
            <b/>
            <sz val="9"/>
            <color indexed="81"/>
            <rFont val="Tahoma"/>
            <family val="2"/>
          </rPr>
          <t>slu117: 
upgraded Jan 2019</t>
        </r>
        <r>
          <rPr>
            <sz val="9"/>
            <color indexed="81"/>
            <rFont val="Tahoma"/>
            <family val="2"/>
          </rPr>
          <t xml:space="preserve">
https://www.asx.com.au/asxpdf/20190123/pdf/4420zn6jk8tl0q.pdf</t>
        </r>
      </text>
    </comment>
    <comment ref="AJ39" authorId="2" shapeId="0" xr:uid="{B44ACE51-4164-4837-8F62-D133A8A00C06}">
      <text>
        <r>
          <rPr>
            <b/>
            <sz val="9"/>
            <color indexed="81"/>
            <rFont val="Tahoma"/>
            <family val="2"/>
          </rPr>
          <t>Sharon:</t>
        </r>
        <r>
          <rPr>
            <sz val="9"/>
            <color indexed="81"/>
            <rFont val="Tahoma"/>
            <family val="2"/>
          </rPr>
          <t xml:space="preserve">
155,679dmt (li concentrate @ 6.0%Li2O) </t>
        </r>
      </text>
    </comment>
    <comment ref="AP39" authorId="2" shapeId="0" xr:uid="{14411339-FC0E-4E44-893A-A476DE2E95D7}">
      <text>
        <r>
          <rPr>
            <b/>
            <sz val="9"/>
            <color indexed="81"/>
            <rFont val="Tahoma"/>
            <family val="2"/>
          </rPr>
          <t>Sharon:</t>
        </r>
        <r>
          <rPr>
            <sz val="9"/>
            <color indexed="81"/>
            <rFont val="Tahoma"/>
            <family val="2"/>
          </rPr>
          <t xml:space="preserve">
156,689dmt (li concentrate @ 6.0%Li2O) </t>
        </r>
      </text>
    </comment>
    <comment ref="AQ39" authorId="2" shapeId="0" xr:uid="{2B964627-2572-473A-B0C8-A57E986B11B3}">
      <text>
        <r>
          <rPr>
            <b/>
            <sz val="9"/>
            <color indexed="81"/>
            <rFont val="Tahoma"/>
            <family val="2"/>
          </rPr>
          <t>Sharon:</t>
        </r>
        <r>
          <rPr>
            <sz val="9"/>
            <color indexed="81"/>
            <rFont val="Tahoma"/>
            <family val="2"/>
          </rPr>
          <t xml:space="preserve">
210,000dmt (li concentrate @ 6.0%Li2O) </t>
        </r>
      </text>
    </comment>
    <comment ref="AV39" authorId="2" shapeId="0" xr:uid="{47DFBD30-D525-4441-9846-0F6817F1E188}">
      <text>
        <r>
          <rPr>
            <b/>
            <sz val="9"/>
            <color indexed="81"/>
            <rFont val="Tahoma"/>
            <family val="2"/>
          </rPr>
          <t>Sharon:</t>
        </r>
        <r>
          <rPr>
            <sz val="9"/>
            <color indexed="81"/>
            <rFont val="Tahoma"/>
            <family val="2"/>
          </rPr>
          <t xml:space="preserve">
191,569dmt (li concentrate @ 6.0%Li2O) </t>
        </r>
      </text>
    </comment>
    <comment ref="AX39" authorId="2" shapeId="0" xr:uid="{2192248A-5A3A-4871-848F-3E3434F71D43}">
      <text>
        <r>
          <rPr>
            <b/>
            <sz val="9"/>
            <color indexed="81"/>
            <rFont val="Tahoma"/>
            <family val="2"/>
          </rPr>
          <t>Sharon:</t>
        </r>
        <r>
          <rPr>
            <sz val="9"/>
            <color indexed="81"/>
            <rFont val="Tahoma"/>
            <family val="2"/>
          </rPr>
          <t xml:space="preserve">
105,000dmt (li concentrate @ 6.0%Li2O) </t>
        </r>
      </text>
    </comment>
    <comment ref="BZ39" authorId="3" shapeId="0" xr:uid="{00000000-0006-0000-0300-000022000000}">
      <text>
        <r>
          <rPr>
            <b/>
            <sz val="9"/>
            <color indexed="81"/>
            <rFont val="Tahoma"/>
            <family val="2"/>
          </rPr>
          <t>smustri:</t>
        </r>
        <r>
          <rPr>
            <sz val="9"/>
            <color indexed="81"/>
            <rFont val="Tahoma"/>
            <family val="2"/>
          </rPr>
          <t xml:space="preserve">
mining cost
</t>
        </r>
      </text>
    </comment>
    <comment ref="C40" authorId="0" shapeId="0" xr:uid="{00000000-0006-0000-0300-000023000000}">
      <text>
        <r>
          <rPr>
            <b/>
            <sz val="9"/>
            <color indexed="81"/>
            <rFont val="Tahoma"/>
            <family val="2"/>
          </rPr>
          <t>slu117:</t>
        </r>
        <r>
          <rPr>
            <sz val="9"/>
            <color indexed="81"/>
            <rFont val="Tahoma"/>
            <family val="2"/>
          </rPr>
          <t xml:space="preserve">
jointly funded by POSCO</t>
        </r>
      </text>
    </comment>
    <comment ref="M40" authorId="0" shapeId="0" xr:uid="{00000000-0006-0000-0300-000024000000}">
      <text>
        <r>
          <rPr>
            <b/>
            <sz val="9"/>
            <color indexed="81"/>
            <rFont val="Tahoma"/>
            <family val="2"/>
          </rPr>
          <t>slu117:</t>
        </r>
        <r>
          <rPr>
            <sz val="9"/>
            <color indexed="81"/>
            <rFont val="Tahoma"/>
            <family val="2"/>
          </rPr>
          <t xml:space="preserve">
FSR completed in 2016
FID targeted for Q2-Q3 2020</t>
        </r>
      </text>
    </comment>
    <comment ref="O40" authorId="0" shapeId="0" xr:uid="{00000000-0006-0000-0300-000025000000}">
      <text>
        <r>
          <rPr>
            <b/>
            <sz val="9"/>
            <color indexed="81"/>
            <rFont val="Tahoma"/>
            <family val="2"/>
          </rPr>
          <t>slu117:</t>
        </r>
        <r>
          <rPr>
            <sz val="9"/>
            <color indexed="81"/>
            <rFont val="Tahoma"/>
            <family val="2"/>
          </rPr>
          <t xml:space="preserve">
BNEF assumptions</t>
        </r>
      </text>
    </comment>
    <comment ref="W40" authorId="0" shapeId="0" xr:uid="{00000000-0006-0000-0300-000026000000}">
      <text>
        <r>
          <rPr>
            <b/>
            <sz val="9"/>
            <color indexed="81"/>
            <rFont val="Tahoma"/>
            <family val="2"/>
          </rPr>
          <t>slu117:</t>
        </r>
        <r>
          <rPr>
            <sz val="9"/>
            <color indexed="81"/>
            <rFont val="Tahoma"/>
            <family val="2"/>
          </rPr>
          <t xml:space="preserve">
operating costs, after potash credits
</t>
        </r>
      </text>
    </comment>
    <comment ref="B42" authorId="0" shapeId="0" xr:uid="{00000000-0006-0000-0300-000027000000}">
      <text>
        <r>
          <rPr>
            <b/>
            <sz val="9"/>
            <color indexed="81"/>
            <rFont val="Tahoma"/>
            <family val="2"/>
          </rPr>
          <t>slu117:</t>
        </r>
        <r>
          <rPr>
            <sz val="9"/>
            <color indexed="81"/>
            <rFont val="Tahoma"/>
            <family val="2"/>
          </rPr>
          <t xml:space="preserve">
Mine is 100% owned by Alliance (as of 2019) 
Prior to this, Bald Hill = 50/50 JV btw Tawana and Alliance. Jiangte Motor owns 100% of Tawana; Tawana and Alliance merged in Dec 2018.  
https://www.australianmining.com.au/news/tawana-ceases-trading-as-alliance-merger-comes-into-effect/</t>
        </r>
      </text>
    </comment>
    <comment ref="I42" authorId="0" shapeId="0" xr:uid="{00000000-0006-0000-0300-000028000000}">
      <text>
        <r>
          <rPr>
            <b/>
            <sz val="9"/>
            <color indexed="81"/>
            <rFont val="Tahoma"/>
            <family val="2"/>
          </rPr>
          <t>slu117:</t>
        </r>
        <r>
          <rPr>
            <sz val="9"/>
            <color indexed="81"/>
            <rFont val="Tahoma"/>
            <family val="2"/>
          </rPr>
          <t xml:space="preserve">
Alliance Mineral Assets’s flagship project expects to produce 180,000 tonnes of spodumene in 2019 and 240,000 tonnes in 2020.</t>
        </r>
      </text>
    </comment>
    <comment ref="W42" authorId="0" shapeId="0" xr:uid="{00000000-0006-0000-0300-000029000000}">
      <text>
        <r>
          <rPr>
            <b/>
            <sz val="9"/>
            <color indexed="81"/>
            <rFont val="Tahoma"/>
            <family val="2"/>
          </rPr>
          <t xml:space="preserve">slu117: Guotai Junan Secuirities April 2018 report on Baowei
</t>
        </r>
        <r>
          <rPr>
            <sz val="9"/>
            <color indexed="81"/>
            <rFont val="Tahoma"/>
            <family val="2"/>
          </rPr>
          <t xml:space="preserve">
http://pdf.dfcfw.com/pdf/H3_AP201804241128837240_1.pdf</t>
        </r>
      </text>
    </comment>
    <comment ref="AM42" authorId="2" shapeId="0" xr:uid="{8003B7C2-FCE0-4F87-9F8B-A2FDE4F13D10}">
      <text>
        <r>
          <rPr>
            <b/>
            <sz val="9"/>
            <color indexed="81"/>
            <rFont val="Tahoma"/>
            <family val="2"/>
          </rPr>
          <t>Sharon:</t>
        </r>
        <r>
          <rPr>
            <sz val="9"/>
            <color indexed="81"/>
            <rFont val="Tahoma"/>
            <family val="2"/>
          </rPr>
          <t xml:space="preserve">
28,419wmt (li concentrate @ 6.0%Li2O). Start production in may/june.</t>
        </r>
      </text>
    </comment>
    <comment ref="AN42" authorId="2" shapeId="0" xr:uid="{616A943A-0511-42C3-BDDB-56B5705D9412}">
      <text>
        <r>
          <rPr>
            <b/>
            <sz val="9"/>
            <color indexed="81"/>
            <rFont val="Tahoma"/>
            <family val="2"/>
          </rPr>
          <t>Sharon:</t>
        </r>
        <r>
          <rPr>
            <sz val="9"/>
            <color indexed="81"/>
            <rFont val="Tahoma"/>
            <family val="2"/>
          </rPr>
          <t xml:space="preserve">
28,419wmt (li concentrate @ 6.0%Li2O). Start production in may/june.</t>
        </r>
      </text>
    </comment>
    <comment ref="AO42" authorId="2" shapeId="0" xr:uid="{78C4B1F7-BA28-4D3C-98E5-194BDC57D771}">
      <text>
        <r>
          <rPr>
            <b/>
            <sz val="9"/>
            <color indexed="81"/>
            <rFont val="Tahoma"/>
            <family val="2"/>
          </rPr>
          <t>Sharon:</t>
        </r>
        <r>
          <rPr>
            <sz val="9"/>
            <color indexed="81"/>
            <rFont val="Tahoma"/>
            <family val="2"/>
          </rPr>
          <t xml:space="preserve">
22,724wmt (li concentrate @ 6.0%Li2O). Start production in may/june.</t>
        </r>
      </text>
    </comment>
    <comment ref="AP42" authorId="2" shapeId="0" xr:uid="{42289A97-9620-46E2-8468-3FFC46D4AA3F}">
      <text>
        <r>
          <rPr>
            <b/>
            <sz val="9"/>
            <color indexed="81"/>
            <rFont val="Tahoma"/>
            <family val="2"/>
          </rPr>
          <t>Sharon:</t>
        </r>
        <r>
          <rPr>
            <sz val="9"/>
            <color indexed="81"/>
            <rFont val="Tahoma"/>
            <family val="2"/>
          </rPr>
          <t xml:space="preserve">
70,361wmt (li concentrate @ 6.0%Li2O). Start production in may/june.</t>
        </r>
      </text>
    </comment>
    <comment ref="AV42" authorId="2" shapeId="0" xr:uid="{00FFAD71-039A-4650-893C-FED2709D90F8}">
      <text>
        <r>
          <rPr>
            <b/>
            <sz val="9"/>
            <color indexed="81"/>
            <rFont val="Tahoma"/>
            <family val="2"/>
          </rPr>
          <t>Sharon:</t>
        </r>
        <r>
          <rPr>
            <sz val="9"/>
            <color indexed="81"/>
            <rFont val="Tahoma"/>
            <family val="2"/>
          </rPr>
          <t xml:space="preserve">
77,008wmt (li concentrate @ 6.0%Li2O).  Production for only Q1 and Q2.</t>
        </r>
      </text>
    </comment>
    <comment ref="BJ42" authorId="2" shapeId="0" xr:uid="{53DBFB6D-85E4-43B3-B898-1C5B9C7294C0}">
      <text>
        <r>
          <rPr>
            <b/>
            <sz val="9"/>
            <color indexed="81"/>
            <rFont val="Tahoma"/>
            <family val="2"/>
          </rPr>
          <t>Sharon:</t>
        </r>
        <r>
          <rPr>
            <sz val="9"/>
            <color indexed="81"/>
            <rFont val="Tahoma"/>
            <family val="2"/>
          </rPr>
          <t xml:space="preserve">
22,370dmt (li concentrate @ 6.0%Li2O). Start production in may/june.</t>
        </r>
      </text>
    </comment>
    <comment ref="B43" authorId="0" shapeId="0" xr:uid="{00000000-0006-0000-0300-00002A000000}">
      <text>
        <r>
          <rPr>
            <b/>
            <sz val="9"/>
            <color indexed="81"/>
            <rFont val="Tahoma"/>
            <family val="2"/>
          </rPr>
          <t>slu117:</t>
        </r>
        <r>
          <rPr>
            <sz val="9"/>
            <color indexed="81"/>
            <rFont val="Tahoma"/>
            <family val="2"/>
          </rPr>
          <t xml:space="preserve">
Covalent Lithium, formally Western Australia Lithium Pty Ltd, JV: 50% Kidman, 50% SQM</t>
        </r>
      </text>
    </comment>
    <comment ref="O43" authorId="0" shapeId="0" xr:uid="{00000000-0006-0000-0300-00002B000000}">
      <text>
        <r>
          <rPr>
            <b/>
            <sz val="9"/>
            <color indexed="81"/>
            <rFont val="Tahoma"/>
            <family val="2"/>
          </rPr>
          <t>slu117:</t>
        </r>
        <r>
          <rPr>
            <sz val="9"/>
            <color indexed="81"/>
            <rFont val="Tahoma"/>
            <family val="2"/>
          </rPr>
          <t xml:space="preserve">
BNEF assumptions
</t>
        </r>
      </text>
    </comment>
    <comment ref="CE43" authorId="0" shapeId="0" xr:uid="{00000000-0006-0000-0300-00002C000000}">
      <text>
        <r>
          <rPr>
            <b/>
            <sz val="9"/>
            <color indexed="81"/>
            <rFont val="Tahoma"/>
            <family val="2"/>
          </rPr>
          <t>slu117:</t>
        </r>
        <r>
          <rPr>
            <sz val="9"/>
            <color indexed="81"/>
            <rFont val="Tahoma"/>
            <family val="2"/>
          </rPr>
          <t xml:space="preserve">
includes contingency</t>
        </r>
      </text>
    </comment>
    <comment ref="B44" authorId="0" shapeId="0" xr:uid="{00000000-0006-0000-0300-00002D000000}">
      <text>
        <r>
          <rPr>
            <b/>
            <sz val="9"/>
            <color indexed="81"/>
            <rFont val="Tahoma"/>
            <family val="2"/>
          </rPr>
          <t>slu117:</t>
        </r>
        <r>
          <rPr>
            <sz val="9"/>
            <color indexed="81"/>
            <rFont val="Tahoma"/>
            <family val="2"/>
          </rPr>
          <t xml:space="preserve">
Covalent Lithium, formally Western Australia Lithium Pty Ltd, JV: 50% Kidman, 50% SQM</t>
        </r>
      </text>
    </comment>
    <comment ref="O44" authorId="0" shapeId="0" xr:uid="{00000000-0006-0000-0300-00002E000000}">
      <text>
        <r>
          <rPr>
            <b/>
            <sz val="9"/>
            <color indexed="81"/>
            <rFont val="Tahoma"/>
            <family val="2"/>
          </rPr>
          <t>slu117:</t>
        </r>
        <r>
          <rPr>
            <sz val="9"/>
            <color indexed="81"/>
            <rFont val="Tahoma"/>
            <family val="2"/>
          </rPr>
          <t xml:space="preserve">
BNEF assumptions
</t>
        </r>
      </text>
    </comment>
    <comment ref="BZ44" authorId="0" shapeId="0" xr:uid="{00000000-0006-0000-0300-00002F000000}">
      <text>
        <r>
          <rPr>
            <b/>
            <sz val="9"/>
            <color indexed="81"/>
            <rFont val="Tahoma"/>
            <family val="2"/>
          </rPr>
          <t>slu117:</t>
        </r>
        <r>
          <rPr>
            <sz val="9"/>
            <color indexed="81"/>
            <rFont val="Tahoma"/>
            <family val="2"/>
          </rPr>
          <t xml:space="preserve">
includes mine &amp; concentrator costs</t>
        </r>
      </text>
    </comment>
    <comment ref="CE44" authorId="0" shapeId="0" xr:uid="{00000000-0006-0000-0300-000030000000}">
      <text>
        <r>
          <rPr>
            <b/>
            <sz val="9"/>
            <color indexed="81"/>
            <rFont val="Tahoma"/>
            <family val="2"/>
          </rPr>
          <t>slu117:</t>
        </r>
        <r>
          <rPr>
            <sz val="9"/>
            <color indexed="81"/>
            <rFont val="Tahoma"/>
            <family val="2"/>
          </rPr>
          <t xml:space="preserve">
includes contingency 15%</t>
        </r>
      </text>
    </comment>
    <comment ref="B45" authorId="0" shapeId="0" xr:uid="{00000000-0006-0000-0300-000031000000}">
      <text>
        <r>
          <rPr>
            <b/>
            <sz val="9"/>
            <color indexed="81"/>
            <rFont val="Tahoma"/>
            <family val="2"/>
          </rPr>
          <t>slu117:</t>
        </r>
        <r>
          <rPr>
            <sz val="9"/>
            <color indexed="81"/>
            <rFont val="Tahoma"/>
            <family val="2"/>
          </rPr>
          <t xml:space="preserve">
Bangchak and Ganfeng both hold 16% each share in LAC</t>
        </r>
      </text>
    </comment>
    <comment ref="B46" authorId="0" shapeId="0" xr:uid="{00000000-0006-0000-0300-000032000000}">
      <text>
        <r>
          <rPr>
            <b/>
            <sz val="9"/>
            <color indexed="81"/>
            <rFont val="Tahoma"/>
            <family val="2"/>
          </rPr>
          <t>slu117:</t>
        </r>
        <r>
          <rPr>
            <sz val="9"/>
            <color indexed="81"/>
            <rFont val="Tahoma"/>
            <family val="2"/>
          </rPr>
          <t xml:space="preserve">
Bangchak and Ganfeng both hold 16% each share in LAC</t>
        </r>
      </text>
    </comment>
    <comment ref="CE46" authorId="0" shapeId="0" xr:uid="{00000000-0006-0000-0300-000033000000}">
      <text>
        <r>
          <rPr>
            <b/>
            <sz val="9"/>
            <color indexed="81"/>
            <rFont val="Tahoma"/>
            <family val="2"/>
          </rPr>
          <t>slu117:</t>
        </r>
        <r>
          <rPr>
            <sz val="9"/>
            <color indexed="81"/>
            <rFont val="Tahoma"/>
            <family val="2"/>
          </rPr>
          <t xml:space="preserve">
Mine + rail + indirect costs + contingency</t>
        </r>
      </text>
    </comment>
    <comment ref="B47" authorId="0" shapeId="0" xr:uid="{00000000-0006-0000-0300-000034000000}">
      <text>
        <r>
          <rPr>
            <b/>
            <sz val="9"/>
            <color indexed="81"/>
            <rFont val="Tahoma"/>
            <family val="2"/>
          </rPr>
          <t xml:space="preserve">slu117:
</t>
        </r>
        <r>
          <rPr>
            <sz val="9"/>
            <color indexed="81"/>
            <rFont val="Tahoma"/>
            <family val="2"/>
          </rPr>
          <t>50/50 LAC Ganfeng - April 2019
Q4 2018: 62.5% LAC, 37.5% Ganfeng holding of Minera Exar. This transitioned from 2016, when the holding used to be a 50/50 holding btw LAC and SQM</t>
        </r>
      </text>
    </comment>
    <comment ref="B48" authorId="0" shapeId="0" xr:uid="{00000000-0006-0000-0300-000035000000}">
      <text>
        <r>
          <rPr>
            <b/>
            <sz val="9"/>
            <color indexed="81"/>
            <rFont val="Tahoma"/>
            <family val="2"/>
          </rPr>
          <t xml:space="preserve">slu117:
</t>
        </r>
        <r>
          <rPr>
            <sz val="9"/>
            <color indexed="81"/>
            <rFont val="Tahoma"/>
            <family val="2"/>
          </rPr>
          <t>50/50 LAC Ganfeng - April 2019
Q4 2018: 62.5% LAC, 37.5% Ganfeng holding of Minera Exar. This transitioned from 2016, when the holding used to be a 50/50 holding btw LAC and SQM</t>
        </r>
      </text>
    </comment>
    <comment ref="B49" authorId="0" shapeId="0" xr:uid="{00000000-0006-0000-0300-000036000000}">
      <text>
        <r>
          <rPr>
            <b/>
            <sz val="9"/>
            <color indexed="81"/>
            <rFont val="Tahoma"/>
            <family val="2"/>
          </rPr>
          <t>slu117:</t>
        </r>
        <r>
          <rPr>
            <sz val="9"/>
            <color indexed="81"/>
            <rFont val="Tahoma"/>
            <family val="2"/>
          </rPr>
          <t xml:space="preserve">
Nextview New Energy Lion purchased Lithium X in Dec 2017 for $265m. </t>
        </r>
      </text>
    </comment>
    <comment ref="B50" authorId="0" shapeId="0" xr:uid="{00000000-0006-0000-0300-000037000000}">
      <text>
        <r>
          <rPr>
            <b/>
            <sz val="9"/>
            <color indexed="81"/>
            <rFont val="Tahoma"/>
            <family val="2"/>
          </rPr>
          <t>slu117:</t>
        </r>
        <r>
          <rPr>
            <sz val="9"/>
            <color indexed="81"/>
            <rFont val="Tahoma"/>
            <family val="2"/>
          </rPr>
          <t xml:space="preserve">
Nextview New Energy Lion purchased Lithium X in Dec 2017 for $265m. </t>
        </r>
      </text>
    </comment>
    <comment ref="B51" authorId="0" shapeId="0" xr:uid="{00000000-0006-0000-0300-000038000000}">
      <text>
        <r>
          <rPr>
            <b/>
            <sz val="9"/>
            <color indexed="81"/>
            <rFont val="Tahoma"/>
            <family val="2"/>
          </rPr>
          <t>slu117:</t>
        </r>
        <r>
          <rPr>
            <sz val="9"/>
            <color indexed="81"/>
            <rFont val="Tahoma"/>
            <family val="2"/>
          </rPr>
          <t xml:space="preserve">
Lithium X holds 19.99% share; Tesla is also part investor</t>
        </r>
      </text>
    </comment>
    <comment ref="R51" authorId="0" shapeId="0" xr:uid="{00000000-0006-0000-0300-000039000000}">
      <text>
        <r>
          <rPr>
            <b/>
            <sz val="9"/>
            <color indexed="81"/>
            <rFont val="Tahoma"/>
            <family val="2"/>
          </rPr>
          <t>slu117:</t>
        </r>
        <r>
          <rPr>
            <sz val="9"/>
            <color indexed="81"/>
            <rFont val="Tahoma"/>
            <family val="2"/>
          </rPr>
          <t xml:space="preserve">
https://www.cypressdevelopmentcorp.com/site/assets/files/3570/cyp-synthetic-lithium-brine-discussed-by-geoscientist-b.pdf</t>
        </r>
      </text>
    </comment>
    <comment ref="B52" authorId="0" shapeId="0" xr:uid="{00000000-0006-0000-0300-00003A000000}">
      <text>
        <r>
          <rPr>
            <b/>
            <sz val="9"/>
            <color indexed="81"/>
            <rFont val="Tahoma"/>
            <family val="2"/>
          </rPr>
          <t>slu117:</t>
        </r>
        <r>
          <rPr>
            <sz val="9"/>
            <color indexed="81"/>
            <rFont val="Tahoma"/>
            <family val="2"/>
          </rPr>
          <t xml:space="preserve">
Nextview New Energy Lion purchased Lithium X in Dec 2017 for $265m. </t>
        </r>
      </text>
    </comment>
    <comment ref="H53" authorId="0" shapeId="0" xr:uid="{00000000-0006-0000-0300-00003B000000}">
      <text>
        <r>
          <rPr>
            <b/>
            <sz val="9"/>
            <color indexed="81"/>
            <rFont val="Tahoma"/>
            <family val="2"/>
          </rPr>
          <t>slu117:</t>
        </r>
        <r>
          <rPr>
            <sz val="9"/>
            <color indexed="81"/>
            <rFont val="Tahoma"/>
            <family val="2"/>
          </rPr>
          <t xml:space="preserve">
FMB 2017 Annual Report: We made several strategic decisions during the last few years to focus FMC Lithium on downstream, higher-value products. We convert most of our lithium carbonate and chloride production into high-purity materials, including lithium hydroxide used in electric vehicle ("EV") batteries, and butyllithium and lithium metals for specialty applications. In 2017, we expanded capacity in multiple locations, including a new lithium hydroxide plant in China that can produce 9,000 metric tons per year to meet accelerating demand for FMC’s products. Commercial sales from this facility began in June, and we had full commercial production for the final four months of 2017. We remain on track to reach 30,000 metric tons of lithium hydroxide manufacturing capacity by the end of 2019, by adding another 12,000 metric tons of capacity. To feed these downstream products, we also announced plans to more than double lithium carbonate production at our Argentina site to approximately 40,000 metric tons per year by 2022.</t>
        </r>
      </text>
    </comment>
    <comment ref="BZ55" authorId="0" shapeId="0" xr:uid="{00000000-0006-0000-0300-00003C000000}">
      <text>
        <r>
          <rPr>
            <b/>
            <sz val="9"/>
            <color indexed="81"/>
            <rFont val="Tahoma"/>
            <family val="2"/>
          </rPr>
          <t>slu117:</t>
        </r>
        <r>
          <rPr>
            <sz val="9"/>
            <color indexed="81"/>
            <rFont val="Tahoma"/>
            <family val="2"/>
          </rPr>
          <t xml:space="preserve">
https://s22.q4cdn.com/453302215/files/doc_financials/2018/LTHM002AR_AR_2018_Web.pdf</t>
        </r>
      </text>
    </comment>
    <comment ref="BZ56" authorId="0" shapeId="0" xr:uid="{00000000-0006-0000-0300-00003D000000}">
      <text>
        <r>
          <rPr>
            <b/>
            <sz val="9"/>
            <color indexed="81"/>
            <rFont val="Tahoma"/>
            <family val="2"/>
          </rPr>
          <t>slu117:</t>
        </r>
        <r>
          <rPr>
            <sz val="9"/>
            <color indexed="81"/>
            <rFont val="Tahoma"/>
            <family val="2"/>
          </rPr>
          <t xml:space="preserve">
https://s22.q4cdn.com/453302215/files/doc_financials/2018/LTHM002AR_AR_2018_Web.pdf</t>
        </r>
      </text>
    </comment>
    <comment ref="B58" authorId="0" shapeId="0" xr:uid="{00000000-0006-0000-0300-00003E000000}">
      <text>
        <r>
          <rPr>
            <b/>
            <sz val="9"/>
            <color indexed="81"/>
            <rFont val="Tahoma"/>
            <family val="2"/>
          </rPr>
          <t>slu117:</t>
        </r>
        <r>
          <rPr>
            <sz val="9"/>
            <color indexed="81"/>
            <rFont val="Tahoma"/>
            <family val="2"/>
          </rPr>
          <t xml:space="preserve">
50/50 JV</t>
        </r>
      </text>
    </comment>
    <comment ref="H58" authorId="0" shapeId="0" xr:uid="{00000000-0006-0000-0300-00003F000000}">
      <text>
        <r>
          <rPr>
            <b/>
            <sz val="9"/>
            <color indexed="81"/>
            <rFont val="Tahoma"/>
            <family val="2"/>
          </rPr>
          <t>slu117:</t>
        </r>
        <r>
          <rPr>
            <sz val="9"/>
            <color indexed="81"/>
            <rFont val="Tahoma"/>
            <family val="2"/>
          </rPr>
          <t xml:space="preserve">
DSO = direct shipping ore 
http://clients3.weblink.com.au/pdf/MIN/02004620.pdf</t>
        </r>
      </text>
    </comment>
    <comment ref="B59" authorId="0" shapeId="0" xr:uid="{00000000-0006-0000-0300-000040000000}">
      <text>
        <r>
          <rPr>
            <b/>
            <sz val="9"/>
            <color indexed="81"/>
            <rFont val="Tahoma"/>
            <family val="2"/>
          </rPr>
          <t>slu117:</t>
        </r>
        <r>
          <rPr>
            <sz val="9"/>
            <color indexed="81"/>
            <rFont val="Tahoma"/>
            <family val="2"/>
          </rPr>
          <t xml:space="preserve">
50/50 JV</t>
        </r>
      </text>
    </comment>
    <comment ref="B60" authorId="0" shapeId="0" xr:uid="{00000000-0006-0000-0300-000041000000}">
      <text>
        <r>
          <rPr>
            <b/>
            <sz val="9"/>
            <color indexed="81"/>
            <rFont val="Tahoma"/>
            <family val="2"/>
          </rPr>
          <t>slu117:</t>
        </r>
        <r>
          <rPr>
            <sz val="9"/>
            <color indexed="81"/>
            <rFont val="Tahoma"/>
            <family val="2"/>
          </rPr>
          <t xml:space="preserve">
50/50 JV</t>
        </r>
      </text>
    </comment>
    <comment ref="B61" authorId="0" shapeId="0" xr:uid="{00000000-0006-0000-0300-000042000000}">
      <text>
        <r>
          <rPr>
            <b/>
            <sz val="9"/>
            <color indexed="81"/>
            <rFont val="Tahoma"/>
            <family val="2"/>
          </rPr>
          <t>slu117:</t>
        </r>
        <r>
          <rPr>
            <sz val="9"/>
            <color indexed="81"/>
            <rFont val="Tahoma"/>
            <family val="2"/>
          </rPr>
          <t xml:space="preserve">
50/50 JV</t>
        </r>
      </text>
    </comment>
    <comment ref="B62" authorId="0" shapeId="0" xr:uid="{00000000-0006-0000-0300-000043000000}">
      <text>
        <r>
          <rPr>
            <b/>
            <sz val="9"/>
            <color indexed="81"/>
            <rFont val="Tahoma"/>
            <family val="2"/>
          </rPr>
          <t>slu117:</t>
        </r>
        <r>
          <rPr>
            <sz val="9"/>
            <color indexed="81"/>
            <rFont val="Tahoma"/>
            <family val="2"/>
          </rPr>
          <t xml:space="preserve">
50/50 JV</t>
        </r>
      </text>
    </comment>
    <comment ref="B63" authorId="0" shapeId="0" xr:uid="{00000000-0006-0000-0300-000044000000}">
      <text>
        <r>
          <rPr>
            <b/>
            <sz val="9"/>
            <color indexed="81"/>
            <rFont val="Tahoma"/>
            <family val="2"/>
          </rPr>
          <t>slu117:</t>
        </r>
        <r>
          <rPr>
            <sz val="9"/>
            <color indexed="81"/>
            <rFont val="Tahoma"/>
            <family val="2"/>
          </rPr>
          <t xml:space="preserve">
50/50 JV</t>
        </r>
      </text>
    </comment>
    <comment ref="I64" authorId="0" shapeId="0" xr:uid="{00000000-0006-0000-0300-000045000000}">
      <text>
        <r>
          <rPr>
            <b/>
            <sz val="9"/>
            <color indexed="81"/>
            <rFont val="Tahoma"/>
            <family val="2"/>
          </rPr>
          <t>slu117:</t>
        </r>
        <r>
          <rPr>
            <sz val="9"/>
            <color indexed="81"/>
            <rFont val="Tahoma"/>
            <family val="2"/>
          </rPr>
          <t xml:space="preserve">
https://www.mining-journal.com/energy-minerals-news/news/1356803/livent-to-resume-nemaska-arbitration</t>
        </r>
      </text>
    </comment>
    <comment ref="BZ64" authorId="3" shapeId="0" xr:uid="{00000000-0006-0000-0300-000046000000}">
      <text>
        <r>
          <rPr>
            <b/>
            <sz val="9"/>
            <color indexed="81"/>
            <rFont val="Tahoma"/>
            <family val="2"/>
          </rPr>
          <t>smustri:</t>
        </r>
        <r>
          <rPr>
            <sz val="9"/>
            <color indexed="81"/>
            <rFont val="Tahoma"/>
            <family val="2"/>
          </rPr>
          <t xml:space="preserve">
mining - 99.60/166.85 (last ten yrs) $/t
transport/mill - 146.05 $/t
g&amp;a - 71.78 $/t
</t>
        </r>
      </text>
    </comment>
    <comment ref="B66" authorId="0" shapeId="0" xr:uid="{00000000-0006-0000-0300-000047000000}">
      <text>
        <r>
          <rPr>
            <b/>
            <sz val="9"/>
            <color indexed="81"/>
            <rFont val="Tahoma"/>
            <family val="2"/>
          </rPr>
          <t>slu117:</t>
        </r>
        <r>
          <rPr>
            <sz val="9"/>
            <color indexed="81"/>
            <rFont val="Tahoma"/>
            <family val="2"/>
          </rPr>
          <t xml:space="preserve">
March 2019 - Neometals complete sold 13.8% equity, GF and MLR now 50/50 
2018 - Ganfeng total holdings = 43.1%, MRL = 43.1%, Neometals 13.8%</t>
        </r>
      </text>
    </comment>
    <comment ref="BZ66" authorId="3" shapeId="0" xr:uid="{00000000-0006-0000-0300-000048000000}">
      <text>
        <r>
          <rPr>
            <b/>
            <sz val="9"/>
            <color indexed="81"/>
            <rFont val="Tahoma"/>
            <family val="2"/>
          </rPr>
          <t>Concentrate cost:</t>
        </r>
        <r>
          <rPr>
            <sz val="9"/>
            <color indexed="81"/>
            <rFont val="Tahoma"/>
            <family val="2"/>
          </rPr>
          <t xml:space="preserve">
CFR average cost A$621/t concentrate (FY19).
https://clients3.weblink.com.au/pdf/MIN/02137823.pdf
</t>
        </r>
        <r>
          <rPr>
            <b/>
            <sz val="9"/>
            <color indexed="81"/>
            <rFont val="Tahoma"/>
            <family val="2"/>
          </rPr>
          <t>Hydroxide converter plant: (discussed in 2016)</t>
        </r>
        <r>
          <rPr>
            <sz val="9"/>
            <color indexed="81"/>
            <rFont val="Tahoma"/>
            <family val="2"/>
          </rPr>
          <t xml:space="preserve">
US$ 4,630/t LiOH
US$ 5,345/t Li2CO3
https://clients3.weblink.com.au/pdf/MIN/01756487.pdf</t>
        </r>
      </text>
    </comment>
    <comment ref="B67" authorId="0" shapeId="0" xr:uid="{00000000-0006-0000-0300-000049000000}">
      <text>
        <r>
          <rPr>
            <b/>
            <sz val="9"/>
            <color indexed="81"/>
            <rFont val="Tahoma"/>
            <family val="2"/>
          </rPr>
          <t>slu117:</t>
        </r>
        <r>
          <rPr>
            <sz val="9"/>
            <color indexed="81"/>
            <rFont val="Tahoma"/>
            <family val="2"/>
          </rPr>
          <t xml:space="preserve">
March 2019 - Neometals complete sold 13.8% equity, GF and MLR now 50/50 
2018 - Ganfeng total holdings = 43.1%, MRL = 43.1%, Neometals 13.8%</t>
        </r>
      </text>
    </comment>
    <comment ref="BZ67" authorId="3" shapeId="0" xr:uid="{00000000-0006-0000-0300-00004A000000}">
      <text>
        <r>
          <rPr>
            <b/>
            <sz val="9"/>
            <color indexed="81"/>
            <rFont val="Tahoma"/>
            <family val="2"/>
          </rPr>
          <t>smustri:</t>
        </r>
        <r>
          <rPr>
            <sz val="9"/>
            <color indexed="81"/>
            <rFont val="Tahoma"/>
            <family val="2"/>
          </rPr>
          <t xml:space="preserve">
US$ 4,630/t LiOH
US$ 5,345/t Li2CO3
https://clients3.weblink.com.au/pdf/MIN/01756487.pdf
CFR average cost A$621/t concentrate (FY19).
https://clients3.weblink.com.au/pdf/MIN/02137823.pdf</t>
        </r>
      </text>
    </comment>
    <comment ref="M68" authorId="0" shapeId="0" xr:uid="{00000000-0006-0000-0300-00004B000000}">
      <text>
        <r>
          <rPr>
            <b/>
            <sz val="9"/>
            <color indexed="81"/>
            <rFont val="Tahoma"/>
            <family val="2"/>
          </rPr>
          <t>slu117:</t>
        </r>
        <r>
          <rPr>
            <sz val="9"/>
            <color indexed="81"/>
            <rFont val="Tahoma"/>
            <family val="2"/>
          </rPr>
          <t xml:space="preserve">
feasibility delayed by 1 year: {NSN POL4MX6TTDS2 &lt;GO&gt;}</t>
        </r>
      </text>
    </comment>
    <comment ref="B70" authorId="0" shapeId="0" xr:uid="{00000000-0006-0000-0300-00004C000000}">
      <text>
        <r>
          <rPr>
            <b/>
            <sz val="9"/>
            <color indexed="81"/>
            <rFont val="Tahoma"/>
            <family val="2"/>
          </rPr>
          <t>slu117:</t>
        </r>
        <r>
          <rPr>
            <sz val="9"/>
            <color indexed="81"/>
            <rFont val="Tahoma"/>
            <family val="2"/>
          </rPr>
          <t xml:space="preserve">
After 2017 investment, Chengdu Chemphys will hold 15% share in NRG</t>
        </r>
      </text>
    </comment>
    <comment ref="B71" authorId="0" shapeId="0" xr:uid="{00000000-0006-0000-0300-00004D000000}">
      <text>
        <r>
          <rPr>
            <b/>
            <sz val="9"/>
            <color indexed="81"/>
            <rFont val="Tahoma"/>
            <family val="2"/>
          </rPr>
          <t>slu117:</t>
        </r>
        <r>
          <rPr>
            <sz val="9"/>
            <color indexed="81"/>
            <rFont val="Tahoma"/>
            <family val="2"/>
          </rPr>
          <t xml:space="preserve">
After 2017 investment, Chengdu Chemphys will hold 15% share in NRG</t>
        </r>
      </text>
    </comment>
    <comment ref="B72" authorId="0" shapeId="0" xr:uid="{00000000-0006-0000-0300-00004E000000}">
      <text>
        <r>
          <rPr>
            <b/>
            <sz val="9"/>
            <color indexed="81"/>
            <rFont val="Tahoma"/>
            <family val="2"/>
          </rPr>
          <t>slu117:</t>
        </r>
        <r>
          <rPr>
            <sz val="9"/>
            <color indexed="81"/>
            <rFont val="Tahoma"/>
            <family val="2"/>
          </rPr>
          <t xml:space="preserve">
Orocobre (72.68%) + Toyota Tsusho (27.32%) = Sales de Jujuy holding company (91.5%) + JEMSE (8.5%) = Sales de Jujuy Project Co. (Lender - Mizuho, Guarantor - JOGMEC). Toyota also has a 15% stake in Orocobre directly. </t>
        </r>
      </text>
    </comment>
    <comment ref="B73" authorId="0" shapeId="0" xr:uid="{00000000-0006-0000-0300-00004F000000}">
      <text>
        <r>
          <rPr>
            <b/>
            <sz val="9"/>
            <color indexed="81"/>
            <rFont val="Tahoma"/>
            <family val="2"/>
          </rPr>
          <t>slu117:</t>
        </r>
        <r>
          <rPr>
            <sz val="9"/>
            <color indexed="81"/>
            <rFont val="Tahoma"/>
            <family val="2"/>
          </rPr>
          <t xml:space="preserve">
Orocobre (72.68%) + Toyota Tsusho (27.32%) = Sales de Jujuy holding company (91.5%) + JEMSE (8.5%) = Sales de Jujuy Project Co. (Lender - Mizuho, Guarantor - JOGMEC). Toyota also has a 15% stake in Orocobre directly. </t>
        </r>
      </text>
    </comment>
    <comment ref="B74" authorId="0" shapeId="0" xr:uid="{00000000-0006-0000-0300-000050000000}">
      <text>
        <r>
          <rPr>
            <b/>
            <sz val="9"/>
            <color indexed="81"/>
            <rFont val="Tahoma"/>
            <family val="2"/>
          </rPr>
          <t>slu117:</t>
        </r>
        <r>
          <rPr>
            <sz val="9"/>
            <color indexed="81"/>
            <rFont val="Tahoma"/>
            <family val="2"/>
          </rPr>
          <t xml:space="preserve">
Orocobre (72.68%) + Toyota Tsusho (27.32%) = Sales de Jujuy holding company (91.5%) + JEMSE (8.5%) = Sales de Jujuy Project Co. (Lender - Mizuho, Guarantor - JOGMEC). Toyota also has a 15% stake in Orocobre directly. </t>
        </r>
      </text>
    </comment>
    <comment ref="B75" authorId="0" shapeId="0" xr:uid="{00000000-0006-0000-0300-000051000000}">
      <text>
        <r>
          <rPr>
            <b/>
            <sz val="9"/>
            <color indexed="81"/>
            <rFont val="Tahoma"/>
            <family val="2"/>
          </rPr>
          <t>slu117:</t>
        </r>
        <r>
          <rPr>
            <sz val="9"/>
            <color indexed="81"/>
            <rFont val="Tahoma"/>
            <family val="2"/>
          </rPr>
          <t xml:space="preserve">
Orocobre (25%), Advantage (75%)</t>
        </r>
      </text>
    </comment>
    <comment ref="B76" authorId="0" shapeId="0" xr:uid="{00000000-0006-0000-0300-000052000000}">
      <text>
        <r>
          <rPr>
            <b/>
            <sz val="9"/>
            <color indexed="81"/>
            <rFont val="Tahoma"/>
            <family val="2"/>
          </rPr>
          <t>slu117:</t>
        </r>
        <r>
          <rPr>
            <sz val="9"/>
            <color indexed="81"/>
            <rFont val="Tahoma"/>
            <family val="2"/>
          </rPr>
          <t xml:space="preserve">
Orocobre holds 33.5% stake in Advantage Lithium
</t>
        </r>
      </text>
    </comment>
    <comment ref="B77" authorId="0" shapeId="0" xr:uid="{00000000-0006-0000-0300-000053000000}">
      <text>
        <r>
          <rPr>
            <b/>
            <sz val="9"/>
            <color indexed="81"/>
            <rFont val="Tahoma"/>
            <family val="2"/>
          </rPr>
          <t>slu117:</t>
        </r>
        <r>
          <rPr>
            <sz val="9"/>
            <color indexed="81"/>
            <rFont val="Tahoma"/>
            <family val="2"/>
          </rPr>
          <t xml:space="preserve">
Orocobre holds 33.5% stake in Advantage Lithium
</t>
        </r>
      </text>
    </comment>
    <comment ref="B78" authorId="0" shapeId="0" xr:uid="{00000000-0006-0000-0300-000054000000}">
      <text>
        <r>
          <rPr>
            <b/>
            <sz val="9"/>
            <color indexed="81"/>
            <rFont val="Tahoma"/>
            <family val="2"/>
          </rPr>
          <t>slu117:</t>
        </r>
        <r>
          <rPr>
            <sz val="9"/>
            <color indexed="81"/>
            <rFont val="Tahoma"/>
            <family val="2"/>
          </rPr>
          <t xml:space="preserve">
Orocobre holds 33.5% stake in Advantage Lithium
</t>
        </r>
      </text>
    </comment>
    <comment ref="B79" authorId="0" shapeId="0" xr:uid="{00000000-0006-0000-0300-000055000000}">
      <text>
        <r>
          <rPr>
            <b/>
            <sz val="9"/>
            <color indexed="81"/>
            <rFont val="Tahoma"/>
            <family val="2"/>
          </rPr>
          <t>slu117:</t>
        </r>
        <r>
          <rPr>
            <sz val="9"/>
            <color indexed="81"/>
            <rFont val="Tahoma"/>
            <family val="2"/>
          </rPr>
          <t xml:space="preserve">
Orocobre holds 33.5% stake in Advantage Lithium
</t>
        </r>
      </text>
    </comment>
    <comment ref="B80" authorId="0" shapeId="0" xr:uid="{00000000-0006-0000-0300-000056000000}">
      <text>
        <r>
          <rPr>
            <b/>
            <sz val="9"/>
            <color indexed="81"/>
            <rFont val="Tahoma"/>
            <family val="2"/>
          </rPr>
          <t>slu117:</t>
        </r>
        <r>
          <rPr>
            <sz val="9"/>
            <color indexed="81"/>
            <rFont val="Tahoma"/>
            <family val="2"/>
          </rPr>
          <t xml:space="preserve">
Ganfeng has a 4.84% stake, MLR 7.4% stake in company, not mine</t>
        </r>
      </text>
    </comment>
    <comment ref="B81" authorId="0" shapeId="0" xr:uid="{00000000-0006-0000-0300-000057000000}">
      <text>
        <r>
          <rPr>
            <b/>
            <sz val="9"/>
            <color indexed="81"/>
            <rFont val="Tahoma"/>
            <family val="2"/>
          </rPr>
          <t>slu117:</t>
        </r>
        <r>
          <rPr>
            <sz val="9"/>
            <color indexed="81"/>
            <rFont val="Tahoma"/>
            <family val="2"/>
          </rPr>
          <t xml:space="preserve">
Ganfeng has a 4.84% stake, MLR 7.4% stake in company, not mine</t>
        </r>
      </text>
    </comment>
    <comment ref="BZ81" authorId="3" shapeId="0" xr:uid="{00000000-0006-0000-0300-000058000000}">
      <text>
        <r>
          <rPr>
            <b/>
            <sz val="9"/>
            <color indexed="81"/>
            <rFont val="Tahoma"/>
            <family val="2"/>
          </rPr>
          <t>smustri:</t>
        </r>
        <r>
          <rPr>
            <sz val="9"/>
            <color indexed="81"/>
            <rFont val="Tahoma"/>
            <family val="2"/>
          </rPr>
          <t xml:space="preserve">
306$/t excl. tantalum credits
</t>
        </r>
      </text>
    </comment>
    <comment ref="B82" authorId="0" shapeId="0" xr:uid="{00000000-0006-0000-0300-000059000000}">
      <text>
        <r>
          <rPr>
            <b/>
            <sz val="9"/>
            <color indexed="81"/>
            <rFont val="Tahoma"/>
            <family val="2"/>
          </rPr>
          <t>slu117:</t>
        </r>
        <r>
          <rPr>
            <sz val="9"/>
            <color indexed="81"/>
            <rFont val="Tahoma"/>
            <family val="2"/>
          </rPr>
          <t xml:space="preserve">
Ganfeng has a 4.84% stake, MLR 7.4% stake in company, not mine</t>
        </r>
      </text>
    </comment>
    <comment ref="O82" authorId="0" shapeId="0" xr:uid="{00000000-0006-0000-0300-00005A000000}">
      <text>
        <r>
          <rPr>
            <b/>
            <sz val="9"/>
            <color indexed="81"/>
            <rFont val="Tahoma"/>
            <family val="2"/>
          </rPr>
          <t>slu117:</t>
        </r>
        <r>
          <rPr>
            <sz val="9"/>
            <color indexed="81"/>
            <rFont val="Tahoma"/>
            <family val="2"/>
          </rPr>
          <t xml:space="preserve">
BNEF assumptions
</t>
        </r>
      </text>
    </comment>
    <comment ref="B85" authorId="0" shapeId="0" xr:uid="{00000000-0006-0000-0300-00005B000000}">
      <text>
        <r>
          <rPr>
            <b/>
            <sz val="9"/>
            <color indexed="81"/>
            <rFont val="Tahoma"/>
            <family val="2"/>
          </rPr>
          <t>slu117:</t>
        </r>
        <r>
          <rPr>
            <sz val="9"/>
            <color indexed="81"/>
            <rFont val="Tahoma"/>
            <family val="2"/>
          </rPr>
          <t xml:space="preserve">
Owns 77.5% in Puna Mining (which 100% holds Rincon). Has option to increase to 90% once funding for stage 3 completes</t>
        </r>
      </text>
    </comment>
    <comment ref="AL85" authorId="2" shapeId="0" xr:uid="{E62A2707-5BBB-4A54-9FAB-8886841A9BFA}">
      <text>
        <r>
          <rPr>
            <b/>
            <sz val="9"/>
            <color indexed="81"/>
            <rFont val="Tahoma"/>
            <family val="2"/>
          </rPr>
          <t>Sharon:</t>
        </r>
        <r>
          <rPr>
            <sz val="9"/>
            <color indexed="81"/>
            <rFont val="Tahoma"/>
            <family val="2"/>
          </rPr>
          <t xml:space="preserve">
pilot plant operating
</t>
        </r>
      </text>
    </comment>
    <comment ref="AM85" authorId="2" shapeId="0" xr:uid="{2EFFB93D-58A3-480A-B05D-FFBAB572CB2A}">
      <text>
        <r>
          <rPr>
            <b/>
            <sz val="9"/>
            <color indexed="81"/>
            <rFont val="Tahoma"/>
            <family val="2"/>
          </rPr>
          <t>Sharon:</t>
        </r>
        <r>
          <rPr>
            <sz val="9"/>
            <color indexed="81"/>
            <rFont val="Tahoma"/>
            <family val="2"/>
          </rPr>
          <t xml:space="preserve">
pilot plant operating
</t>
        </r>
      </text>
    </comment>
    <comment ref="AN85" authorId="2" shapeId="0" xr:uid="{AFB3D499-65BB-4134-A0AF-2534E422E6C0}">
      <text>
        <r>
          <rPr>
            <b/>
            <sz val="9"/>
            <color indexed="81"/>
            <rFont val="Tahoma"/>
            <family val="2"/>
          </rPr>
          <t>Sharon:</t>
        </r>
        <r>
          <rPr>
            <sz val="9"/>
            <color indexed="81"/>
            <rFont val="Tahoma"/>
            <family val="2"/>
          </rPr>
          <t xml:space="preserve">
pilot plant operating
</t>
        </r>
      </text>
    </comment>
    <comment ref="AO85" authorId="2" shapeId="0" xr:uid="{2C250DA6-5F7B-4AF3-A17F-D89FD548E8D5}">
      <text>
        <r>
          <rPr>
            <b/>
            <sz val="9"/>
            <color indexed="81"/>
            <rFont val="Tahoma"/>
            <family val="2"/>
          </rPr>
          <t>Sharon:</t>
        </r>
        <r>
          <rPr>
            <sz val="9"/>
            <color indexed="81"/>
            <rFont val="Tahoma"/>
            <family val="2"/>
          </rPr>
          <t xml:space="preserve">
pilot plant operating
</t>
        </r>
      </text>
    </comment>
    <comment ref="AP85" authorId="2" shapeId="0" xr:uid="{BA808EF7-7615-4D2F-92F4-E4105BA0D5FE}">
      <text>
        <r>
          <rPr>
            <b/>
            <sz val="9"/>
            <color indexed="81"/>
            <rFont val="Tahoma"/>
            <family val="2"/>
          </rPr>
          <t>Sharon:</t>
        </r>
        <r>
          <rPr>
            <sz val="9"/>
            <color indexed="81"/>
            <rFont val="Tahoma"/>
            <family val="2"/>
          </rPr>
          <t xml:space="preserve">
pilot plant operating
</t>
        </r>
      </text>
    </comment>
    <comment ref="AR85" authorId="2" shapeId="0" xr:uid="{3B4EFC72-AB86-46E4-8719-2CA27E24A887}">
      <text>
        <r>
          <rPr>
            <b/>
            <sz val="9"/>
            <color indexed="81"/>
            <rFont val="Tahoma"/>
            <family val="2"/>
          </rPr>
          <t>Sharon:</t>
        </r>
        <r>
          <rPr>
            <sz val="9"/>
            <color indexed="81"/>
            <rFont val="Tahoma"/>
            <family val="2"/>
          </rPr>
          <t xml:space="preserve">
pilot plant operating
</t>
        </r>
      </text>
    </comment>
    <comment ref="AS85" authorId="2" shapeId="0" xr:uid="{A1293030-2D3A-4162-AFA8-4923F57AF30C}">
      <text>
        <r>
          <rPr>
            <b/>
            <sz val="9"/>
            <color indexed="81"/>
            <rFont val="Tahoma"/>
            <family val="2"/>
          </rPr>
          <t>Sharon:</t>
        </r>
        <r>
          <rPr>
            <sz val="9"/>
            <color indexed="81"/>
            <rFont val="Tahoma"/>
            <family val="2"/>
          </rPr>
          <t xml:space="preserve">
pilot plant operating
</t>
        </r>
      </text>
    </comment>
    <comment ref="AT85" authorId="2" shapeId="0" xr:uid="{DB85FEDD-29C0-432E-B077-208E133C65DE}">
      <text>
        <r>
          <rPr>
            <b/>
            <sz val="9"/>
            <color indexed="81"/>
            <rFont val="Tahoma"/>
            <family val="2"/>
          </rPr>
          <t>Sharon:</t>
        </r>
        <r>
          <rPr>
            <sz val="9"/>
            <color indexed="81"/>
            <rFont val="Tahoma"/>
            <family val="2"/>
          </rPr>
          <t xml:space="preserve">
pilot plant operating
</t>
        </r>
      </text>
    </comment>
    <comment ref="AU85" authorId="2" shapeId="0" xr:uid="{11E2CF2D-12E0-4726-9F81-D12658111BD7}">
      <text>
        <r>
          <rPr>
            <b/>
            <sz val="9"/>
            <color indexed="81"/>
            <rFont val="Tahoma"/>
            <family val="2"/>
          </rPr>
          <t>Sharon:</t>
        </r>
        <r>
          <rPr>
            <sz val="9"/>
            <color indexed="81"/>
            <rFont val="Tahoma"/>
            <family val="2"/>
          </rPr>
          <t xml:space="preserve">
pilot plant operating
</t>
        </r>
      </text>
    </comment>
    <comment ref="AV85" authorId="2" shapeId="0" xr:uid="{7C0E63DC-A2C7-484D-9641-388F70443643}">
      <text>
        <r>
          <rPr>
            <b/>
            <sz val="9"/>
            <color indexed="81"/>
            <rFont val="Tahoma"/>
            <family val="2"/>
          </rPr>
          <t>Sharon:</t>
        </r>
        <r>
          <rPr>
            <sz val="9"/>
            <color indexed="81"/>
            <rFont val="Tahoma"/>
            <family val="2"/>
          </rPr>
          <t xml:space="preserve">
pilot plant operating
</t>
        </r>
      </text>
    </comment>
    <comment ref="AX85" authorId="2" shapeId="0" xr:uid="{0F9FE9D4-3353-492E-8F54-EAF886098BA4}">
      <text>
        <r>
          <rPr>
            <b/>
            <sz val="9"/>
            <color indexed="81"/>
            <rFont val="Tahoma"/>
            <family val="2"/>
          </rPr>
          <t>Sharon:</t>
        </r>
        <r>
          <rPr>
            <sz val="9"/>
            <color indexed="81"/>
            <rFont val="Tahoma"/>
            <family val="2"/>
          </rPr>
          <t xml:space="preserve">
pilot plant operating
</t>
        </r>
      </text>
    </comment>
    <comment ref="B86" authorId="0" shapeId="0" xr:uid="{00000000-0006-0000-0300-00005C000000}">
      <text>
        <r>
          <rPr>
            <b/>
            <sz val="9"/>
            <color indexed="81"/>
            <rFont val="Tahoma"/>
            <family val="2"/>
          </rPr>
          <t>slu117:</t>
        </r>
        <r>
          <rPr>
            <sz val="9"/>
            <color indexed="81"/>
            <rFont val="Tahoma"/>
            <family val="2"/>
          </rPr>
          <t xml:space="preserve">
Owns 77.5% in Puna Mining (which 100% holds Rincon). Has option to increase to 90% once funding for stage 3 completes</t>
        </r>
      </text>
    </comment>
    <comment ref="O86" authorId="0" shapeId="0" xr:uid="{00000000-0006-0000-0300-00005D000000}">
      <text>
        <r>
          <rPr>
            <b/>
            <sz val="9"/>
            <color indexed="81"/>
            <rFont val="Tahoma"/>
            <family val="2"/>
          </rPr>
          <t>slu117:</t>
        </r>
        <r>
          <rPr>
            <sz val="9"/>
            <color indexed="81"/>
            <rFont val="Tahoma"/>
            <family val="2"/>
          </rPr>
          <t xml:space="preserve">
BNEF assumptions
</t>
        </r>
      </text>
    </comment>
    <comment ref="B87" authorId="0" shapeId="0" xr:uid="{00000000-0006-0000-0300-00005E000000}">
      <text>
        <r>
          <rPr>
            <b/>
            <sz val="9"/>
            <color indexed="81"/>
            <rFont val="Tahoma"/>
            <family val="2"/>
          </rPr>
          <t>slu117:</t>
        </r>
        <r>
          <rPr>
            <sz val="9"/>
            <color indexed="81"/>
            <rFont val="Tahoma"/>
            <family val="2"/>
          </rPr>
          <t xml:space="preserve">
Owns 77.5% in Puna Mining (which 100% holds Rincon). Has option to increase to 90% once funding for stage 3 completes</t>
        </r>
      </text>
    </comment>
    <comment ref="B88" authorId="0" shapeId="0" xr:uid="{00000000-0006-0000-0300-00005F000000}">
      <text>
        <r>
          <rPr>
            <b/>
            <sz val="9"/>
            <color indexed="81"/>
            <rFont val="Tahoma"/>
            <family val="2"/>
          </rPr>
          <t>slu117:</t>
        </r>
        <r>
          <rPr>
            <sz val="9"/>
            <color indexed="81"/>
            <rFont val="Tahoma"/>
            <family val="2"/>
          </rPr>
          <t xml:space="preserve">
Tianqi holds 24% stake in SQM, after acquisition in Dec 2018</t>
        </r>
      </text>
    </comment>
    <comment ref="BR88" authorId="3" shapeId="0" xr:uid="{00000000-0006-0000-0300-000060000000}">
      <text>
        <r>
          <rPr>
            <b/>
            <sz val="9"/>
            <color indexed="81"/>
            <rFont val="Tahoma"/>
            <family val="2"/>
          </rPr>
          <t>smustri:</t>
        </r>
        <r>
          <rPr>
            <sz val="9"/>
            <color indexed="81"/>
            <rFont val="Tahoma"/>
            <family val="2"/>
          </rPr>
          <t xml:space="preserve">
SQM Salar is entitled to exploit the mineral resources of 81,920 hectares.</t>
        </r>
      </text>
    </comment>
    <comment ref="B89" authorId="0" shapeId="0" xr:uid="{00000000-0006-0000-0300-000061000000}">
      <text>
        <r>
          <rPr>
            <b/>
            <sz val="9"/>
            <color indexed="81"/>
            <rFont val="Tahoma"/>
            <family val="2"/>
          </rPr>
          <t>slu117:</t>
        </r>
        <r>
          <rPr>
            <sz val="9"/>
            <color indexed="81"/>
            <rFont val="Tahoma"/>
            <family val="2"/>
          </rPr>
          <t xml:space="preserve">
Tianqi holds 24% stake in SQM, after acquisition in Dec 2018</t>
        </r>
      </text>
    </comment>
    <comment ref="BR89" authorId="3" shapeId="0" xr:uid="{00000000-0006-0000-0300-000062000000}">
      <text>
        <r>
          <rPr>
            <b/>
            <sz val="9"/>
            <color indexed="81"/>
            <rFont val="Tahoma"/>
            <family val="2"/>
          </rPr>
          <t>smustri:</t>
        </r>
        <r>
          <rPr>
            <sz val="9"/>
            <color indexed="81"/>
            <rFont val="Tahoma"/>
            <family val="2"/>
          </rPr>
          <t xml:space="preserve">
SQM Salar is entitled to exploit the mineral resources of 81,920 hectares.</t>
        </r>
      </text>
    </comment>
    <comment ref="B90" authorId="0" shapeId="0" xr:uid="{00000000-0006-0000-0300-000063000000}">
      <text>
        <r>
          <rPr>
            <b/>
            <sz val="9"/>
            <color indexed="81"/>
            <rFont val="Tahoma"/>
            <family val="2"/>
          </rPr>
          <t>slu117:</t>
        </r>
        <r>
          <rPr>
            <sz val="9"/>
            <color indexed="81"/>
            <rFont val="Tahoma"/>
            <family val="2"/>
          </rPr>
          <t xml:space="preserve">
Tianqi holds 24% stake in SQM, after acquisition in Dec 2018</t>
        </r>
      </text>
    </comment>
    <comment ref="BR90" authorId="3" shapeId="0" xr:uid="{00000000-0006-0000-0300-000064000000}">
      <text>
        <r>
          <rPr>
            <b/>
            <sz val="9"/>
            <color indexed="81"/>
            <rFont val="Tahoma"/>
            <family val="2"/>
          </rPr>
          <t>smustri:</t>
        </r>
        <r>
          <rPr>
            <sz val="9"/>
            <color indexed="81"/>
            <rFont val="Tahoma"/>
            <family val="2"/>
          </rPr>
          <t xml:space="preserve">
SQM Salar is entitled to exploit the mineral resources of 81,920 hectares.</t>
        </r>
      </text>
    </comment>
    <comment ref="CE90" authorId="0" shapeId="0" xr:uid="{00000000-0006-0000-0300-000065000000}">
      <text>
        <r>
          <rPr>
            <b/>
            <sz val="9"/>
            <color indexed="81"/>
            <rFont val="Tahoma"/>
            <family val="2"/>
          </rPr>
          <t>slu117:</t>
        </r>
        <r>
          <rPr>
            <sz val="9"/>
            <color indexed="81"/>
            <rFont val="Tahoma"/>
            <family val="2"/>
          </rPr>
          <t xml:space="preserve">
approx $4000/t LCE of expansion (50kt expansion)
</t>
        </r>
      </text>
    </comment>
    <comment ref="B91" authorId="0" shapeId="0" xr:uid="{00000000-0006-0000-0300-000066000000}">
      <text>
        <r>
          <rPr>
            <b/>
            <sz val="9"/>
            <color indexed="81"/>
            <rFont val="Tahoma"/>
            <family val="2"/>
          </rPr>
          <t>slu117:</t>
        </r>
        <r>
          <rPr>
            <sz val="9"/>
            <color indexed="81"/>
            <rFont val="Tahoma"/>
            <family val="2"/>
          </rPr>
          <t xml:space="preserve">
Tianqi holds 24% stake in SQM, after acquisition in Dec 2018</t>
        </r>
      </text>
    </comment>
    <comment ref="BR91" authorId="3" shapeId="0" xr:uid="{00000000-0006-0000-0300-000067000000}">
      <text>
        <r>
          <rPr>
            <b/>
            <sz val="9"/>
            <color indexed="81"/>
            <rFont val="Tahoma"/>
            <family val="2"/>
          </rPr>
          <t>smustri:</t>
        </r>
        <r>
          <rPr>
            <sz val="9"/>
            <color indexed="81"/>
            <rFont val="Tahoma"/>
            <family val="2"/>
          </rPr>
          <t xml:space="preserve">
SQM Salar is entitled to exploit the mineral resources of 81,920 hectares.</t>
        </r>
      </text>
    </comment>
    <comment ref="CE91" authorId="0" shapeId="0" xr:uid="{00000000-0006-0000-0300-000068000000}">
      <text>
        <r>
          <rPr>
            <b/>
            <sz val="9"/>
            <color indexed="81"/>
            <rFont val="Tahoma"/>
            <family val="2"/>
          </rPr>
          <t>slu117:</t>
        </r>
        <r>
          <rPr>
            <sz val="9"/>
            <color indexed="81"/>
            <rFont val="Tahoma"/>
            <family val="2"/>
          </rPr>
          <t xml:space="preserve">
approx $4000/t LCE of expansion (60kt expansion)</t>
        </r>
      </text>
    </comment>
    <comment ref="B93" authorId="0" shapeId="0" xr:uid="{00000000-0006-0000-0300-000069000000}">
      <text>
        <r>
          <rPr>
            <b/>
            <sz val="9"/>
            <color indexed="81"/>
            <rFont val="Tahoma"/>
            <family val="2"/>
          </rPr>
          <t>slu117:</t>
        </r>
        <r>
          <rPr>
            <sz val="9"/>
            <color indexed="81"/>
            <rFont val="Tahoma"/>
            <family val="2"/>
          </rPr>
          <t xml:space="preserve">
Albermarle Acquired through 49% stake in Talison, Tianqi 51% stake
</t>
        </r>
      </text>
    </comment>
    <comment ref="B94" authorId="0" shapeId="0" xr:uid="{00000000-0006-0000-0300-00006A000000}">
      <text>
        <r>
          <rPr>
            <b/>
            <sz val="9"/>
            <color indexed="81"/>
            <rFont val="Tahoma"/>
            <family val="2"/>
          </rPr>
          <t>slu117:</t>
        </r>
        <r>
          <rPr>
            <sz val="9"/>
            <color indexed="81"/>
            <rFont val="Tahoma"/>
            <family val="2"/>
          </rPr>
          <t xml:space="preserve">
Albermarle Acquired through 49% stake in Talison, Tianqi 51% stake
</t>
        </r>
      </text>
    </comment>
    <comment ref="I94" authorId="0" shapeId="0" xr:uid="{00000000-0006-0000-0300-00006B000000}">
      <text>
        <r>
          <rPr>
            <b/>
            <sz val="9"/>
            <color indexed="81"/>
            <rFont val="Tahoma"/>
            <family val="2"/>
          </rPr>
          <t>slu117:</t>
        </r>
        <r>
          <rPr>
            <sz val="9"/>
            <color indexed="81"/>
            <rFont val="Tahoma"/>
            <family val="2"/>
          </rPr>
          <t xml:space="preserve">
http://www.mining.com/tianqi-injects-382-million-greenbushes-lithium-mine-expand/</t>
        </r>
      </text>
    </comment>
    <comment ref="B95" authorId="0" shapeId="0" xr:uid="{00000000-0006-0000-0300-00006C000000}">
      <text>
        <r>
          <rPr>
            <b/>
            <sz val="9"/>
            <color indexed="81"/>
            <rFont val="Tahoma"/>
            <family val="2"/>
          </rPr>
          <t>slu117:</t>
        </r>
        <r>
          <rPr>
            <sz val="9"/>
            <color indexed="81"/>
            <rFont val="Tahoma"/>
            <family val="2"/>
          </rPr>
          <t xml:space="preserve">
Albermarle Acquired through 49% stake in Talison, Tianqi 51% stake
</t>
        </r>
      </text>
    </comment>
    <comment ref="B99" authorId="0" shapeId="0" xr:uid="{00000000-0006-0000-0300-00006D000000}">
      <text>
        <r>
          <rPr>
            <b/>
            <sz val="9"/>
            <color indexed="81"/>
            <rFont val="Tahoma"/>
            <family val="2"/>
          </rPr>
          <t>slu117:</t>
        </r>
        <r>
          <rPr>
            <sz val="9"/>
            <color indexed="81"/>
            <rFont val="Tahoma"/>
            <family val="2"/>
          </rPr>
          <t xml:space="preserve">
100% interest</t>
        </r>
      </text>
    </comment>
    <comment ref="C99" authorId="0" shapeId="0" xr:uid="{00000000-0006-0000-0300-00006E000000}">
      <text>
        <r>
          <rPr>
            <b/>
            <sz val="9"/>
            <color indexed="81"/>
            <rFont val="Tahoma"/>
            <family val="2"/>
          </rPr>
          <t>slu117:</t>
        </r>
        <r>
          <rPr>
            <sz val="9"/>
            <color indexed="81"/>
            <rFont val="Tahoma"/>
            <family val="2"/>
          </rPr>
          <t xml:space="preserve">
Changsha Research Institute Of Mining and Metallurgy (“Changsha”).
Changsha was formed in 1955 and is a specialist metallurgical and mining company that has a large research and development capability.
Changsha is a division of China Minmetals Corporation which is a state owned corporation and one of the largest mining houses in China with total assets valued at over AUD $320B located in all parts of the world including Africa.</t>
        </r>
      </text>
    </comment>
    <comment ref="I99" authorId="0" shapeId="0" xr:uid="{00000000-0006-0000-0300-00006F000000}">
      <text>
        <r>
          <rPr>
            <b/>
            <sz val="9"/>
            <color indexed="81"/>
            <rFont val="Tahoma"/>
            <family val="2"/>
          </rPr>
          <t>slu117:</t>
        </r>
        <r>
          <rPr>
            <sz val="9"/>
            <color indexed="81"/>
            <rFont val="Tahoma"/>
            <family val="2"/>
          </rPr>
          <t xml:space="preserve">
https://blinks.bloomberg.com/screens/DOCC%20/ID%20SD000000002610944774</t>
        </r>
      </text>
    </comment>
    <comment ref="B107" authorId="0" shapeId="0" xr:uid="{00000000-0006-0000-0300-000070000000}">
      <text>
        <r>
          <rPr>
            <b/>
            <sz val="9"/>
            <color indexed="81"/>
            <rFont val="Tahoma"/>
            <family val="2"/>
          </rPr>
          <t>slu117:</t>
        </r>
        <r>
          <rPr>
            <sz val="9"/>
            <color indexed="81"/>
            <rFont val="Tahoma"/>
            <family val="2"/>
          </rPr>
          <t xml:space="preserve">
GF (83%)/ILC(17%) JV. Ganfeng Lithium is not only ILC’s joint venture partner, but also has a 13% ownership in the company. </t>
        </r>
      </text>
    </comment>
    <comment ref="B108" authorId="0" shapeId="0" xr:uid="{00000000-0006-0000-0300-000071000000}">
      <text>
        <r>
          <rPr>
            <b/>
            <sz val="9"/>
            <color indexed="81"/>
            <rFont val="Tahoma"/>
            <family val="2"/>
          </rPr>
          <t>slu117: JV GF (55%) / ILC (45%)</t>
        </r>
        <r>
          <rPr>
            <sz val="9"/>
            <color indexed="81"/>
            <rFont val="Tahoma"/>
            <family val="2"/>
          </rPr>
          <t xml:space="preserve">
 In addition, Ganfeng Lithium has an option to acquire another 24% by either incurring CAD $10 million expenditures on exploration activities or delivering a positive feasibility study on the project, at which time the ownership will be 79% Ganfeng Lithum and 21% ILC.</t>
        </r>
      </text>
    </comment>
    <comment ref="B109" authorId="0" shapeId="0" xr:uid="{00000000-0006-0000-0300-000072000000}">
      <text>
        <r>
          <rPr>
            <b/>
            <sz val="9"/>
            <color indexed="81"/>
            <rFont val="Tahoma"/>
            <family val="2"/>
          </rPr>
          <t>slu117:</t>
        </r>
        <r>
          <rPr>
            <sz val="9"/>
            <color indexed="81"/>
            <rFont val="Tahoma"/>
            <family val="2"/>
          </rPr>
          <t xml:space="preserve">
he Company entered into a sale and royalty agreement with Ultra Lithium Inc (“ULI”) in September, 2018. Under the terms of the agreement, ULI may earn 100% interest in Forgan Lake property by spending $500,000 on exploration expenditures and paying the Company a total of $200,000, half in cash and half in shares, over the period of two years. In addition, the Company will receive a 1.5% NSR on future production from the Forgan Lake property and from the adjoining Lucky Lake property owned by ULI.</t>
        </r>
      </text>
    </comment>
    <comment ref="B110" authorId="0" shapeId="0" xr:uid="{00000000-0006-0000-0300-000073000000}">
      <text>
        <r>
          <rPr>
            <b/>
            <sz val="9"/>
            <color indexed="81"/>
            <rFont val="Tahoma"/>
            <family val="2"/>
          </rPr>
          <t>slu117:</t>
        </r>
        <r>
          <rPr>
            <sz val="9"/>
            <color indexed="81"/>
            <rFont val="Tahoma"/>
            <family val="2"/>
          </rPr>
          <t xml:space="preserve">
Pioneer (51%)/ILC (49%) -  In addition, the Company will receive a 1.5% NSR (net smelter royalty (“NSR”) on Mavis Lake. Pioneer Resources retains, if they choose, a second option whereby it can earn an additional 29% by spending $8.5 million within seven years (total $10 million over ten years).</t>
        </r>
      </text>
    </comment>
    <comment ref="B111" authorId="0" shapeId="0" xr:uid="{00000000-0006-0000-0300-000074000000}">
      <text>
        <r>
          <rPr>
            <b/>
            <sz val="9"/>
            <color indexed="81"/>
            <rFont val="Tahoma"/>
            <family val="2"/>
          </rPr>
          <t>slu117:</t>
        </r>
        <r>
          <rPr>
            <sz val="9"/>
            <color indexed="81"/>
            <rFont val="Tahoma"/>
            <family val="2"/>
          </rPr>
          <t xml:space="preserve">
100% owned</t>
        </r>
      </text>
    </comment>
    <comment ref="B119" authorId="0" shapeId="0" xr:uid="{00000000-0006-0000-0300-000075000000}">
      <text>
        <r>
          <rPr>
            <b/>
            <sz val="9"/>
            <color indexed="81"/>
            <rFont val="Tahoma"/>
            <family val="2"/>
          </rPr>
          <t>slu117:</t>
        </r>
        <r>
          <rPr>
            <sz val="9"/>
            <color indexed="81"/>
            <rFont val="Tahoma"/>
            <family val="2"/>
          </rPr>
          <t xml:space="preserve">
Lepidico: 11.5% Galaxy Resources
Desert Lion Energy: 
</t>
        </r>
      </text>
    </comment>
    <comment ref="B124" authorId="0" shapeId="0" xr:uid="{00000000-0006-0000-0300-000076000000}">
      <text>
        <r>
          <rPr>
            <b/>
            <sz val="9"/>
            <color indexed="81"/>
            <rFont val="Tahoma"/>
            <family val="2"/>
          </rPr>
          <t>slu117:</t>
        </r>
        <r>
          <rPr>
            <sz val="9"/>
            <color indexed="81"/>
            <rFont val="Tahoma"/>
            <family val="2"/>
          </rPr>
          <t xml:space="preserve">
The Manono Project is owned by AVZ (60%), La Congolaise D’exploitation Miniere SA (30%) (Cominiere, a State-owned enterprise) and Huayou Cobalt (10%). AVZ is responsible for funding expenditure to completion of a feasibility study.</t>
        </r>
      </text>
    </comment>
    <comment ref="CG124" authorId="0" shapeId="0" xr:uid="{00000000-0006-0000-0300-000077000000}">
      <text>
        <r>
          <rPr>
            <b/>
            <sz val="9"/>
            <color indexed="81"/>
            <rFont val="Tahoma"/>
            <family val="2"/>
          </rPr>
          <t>slu117:</t>
        </r>
        <r>
          <rPr>
            <sz val="9"/>
            <color indexed="81"/>
            <rFont val="Tahoma"/>
            <family val="2"/>
          </rPr>
          <t xml:space="preserve">
Huayou Cobalt owns 10% of AVZ</t>
        </r>
      </text>
    </comment>
    <comment ref="B125" authorId="0" shapeId="0" xr:uid="{00000000-0006-0000-0300-000078000000}">
      <text>
        <r>
          <rPr>
            <b/>
            <sz val="9"/>
            <color indexed="81"/>
            <rFont val="Tahoma"/>
            <family val="2"/>
          </rPr>
          <t>slu117:</t>
        </r>
        <r>
          <rPr>
            <sz val="9"/>
            <color indexed="81"/>
            <rFont val="Tahoma"/>
            <family val="2"/>
          </rPr>
          <t xml:space="preserve">
Mine is 100% owned by Alliance (as of 2019) 
Prior to this, Bald Hill = 50/50 JV btw Tawana and Alliance. Jiangte Motor owns 100% of Tawana; Tawana and Alliance merged in Dec 2018.  
https://www.australianmining.com.au/news/tawana-ceases-trading-as-alliance-merger-comes-into-effect/</t>
        </r>
      </text>
    </comment>
    <comment ref="BZ125" authorId="0" shapeId="0" xr:uid="{00000000-0006-0000-0300-000079000000}">
      <text>
        <r>
          <rPr>
            <b/>
            <sz val="9"/>
            <color indexed="81"/>
            <rFont val="Tahoma"/>
            <family val="2"/>
          </rPr>
          <t>slu117:</t>
        </r>
        <r>
          <rPr>
            <sz val="9"/>
            <color indexed="81"/>
            <rFont val="Tahoma"/>
            <family val="2"/>
          </rPr>
          <t xml:space="preserve">
 Guotai Junan Secuirities April 2018 report on Baowei
http://pdf.dfcfw.com/pdf/H3_AP201804241128837240_1.pdf</t>
        </r>
      </text>
    </comment>
    <comment ref="O126" authorId="0" shapeId="0" xr:uid="{00000000-0006-0000-0300-00007A000000}">
      <text>
        <r>
          <rPr>
            <b/>
            <sz val="9"/>
            <color indexed="81"/>
            <rFont val="Tahoma"/>
            <family val="2"/>
          </rPr>
          <t>slu117:</t>
        </r>
        <r>
          <rPr>
            <sz val="9"/>
            <color indexed="81"/>
            <rFont val="Tahoma"/>
            <family val="2"/>
          </rPr>
          <t xml:space="preserve">
Anticipated construction time to start of production of 21 months</t>
        </r>
      </text>
    </comment>
    <comment ref="W126" authorId="0" shapeId="0" xr:uid="{00000000-0006-0000-0300-00007B000000}">
      <text>
        <r>
          <rPr>
            <b/>
            <sz val="9"/>
            <color indexed="81"/>
            <rFont val="Tahoma"/>
            <family val="2"/>
          </rPr>
          <t>slu117:</t>
        </r>
        <r>
          <rPr>
            <sz val="9"/>
            <color indexed="81"/>
            <rFont val="Tahoma"/>
            <family val="2"/>
          </rPr>
          <t xml:space="preserve">
Average operating costs of $66.56 per tonne milled, $458 (US$344) per tonne of concentrate (all concentrate production combined)</t>
        </r>
      </text>
    </comment>
    <comment ref="B132" authorId="0" shapeId="0" xr:uid="{00000000-0006-0000-0300-00007C000000}">
      <text>
        <r>
          <rPr>
            <b/>
            <sz val="9"/>
            <color indexed="81"/>
            <rFont val="Tahoma"/>
            <family val="2"/>
          </rPr>
          <t>slu117:</t>
        </r>
        <r>
          <rPr>
            <sz val="9"/>
            <color indexed="81"/>
            <rFont val="Tahoma"/>
            <family val="2"/>
          </rPr>
          <t xml:space="preserve">
49% stake TBEA, 51% YLB</t>
        </r>
      </text>
    </comment>
    <comment ref="B133" authorId="0" shapeId="0" xr:uid="{00000000-0006-0000-0300-00007D000000}">
      <text>
        <r>
          <rPr>
            <b/>
            <sz val="9"/>
            <color indexed="81"/>
            <rFont val="Tahoma"/>
            <family val="2"/>
          </rPr>
          <t>slu117:</t>
        </r>
        <r>
          <rPr>
            <sz val="9"/>
            <color indexed="81"/>
            <rFont val="Tahoma"/>
            <family val="2"/>
          </rPr>
          <t xml:space="preserve">
49% stake TBEA, 51% YLB</t>
        </r>
      </text>
    </comment>
    <comment ref="H135" authorId="0" shapeId="0" xr:uid="{00000000-0006-0000-0300-00007E000000}">
      <text>
        <r>
          <rPr>
            <b/>
            <sz val="9"/>
            <color indexed="81"/>
            <rFont val="Tahoma"/>
            <family val="2"/>
          </rPr>
          <t>slu117:</t>
        </r>
        <r>
          <rPr>
            <sz val="9"/>
            <color indexed="81"/>
            <rFont val="Tahoma"/>
            <family val="2"/>
          </rPr>
          <t xml:space="preserve">
http://www.asianmetal.com/news/data/1421159/</t>
        </r>
      </text>
    </comment>
    <comment ref="B136" authorId="0" shapeId="0" xr:uid="{00000000-0006-0000-0300-00007F000000}">
      <text>
        <r>
          <rPr>
            <b/>
            <sz val="9"/>
            <color indexed="81"/>
            <rFont val="Tahoma"/>
            <family val="2"/>
          </rPr>
          <t>slu117:</t>
        </r>
        <r>
          <rPr>
            <sz val="9"/>
            <color indexed="81"/>
            <rFont val="Tahoma"/>
            <family val="2"/>
          </rPr>
          <t xml:space="preserve">
http://www.zanggegf.com/</t>
        </r>
      </text>
    </comment>
    <comment ref="B137" authorId="0" shapeId="0" xr:uid="{00000000-0006-0000-0300-000080000000}">
      <text>
        <r>
          <rPr>
            <b/>
            <sz val="9"/>
            <color indexed="81"/>
            <rFont val="Tahoma"/>
            <family val="2"/>
          </rPr>
          <t>slu117:</t>
        </r>
        <r>
          <rPr>
            <sz val="9"/>
            <color indexed="81"/>
            <rFont val="Tahoma"/>
            <family val="2"/>
          </rPr>
          <t xml:space="preserve">
http://www.zanggegf.com/</t>
        </r>
      </text>
    </comment>
    <comment ref="H140" authorId="0" shapeId="0" xr:uid="{00000000-0006-0000-0300-000081000000}">
      <text>
        <r>
          <rPr>
            <b/>
            <sz val="9"/>
            <color indexed="81"/>
            <rFont val="Tahoma"/>
            <family val="2"/>
          </rPr>
          <t>slu117:</t>
        </r>
        <r>
          <rPr>
            <sz val="9"/>
            <color indexed="81"/>
            <rFont val="Tahoma"/>
            <family val="2"/>
          </rPr>
          <t xml:space="preserve">
河源锂辉石矿：公司2015年3月收购了江西西部资源锂业有限公司100%股权，其主要资产为河源锂辉石矿采矿权。河源锂辉石矿保有资源矿石量为575.71万吨，Li2O金属量为59521吨，平均品位1.03%，折合碳酸锂储量在18万吨左右，将满足15年的开采需求。目前在建尾砂坝，恢复生产后预计将提供6-7万吨/年的锂精矿 
https://zhuanlan.zhihu.com/p/30345996</t>
        </r>
      </text>
    </comment>
    <comment ref="B141" authorId="0" shapeId="0" xr:uid="{00000000-0006-0000-0300-000082000000}">
      <text>
        <r>
          <rPr>
            <b/>
            <sz val="9"/>
            <color indexed="81"/>
            <rFont val="Tahoma"/>
            <family val="2"/>
          </rPr>
          <t>slu117:</t>
        </r>
        <r>
          <rPr>
            <sz val="9"/>
            <color indexed="81"/>
            <rFont val="Tahoma"/>
            <family val="2"/>
          </rPr>
          <t xml:space="preserve">
JV Litica - 60%, LSC- 40%</t>
        </r>
      </text>
    </comment>
    <comment ref="BZ142" authorId="0" shapeId="0" xr:uid="{00000000-0006-0000-0300-000083000000}">
      <text>
        <r>
          <rPr>
            <b/>
            <sz val="9"/>
            <color indexed="81"/>
            <rFont val="Tahoma"/>
            <family val="2"/>
          </rPr>
          <t>slu117:</t>
        </r>
        <r>
          <rPr>
            <sz val="9"/>
            <color indexed="81"/>
            <rFont val="Tahoma"/>
            <family val="2"/>
          </rPr>
          <t xml:space="preserve">
2017 Operating Costs
Li resource = 494M yuan
Li chemical = 1.13bn yuan
2017 Production
Li resource= 646,470t
Li chemical= 32,257t</t>
        </r>
      </text>
    </comment>
    <comment ref="BZ143" authorId="0" shapeId="0" xr:uid="{00000000-0006-0000-0300-000084000000}">
      <text>
        <r>
          <rPr>
            <b/>
            <sz val="9"/>
            <color indexed="81"/>
            <rFont val="Tahoma"/>
            <family val="2"/>
          </rPr>
          <t>slu117:</t>
        </r>
        <r>
          <rPr>
            <sz val="9"/>
            <color indexed="81"/>
            <rFont val="Tahoma"/>
            <family val="2"/>
          </rPr>
          <t xml:space="preserve">
2017 Operating Costs
Li resource = 494M yuan
Li chemical = 1.13bn yuan
2017 Production
Li resource= 646,470t
Li chemical= 32,257t</t>
        </r>
      </text>
    </comment>
    <comment ref="BZ144" authorId="0" shapeId="0" xr:uid="{00000000-0006-0000-0300-000085000000}">
      <text>
        <r>
          <rPr>
            <b/>
            <sz val="9"/>
            <color indexed="81"/>
            <rFont val="Tahoma"/>
            <family val="2"/>
          </rPr>
          <t>slu117:</t>
        </r>
        <r>
          <rPr>
            <sz val="9"/>
            <color indexed="81"/>
            <rFont val="Tahoma"/>
            <family val="2"/>
          </rPr>
          <t xml:space="preserve">
2017 Operating Costs
Li resource = 494M yuan
Li chemical = 1.13bn yuan
2017 Production
Li resource= 646,470t
Li chemical= 32,257t</t>
        </r>
      </text>
    </comment>
    <comment ref="H145" authorId="0" shapeId="0" xr:uid="{00000000-0006-0000-0300-000086000000}">
      <text>
        <r>
          <rPr>
            <b/>
            <sz val="9"/>
            <color indexed="81"/>
            <rFont val="Tahoma"/>
            <family val="2"/>
          </rPr>
          <t>slu117:</t>
        </r>
        <r>
          <rPr>
            <sz val="9"/>
            <color indexed="81"/>
            <rFont val="Tahoma"/>
            <family val="2"/>
          </rPr>
          <t xml:space="preserve">
http://company.stcn.com/2017/0721/13508398.shtml</t>
        </r>
      </text>
    </comment>
    <comment ref="BZ145" authorId="0" shapeId="0" xr:uid="{00000000-0006-0000-0300-000087000000}">
      <text>
        <r>
          <rPr>
            <b/>
            <sz val="9"/>
            <color indexed="81"/>
            <rFont val="Tahoma"/>
            <family val="2"/>
          </rPr>
          <t>slu117:</t>
        </r>
        <r>
          <rPr>
            <sz val="9"/>
            <color indexed="81"/>
            <rFont val="Tahoma"/>
            <family val="2"/>
          </rPr>
          <t xml:space="preserve">
2017 Operating Costs
Li resource = 494M yuan
Li chemical = 1.13bn yuan
2017 Production
Li resource= 646,470t
Li chemical= 32,257t</t>
        </r>
      </text>
    </comment>
    <comment ref="C146" authorId="0" shapeId="0" xr:uid="{00000000-0006-0000-0300-000088000000}">
      <text>
        <r>
          <rPr>
            <b/>
            <sz val="9"/>
            <color indexed="81"/>
            <rFont val="Tahoma"/>
            <family val="2"/>
          </rPr>
          <t>slu117:</t>
        </r>
        <r>
          <rPr>
            <sz val="9"/>
            <color indexed="81"/>
            <rFont val="Tahoma"/>
            <family val="2"/>
          </rPr>
          <t xml:space="preserve">
86.385 owernship, in process of upgrading
</t>
        </r>
      </text>
    </comment>
    <comment ref="BZ146" authorId="0" shapeId="0" xr:uid="{00000000-0006-0000-0300-000089000000}">
      <text>
        <r>
          <rPr>
            <b/>
            <sz val="9"/>
            <color indexed="81"/>
            <rFont val="Tahoma"/>
            <family val="2"/>
          </rPr>
          <t>slu117:</t>
        </r>
        <r>
          <rPr>
            <sz val="9"/>
            <color indexed="81"/>
            <rFont val="Tahoma"/>
            <family val="2"/>
          </rPr>
          <t xml:space="preserve">
2017 Operating Costs
Li resource = 494M yuan
Li chemical = 1.13bn yuan
2017 Production
Li resource= 646,470t
Li chemical= 32,257t</t>
        </r>
      </text>
    </comment>
    <comment ref="C147" authorId="0" shapeId="0" xr:uid="{00000000-0006-0000-0300-00008A000000}">
      <text>
        <r>
          <rPr>
            <b/>
            <sz val="9"/>
            <color indexed="81"/>
            <rFont val="Tahoma"/>
            <family val="2"/>
          </rPr>
          <t>slu117:</t>
        </r>
        <r>
          <rPr>
            <sz val="9"/>
            <color indexed="81"/>
            <rFont val="Tahoma"/>
            <family val="2"/>
          </rPr>
          <t xml:space="preserve">
http://m.cbea.com/dtqlywap/201809/899905.html</t>
        </r>
      </text>
    </comment>
    <comment ref="M147" authorId="0" shapeId="0" xr:uid="{00000000-0006-0000-0300-00008B000000}">
      <text>
        <r>
          <rPr>
            <b/>
            <sz val="9"/>
            <color indexed="81"/>
            <rFont val="Tahoma"/>
            <family val="2"/>
          </rPr>
          <t>slu117:</t>
        </r>
        <r>
          <rPr>
            <sz val="9"/>
            <color indexed="81"/>
            <rFont val="Tahoma"/>
            <family val="2"/>
          </rPr>
          <t xml:space="preserve">
项目投资及资金来源：投资总额预计为143,101万元人民币，资金 本项目已经过充分、审慎的可行性论证</t>
        </r>
      </text>
    </comment>
    <comment ref="BZ147" authorId="0" shapeId="0" xr:uid="{00000000-0006-0000-0300-00008C000000}">
      <text>
        <r>
          <rPr>
            <b/>
            <sz val="9"/>
            <color indexed="81"/>
            <rFont val="Tahoma"/>
            <family val="2"/>
          </rPr>
          <t>slu117:</t>
        </r>
        <r>
          <rPr>
            <sz val="9"/>
            <color indexed="81"/>
            <rFont val="Tahoma"/>
            <family val="2"/>
          </rPr>
          <t xml:space="preserve">
2017 Operating Costs
Li resource = 494M yuan
Li chemical = 1.13bn yuan
2017 Production
Li resource= 646,470t
Li chemical= 32,257t</t>
        </r>
      </text>
    </comment>
    <comment ref="W148" authorId="0" shapeId="0" xr:uid="{00000000-0006-0000-0300-00008D000000}">
      <text>
        <r>
          <rPr>
            <b/>
            <sz val="9"/>
            <color indexed="81"/>
            <rFont val="Tahoma"/>
            <family val="2"/>
          </rPr>
          <t>slu117:</t>
        </r>
        <r>
          <rPr>
            <sz val="9"/>
            <color indexed="81"/>
            <rFont val="Tahoma"/>
            <family val="2"/>
          </rPr>
          <t xml:space="preserve">
C$367/t</t>
        </r>
      </text>
    </comment>
    <comment ref="B149" authorId="0" shapeId="0" xr:uid="{00000000-0006-0000-0300-00008E000000}">
      <text>
        <r>
          <rPr>
            <b/>
            <sz val="9"/>
            <color indexed="81"/>
            <rFont val="Tahoma"/>
            <family val="2"/>
          </rPr>
          <t>slu117:</t>
        </r>
        <r>
          <rPr>
            <sz val="9"/>
            <color indexed="81"/>
            <rFont val="Tahoma"/>
            <family val="2"/>
          </rPr>
          <t xml:space="preserve">
Prior to this, Cowan was owned by Tawana (which is 100% owned by Jiangte). Now, Cowan has been spun out, 85% is owned by Tawana and 15% owned by Alliance Minerals (Dec 2018).</t>
        </r>
      </text>
    </comment>
    <comment ref="BZ151" authorId="0" shapeId="0" xr:uid="{00000000-0006-0000-0300-00008F000000}">
      <text>
        <r>
          <rPr>
            <b/>
            <sz val="9"/>
            <color indexed="81"/>
            <rFont val="Tahoma"/>
            <family val="2"/>
          </rPr>
          <t>slu117:</t>
        </r>
        <r>
          <rPr>
            <sz val="9"/>
            <color indexed="81"/>
            <rFont val="Tahoma"/>
            <family val="2"/>
          </rPr>
          <t xml:space="preserve">
2017 Operating Costs: 
1.58 bn yuan (lithium processing) 
306.8M yuan (lithium battery materials) 
2017 production: 
36,406,58tLCE (refining and processing) 
153.11tLiOH (mining and smelting)</t>
        </r>
      </text>
    </comment>
    <comment ref="BZ152" authorId="0" shapeId="0" xr:uid="{00000000-0006-0000-0300-000090000000}">
      <text>
        <r>
          <rPr>
            <b/>
            <sz val="9"/>
            <color indexed="81"/>
            <rFont val="Tahoma"/>
            <family val="2"/>
          </rPr>
          <t>slu117:</t>
        </r>
        <r>
          <rPr>
            <sz val="9"/>
            <color indexed="81"/>
            <rFont val="Tahoma"/>
            <family val="2"/>
          </rPr>
          <t xml:space="preserve">
2017 Operating Costs: 
1.58 bn yuan (lithium processing) 
306.8M yuan (lithium battery materials) 
2017 production: 
36,406,58tLCE (refining and processing) 
153.11tLiOH (mining and smelting)</t>
        </r>
      </text>
    </comment>
    <comment ref="BZ153" authorId="0" shapeId="0" xr:uid="{00000000-0006-0000-0300-000091000000}">
      <text>
        <r>
          <rPr>
            <b/>
            <sz val="9"/>
            <color indexed="81"/>
            <rFont val="Tahoma"/>
            <family val="2"/>
          </rPr>
          <t>slu117:</t>
        </r>
        <r>
          <rPr>
            <sz val="9"/>
            <color indexed="81"/>
            <rFont val="Tahoma"/>
            <family val="2"/>
          </rPr>
          <t xml:space="preserve">
2017 Operating Costs: 
1.58 bn yuan (lithium processing) 
306.8M yuan (lithium battery materials) 
2017 production: 
36,406,58tLCE (refining and processing) 
153.11tLiOH (mining and smelting)</t>
        </r>
      </text>
    </comment>
    <comment ref="BZ154" authorId="0" shapeId="0" xr:uid="{00000000-0006-0000-0300-000092000000}">
      <text>
        <r>
          <rPr>
            <b/>
            <sz val="9"/>
            <color indexed="81"/>
            <rFont val="Tahoma"/>
            <family val="2"/>
          </rPr>
          <t>slu117:</t>
        </r>
        <r>
          <rPr>
            <sz val="9"/>
            <color indexed="81"/>
            <rFont val="Tahoma"/>
            <family val="2"/>
          </rPr>
          <t xml:space="preserve">
2017 Operating Costs: 
1.58 bn yuan (lithium processing) 
306.8M yuan (lithium battery materials) 
2017 production: 
36,406,58tLCE (refining and processing) 
153.11tLiOH (mining and smelting)</t>
        </r>
      </text>
    </comment>
    <comment ref="B157" authorId="0" shapeId="0" xr:uid="{00000000-0006-0000-0300-000093000000}">
      <text>
        <r>
          <rPr>
            <b/>
            <sz val="9"/>
            <color indexed="81"/>
            <rFont val="Tahoma"/>
            <family val="2"/>
          </rPr>
          <t xml:space="preserve">slu117:
General Lithium submitted IPO application to government 7/26/2017
</t>
        </r>
        <r>
          <rPr>
            <sz val="9"/>
            <color indexed="81"/>
            <rFont val="Tahoma"/>
            <family val="2"/>
          </rPr>
          <t xml:space="preserve">
Tinci Materials invested 22.22% of General Lithium (2015) for 60million RMB, but then due to shares dilution, this became 17.11% 
In 2018, 柘中股份(002346 )和 兴业股份(603928) both invested (private placement prior to IPO)
http://company.stcn.com/2018/0208/13962802.shtml</t>
        </r>
      </text>
    </comment>
    <comment ref="B159" authorId="0" shapeId="0" xr:uid="{00000000-0006-0000-0300-000094000000}">
      <text>
        <r>
          <rPr>
            <b/>
            <sz val="9"/>
            <color indexed="81"/>
            <rFont val="Tahoma"/>
            <family val="2"/>
          </rPr>
          <t>slu117:
雅化锂盐产品广泛应用于电池、医药、冶金、石化、玻璃、核工业等行业，与比亚迪、振华材料、贝特瑞、当升科技、厦门钨业、中石化、中石油等知名企业建立了良好的合作关系，产品主要销往中国全境和日本、韩国、欧美等国际市场</t>
        </r>
        <r>
          <rPr>
            <sz val="9"/>
            <color indexed="81"/>
            <rFont val="Tahoma"/>
            <family val="2"/>
          </rPr>
          <t xml:space="preserve">
http://www.scyahua.com/english/</t>
        </r>
      </text>
    </comment>
    <comment ref="B160" authorId="0" shapeId="0" xr:uid="{00000000-0006-0000-0300-000095000000}">
      <text>
        <r>
          <rPr>
            <b/>
            <sz val="9"/>
            <color indexed="81"/>
            <rFont val="Tahoma"/>
            <family val="2"/>
          </rPr>
          <t>slu117:
雅化锂盐产品广泛应用于电池、医药、冶金、石化、玻璃、核工业等行业，与比亚迪、振华材料、贝特瑞、当升科技、厦门钨业、中石化、中石油等知名企业建立了良好的合作关系，产品主要销往中国全境和日本、韩国、欧美等国际市场</t>
        </r>
        <r>
          <rPr>
            <sz val="9"/>
            <color indexed="81"/>
            <rFont val="Tahoma"/>
            <family val="2"/>
          </rPr>
          <t xml:space="preserve">
http://www.scyahua.com/english/</t>
        </r>
      </text>
    </comment>
    <comment ref="I165" authorId="0" shapeId="0" xr:uid="{00000000-0006-0000-0300-000096000000}">
      <text>
        <r>
          <rPr>
            <b/>
            <sz val="9"/>
            <color indexed="81"/>
            <rFont val="Tahoma"/>
            <family val="2"/>
          </rPr>
          <t>slu117:</t>
        </r>
        <r>
          <rPr>
            <sz val="9"/>
            <color indexed="81"/>
            <rFont val="Tahoma"/>
            <family val="2"/>
          </rPr>
          <t xml:space="preserve">
http://asiachem.org/libm_20170411</t>
        </r>
      </text>
    </comment>
    <comment ref="B169" authorId="0" shapeId="0" xr:uid="{00000000-0006-0000-0300-000097000000}">
      <text>
        <r>
          <rPr>
            <b/>
            <sz val="9"/>
            <color indexed="81"/>
            <rFont val="Tahoma"/>
            <family val="2"/>
          </rPr>
          <t>slu117:</t>
        </r>
        <r>
          <rPr>
            <sz val="9"/>
            <color indexed="81"/>
            <rFont val="Tahoma"/>
            <family val="2"/>
          </rPr>
          <t xml:space="preserve">
Offtakes from Jourdan, Pilbara, Talison</t>
        </r>
      </text>
    </comment>
    <comment ref="B171" authorId="0" shapeId="0" xr:uid="{00000000-0006-0000-0300-000098000000}">
      <text>
        <r>
          <rPr>
            <b/>
            <sz val="9"/>
            <color indexed="81"/>
            <rFont val="Tahoma"/>
            <family val="2"/>
          </rPr>
          <t>slu117:</t>
        </r>
        <r>
          <rPr>
            <sz val="9"/>
            <color indexed="81"/>
            <rFont val="Tahoma"/>
            <family val="2"/>
          </rPr>
          <t xml:space="preserve">
JBJLIL is JV 50/50 between Burwill Company Ltd (BCL) and Jiangte Motor established in 2017
http://www.asianmetal.com/news/data/1363602/BCL%20establishes%20Jiangxi%20Baojiang%20Lithium%20Limited%20Company%20with%20Jiangte%20Mining</t>
        </r>
      </text>
    </comment>
    <comment ref="B173" authorId="0" shapeId="0" xr:uid="{00000000-0006-0000-0300-000099000000}">
      <text>
        <r>
          <rPr>
            <b/>
            <sz val="9"/>
            <color indexed="81"/>
            <rFont val="Tahoma"/>
            <family val="2"/>
          </rPr>
          <t>slu117:</t>
        </r>
        <r>
          <rPr>
            <sz val="9"/>
            <color indexed="81"/>
            <rFont val="Tahoma"/>
            <family val="2"/>
          </rPr>
          <t xml:space="preserve">
Molymet will produce LFP and also LMO, at another 19,000tpy cathode materials plant likely also to be sited in Mejillones.  </t>
        </r>
      </text>
    </comment>
    <comment ref="B174" authorId="0" shapeId="0" xr:uid="{00000000-0006-0000-0300-00009A000000}">
      <text>
        <r>
          <rPr>
            <b/>
            <sz val="9"/>
            <color indexed="81"/>
            <rFont val="Tahoma"/>
            <family val="2"/>
          </rPr>
          <t>slu117:</t>
        </r>
        <r>
          <rPr>
            <sz val="9"/>
            <color indexed="81"/>
            <rFont val="Tahoma"/>
            <family val="2"/>
          </rPr>
          <t xml:space="preserve">
According to the Samsung SDI-POSCO consortium, Sunday, they will spend 57.5 billion won ($54 million) for the factory in the Chilean port city of Mejillones and the facility will be capable of manufacturing 3,200 tons of cathode per year starting the second half of 2021.</t>
        </r>
      </text>
    </comment>
    <comment ref="B175" authorId="0" shapeId="0" xr:uid="{00000000-0006-0000-0300-00009B000000}">
      <text>
        <r>
          <rPr>
            <b/>
            <sz val="9"/>
            <color indexed="81"/>
            <rFont val="Tahoma"/>
            <family val="2"/>
          </rPr>
          <t>slu117:</t>
        </r>
        <r>
          <rPr>
            <sz val="9"/>
            <color indexed="81"/>
            <rFont val="Tahoma"/>
            <family val="2"/>
          </rPr>
          <t xml:space="preserve">
Fulin’s tender was to construct a 20,000tpy cathode material plant in Chile, but making LFP, at a cost of US$100M.</t>
        </r>
      </text>
    </comment>
    <comment ref="B176" authorId="0" shapeId="0" xr:uid="{00000000-0006-0000-0300-00009C000000}">
      <text>
        <r>
          <rPr>
            <b/>
            <sz val="9"/>
            <color indexed="81"/>
            <rFont val="Tahoma"/>
            <family val="2"/>
          </rPr>
          <t>slu117:</t>
        </r>
        <r>
          <rPr>
            <sz val="9"/>
            <color indexed="81"/>
            <rFont val="Tahoma"/>
            <family val="2"/>
          </rPr>
          <t xml:space="preserve">
JBJLIL is JV 50/50 between Burwill Company Ltd (BCL) and Jiangte Motor established in 2017
http://www.asianmetal.com/news/data/1363602/BCL%20establishes%20Jiangxi%20Baojiang%20Lithium%20Limited%20Company%20with%20Jiangte%20Mining</t>
        </r>
      </text>
    </comment>
    <comment ref="B177" authorId="0" shapeId="0" xr:uid="{00000000-0006-0000-0300-00009D000000}">
      <text>
        <r>
          <rPr>
            <b/>
            <sz val="9"/>
            <color indexed="81"/>
            <rFont val="Tahoma"/>
            <family val="2"/>
          </rPr>
          <t>slu117:</t>
        </r>
        <r>
          <rPr>
            <sz val="9"/>
            <color indexed="81"/>
            <rFont val="Tahoma"/>
            <family val="2"/>
          </rPr>
          <t xml:space="preserve">
Yahua holds 8.6% in Core Lithium (as of April 2019) and is the preferred procurer of DSO from future production. http://vip.stock.finance.sina.com.cn/q/go.php/vReport_Show/kind/company/rptid/4017190/index.phtml</t>
        </r>
      </text>
    </comment>
    <comment ref="M177" authorId="0" shapeId="0" xr:uid="{00000000-0006-0000-0300-00009E000000}">
      <text>
        <r>
          <rPr>
            <b/>
            <sz val="9"/>
            <color indexed="81"/>
            <rFont val="Tahoma"/>
            <family val="2"/>
          </rPr>
          <t>slu117:</t>
        </r>
        <r>
          <rPr>
            <sz val="9"/>
            <color indexed="81"/>
            <rFont val="Tahoma"/>
            <family val="2"/>
          </rPr>
          <t xml:space="preserve">
currently in DFS stage</t>
        </r>
      </text>
    </comment>
    <comment ref="B178" authorId="0" shapeId="0" xr:uid="{00000000-0006-0000-0300-00009F000000}">
      <text>
        <r>
          <rPr>
            <b/>
            <sz val="9"/>
            <color indexed="81"/>
            <rFont val="Tahoma"/>
            <family val="2"/>
          </rPr>
          <t>slu117:</t>
        </r>
        <r>
          <rPr>
            <sz val="9"/>
            <color indexed="81"/>
            <rFont val="Tahoma"/>
            <family val="2"/>
          </rPr>
          <t xml:space="preserve">
CATL 36.6m shares for $66m in NA/Quebec Lithium in March 2018, from Chinese company Jilin Jien Nickel Industry, to make it a controlling shareholder with over 90 per cent of the shares. The Quebec government owns a 5 per cent share in the company. Jilin Jien Nickel Industry, which bought the company in 2016 out of bankruptcy, said it no longer had the money to fund its lithium project. https://www.ft.com/content/4a59e8d0-261f-11e8-b27e-cc62a39d57a0</t>
        </r>
      </text>
    </comment>
    <comment ref="I178" authorId="0" shapeId="0" xr:uid="{00000000-0006-0000-0300-0000A0000000}">
      <text>
        <r>
          <rPr>
            <b/>
            <sz val="9"/>
            <color indexed="81"/>
            <rFont val="Tahoma"/>
            <family val="2"/>
          </rPr>
          <t>slu117:</t>
        </r>
        <r>
          <rPr>
            <sz val="9"/>
            <color indexed="81"/>
            <rFont val="Tahoma"/>
            <family val="2"/>
          </rPr>
          <t xml:space="preserve">
早在2016年，宁德时代就收购北美锂业部分股权，随后对项目进行生产工艺优化及升级改造。2017年7月开始了选厂试车，目前处于氧化锂精矿试生产阶段，尚未进入商业投产阶段。该矿预计年产生约23,000吨电池级碳酸锂。北美锂业的官网资料显示，北美锂业是北美地区唯一近期将要投产的锂生产商。
早在2016年，宁德时代就收购北美锂业部分股权，随后对项目进行生产工艺优化及升级改造。2017年7月开始了选厂试车，目前处于氧化锂精矿试生产阶段，尚未进入商业投产阶段。该矿预计年产生约23,000吨电池级碳酸锂。北美锂业的官网资料显示，北美锂业是北美地区唯一近期将要投产的锂生产商。</t>
        </r>
      </text>
    </comment>
    <comment ref="B179" authorId="0" shapeId="0" xr:uid="{00000000-0006-0000-0300-0000A1000000}">
      <text>
        <r>
          <rPr>
            <b/>
            <sz val="9"/>
            <color indexed="81"/>
            <rFont val="Tahoma"/>
            <family val="2"/>
          </rPr>
          <t>slu117:
雅化锂盐产品广泛应用于电池、医药、冶金、石化、玻璃、核工业等行业，与比亚迪、振华材料、贝特瑞、当升科技、厦门钨业、中石化、中石油等知名企业建立了良好的合作关系，产品主要销往中国全境和日本、韩国、欧美等国际市场</t>
        </r>
        <r>
          <rPr>
            <sz val="9"/>
            <color indexed="81"/>
            <rFont val="Tahoma"/>
            <family val="2"/>
          </rPr>
          <t xml:space="preserve">
http://www.scyahua.com/english/</t>
        </r>
      </text>
    </comment>
    <comment ref="B180" authorId="0" shapeId="0" xr:uid="{00000000-0006-0000-0300-0000A2000000}">
      <text>
        <r>
          <rPr>
            <b/>
            <sz val="9"/>
            <color indexed="81"/>
            <rFont val="Tahoma"/>
            <family val="2"/>
          </rPr>
          <t>slu117:
雅化锂盐产品广泛应用于电池、医药、冶金、石化、玻璃、核工业等行业，与比亚迪、振华材料、贝特瑞、当升科技、厦门钨业、中石化、中石油等知名企业建立了良好的合作关系，产品主要销往中国全境和日本、韩国、欧美等国际市场</t>
        </r>
        <r>
          <rPr>
            <sz val="9"/>
            <color indexed="81"/>
            <rFont val="Tahoma"/>
            <family val="2"/>
          </rPr>
          <t xml:space="preserve">
http://www.scyahua.com/english/</t>
        </r>
      </text>
    </comment>
    <comment ref="B181" authorId="0" shapeId="0" xr:uid="{00000000-0006-0000-0300-0000A3000000}">
      <text>
        <r>
          <rPr>
            <b/>
            <sz val="9"/>
            <color indexed="81"/>
            <rFont val="Tahoma"/>
            <family val="2"/>
          </rPr>
          <t>slu117:</t>
        </r>
        <r>
          <rPr>
            <sz val="9"/>
            <color indexed="81"/>
            <rFont val="Tahoma"/>
            <family val="2"/>
          </rPr>
          <t xml:space="preserve">
Core Lithium Corp. (“Core”) (OTC: CORX) is a publicly traded Nevada Corporation specialized in the exploration, mining, and development of prospective Lithium assets in North America. The company has acquired 100% ownership of fifty-six (56) mining titles totaling 7,840 acres in the James Bay region of Northern Quebec, Canada.</t>
        </r>
      </text>
    </comment>
    <comment ref="W182" authorId="0" shapeId="0" xr:uid="{00000000-0006-0000-0300-0000A4000000}">
      <text>
        <r>
          <rPr>
            <b/>
            <sz val="9"/>
            <color indexed="81"/>
            <rFont val="Tahoma"/>
            <family val="2"/>
          </rPr>
          <t>slu117: Guotai Junan Secuirities April 2018 report on Baowei
A$648/t</t>
        </r>
        <r>
          <rPr>
            <sz val="9"/>
            <color indexed="81"/>
            <rFont val="Tahoma"/>
            <family val="2"/>
          </rPr>
          <t xml:space="preserve">
http://pdf.dfcfw.com/pdf/H3_AP201804241128837240_1.pdf</t>
        </r>
      </text>
    </comment>
    <comment ref="B183" authorId="0" shapeId="0" xr:uid="{00000000-0006-0000-0300-0000A5000000}">
      <text>
        <r>
          <rPr>
            <b/>
            <sz val="9"/>
            <color indexed="81"/>
            <rFont val="Tahoma"/>
            <family val="2"/>
          </rPr>
          <t xml:space="preserve">slu117:
General Lithium submitted IPO application to government 7/26/2017
</t>
        </r>
        <r>
          <rPr>
            <sz val="9"/>
            <color indexed="81"/>
            <rFont val="Tahoma"/>
            <family val="2"/>
          </rPr>
          <t xml:space="preserve">
Tinci Materials is invested 22.22% of General Lithium (2015) for 60million RMB. </t>
        </r>
      </text>
    </comment>
    <comment ref="B184" authorId="0" shapeId="0" xr:uid="{00000000-0006-0000-0300-0000A6000000}">
      <text>
        <r>
          <rPr>
            <b/>
            <sz val="9"/>
            <color indexed="81"/>
            <rFont val="Tahoma"/>
            <family val="2"/>
          </rPr>
          <t xml:space="preserve">slu117:
General Lithium submitted IPO application to government 7/26/2017
</t>
        </r>
        <r>
          <rPr>
            <sz val="9"/>
            <color indexed="81"/>
            <rFont val="Tahoma"/>
            <family val="2"/>
          </rPr>
          <t xml:space="preserve">
Tinci Materials is invested 22.22% of General Lithium (2015) for 60million RMB. </t>
        </r>
      </text>
    </comment>
    <comment ref="B186" authorId="0" shapeId="0" xr:uid="{00000000-0006-0000-0300-0000A7000000}">
      <text>
        <r>
          <rPr>
            <b/>
            <sz val="9"/>
            <color indexed="81"/>
            <rFont val="Tahoma"/>
            <family val="2"/>
          </rPr>
          <t>slu117:</t>
        </r>
        <r>
          <rPr>
            <sz val="9"/>
            <color indexed="81"/>
            <rFont val="Tahoma"/>
            <family val="2"/>
          </rPr>
          <t xml:space="preserve">
mine 87% owned by Prospect; 51% owned by Sicomine</t>
        </r>
      </text>
    </comment>
    <comment ref="B187" authorId="0" shapeId="0" xr:uid="{00000000-0006-0000-0300-0000A8000000}">
      <text>
        <r>
          <rPr>
            <b/>
            <sz val="9"/>
            <color indexed="81"/>
            <rFont val="Tahoma"/>
            <family val="2"/>
          </rPr>
          <t>slu117:</t>
        </r>
        <r>
          <rPr>
            <sz val="9"/>
            <color indexed="81"/>
            <rFont val="Tahoma"/>
            <family val="2"/>
          </rPr>
          <t xml:space="preserve">
29% held by Suay Chin (offtaker/broker)</t>
        </r>
      </text>
    </comment>
    <comment ref="W187" authorId="0" shapeId="0" xr:uid="{00000000-0006-0000-0300-0000A9000000}">
      <text>
        <r>
          <rPr>
            <b/>
            <sz val="9"/>
            <color indexed="81"/>
            <rFont val="Tahoma"/>
            <family val="2"/>
          </rPr>
          <t>slu117:</t>
        </r>
        <r>
          <rPr>
            <sz val="9"/>
            <color indexed="81"/>
            <rFont val="Tahoma"/>
            <family val="2"/>
          </rPr>
          <t xml:space="preserve">
$400/t</t>
        </r>
      </text>
    </comment>
    <comment ref="B188" authorId="0" shapeId="0" xr:uid="{00000000-0006-0000-0300-0000AA000000}">
      <text>
        <r>
          <rPr>
            <b/>
            <sz val="9"/>
            <color indexed="81"/>
            <rFont val="Tahoma"/>
            <family val="2"/>
          </rPr>
          <t>slu117:</t>
        </r>
        <r>
          <rPr>
            <sz val="9"/>
            <color indexed="81"/>
            <rFont val="Tahoma"/>
            <family val="2"/>
          </rPr>
          <t xml:space="preserve">
Lepidico: 11.5% Galaxy Resources
Desert Lion Energy: 
</t>
        </r>
      </text>
    </comment>
    <comment ref="W188" authorId="0" shapeId="0" xr:uid="{00000000-0006-0000-0300-0000AB000000}">
      <text>
        <r>
          <rPr>
            <b/>
            <sz val="9"/>
            <color indexed="81"/>
            <rFont val="Tahoma"/>
            <family val="2"/>
          </rPr>
          <t>slu117:</t>
        </r>
        <r>
          <rPr>
            <sz val="9"/>
            <color indexed="81"/>
            <rFont val="Tahoma"/>
            <family val="2"/>
          </rPr>
          <t xml:space="preserve">
Processing cost USD 2,050/t (lithium carbonate).
Transport cost of USD 15/t product to port</t>
        </r>
      </text>
    </comment>
    <comment ref="B189" authorId="0" shapeId="0" xr:uid="{00000000-0006-0000-0300-0000AC000000}">
      <text>
        <r>
          <rPr>
            <b/>
            <sz val="9"/>
            <color indexed="81"/>
            <rFont val="Tahoma"/>
            <family val="2"/>
          </rPr>
          <t>slu117:</t>
        </r>
        <r>
          <rPr>
            <sz val="9"/>
            <color indexed="81"/>
            <rFont val="Tahoma"/>
            <family val="2"/>
          </rPr>
          <t xml:space="preserve">
Lepidico: 11.5% Galaxy Resources
Desert Lion Energy: 
</t>
        </r>
      </text>
    </comment>
    <comment ref="BR190" authorId="3" shapeId="0" xr:uid="{00000000-0006-0000-0300-0000AD000000}">
      <text>
        <r>
          <rPr>
            <b/>
            <sz val="9"/>
            <color indexed="81"/>
            <rFont val="Tahoma"/>
            <family val="2"/>
          </rPr>
          <t>smustri:</t>
        </r>
        <r>
          <rPr>
            <sz val="9"/>
            <color indexed="81"/>
            <rFont val="Tahoma"/>
            <family val="2"/>
          </rPr>
          <t xml:space="preserve">
SQM Salar is entitled to exploit the mineral resources of 81,920 hectares.</t>
        </r>
      </text>
    </comment>
    <comment ref="W192" authorId="0" shapeId="0" xr:uid="{00000000-0006-0000-0300-0000AE000000}">
      <text>
        <r>
          <rPr>
            <b/>
            <sz val="9"/>
            <color indexed="81"/>
            <rFont val="Tahoma"/>
            <family val="2"/>
          </rPr>
          <t>slu117:</t>
        </r>
        <r>
          <rPr>
            <sz val="9"/>
            <color indexed="81"/>
            <rFont val="Tahoma"/>
            <family val="2"/>
          </rPr>
          <t xml:space="preserve">
assume same average across all lithium products</t>
        </r>
      </text>
    </comment>
    <comment ref="W193" authorId="0" shapeId="0" xr:uid="{00000000-0006-0000-0300-0000AF000000}">
      <text>
        <r>
          <rPr>
            <b/>
            <sz val="9"/>
            <color indexed="81"/>
            <rFont val="Tahoma"/>
            <family val="2"/>
          </rPr>
          <t>slu117:</t>
        </r>
        <r>
          <rPr>
            <sz val="9"/>
            <color indexed="81"/>
            <rFont val="Tahoma"/>
            <family val="2"/>
          </rPr>
          <t xml:space="preserve">
assume same average across all lithium products</t>
        </r>
      </text>
    </comment>
    <comment ref="BZ193" authorId="0" shapeId="0" xr:uid="{00000000-0006-0000-0300-0000B0000000}">
      <text>
        <r>
          <rPr>
            <b/>
            <sz val="9"/>
            <color indexed="81"/>
            <rFont val="Tahoma"/>
            <family val="2"/>
          </rPr>
          <t>slu117:</t>
        </r>
        <r>
          <rPr>
            <sz val="9"/>
            <color indexed="81"/>
            <rFont val="Tahoma"/>
            <family val="2"/>
          </rPr>
          <t xml:space="preserve">
https://s22.q4cdn.com/453302215/files/doc_financials/2018/LTHM002AR_AR_2018_Web.pdf</t>
        </r>
      </text>
    </comment>
    <comment ref="W194" authorId="0" shapeId="0" xr:uid="{00000000-0006-0000-0300-0000B1000000}">
      <text>
        <r>
          <rPr>
            <b/>
            <sz val="9"/>
            <color indexed="81"/>
            <rFont val="Tahoma"/>
            <family val="2"/>
          </rPr>
          <t>slu117:</t>
        </r>
        <r>
          <rPr>
            <sz val="9"/>
            <color indexed="81"/>
            <rFont val="Tahoma"/>
            <family val="2"/>
          </rPr>
          <t xml:space="preserve">
assume same average across all lithium products</t>
        </r>
      </text>
    </comment>
    <comment ref="AE194" authorId="2" shapeId="0" xr:uid="{14157BF7-BF09-4E5D-88A8-2358876DC14C}">
      <text>
        <r>
          <rPr>
            <b/>
            <sz val="9"/>
            <color indexed="81"/>
            <rFont val="Tahoma"/>
            <family val="2"/>
          </rPr>
          <t>Sharon:</t>
        </r>
        <r>
          <rPr>
            <sz val="9"/>
            <color indexed="81"/>
            <rFont val="Tahoma"/>
            <family val="2"/>
          </rPr>
          <t xml:space="preserve">
in butyllithium, need to convert</t>
        </r>
      </text>
    </comment>
    <comment ref="AJ194" authorId="2" shapeId="0" xr:uid="{DC65C4D6-601A-4DC5-9868-D5E163E9D2A6}">
      <text>
        <r>
          <rPr>
            <b/>
            <sz val="9"/>
            <color indexed="81"/>
            <rFont val="Tahoma"/>
            <family val="2"/>
          </rPr>
          <t>Sharon:</t>
        </r>
        <r>
          <rPr>
            <sz val="9"/>
            <color indexed="81"/>
            <rFont val="Tahoma"/>
            <family val="2"/>
          </rPr>
          <t xml:space="preserve">
in butyllithium, need to convert</t>
        </r>
      </text>
    </comment>
    <comment ref="AK194" authorId="2" shapeId="0" xr:uid="{37FFF3D2-2E62-437E-B0A7-F37199709D87}">
      <text>
        <r>
          <rPr>
            <b/>
            <sz val="9"/>
            <color indexed="81"/>
            <rFont val="Tahoma"/>
            <family val="2"/>
          </rPr>
          <t>Sharon:</t>
        </r>
        <r>
          <rPr>
            <sz val="9"/>
            <color indexed="81"/>
            <rFont val="Tahoma"/>
            <family val="2"/>
          </rPr>
          <t xml:space="preserve">
in butyllithium, need to convert</t>
        </r>
      </text>
    </comment>
    <comment ref="AP194" authorId="2" shapeId="0" xr:uid="{615EC8B4-AC7B-4662-AFAB-ED6204B15F24}">
      <text>
        <r>
          <rPr>
            <b/>
            <sz val="9"/>
            <color indexed="81"/>
            <rFont val="Tahoma"/>
            <family val="2"/>
          </rPr>
          <t>Sharon:</t>
        </r>
        <r>
          <rPr>
            <sz val="9"/>
            <color indexed="81"/>
            <rFont val="Tahoma"/>
            <family val="2"/>
          </rPr>
          <t xml:space="preserve">
in butyllithium, need to convert</t>
        </r>
      </text>
    </comment>
    <comment ref="AQ194" authorId="2" shapeId="0" xr:uid="{5A18864C-2D73-4226-AB2D-9CCBC96F9BCF}">
      <text>
        <r>
          <rPr>
            <b/>
            <sz val="9"/>
            <color indexed="81"/>
            <rFont val="Tahoma"/>
            <family val="2"/>
          </rPr>
          <t>Sharon:</t>
        </r>
        <r>
          <rPr>
            <sz val="9"/>
            <color indexed="81"/>
            <rFont val="Tahoma"/>
            <family val="2"/>
          </rPr>
          <t xml:space="preserve">
in butyllithium, need to convert</t>
        </r>
      </text>
    </comment>
    <comment ref="AV194" authorId="2" shapeId="0" xr:uid="{7483365A-C8E2-4ED4-AD28-A6C978D42EF4}">
      <text>
        <r>
          <rPr>
            <b/>
            <sz val="9"/>
            <color indexed="81"/>
            <rFont val="Tahoma"/>
            <family val="2"/>
          </rPr>
          <t>Sharon:</t>
        </r>
        <r>
          <rPr>
            <sz val="9"/>
            <color indexed="81"/>
            <rFont val="Tahoma"/>
            <family val="2"/>
          </rPr>
          <t xml:space="preserve">
in butyllithium, need to convert</t>
        </r>
      </text>
    </comment>
    <comment ref="AW194" authorId="2" shapeId="0" xr:uid="{D296E4EC-0AAC-4287-9B69-8B4134B7AA4F}">
      <text>
        <r>
          <rPr>
            <b/>
            <sz val="9"/>
            <color indexed="81"/>
            <rFont val="Tahoma"/>
            <family val="2"/>
          </rPr>
          <t>Sharon:</t>
        </r>
        <r>
          <rPr>
            <sz val="9"/>
            <color indexed="81"/>
            <rFont val="Tahoma"/>
            <family val="2"/>
          </rPr>
          <t xml:space="preserve">
in butyllithium, need to convert</t>
        </r>
      </text>
    </comment>
    <comment ref="BZ194" authorId="0" shapeId="0" xr:uid="{00000000-0006-0000-0300-0000B2000000}">
      <text>
        <r>
          <rPr>
            <b/>
            <sz val="9"/>
            <color indexed="81"/>
            <rFont val="Tahoma"/>
            <family val="2"/>
          </rPr>
          <t>slu117:</t>
        </r>
        <r>
          <rPr>
            <sz val="9"/>
            <color indexed="81"/>
            <rFont val="Tahoma"/>
            <family val="2"/>
          </rPr>
          <t xml:space="preserve">
https://s22.q4cdn.com/453302215/files/doc_financials/2018/LTHM002AR_AR_2018_Web.pdf</t>
        </r>
      </text>
    </comment>
    <comment ref="W195" authorId="0" shapeId="0" xr:uid="{00000000-0006-0000-0300-0000B3000000}">
      <text>
        <r>
          <rPr>
            <b/>
            <sz val="9"/>
            <color indexed="81"/>
            <rFont val="Tahoma"/>
            <family val="2"/>
          </rPr>
          <t>slu117:</t>
        </r>
        <r>
          <rPr>
            <sz val="9"/>
            <color indexed="81"/>
            <rFont val="Tahoma"/>
            <family val="2"/>
          </rPr>
          <t xml:space="preserve">
assume same average across all lithium products</t>
        </r>
      </text>
    </comment>
    <comment ref="BZ195" authorId="0" shapeId="0" xr:uid="{00000000-0006-0000-0300-0000B4000000}">
      <text>
        <r>
          <rPr>
            <b/>
            <sz val="9"/>
            <color indexed="81"/>
            <rFont val="Tahoma"/>
            <family val="2"/>
          </rPr>
          <t>slu117:</t>
        </r>
        <r>
          <rPr>
            <sz val="9"/>
            <color indexed="81"/>
            <rFont val="Tahoma"/>
            <family val="2"/>
          </rPr>
          <t xml:space="preserve">
https://s22.q4cdn.com/453302215/files/doc_financials/2018/LTHM002AR_AR_2018_Web.pdf</t>
        </r>
      </text>
    </comment>
    <comment ref="B196" authorId="0" shapeId="0" xr:uid="{00000000-0006-0000-0300-0000B5000000}">
      <text>
        <r>
          <rPr>
            <b/>
            <sz val="9"/>
            <color indexed="81"/>
            <rFont val="Tahoma"/>
            <family val="2"/>
          </rPr>
          <t>slu117:</t>
        </r>
        <r>
          <rPr>
            <sz val="9"/>
            <color indexed="81"/>
            <rFont val="Tahoma"/>
            <family val="2"/>
          </rPr>
          <t xml:space="preserve">
Jourdan Resources Inc. (TSX-V: JOR) (“JOURDAN” or the “Company”) (www.jourdan.ca) is pleased to announce ElanOre Resources Inc. (“ElanOre”), a Canadian private company in which Jourdan holds 6 million shares (24.9%)</t>
        </r>
      </text>
    </comment>
    <comment ref="C196" authorId="0" shapeId="0" xr:uid="{00000000-0006-0000-0300-0000B6000000}">
      <text>
        <r>
          <rPr>
            <b/>
            <sz val="9"/>
            <color indexed="81"/>
            <rFont val="Tahoma"/>
            <family val="2"/>
          </rPr>
          <t>slu117:</t>
        </r>
        <r>
          <rPr>
            <sz val="9"/>
            <color indexed="81"/>
            <rFont val="Tahoma"/>
            <family val="2"/>
          </rPr>
          <t xml:space="preserve">
On August 22, 2013, Jourdan announced that it had optioned to ElanOre its Vallée Lithium Property, composed of 17 claims, located 100 km northeast of Rouyn-Noranda and 45 km north of Val d’Or, in the Province of Quebec, Canada. </t>
        </r>
      </text>
    </comment>
    <comment ref="B197" authorId="0" shapeId="0" xr:uid="{00000000-0006-0000-0300-0000B7000000}">
      <text>
        <r>
          <rPr>
            <b/>
            <sz val="9"/>
            <color indexed="81"/>
            <rFont val="Tahoma"/>
            <family val="2"/>
          </rPr>
          <t>slu117:</t>
        </r>
        <r>
          <rPr>
            <sz val="9"/>
            <color indexed="81"/>
            <rFont val="Tahoma"/>
            <family val="2"/>
          </rPr>
          <t xml:space="preserve">
10% held by Hanwa, 40% held by Oman soverign wealth fund, 20% held by Nextview New Energy Lion (2018)</t>
        </r>
      </text>
    </comment>
    <comment ref="C197" authorId="0" shapeId="0" xr:uid="{00000000-0006-0000-0300-0000B8000000}">
      <text>
        <r>
          <rPr>
            <b/>
            <sz val="9"/>
            <color indexed="81"/>
            <rFont val="Tahoma"/>
            <family val="2"/>
          </rPr>
          <t>slu117:</t>
        </r>
        <r>
          <rPr>
            <sz val="9"/>
            <color indexed="81"/>
            <rFont val="Tahoma"/>
            <family val="2"/>
          </rPr>
          <t xml:space="preserve">
JV w Rare Earth Minerals, with 10% equity stake from Hanwa</t>
        </r>
      </text>
    </comment>
    <comment ref="BZ197" authorId="3" shapeId="0" xr:uid="{00000000-0006-0000-0300-0000B9000000}">
      <text>
        <r>
          <rPr>
            <b/>
            <sz val="9"/>
            <color indexed="81"/>
            <rFont val="Tahoma"/>
            <family val="2"/>
          </rPr>
          <t>smustri:</t>
        </r>
        <r>
          <rPr>
            <sz val="9"/>
            <color indexed="81"/>
            <rFont val="Tahoma"/>
            <family val="2"/>
          </rPr>
          <t xml:space="preserve">
https://www.bacanoralithium.com/pdfs/Bacanora-FS-Technical-Report-25-01-2018.pdf (using financial model)
</t>
        </r>
      </text>
    </comment>
    <comment ref="B198" authorId="0" shapeId="0" xr:uid="{00000000-0006-0000-0300-0000BA000000}">
      <text>
        <r>
          <rPr>
            <b/>
            <sz val="9"/>
            <color indexed="81"/>
            <rFont val="Tahoma"/>
            <family val="2"/>
          </rPr>
          <t>slu117:</t>
        </r>
        <r>
          <rPr>
            <sz val="9"/>
            <color indexed="81"/>
            <rFont val="Tahoma"/>
            <family val="2"/>
          </rPr>
          <t xml:space="preserve">
10% held by Hanwa, 40% held by Oman soverign wealth fund, 20% held by Nextview New Energy Lion (2018)</t>
        </r>
      </text>
    </comment>
    <comment ref="BZ198" authorId="3" shapeId="0" xr:uid="{00000000-0006-0000-0300-0000BB000000}">
      <text>
        <r>
          <rPr>
            <b/>
            <sz val="9"/>
            <color indexed="81"/>
            <rFont val="Tahoma"/>
            <family val="2"/>
          </rPr>
          <t>smustri:</t>
        </r>
        <r>
          <rPr>
            <sz val="9"/>
            <color indexed="81"/>
            <rFont val="Tahoma"/>
            <family val="2"/>
          </rPr>
          <t xml:space="preserve">
avg LOM operating cost (not including K2SO4 credits) includes the follwing -- 
mining cost: 295-325 $/ton
processing cost: 3093-3418 $/ton
g&amp;a: 263-296 $/ton</t>
        </r>
      </text>
    </comment>
    <comment ref="B202" authorId="0" shapeId="0" xr:uid="{00000000-0006-0000-0300-0000BC000000}">
      <text>
        <r>
          <rPr>
            <b/>
            <sz val="9"/>
            <color indexed="81"/>
            <rFont val="Tahoma"/>
            <family val="2"/>
          </rPr>
          <t>slu117:</t>
        </r>
        <r>
          <rPr>
            <sz val="9"/>
            <color indexed="81"/>
            <rFont val="Tahoma"/>
            <family val="2"/>
          </rPr>
          <t xml:space="preserve">
Lepidico: 11.5% Galaxy Resources
Desert Lion Energy: 
</t>
        </r>
      </text>
    </comment>
    <comment ref="C202" authorId="0" shapeId="0" xr:uid="{00000000-0006-0000-0300-0000BD000000}">
      <text>
        <r>
          <rPr>
            <b/>
            <sz val="9"/>
            <color indexed="81"/>
            <rFont val="Tahoma"/>
            <family val="2"/>
          </rPr>
          <t>slu117:</t>
        </r>
        <r>
          <rPr>
            <sz val="9"/>
            <color indexed="81"/>
            <rFont val="Tahoma"/>
            <family val="2"/>
          </rPr>
          <t xml:space="preserve">
Farm-in agreement w Venus Metals Corp</t>
        </r>
      </text>
    </comment>
    <comment ref="B203" authorId="0" shapeId="0" xr:uid="{00000000-0006-0000-0300-0000BE000000}">
      <text>
        <r>
          <rPr>
            <b/>
            <sz val="9"/>
            <color indexed="81"/>
            <rFont val="Tahoma"/>
            <family val="2"/>
          </rPr>
          <t>slu117:</t>
        </r>
        <r>
          <rPr>
            <sz val="9"/>
            <color indexed="81"/>
            <rFont val="Tahoma"/>
            <family val="2"/>
          </rPr>
          <t xml:space="preserve">
Lepidico: 11.5% Galaxy Resources
Desert Lion Energy: 
</t>
        </r>
      </text>
    </comment>
    <comment ref="BR206" authorId="3" shapeId="0" xr:uid="{00000000-0006-0000-0300-0000BF000000}">
      <text>
        <r>
          <rPr>
            <b/>
            <sz val="9"/>
            <color indexed="81"/>
            <rFont val="Tahoma"/>
            <family val="2"/>
          </rPr>
          <t>smustri:</t>
        </r>
        <r>
          <rPr>
            <sz val="9"/>
            <color indexed="81"/>
            <rFont val="Tahoma"/>
            <family val="2"/>
          </rPr>
          <t xml:space="preserve">
SQM Salar is entitled to exploit the mineral resources of 81,920 hectares.</t>
        </r>
      </text>
    </comment>
    <comment ref="H207" authorId="0" shapeId="0" xr:uid="{00000000-0006-0000-0300-0000C0000000}">
      <text>
        <r>
          <rPr>
            <b/>
            <sz val="9"/>
            <color indexed="81"/>
            <rFont val="Tahoma"/>
            <family val="2"/>
          </rPr>
          <t>slu117:</t>
        </r>
        <r>
          <rPr>
            <sz val="9"/>
            <color indexed="81"/>
            <rFont val="Tahoma"/>
            <family val="2"/>
          </rPr>
          <t xml:space="preserve">
FMB 2017 Annual Report: We made several strategic decisions during the last few years to focus FMC Lithium on downstream, higher-value products. We convert most of our lithium carbonate and chloride production into high-purity materials, including lithium hydroxide used in electric vehicle ("EV") batteries, and butyllithium and lithium metals for specialty applications. In 2017, we expanded capacity in multiple locations, including a new lithium hydroxide plant in China that can produce 9,000 metric tons per year to meet accelerating demand for FMC’s products. Commercial sales from this facility began in June, and we had full commercial production for the final four months of 2017. We remain on track to reach 30,000 metric tons of lithium hydroxide manufacturing capacity by the end of 2019, by adding another 12,000 metric tons of capacity. To feed these downstream products, we also announced plans to more than double lithium carbonate production at our Argentina site to approximately 40,000 metric tons per year by 2022.</t>
        </r>
      </text>
    </comment>
    <comment ref="W207" authorId="0" shapeId="0" xr:uid="{00000000-0006-0000-0300-0000C1000000}">
      <text>
        <r>
          <rPr>
            <b/>
            <sz val="9"/>
            <color indexed="81"/>
            <rFont val="Tahoma"/>
            <family val="2"/>
          </rPr>
          <t>slu117:</t>
        </r>
        <r>
          <rPr>
            <sz val="9"/>
            <color indexed="81"/>
            <rFont val="Tahoma"/>
            <family val="2"/>
          </rPr>
          <t xml:space="preserve">
assume same average across all lithium products</t>
        </r>
      </text>
    </comment>
    <comment ref="BZ207" authorId="0" shapeId="0" xr:uid="{00000000-0006-0000-0300-0000C2000000}">
      <text>
        <r>
          <rPr>
            <b/>
            <sz val="9"/>
            <color indexed="81"/>
            <rFont val="Tahoma"/>
            <family val="2"/>
          </rPr>
          <t>slu117:</t>
        </r>
        <r>
          <rPr>
            <sz val="9"/>
            <color indexed="81"/>
            <rFont val="Tahoma"/>
            <family val="2"/>
          </rPr>
          <t xml:space="preserve">
https://s22.q4cdn.com/453302215/files/doc_financials/2018/LTHM002AR_AR_2018_Web.pdf</t>
        </r>
      </text>
    </comment>
    <comment ref="W208" authorId="0" shapeId="0" xr:uid="{00000000-0006-0000-0300-0000C3000000}">
      <text>
        <r>
          <rPr>
            <b/>
            <sz val="9"/>
            <color indexed="81"/>
            <rFont val="Tahoma"/>
            <family val="2"/>
          </rPr>
          <t>slu117:</t>
        </r>
        <r>
          <rPr>
            <sz val="9"/>
            <color indexed="81"/>
            <rFont val="Tahoma"/>
            <family val="2"/>
          </rPr>
          <t xml:space="preserve">
assume same average across all lithium products</t>
        </r>
      </text>
    </comment>
    <comment ref="BZ208" authorId="0" shapeId="0" xr:uid="{00000000-0006-0000-0300-0000C4000000}">
      <text>
        <r>
          <rPr>
            <b/>
            <sz val="9"/>
            <color indexed="81"/>
            <rFont val="Tahoma"/>
            <family val="2"/>
          </rPr>
          <t>slu117:</t>
        </r>
        <r>
          <rPr>
            <sz val="9"/>
            <color indexed="81"/>
            <rFont val="Tahoma"/>
            <family val="2"/>
          </rPr>
          <t xml:space="preserve">
https://s22.q4cdn.com/453302215/files/doc_financials/2018/LTHM002AR_AR_2018_Web.pdf</t>
        </r>
      </text>
    </comment>
    <comment ref="I217" authorId="0" shapeId="0" xr:uid="{00000000-0006-0000-0300-0000C5000000}">
      <text>
        <r>
          <rPr>
            <b/>
            <sz val="9"/>
            <color indexed="81"/>
            <rFont val="Tahoma"/>
            <family val="2"/>
          </rPr>
          <t>slu117:</t>
        </r>
        <r>
          <rPr>
            <sz val="9"/>
            <color indexed="81"/>
            <rFont val="Tahoma"/>
            <family val="2"/>
          </rPr>
          <t xml:space="preserve">
https://www.mining-journal.com/energy-minerals-news/news/1356803/livent-to-resume-nemaska-arbitration</t>
        </r>
      </text>
    </comment>
    <comment ref="BZ218" authorId="0" shapeId="0" xr:uid="{00000000-0006-0000-0300-0000C6000000}">
      <text>
        <r>
          <rPr>
            <b/>
            <sz val="9"/>
            <color indexed="81"/>
            <rFont val="Tahoma"/>
            <family val="2"/>
          </rPr>
          <t>slu117:</t>
        </r>
        <r>
          <rPr>
            <sz val="9"/>
            <color indexed="81"/>
            <rFont val="Tahoma"/>
            <family val="2"/>
          </rPr>
          <t xml:space="preserve">
2017 Operating Costs
Li resource = 494M yuan
Li chemical = 1.13bn yuan
2017 Production
Li resource= 646,470t
Li chemical= 32,257t</t>
        </r>
      </text>
    </comment>
    <comment ref="BZ219" authorId="0" shapeId="0" xr:uid="{00000000-0006-0000-0300-0000C7000000}">
      <text>
        <r>
          <rPr>
            <b/>
            <sz val="9"/>
            <color indexed="81"/>
            <rFont val="Tahoma"/>
            <family val="2"/>
          </rPr>
          <t>slu117:</t>
        </r>
        <r>
          <rPr>
            <sz val="9"/>
            <color indexed="81"/>
            <rFont val="Tahoma"/>
            <family val="2"/>
          </rPr>
          <t xml:space="preserve">
2017 Operating Costs
Li resource = 494M yuan
Li chemical = 1.13bn yuan
2017 Production
Li resource= 646,470t
Li chemical= 32,257t</t>
        </r>
      </text>
    </comment>
    <comment ref="I223" authorId="0" shapeId="0" xr:uid="{00000000-0006-0000-0300-0000C8000000}">
      <text>
        <r>
          <rPr>
            <b/>
            <sz val="9"/>
            <color indexed="81"/>
            <rFont val="Tahoma"/>
            <family val="2"/>
          </rPr>
          <t>slu117:</t>
        </r>
        <r>
          <rPr>
            <sz val="9"/>
            <color indexed="81"/>
            <rFont val="Tahoma"/>
            <family val="2"/>
          </rPr>
          <t xml:space="preserve">
http://asiachem.org/libm_20170411</t>
        </r>
      </text>
    </comment>
    <comment ref="B226" authorId="0" shapeId="0" xr:uid="{00000000-0006-0000-0300-0000C9000000}">
      <text>
        <r>
          <rPr>
            <b/>
            <sz val="9"/>
            <color indexed="81"/>
            <rFont val="Tahoma"/>
            <family val="2"/>
          </rPr>
          <t>slu117:</t>
        </r>
        <r>
          <rPr>
            <sz val="9"/>
            <color indexed="81"/>
            <rFont val="Tahoma"/>
            <family val="2"/>
          </rPr>
          <t xml:space="preserve">
JBJLIL is JV 50/50 between Burwill Company Ltd (BCL) and Jiangte Motor established in 2017
http://www.asianmetal.com/news/data/1363602/BCL%20establishes%20Jiangxi%20Baojiang%20Lithium%20Limited%20Company%20with%20Jiangte%20Mining</t>
        </r>
      </text>
    </comment>
    <comment ref="B227" authorId="0" shapeId="0" xr:uid="{00000000-0006-0000-0300-0000CA000000}">
      <text>
        <r>
          <rPr>
            <b/>
            <sz val="9"/>
            <color indexed="81"/>
            <rFont val="Tahoma"/>
            <family val="2"/>
          </rPr>
          <t>slu117:</t>
        </r>
        <r>
          <rPr>
            <sz val="9"/>
            <color indexed="81"/>
            <rFont val="Tahoma"/>
            <family val="2"/>
          </rPr>
          <t xml:space="preserve">
JBJLIL is JV 50/50 between Burwill Company Ltd (BCL) and Jiangte Motor established in 2017
http://www.asianmetal.com/news/data/1363602/BCL%20establishes%20Jiangxi%20Baojiang%20Lithium%20Limited%20Company%20with%20Jiangte%20Mining</t>
        </r>
      </text>
    </comment>
    <comment ref="B228" authorId="0" shapeId="0" xr:uid="{00000000-0006-0000-0300-0000CB000000}">
      <text>
        <r>
          <rPr>
            <b/>
            <sz val="9"/>
            <color indexed="81"/>
            <rFont val="Tahoma"/>
            <family val="2"/>
          </rPr>
          <t>slu117:
雅化锂盐产品广泛应用于电池、医药、冶金、石化、玻璃、核工业等行业，与比亚迪、振华材料、贝特瑞、当升科技、厦门钨业、中石化、中石油等知名企业建立了良好的合作关系，产品主要销往中国全境和日本、韩国、欧美等国际市场</t>
        </r>
        <r>
          <rPr>
            <sz val="9"/>
            <color indexed="81"/>
            <rFont val="Tahoma"/>
            <family val="2"/>
          </rPr>
          <t xml:space="preserve">
http://www.scyahua.com/english/</t>
        </r>
      </text>
    </comment>
    <comment ref="B229" authorId="0" shapeId="0" xr:uid="{00000000-0006-0000-0300-0000CC000000}">
      <text>
        <r>
          <rPr>
            <b/>
            <sz val="9"/>
            <color indexed="81"/>
            <rFont val="Tahoma"/>
            <family val="2"/>
          </rPr>
          <t>slu117:
雅化锂盐产品广泛应用于电池、医药、冶金、石化、玻璃、核工业等行业，与比亚迪、振华材料、贝特瑞、当升科技、厦门钨业、中石化、中石油等知名企业建立了良好的合作关系，产品主要销往中国全境和日本、韩国、欧美等国际市场</t>
        </r>
        <r>
          <rPr>
            <sz val="9"/>
            <color indexed="81"/>
            <rFont val="Tahoma"/>
            <family val="2"/>
          </rPr>
          <t xml:space="preserve">
http://www.scyahua.com/english/</t>
        </r>
      </text>
    </comment>
    <comment ref="B230" authorId="0" shapeId="0" xr:uid="{00000000-0006-0000-0300-0000CD000000}">
      <text>
        <r>
          <rPr>
            <b/>
            <sz val="9"/>
            <color indexed="81"/>
            <rFont val="Tahoma"/>
            <family val="2"/>
          </rPr>
          <t xml:space="preserve">slu117:
General Lithium submitted IPO application to government 7/26/2017
</t>
        </r>
        <r>
          <rPr>
            <sz val="9"/>
            <color indexed="81"/>
            <rFont val="Tahoma"/>
            <family val="2"/>
          </rPr>
          <t xml:space="preserve">
Tinci Materials is invested 22.22% of General Lithium (2015) for 60million RMB. </t>
        </r>
      </text>
    </comment>
    <comment ref="B231" authorId="0" shapeId="0" xr:uid="{00000000-0006-0000-0300-0000CE000000}">
      <text>
        <r>
          <rPr>
            <b/>
            <sz val="9"/>
            <color indexed="81"/>
            <rFont val="Tahoma"/>
            <family val="2"/>
          </rPr>
          <t xml:space="preserve">slu117:
General Lithium submitted IPO application to government 7/26/2017
</t>
        </r>
        <r>
          <rPr>
            <sz val="9"/>
            <color indexed="81"/>
            <rFont val="Tahoma"/>
            <family val="2"/>
          </rPr>
          <t xml:space="preserve">
Tinci Materials is invested 22.22% of General Lithium (2015) for 60million RMB. </t>
        </r>
      </text>
    </comment>
    <comment ref="BR232" authorId="3" shapeId="0" xr:uid="{00000000-0006-0000-0300-0000CF000000}">
      <text>
        <r>
          <rPr>
            <b/>
            <sz val="9"/>
            <color indexed="81"/>
            <rFont val="Tahoma"/>
            <family val="2"/>
          </rPr>
          <t>smustri:</t>
        </r>
        <r>
          <rPr>
            <sz val="9"/>
            <color indexed="81"/>
            <rFont val="Tahoma"/>
            <family val="2"/>
          </rPr>
          <t xml:space="preserve">
SQM Salar is entitled to exploit the mineral resources of 81,920 hectares.</t>
        </r>
      </text>
    </comment>
    <comment ref="CE232" authorId="0" shapeId="0" xr:uid="{00000000-0006-0000-0300-0000D0000000}">
      <text>
        <r>
          <rPr>
            <b/>
            <sz val="9"/>
            <color indexed="81"/>
            <rFont val="Tahoma"/>
            <family val="2"/>
          </rPr>
          <t>slu117:</t>
        </r>
        <r>
          <rPr>
            <sz val="9"/>
            <color indexed="81"/>
            <rFont val="Tahoma"/>
            <family val="2"/>
          </rPr>
          <t xml:space="preserve">
approx $4000/t LCE of expansion (50kt expansion)
</t>
        </r>
      </text>
    </comment>
    <comment ref="BR233" authorId="3" shapeId="0" xr:uid="{00000000-0006-0000-0300-0000D1000000}">
      <text>
        <r>
          <rPr>
            <b/>
            <sz val="9"/>
            <color indexed="81"/>
            <rFont val="Tahoma"/>
            <family val="2"/>
          </rPr>
          <t>smustri:</t>
        </r>
        <r>
          <rPr>
            <sz val="9"/>
            <color indexed="81"/>
            <rFont val="Tahoma"/>
            <family val="2"/>
          </rPr>
          <t xml:space="preserve">
SQM Salar is entitled to exploit the mineral resources of 81,920 hectares.</t>
        </r>
      </text>
    </comment>
    <comment ref="CE233" authorId="0" shapeId="0" xr:uid="{00000000-0006-0000-0300-0000D2000000}">
      <text>
        <r>
          <rPr>
            <b/>
            <sz val="9"/>
            <color indexed="81"/>
            <rFont val="Tahoma"/>
            <family val="2"/>
          </rPr>
          <t>slu117:</t>
        </r>
        <r>
          <rPr>
            <sz val="9"/>
            <color indexed="81"/>
            <rFont val="Tahoma"/>
            <family val="2"/>
          </rPr>
          <t xml:space="preserve">
approx $4000/t LCE of expansion (60kt expansion)</t>
        </r>
      </text>
    </comment>
    <comment ref="B234" authorId="0" shapeId="0" xr:uid="{00000000-0006-0000-0300-0000D3000000}">
      <text>
        <r>
          <rPr>
            <b/>
            <sz val="9"/>
            <color indexed="81"/>
            <rFont val="Tahoma"/>
            <family val="2"/>
          </rPr>
          <t>slu117:</t>
        </r>
        <r>
          <rPr>
            <sz val="9"/>
            <color indexed="81"/>
            <rFont val="Tahoma"/>
            <family val="2"/>
          </rPr>
          <t xml:space="preserve">
Bangchak and Ganfeng both hold 16% each share in LAC</t>
        </r>
      </text>
    </comment>
    <comment ref="CE234" authorId="0" shapeId="0" xr:uid="{00000000-0006-0000-0300-0000D4000000}">
      <text>
        <r>
          <rPr>
            <b/>
            <sz val="9"/>
            <color indexed="81"/>
            <rFont val="Tahoma"/>
            <family val="2"/>
          </rPr>
          <t>slu117:</t>
        </r>
        <r>
          <rPr>
            <sz val="9"/>
            <color indexed="81"/>
            <rFont val="Tahoma"/>
            <family val="2"/>
          </rPr>
          <t xml:space="preserve">
carbonate and sulfuric acid plant</t>
        </r>
      </text>
    </comment>
    <comment ref="B235" authorId="0" shapeId="0" xr:uid="{00000000-0006-0000-0300-0000D5000000}">
      <text>
        <r>
          <rPr>
            <b/>
            <sz val="9"/>
            <color indexed="81"/>
            <rFont val="Tahoma"/>
            <family val="2"/>
          </rPr>
          <t>slu117:</t>
        </r>
        <r>
          <rPr>
            <sz val="9"/>
            <color indexed="81"/>
            <rFont val="Tahoma"/>
            <family val="2"/>
          </rPr>
          <t xml:space="preserve">
Bangchak and Ganfeng both hold 16% each share in LAC</t>
        </r>
      </text>
    </comment>
    <comment ref="B236" authorId="0" shapeId="0" xr:uid="{00000000-0006-0000-0300-0000D6000000}">
      <text>
        <r>
          <rPr>
            <b/>
            <sz val="9"/>
            <color indexed="81"/>
            <rFont val="Tahoma"/>
            <family val="2"/>
          </rPr>
          <t>slu117:</t>
        </r>
        <r>
          <rPr>
            <sz val="9"/>
            <color indexed="81"/>
            <rFont val="Tahoma"/>
            <family val="2"/>
          </rPr>
          <t xml:space="preserve">
Nextview New Energy Lion purchased Lithium X in Dec 2017 for $265m. </t>
        </r>
      </text>
    </comment>
    <comment ref="Q237" authorId="3" shapeId="0" xr:uid="{00000000-0006-0000-0300-0000D7000000}">
      <text>
        <r>
          <rPr>
            <b/>
            <sz val="9"/>
            <color indexed="81"/>
            <rFont val="Tahoma"/>
            <family val="2"/>
          </rPr>
          <t>smustri:</t>
        </r>
        <r>
          <rPr>
            <sz val="9"/>
            <color indexed="81"/>
            <rFont val="Tahoma"/>
            <family val="2"/>
          </rPr>
          <t xml:space="preserve">
from Pilbara's Pilangoora</t>
        </r>
      </text>
    </comment>
    <comment ref="B241" authorId="0" shapeId="0" xr:uid="{00000000-0006-0000-0300-0000D8000000}">
      <text>
        <r>
          <rPr>
            <b/>
            <sz val="9"/>
            <color indexed="81"/>
            <rFont val="Tahoma"/>
            <family val="2"/>
          </rPr>
          <t>slu117: May 2018 
Galaxy Resources has reached an agreement to offload lithium tenements located in the northern basin of Argentina’s Salar del Hombre Muerto to South Korean steel-making firm Posco for $280m.</t>
        </r>
        <r>
          <rPr>
            <sz val="9"/>
            <color indexed="81"/>
            <rFont val="Tahoma"/>
            <family val="2"/>
          </rPr>
          <t xml:space="preserve">
</t>
        </r>
      </text>
    </comment>
    <comment ref="P242" authorId="3" shapeId="0" xr:uid="{00000000-0006-0000-0300-0000D9000000}">
      <text>
        <r>
          <rPr>
            <b/>
            <sz val="9"/>
            <color indexed="81"/>
            <rFont val="Tahoma"/>
            <family val="2"/>
          </rPr>
          <t>smustri:</t>
        </r>
        <r>
          <rPr>
            <sz val="9"/>
            <color indexed="81"/>
            <rFont val="Tahoma"/>
            <family val="2"/>
          </rPr>
          <t xml:space="preserve">
but from a mined resource, brine comes after extracting boron </t>
        </r>
      </text>
    </comment>
    <comment ref="W247" authorId="0" shapeId="0" xr:uid="{00000000-0006-0000-0300-0000DA000000}">
      <text>
        <r>
          <rPr>
            <b/>
            <sz val="9"/>
            <color indexed="81"/>
            <rFont val="Tahoma"/>
            <family val="2"/>
          </rPr>
          <t>slu117:</t>
        </r>
        <r>
          <rPr>
            <sz val="9"/>
            <color indexed="81"/>
            <rFont val="Tahoma"/>
            <family val="2"/>
          </rPr>
          <t xml:space="preserve">
w boric acid credit</t>
        </r>
      </text>
    </comment>
    <comment ref="W248" authorId="0" shapeId="0" xr:uid="{00000000-0006-0000-0300-0000DB000000}">
      <text>
        <r>
          <rPr>
            <b/>
            <sz val="9"/>
            <color indexed="81"/>
            <rFont val="Tahoma"/>
            <family val="2"/>
          </rPr>
          <t>slu117:</t>
        </r>
        <r>
          <rPr>
            <sz val="9"/>
            <color indexed="81"/>
            <rFont val="Tahoma"/>
            <family val="2"/>
          </rPr>
          <t xml:space="preserve">
w boric acid credit</t>
        </r>
      </text>
    </comment>
    <comment ref="B258" authorId="0" shapeId="0" xr:uid="{00000000-0006-0000-0300-0000DC000000}">
      <text>
        <r>
          <rPr>
            <b/>
            <sz val="9"/>
            <color indexed="81"/>
            <rFont val="Tahoma"/>
            <family val="2"/>
          </rPr>
          <t>slu117:</t>
        </r>
        <r>
          <rPr>
            <sz val="9"/>
            <color indexed="81"/>
            <rFont val="Tahoma"/>
            <family val="2"/>
          </rPr>
          <t xml:space="preserve">
49% stake TBEA, 51% YLB</t>
        </r>
      </text>
    </comment>
    <comment ref="P261" authorId="0" shapeId="0" xr:uid="{00000000-0006-0000-0300-0000DD000000}">
      <text>
        <r>
          <rPr>
            <b/>
            <sz val="9"/>
            <color indexed="81"/>
            <rFont val="Tahoma"/>
            <family val="2"/>
          </rPr>
          <t>slu117:</t>
        </r>
        <r>
          <rPr>
            <sz val="9"/>
            <color indexed="81"/>
            <rFont val="Tahoma"/>
            <family val="2"/>
          </rPr>
          <t xml:space="preserve">
Waste materials from mining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jvanhouten1</author>
    <author>aturner76</author>
  </authors>
  <commentList>
    <comment ref="A8" authorId="0" shapeId="0" xr:uid="{00000000-0006-0000-1C00-000001000000}">
      <text>
        <r>
          <rPr>
            <sz val="9"/>
            <color indexed="81"/>
            <rFont val="Tahoma"/>
            <family val="2"/>
          </rPr>
          <t xml:space="preserve">Leave space for your chart (or summary table) at the top of the worksheet so you can easily spot the important data on this sheet. </t>
        </r>
      </text>
    </comment>
    <comment ref="A26" authorId="0" shapeId="0" xr:uid="{00000000-0006-0000-1C00-000002000000}">
      <text>
        <r>
          <rPr>
            <sz val="9"/>
            <color indexed="81"/>
            <rFont val="Tahoma"/>
            <family val="2"/>
          </rPr>
          <t xml:space="preserve">Place </t>
        </r>
        <r>
          <rPr>
            <b/>
            <sz val="9"/>
            <color indexed="81"/>
            <rFont val="Tahoma"/>
            <family val="2"/>
          </rPr>
          <t>description of worksheet content</t>
        </r>
        <r>
          <rPr>
            <sz val="9"/>
            <color indexed="81"/>
            <rFont val="Tahoma"/>
            <family val="2"/>
          </rPr>
          <t xml:space="preserve"> here (eg table, chart or assumptions) so it becomes </t>
        </r>
        <r>
          <rPr>
            <b/>
            <sz val="9"/>
            <color indexed="81"/>
            <rFont val="Tahoma"/>
            <family val="2"/>
          </rPr>
          <t>easy to navigate</t>
        </r>
        <r>
          <rPr>
            <sz val="9"/>
            <color indexed="81"/>
            <rFont val="Tahoma"/>
            <family val="2"/>
          </rPr>
          <t xml:space="preserve"> via ctrl + arrow keys</t>
        </r>
      </text>
    </comment>
    <comment ref="J29" authorId="0" shapeId="0" xr:uid="{00000000-0006-0000-1C00-000003000000}">
      <text>
        <r>
          <rPr>
            <sz val="9"/>
            <color indexed="81"/>
            <rFont val="Tahoma"/>
            <family val="2"/>
          </rPr>
          <t xml:space="preserve">Tip: add </t>
        </r>
        <r>
          <rPr>
            <b/>
            <sz val="9"/>
            <color indexed="81"/>
            <rFont val="Tahoma"/>
            <family val="2"/>
          </rPr>
          <t>table specific information</t>
        </r>
        <r>
          <rPr>
            <sz val="9"/>
            <color indexed="81"/>
            <rFont val="Tahoma"/>
            <family val="2"/>
          </rPr>
          <t xml:space="preserve"> to this row in the table. Eg, calculations or lookups that apply to the entire table and don't need to be recalculated in every cell.</t>
        </r>
      </text>
    </comment>
    <comment ref="M33" authorId="1" shapeId="0" xr:uid="{00000000-0006-0000-1C00-000004000000}">
      <text>
        <r>
          <rPr>
            <b/>
            <sz val="9"/>
            <color indexed="81"/>
            <rFont val="Tahoma"/>
            <family val="2"/>
          </rPr>
          <t>Highlight formulae</t>
        </r>
        <r>
          <rPr>
            <sz val="9"/>
            <color indexed="81"/>
            <rFont val="Tahoma"/>
            <family val="2"/>
          </rPr>
          <t xml:space="preserve"> that reference external workbooks in red. Use '</t>
        </r>
        <r>
          <rPr>
            <b/>
            <sz val="9"/>
            <color indexed="81"/>
            <rFont val="Tahoma"/>
            <family val="2"/>
          </rPr>
          <t>Colour formulae</t>
        </r>
        <r>
          <rPr>
            <sz val="9"/>
            <color indexed="81"/>
            <rFont val="Tahoma"/>
            <family val="2"/>
          </rPr>
          <t>' on the Add-Ins ribbon.</t>
        </r>
      </text>
    </comment>
    <comment ref="N36" authorId="0" shapeId="0" xr:uid="{00000000-0006-0000-1C00-000005000000}">
      <text>
        <r>
          <rPr>
            <b/>
            <sz val="9"/>
            <color indexed="81"/>
            <rFont val="Tahoma"/>
            <family val="2"/>
          </rPr>
          <t>Formatting rule</t>
        </r>
        <r>
          <rPr>
            <sz val="9"/>
            <color indexed="81"/>
            <rFont val="Tahoma"/>
            <family val="2"/>
          </rPr>
          <t xml:space="preserve">
- hardcoded value = black
- formulae = colour</t>
        </r>
      </text>
    </comment>
    <comment ref="N40" authorId="0" shapeId="0" xr:uid="{00000000-0006-0000-1C00-000006000000}">
      <text>
        <r>
          <rPr>
            <b/>
            <sz val="9"/>
            <color indexed="81"/>
            <rFont val="Tahoma"/>
            <family val="2"/>
          </rPr>
          <t>Highlight formulae</t>
        </r>
        <r>
          <rPr>
            <sz val="9"/>
            <color indexed="81"/>
            <rFont val="Tahoma"/>
            <family val="2"/>
          </rPr>
          <t xml:space="preserve"> different from others in the same row/column in orange. Use '</t>
        </r>
        <r>
          <rPr>
            <b/>
            <sz val="9"/>
            <color indexed="81"/>
            <rFont val="Tahoma"/>
            <family val="2"/>
          </rPr>
          <t>Colour formulae</t>
        </r>
        <r>
          <rPr>
            <sz val="9"/>
            <color indexed="81"/>
            <rFont val="Tahoma"/>
            <family val="2"/>
          </rPr>
          <t>' on the Add-Ins ribbon.</t>
        </r>
      </text>
    </comment>
    <comment ref="A47" authorId="0" shapeId="0" xr:uid="{00000000-0006-0000-1C00-000007000000}">
      <text>
        <r>
          <rPr>
            <sz val="9"/>
            <color indexed="81"/>
            <rFont val="Tahoma"/>
            <family val="2"/>
          </rPr>
          <t xml:space="preserve">Always place tables below each other (unless of similar height) and </t>
        </r>
        <r>
          <rPr>
            <b/>
            <sz val="9"/>
            <color indexed="81"/>
            <rFont val="Tahoma"/>
            <family val="2"/>
          </rPr>
          <t>do not allow rows of different tables to overlap</t>
        </r>
        <r>
          <rPr>
            <sz val="9"/>
            <color indexed="81"/>
            <rFont val="Tahoma"/>
            <family val="2"/>
          </rPr>
          <t xml:space="preserve"> - this makes it difficult to change the sheet/table later.</t>
        </r>
      </text>
    </comment>
    <comment ref="J50" authorId="0" shapeId="0" xr:uid="{00000000-0006-0000-1C00-000008000000}">
      <text>
        <r>
          <rPr>
            <sz val="9"/>
            <color indexed="81"/>
            <rFont val="Tahoma"/>
            <family val="2"/>
          </rPr>
          <t xml:space="preserve">You can also use this second row to </t>
        </r>
        <r>
          <rPr>
            <b/>
            <sz val="9"/>
            <color indexed="81"/>
            <rFont val="Tahoma"/>
            <family val="2"/>
          </rPr>
          <t>include sense-checks</t>
        </r>
        <r>
          <rPr>
            <sz val="9"/>
            <color indexed="81"/>
            <rFont val="Tahoma"/>
            <family val="2"/>
          </rPr>
          <t xml:space="preserve"> on data or logic. Apply formatting using the 'Format Binary' tool.</t>
        </r>
      </text>
    </comment>
    <comment ref="N52" authorId="0" shapeId="0" xr:uid="{00000000-0006-0000-1C00-000009000000}">
      <text>
        <r>
          <rPr>
            <sz val="9"/>
            <color indexed="81"/>
            <rFont val="Tahoma"/>
            <family val="2"/>
          </rPr>
          <t xml:space="preserve">Format data/input tables (ie with hardcoded numbers) differently from tables with formulae so it's clear what is an input and what is a calculation. </t>
        </r>
      </text>
    </comment>
    <comment ref="N57" authorId="0" shapeId="0" xr:uid="{00000000-0006-0000-1C00-00000A000000}">
      <text>
        <r>
          <rPr>
            <sz val="9"/>
            <color indexed="81"/>
            <rFont val="Tahoma"/>
            <family val="2"/>
          </rPr>
          <t xml:space="preserve">Ideally you </t>
        </r>
        <r>
          <rPr>
            <b/>
            <sz val="9"/>
            <color indexed="81"/>
            <rFont val="Tahoma"/>
            <family val="2"/>
          </rPr>
          <t>put data/input tables on a different worksheet</t>
        </r>
        <r>
          <rPr>
            <sz val="9"/>
            <color indexed="81"/>
            <rFont val="Tahoma"/>
            <family val="2"/>
          </rPr>
          <t xml:space="preserve">. 
</t>
        </r>
      </text>
    </comment>
  </commentList>
</comments>
</file>

<file path=xl/sharedStrings.xml><?xml version="1.0" encoding="utf-8"?>
<sst xmlns="http://schemas.openxmlformats.org/spreadsheetml/2006/main" count="6296" uniqueCount="1562">
  <si>
    <t>Disclaimer</t>
  </si>
  <si>
    <t>Subject to terms and conditions</t>
  </si>
  <si>
    <t>&lt;source&gt;</t>
  </si>
  <si>
    <t>&lt;units&gt;</t>
  </si>
  <si>
    <t>&lt;title of dataset&gt;</t>
  </si>
  <si>
    <t>This service is derived from selected public sources.  Bloomberg Finance L.P. and its affiliates, in providing the service, believe that the information it uses comes from reliable sources, but do not guarantee the accuracy or completeness of this information, which is subject to change without notice, and nothing in this document shall be construed as such a guarantee. The statements in this service reflect the current judgment of the authors of the relevant articles or features, and do not necessarily reflect the opinion of Bloomberg Finance L.P., Bloomberg L.P. or any of their affiliates (“Bloomberg”).  Bloomberg disclaims any liability arising from use of this document and/or its contents, and this service.  Nothing herein shall constitute or be construed as an offering of financial instruments or as investment advice or recommendations by Bloomberg of an investment or other strategy (e.g., whether or not to “buy”, “sell”, or “hold” an investment). The information available through this service is not based on consideration of a subscriber’s individual circumstances and should not be considered as information sufficient upon which to base an investment decision. BLOOMBERG, BLOOMBERG PROFESSIONAL, BLOOMBERG MARKETS, BLOOMBERG NEWS, BLOOMBERG ANYWHERE, BLOOMBERG TRADEBOOK, BLOOMBERG BONDTRADER, BLOOMBERG TELEVISION, BLOOMBERG RADIO, BLOOMBERG PRESS, BLOOMBERG.COM, BLOOMBERG NEW ENERGY FINANCE and NEW ENERGY FINANCE are trademarks and service marks of Bloomberg Finance L.P. or its subsidiaries. This service is provided by Bloomberg Finance L.P. and its affiliates. The data contained within this document, its contents and/or this service do not express an opinion on the future or projected value of any financial instrument and are not research recommendations (i.e., recommendations as to whether or not to “buy”, “sell”, “hold”, or to enter or not to enter into any other transaction involving any specific interest) or a recommendation as to an investment or other strategy.  No aspect of this service is based on the consideration of a customer’s individual circumstances.  You should determine on your own whether you agree with the content of this document and any other data provided through this service.  Employees involved in this service may hold positions in the companies covered by this service.</t>
  </si>
  <si>
    <t>Table</t>
  </si>
  <si>
    <t>Table properties, eg:</t>
  </si>
  <si>
    <t>Length</t>
  </si>
  <si>
    <t>Width</t>
  </si>
  <si>
    <t>Unit</t>
  </si>
  <si>
    <t>Input</t>
  </si>
  <si>
    <t>a</t>
  </si>
  <si>
    <t>b</t>
  </si>
  <si>
    <t>c</t>
  </si>
  <si>
    <t>d</t>
  </si>
  <si>
    <t>e</t>
  </si>
  <si>
    <t>f</t>
  </si>
  <si>
    <t>g</t>
  </si>
  <si>
    <t>h</t>
  </si>
  <si>
    <t>i</t>
  </si>
  <si>
    <t>j</t>
  </si>
  <si>
    <t>k</t>
  </si>
  <si>
    <t>l</t>
  </si>
  <si>
    <t>m</t>
  </si>
  <si>
    <t>Total</t>
  </si>
  <si>
    <t>Notes:</t>
  </si>
  <si>
    <t>This space is for your notes or to inform others of how the tab 'works'.</t>
  </si>
  <si>
    <t>Styles</t>
  </si>
  <si>
    <t>Table Header 1</t>
  </si>
  <si>
    <t>Mandatory</t>
  </si>
  <si>
    <t>Large text used to distinguish important tables</t>
  </si>
  <si>
    <t/>
  </si>
  <si>
    <t>Table Header 2</t>
  </si>
  <si>
    <t>Describes columns in the table</t>
  </si>
  <si>
    <t>Table Header 3</t>
  </si>
  <si>
    <t>Optional</t>
  </si>
  <si>
    <t>Further describes columns</t>
  </si>
  <si>
    <t>Input assumption used for calculations</t>
  </si>
  <si>
    <t>Dropdown</t>
  </si>
  <si>
    <t>Dropwdown menu from validation list</t>
  </si>
  <si>
    <t>Binary flag</t>
  </si>
  <si>
    <t>If a 1 or 0 is used to indicate or flag specific data</t>
  </si>
  <si>
    <t>Technical input</t>
  </si>
  <si>
    <t>Inputs used for calculations that will probably never change e.g. 159 litres/barrel of oil</t>
  </si>
  <si>
    <t>Empty cell</t>
  </si>
  <si>
    <t>Calculations depend on this cell remaining empty</t>
  </si>
  <si>
    <t>Line summary</t>
  </si>
  <si>
    <t>Summarises a row/line with either a summation or an average</t>
  </si>
  <si>
    <t>Total column</t>
  </si>
  <si>
    <t>Sums the data in a column</t>
  </si>
  <si>
    <t>Code Output</t>
  </si>
  <si>
    <t>Code output</t>
  </si>
  <si>
    <t>Data calculated through external code (i.e. VBA or DLL plugin)</t>
  </si>
  <si>
    <t>Formulas</t>
  </si>
  <si>
    <t>Formula</t>
  </si>
  <si>
    <t>Contains any sort of formula (i.e. starting with an '=' sign)</t>
  </si>
  <si>
    <t>Distinguishes units from plain text</t>
  </si>
  <si>
    <t>Red</t>
  </si>
  <si>
    <t>Green</t>
  </si>
  <si>
    <t>Blue</t>
  </si>
  <si>
    <t>1</t>
  </si>
  <si>
    <t>2</t>
  </si>
  <si>
    <t>3</t>
  </si>
  <si>
    <t>4</t>
  </si>
  <si>
    <t>5</t>
  </si>
  <si>
    <t>6</t>
  </si>
  <si>
    <t>7</t>
  </si>
  <si>
    <t>8</t>
  </si>
  <si>
    <t>9</t>
  </si>
  <si>
    <t>10</t>
  </si>
  <si>
    <t>US</t>
  </si>
  <si>
    <t>Worksheet name</t>
  </si>
  <si>
    <t>Or to leave development notes to yourself (eg reminders or to-dos)</t>
  </si>
  <si>
    <t>Dropdown:</t>
  </si>
  <si>
    <t>Dropdown1</t>
  </si>
  <si>
    <t>Formula table</t>
  </si>
  <si>
    <t>or a table-specific dropdown:</t>
  </si>
  <si>
    <t>Add your table notes here. Eg, what does the reader need to know to understand the data or context?</t>
  </si>
  <si>
    <t>Input table</t>
  </si>
  <si>
    <t>Check</t>
  </si>
  <si>
    <t>AddInExamples</t>
  </si>
  <si>
    <t>How to use:</t>
  </si>
  <si>
    <t>Trouble-shooting if the 'Add-Ins' ribbon doesn't appear:</t>
  </si>
  <si>
    <t>1.  Check that the "Disable all Application Add-ins" option is unchecked in the  Excel Trust Centre (File &gt; Options &gt; Trust Centre &gt; Settings)</t>
  </si>
  <si>
    <t>2.  Turning on (or off and back on) the Analysis Toolpak VBA option might help.</t>
  </si>
  <si>
    <t xml:space="preserve">To do this, go to File &gt; Options &gt; Add-Ins, and click go after selecting Excel Add-Ins (see pic below). </t>
  </si>
  <si>
    <t>Any feedback, requests for more features, or suggestions for more technology names:</t>
  </si>
  <si>
    <t>Examples</t>
  </si>
  <si>
    <t>&lt;-- try it out on this area</t>
  </si>
  <si>
    <t>Coal</t>
  </si>
  <si>
    <t>Gas</t>
  </si>
  <si>
    <t>Nuclear</t>
  </si>
  <si>
    <t>Biomass</t>
  </si>
  <si>
    <t>Wind</t>
  </si>
  <si>
    <t>Solar</t>
  </si>
  <si>
    <t>Try it on a new, empty sheet</t>
  </si>
  <si>
    <t>Try it after adding a few (automatically formatted!) sheets to this workbook</t>
  </si>
  <si>
    <t>Try it</t>
  </si>
  <si>
    <t>Try it (but don't forget about them!)</t>
  </si>
  <si>
    <t>Please use this before publishing a client-facing workbook</t>
  </si>
  <si>
    <t>VBA</t>
  </si>
  <si>
    <r>
      <rPr>
        <b/>
        <sz val="10"/>
        <rFont val="Arial"/>
        <family val="2"/>
      </rPr>
      <t>DO NOT</t>
    </r>
    <r>
      <rPr>
        <sz val="10"/>
        <rFont val="Arial"/>
        <family val="2"/>
      </rPr>
      <t xml:space="preserve"> change the header above (rows 2:6). This is used by the macro to format a new sheet. </t>
    </r>
  </si>
  <si>
    <t>Add columns or rows to the table below to add your own classifications</t>
  </si>
  <si>
    <t>Name/group</t>
  </si>
  <si>
    <t>AltName/SubGroup</t>
  </si>
  <si>
    <t>OtherName1</t>
  </si>
  <si>
    <t>OtherName2</t>
  </si>
  <si>
    <t>OtherName3</t>
  </si>
  <si>
    <t>OtherName4</t>
  </si>
  <si>
    <t>GE2M Class</t>
  </si>
  <si>
    <t>Power Model Class</t>
  </si>
  <si>
    <t>LineStyle</t>
  </si>
  <si>
    <t>Comment</t>
  </si>
  <si>
    <t>Biomass &amp; Waste</t>
  </si>
  <si>
    <t>BMBF</t>
  </si>
  <si>
    <t>BM</t>
  </si>
  <si>
    <t>Font</t>
  </si>
  <si>
    <t>msoLineSolid</t>
  </si>
  <si>
    <t>Technologies</t>
  </si>
  <si>
    <t>Biofuels</t>
  </si>
  <si>
    <t>Biofuel</t>
  </si>
  <si>
    <t>Biogas</t>
  </si>
  <si>
    <t>BF</t>
  </si>
  <si>
    <t>Bituminous Coal</t>
  </si>
  <si>
    <t>Bituminous</t>
  </si>
  <si>
    <t>Bit</t>
  </si>
  <si>
    <t>CC</t>
  </si>
  <si>
    <t>C0</t>
  </si>
  <si>
    <t>Sub-bituminous Coal</t>
  </si>
  <si>
    <t>Sub-bituminous</t>
  </si>
  <si>
    <t>Sub-bit</t>
  </si>
  <si>
    <t>msoLineSysDot</t>
  </si>
  <si>
    <t>Supercritical coal</t>
  </si>
  <si>
    <t>Supercritical</t>
  </si>
  <si>
    <t>SC</t>
  </si>
  <si>
    <t>msoLineSysDash</t>
  </si>
  <si>
    <t>Coal CCS</t>
  </si>
  <si>
    <t>SCCS</t>
  </si>
  <si>
    <t>Integrated Gasification Combined Cycle</t>
  </si>
  <si>
    <t>IGCC</t>
  </si>
  <si>
    <t>msoLineLongDash</t>
  </si>
  <si>
    <t>IGCCCS</t>
  </si>
  <si>
    <t>Demand response</t>
  </si>
  <si>
    <t>Energy smart technologies</t>
  </si>
  <si>
    <t>EST</t>
  </si>
  <si>
    <t>EFW</t>
  </si>
  <si>
    <t>Biomass/WtE</t>
  </si>
  <si>
    <t>Energy from Waste</t>
  </si>
  <si>
    <t>Waste to Energy</t>
  </si>
  <si>
    <t>WTE</t>
  </si>
  <si>
    <t>Municipal Waste</t>
  </si>
  <si>
    <t>Flexible capacity</t>
  </si>
  <si>
    <t>Combined Cycle</t>
  </si>
  <si>
    <t>Combined Cycle Gas</t>
  </si>
  <si>
    <t>Gas CC</t>
  </si>
  <si>
    <t>CCGT</t>
  </si>
  <si>
    <t>CCGT1</t>
  </si>
  <si>
    <t>CHP_CCGT1</t>
  </si>
  <si>
    <t>CCGT2</t>
  </si>
  <si>
    <t>msoLineLongDashDotDot</t>
  </si>
  <si>
    <t>CCGT4</t>
  </si>
  <si>
    <t>CCGT3</t>
  </si>
  <si>
    <t>Gas CCS</t>
  </si>
  <si>
    <t>Gas - Carbon Capture and Storage</t>
  </si>
  <si>
    <t>Gas - CCS</t>
  </si>
  <si>
    <t>CCGT3CS</t>
  </si>
  <si>
    <t>CCGT4CS</t>
  </si>
  <si>
    <t>Open cycle</t>
  </si>
  <si>
    <t>Open Cycle Gas</t>
  </si>
  <si>
    <t>Gas OC</t>
  </si>
  <si>
    <t>OCGT</t>
  </si>
  <si>
    <t>Geothermal</t>
  </si>
  <si>
    <t>GEO</t>
  </si>
  <si>
    <t>HC</t>
  </si>
  <si>
    <t>HCCS</t>
  </si>
  <si>
    <t>Hydro</t>
  </si>
  <si>
    <t>Hydro Reservoir</t>
  </si>
  <si>
    <t>Large hydro</t>
  </si>
  <si>
    <t>HYDR</t>
  </si>
  <si>
    <t>HRES</t>
  </si>
  <si>
    <t>Hydro Run-of-river</t>
  </si>
  <si>
    <t>Small hydro</t>
  </si>
  <si>
    <t>HROR</t>
  </si>
  <si>
    <t>Hydro Pumped</t>
  </si>
  <si>
    <t>Pumped Hydro</t>
  </si>
  <si>
    <t>Lignite</t>
  </si>
  <si>
    <t>L1</t>
  </si>
  <si>
    <t>L0</t>
  </si>
  <si>
    <t>CHP_L1</t>
  </si>
  <si>
    <t>L2</t>
  </si>
  <si>
    <t>CHP_L2</t>
  </si>
  <si>
    <t>Lignite CCS</t>
  </si>
  <si>
    <t>L2CS</t>
  </si>
  <si>
    <t>L3</t>
  </si>
  <si>
    <t>IGCC_Lignite</t>
  </si>
  <si>
    <t>L3CS</t>
  </si>
  <si>
    <t>LIGCC</t>
  </si>
  <si>
    <t>LIGCCCS</t>
  </si>
  <si>
    <t>Marine</t>
  </si>
  <si>
    <t>Marine Wave</t>
  </si>
  <si>
    <t>Wave</t>
  </si>
  <si>
    <t>MRN</t>
  </si>
  <si>
    <t>MART</t>
  </si>
  <si>
    <t>Marine Tidal</t>
  </si>
  <si>
    <t>Tidal</t>
  </si>
  <si>
    <t>MARW</t>
  </si>
  <si>
    <t>Fission</t>
  </si>
  <si>
    <t>NFIS</t>
  </si>
  <si>
    <t>Fusion</t>
  </si>
  <si>
    <t>NFUS</t>
  </si>
  <si>
    <t>Oil</t>
  </si>
  <si>
    <t>Fuel Oil</t>
  </si>
  <si>
    <t>Diesel</t>
  </si>
  <si>
    <t>Oil/diesel</t>
  </si>
  <si>
    <t>O</t>
  </si>
  <si>
    <t>CHP_O</t>
  </si>
  <si>
    <t>Solar PV</t>
  </si>
  <si>
    <t>PV</t>
  </si>
  <si>
    <t>Utility-scale PV</t>
  </si>
  <si>
    <t>Utility-scale</t>
  </si>
  <si>
    <t>Solar PV utility</t>
  </si>
  <si>
    <t>SPV</t>
  </si>
  <si>
    <t>Rooftop Solar</t>
  </si>
  <si>
    <t>Rooftop PV</t>
  </si>
  <si>
    <t>Small-scale PV</t>
  </si>
  <si>
    <t>Small-scale</t>
  </si>
  <si>
    <t>Solar PV rooftop</t>
  </si>
  <si>
    <t>SPVRT</t>
  </si>
  <si>
    <t>Solar Thermal</t>
  </si>
  <si>
    <t>STEG</t>
  </si>
  <si>
    <t>STH</t>
  </si>
  <si>
    <t>Storage</t>
  </si>
  <si>
    <t>Battery storage</t>
  </si>
  <si>
    <t>Other</t>
  </si>
  <si>
    <t>Unknown</t>
  </si>
  <si>
    <t>STEAMGAS</t>
  </si>
  <si>
    <t>WIND</t>
  </si>
  <si>
    <t>WOFFS</t>
  </si>
  <si>
    <t>Technology categories</t>
  </si>
  <si>
    <t>Main regions</t>
  </si>
  <si>
    <t>Other regions</t>
  </si>
  <si>
    <t>Russia</t>
  </si>
  <si>
    <t>Countries</t>
  </si>
  <si>
    <t>China</t>
  </si>
  <si>
    <t>India</t>
  </si>
  <si>
    <t>Japan</t>
  </si>
  <si>
    <t>Australia</t>
  </si>
  <si>
    <t>Korea</t>
  </si>
  <si>
    <t>Indonesia</t>
  </si>
  <si>
    <t>USA</t>
  </si>
  <si>
    <t>United States</t>
  </si>
  <si>
    <t>Brazil</t>
  </si>
  <si>
    <t>Mexico</t>
  </si>
  <si>
    <t>US power markets</t>
  </si>
  <si>
    <t>CAISO</t>
  </si>
  <si>
    <t>MISO</t>
  </si>
  <si>
    <t>PJM</t>
  </si>
  <si>
    <t>Southeast</t>
  </si>
  <si>
    <t>Northwest</t>
  </si>
  <si>
    <t>Southwest</t>
  </si>
  <si>
    <t>New England</t>
  </si>
  <si>
    <t>SPP</t>
  </si>
  <si>
    <t>ERCOT</t>
  </si>
  <si>
    <t>New York</t>
  </si>
  <si>
    <t>Florida</t>
  </si>
  <si>
    <t>Alaska</t>
  </si>
  <si>
    <t>Hawaii</t>
  </si>
  <si>
    <t>Imports</t>
  </si>
  <si>
    <t>Net imports</t>
  </si>
  <si>
    <t>Exports</t>
  </si>
  <si>
    <t>Do not add rows below - insert rows within table above</t>
  </si>
  <si>
    <t>Try it on the cells below:</t>
  </si>
  <si>
    <t xml:space="preserve">3. Finally, make sure that you saved it saved as a .xlsm file after opening the template. </t>
  </si>
  <si>
    <t>FLEX</t>
  </si>
  <si>
    <t>BATT</t>
  </si>
  <si>
    <t>NEFM Class</t>
  </si>
  <si>
    <t>PUMP</t>
  </si>
  <si>
    <t>OTHER</t>
  </si>
  <si>
    <t>Metals</t>
  </si>
  <si>
    <t>Refining</t>
  </si>
  <si>
    <t>Heating</t>
  </si>
  <si>
    <t>Cement</t>
  </si>
  <si>
    <t>Industry</t>
  </si>
  <si>
    <t>DR</t>
  </si>
  <si>
    <t>Flexi</t>
  </si>
  <si>
    <t>South Korea</t>
  </si>
  <si>
    <t>DropdownLight</t>
  </si>
  <si>
    <t>InputLight</t>
  </si>
  <si>
    <t>LIGN</t>
  </si>
  <si>
    <t>Try it by opening up an existing (or blank sheet) and hit the 'copy formatting tools' button</t>
  </si>
  <si>
    <t>Please use this before publishing a client-facing workbook (or save as .xlsx)</t>
  </si>
  <si>
    <t>Data set</t>
  </si>
  <si>
    <t>Sent to</t>
  </si>
  <si>
    <t>Date</t>
  </si>
  <si>
    <t>Contact</t>
  </si>
  <si>
    <t>Description</t>
  </si>
  <si>
    <t>Contents</t>
  </si>
  <si>
    <t>Dataset</t>
  </si>
  <si>
    <t>Units</t>
  </si>
  <si>
    <t>Source</t>
  </si>
  <si>
    <r>
      <rPr>
        <b/>
        <i/>
        <sz val="10"/>
        <rFont val="Arial"/>
        <family val="2"/>
      </rPr>
      <t>What:</t>
    </r>
    <r>
      <rPr>
        <i/>
        <sz val="10"/>
        <rFont val="Arial"/>
        <family val="2"/>
      </rPr>
      <t xml:space="preserve"> applies BNEF chart formatting and standard dimensions for Word template</t>
    </r>
  </si>
  <si>
    <r>
      <rPr>
        <b/>
        <i/>
        <sz val="10"/>
        <rFont val="Arial"/>
        <family val="2"/>
      </rPr>
      <t>How:</t>
    </r>
    <r>
      <rPr>
        <i/>
        <sz val="10"/>
        <rFont val="Arial"/>
        <family val="2"/>
      </rPr>
      <t xml:space="preserve"> select chart and  click 'Format chart' on the 'Add-Ins' ribbon</t>
    </r>
  </si>
  <si>
    <r>
      <rPr>
        <b/>
        <i/>
        <sz val="10"/>
        <rFont val="Arial"/>
        <family val="2"/>
      </rPr>
      <t>Optional:</t>
    </r>
    <r>
      <rPr>
        <i/>
        <sz val="10"/>
        <rFont val="Arial"/>
        <family val="2"/>
      </rPr>
      <t xml:space="preserve"> format as </t>
    </r>
    <r>
      <rPr>
        <b/>
        <i/>
        <sz val="10"/>
        <rFont val="Arial"/>
        <family val="2"/>
      </rPr>
      <t>standard</t>
    </r>
    <r>
      <rPr>
        <i/>
        <sz val="10"/>
        <rFont val="Arial"/>
        <family val="2"/>
      </rPr>
      <t xml:space="preserve"> chart or </t>
    </r>
    <r>
      <rPr>
        <b/>
        <i/>
        <sz val="10"/>
        <rFont val="Arial"/>
        <family val="2"/>
      </rPr>
      <t>side-by-side</t>
    </r>
    <r>
      <rPr>
        <i/>
        <sz val="10"/>
        <rFont val="Arial"/>
        <family val="2"/>
      </rPr>
      <t xml:space="preserve"> chart</t>
    </r>
  </si>
  <si>
    <r>
      <rPr>
        <b/>
        <i/>
        <sz val="10"/>
        <rFont val="Arial"/>
        <family val="2"/>
      </rPr>
      <t>What:</t>
    </r>
    <r>
      <rPr>
        <i/>
        <sz val="10"/>
        <rFont val="Arial"/>
        <family val="2"/>
      </rPr>
      <t xml:space="preserve"> applies BNEF table formatting</t>
    </r>
  </si>
  <si>
    <r>
      <rPr>
        <b/>
        <i/>
        <sz val="10"/>
        <rFont val="Arial"/>
        <family val="2"/>
      </rPr>
      <t>How:</t>
    </r>
    <r>
      <rPr>
        <i/>
        <sz val="10"/>
        <rFont val="Arial"/>
        <family val="2"/>
      </rPr>
      <t xml:space="preserve"> select a range and  click 'Format table' on the 'Add-Ins' ribbon</t>
    </r>
  </si>
  <si>
    <r>
      <rPr>
        <b/>
        <i/>
        <sz val="10"/>
        <rFont val="Arial"/>
        <family val="2"/>
      </rPr>
      <t>Optional:</t>
    </r>
    <r>
      <rPr>
        <i/>
        <sz val="10"/>
        <rFont val="Arial"/>
        <family val="2"/>
      </rPr>
      <t xml:space="preserve"> format as </t>
    </r>
    <r>
      <rPr>
        <b/>
        <i/>
        <sz val="10"/>
        <rFont val="Arial"/>
        <family val="2"/>
      </rPr>
      <t>normal table (for formulae)</t>
    </r>
    <r>
      <rPr>
        <i/>
        <sz val="10"/>
        <rFont val="Arial"/>
        <family val="2"/>
      </rPr>
      <t xml:space="preserve"> or </t>
    </r>
    <r>
      <rPr>
        <b/>
        <i/>
        <sz val="10"/>
        <rFont val="Arial"/>
        <family val="2"/>
      </rPr>
      <t>input table (for hardcoded data)</t>
    </r>
  </si>
  <si>
    <r>
      <rPr>
        <b/>
        <i/>
        <sz val="10"/>
        <rFont val="Arial"/>
        <family val="2"/>
      </rPr>
      <t>IMPORTANT:</t>
    </r>
    <r>
      <rPr>
        <i/>
        <sz val="10"/>
        <rFont val="Arial"/>
        <family val="2"/>
      </rPr>
      <t xml:space="preserve"> always allow for </t>
    </r>
    <r>
      <rPr>
        <b/>
        <i/>
        <sz val="10"/>
        <rFont val="Arial"/>
        <family val="2"/>
      </rPr>
      <t>three header rows</t>
    </r>
    <r>
      <rPr>
        <i/>
        <sz val="10"/>
        <rFont val="Arial"/>
        <family val="2"/>
      </rPr>
      <t xml:space="preserve"> and </t>
    </r>
    <r>
      <rPr>
        <b/>
        <i/>
        <sz val="10"/>
        <rFont val="Arial"/>
        <family val="2"/>
      </rPr>
      <t>one</t>
    </r>
    <r>
      <rPr>
        <i/>
        <sz val="10"/>
        <rFont val="Arial"/>
        <family val="2"/>
      </rPr>
      <t xml:space="preserve"> </t>
    </r>
    <r>
      <rPr>
        <b/>
        <i/>
        <sz val="10"/>
        <rFont val="Arial"/>
        <family val="2"/>
      </rPr>
      <t>footnote row</t>
    </r>
    <r>
      <rPr>
        <i/>
        <sz val="10"/>
        <rFont val="Arial"/>
        <family val="2"/>
      </rPr>
      <t xml:space="preserve"> around the data area of the table</t>
    </r>
  </si>
  <si>
    <r>
      <rPr>
        <b/>
        <i/>
        <sz val="10"/>
        <rFont val="Arial"/>
        <family val="2"/>
      </rPr>
      <t>What:</t>
    </r>
    <r>
      <rPr>
        <i/>
        <sz val="10"/>
        <rFont val="Arial"/>
        <family val="2"/>
      </rPr>
      <t xml:space="preserve"> adds BNEF Datasheet header and description to top of worksheet</t>
    </r>
  </si>
  <si>
    <r>
      <rPr>
        <b/>
        <i/>
        <sz val="10"/>
        <rFont val="Arial"/>
        <family val="2"/>
      </rPr>
      <t>How:</t>
    </r>
    <r>
      <rPr>
        <i/>
        <sz val="10"/>
        <rFont val="Arial"/>
        <family val="2"/>
      </rPr>
      <t xml:space="preserve"> click 'Format worksheet' on the 'Add-Ins' ribbon</t>
    </r>
  </si>
  <si>
    <r>
      <rPr>
        <b/>
        <i/>
        <sz val="10"/>
        <rFont val="Arial"/>
        <family val="2"/>
      </rPr>
      <t>IMPORTANT:</t>
    </r>
    <r>
      <rPr>
        <i/>
        <sz val="10"/>
        <rFont val="Arial"/>
        <family val="2"/>
      </rPr>
      <t xml:space="preserve"> this adds a number of rows to the top of your worksheet and does not over-ride existing headers</t>
    </r>
  </si>
  <si>
    <r>
      <rPr>
        <b/>
        <i/>
        <sz val="10"/>
        <rFont val="Arial"/>
        <family val="2"/>
      </rPr>
      <t>What:</t>
    </r>
    <r>
      <rPr>
        <i/>
        <sz val="10"/>
        <rFont val="Arial"/>
        <family val="2"/>
      </rPr>
      <t xml:space="preserve"> applies conditional formatting to cells based on value being either True or False (and 1 or 0)</t>
    </r>
  </si>
  <si>
    <r>
      <rPr>
        <b/>
        <i/>
        <sz val="10"/>
        <rFont val="Arial"/>
        <family val="2"/>
      </rPr>
      <t>How:</t>
    </r>
    <r>
      <rPr>
        <i/>
        <sz val="10"/>
        <rFont val="Arial"/>
        <family val="2"/>
      </rPr>
      <t xml:space="preserve">  click 'Format Binary' on the 'Add-Ins' ribbon</t>
    </r>
  </si>
  <si>
    <r>
      <rPr>
        <b/>
        <i/>
        <sz val="10"/>
        <rFont val="Arial"/>
        <family val="2"/>
      </rPr>
      <t>What:</t>
    </r>
    <r>
      <rPr>
        <i/>
        <sz val="10"/>
        <rFont val="Arial"/>
        <family val="2"/>
      </rPr>
      <t xml:space="preserve"> adds hyperlinked sheet names and value in cell B3 (with data description) to contents list on cover sheet</t>
    </r>
  </si>
  <si>
    <r>
      <rPr>
        <b/>
        <i/>
        <sz val="10"/>
        <rFont val="Arial"/>
        <family val="2"/>
      </rPr>
      <t>How:</t>
    </r>
    <r>
      <rPr>
        <i/>
        <sz val="10"/>
        <rFont val="Arial"/>
        <family val="2"/>
      </rPr>
      <t xml:space="preserve">  click 'Add cover contents list' on the 'Add-Ins' ribbon</t>
    </r>
  </si>
  <si>
    <r>
      <rPr>
        <b/>
        <i/>
        <sz val="10"/>
        <rFont val="Arial"/>
        <family val="2"/>
      </rPr>
      <t>IMPORTANT:</t>
    </r>
    <r>
      <rPr>
        <i/>
        <sz val="10"/>
        <rFont val="Arial"/>
        <family val="2"/>
      </rPr>
      <t xml:space="preserve"> if you're using this on another workbook you will get prompted to select a sheet or range if 'cover' sheet or standard range is not found.</t>
    </r>
  </si>
  <si>
    <r>
      <rPr>
        <b/>
        <i/>
        <sz val="10"/>
        <rFont val="Arial"/>
        <family val="2"/>
      </rPr>
      <t>What:</t>
    </r>
    <r>
      <rPr>
        <i/>
        <sz val="10"/>
        <rFont val="Arial"/>
        <family val="2"/>
      </rPr>
      <t xml:space="preserve"> macros to select A1 on all sheets, detect errors and hardcode all formulae</t>
    </r>
  </si>
  <si>
    <r>
      <rPr>
        <b/>
        <i/>
        <sz val="10"/>
        <rFont val="Arial"/>
        <family val="2"/>
      </rPr>
      <t>How:</t>
    </r>
    <r>
      <rPr>
        <i/>
        <sz val="10"/>
        <rFont val="Arial"/>
        <family val="2"/>
      </rPr>
      <t xml:space="preserve">  see 'Add-Ins' ribbon</t>
    </r>
  </si>
  <si>
    <r>
      <rPr>
        <b/>
        <i/>
        <sz val="10"/>
        <rFont val="Arial"/>
        <family val="2"/>
      </rPr>
      <t>What:</t>
    </r>
    <r>
      <rPr>
        <i/>
        <sz val="10"/>
        <rFont val="Arial"/>
        <family val="2"/>
      </rPr>
      <t xml:space="preserve"> show/hide 'Styles', 'ExampleSheet', 'AddInExamples' and 'VBA' sheets</t>
    </r>
  </si>
  <si>
    <r>
      <rPr>
        <b/>
        <i/>
        <sz val="10"/>
        <rFont val="Arial"/>
        <family val="2"/>
      </rPr>
      <t>IMPORTANT:</t>
    </r>
    <r>
      <rPr>
        <i/>
        <sz val="10"/>
        <rFont val="Arial"/>
        <family val="2"/>
      </rPr>
      <t xml:space="preserve"> sets sheets to xlVeryHidden so they can't be unhidden manually. However, they will still be visible in the Visual Basic Editor</t>
    </r>
  </si>
  <si>
    <r>
      <rPr>
        <b/>
        <i/>
        <sz val="10"/>
        <rFont val="Arial"/>
        <family val="2"/>
      </rPr>
      <t>What:</t>
    </r>
    <r>
      <rPr>
        <i/>
        <sz val="10"/>
        <rFont val="Arial"/>
        <family val="2"/>
      </rPr>
      <t xml:space="preserve"> an option to copy this workbook's formatting tools and styles to an existing spreadsheet</t>
    </r>
  </si>
  <si>
    <r>
      <rPr>
        <b/>
        <i/>
        <sz val="10"/>
        <rFont val="Arial"/>
        <family val="2"/>
      </rPr>
      <t>IMPORTANT:</t>
    </r>
    <r>
      <rPr>
        <i/>
        <sz val="10"/>
        <rFont val="Arial"/>
        <family val="2"/>
      </rPr>
      <t xml:space="preserve"> removes most existing styles and merges them with the formatting styles per this workbook.</t>
    </r>
  </si>
  <si>
    <r>
      <rPr>
        <b/>
        <i/>
        <sz val="10"/>
        <rFont val="Arial"/>
        <family val="2"/>
      </rPr>
      <t>What:</t>
    </r>
    <r>
      <rPr>
        <i/>
        <sz val="10"/>
        <rFont val="Arial"/>
        <family val="2"/>
      </rPr>
      <t xml:space="preserve"> a self-destruct for all the formatting VBA code in this workbook</t>
    </r>
  </si>
  <si>
    <r>
      <rPr>
        <b/>
        <i/>
        <sz val="10"/>
        <rFont val="Arial"/>
        <family val="2"/>
      </rPr>
      <t>IMPORTANT:</t>
    </r>
    <r>
      <rPr>
        <i/>
        <sz val="10"/>
        <rFont val="Arial"/>
        <family val="2"/>
      </rPr>
      <t xml:space="preserve"> removes all VBA modules relating to formatting, as well as any code in 'ThisWorkbook'</t>
    </r>
  </si>
  <si>
    <t>Template version: 1.2.0</t>
  </si>
  <si>
    <t>New in version 1.2.0</t>
  </si>
  <si>
    <t>Please contact Andrew Turner (aturner76@bloomberg.net)</t>
  </si>
  <si>
    <t>=abc.xlsx!A3</t>
  </si>
  <si>
    <r>
      <rPr>
        <b/>
        <i/>
        <sz val="10"/>
        <rFont val="Arial"/>
        <family val="2"/>
      </rPr>
      <t>How:</t>
    </r>
    <r>
      <rPr>
        <i/>
        <sz val="10"/>
        <rFont val="Arial"/>
        <family val="2"/>
      </rPr>
      <t xml:space="preserve"> select chart and  click 'Format chart' on the 'Add-Ins' ribbon, then select 'None' under the 'Formats' option</t>
    </r>
  </si>
  <si>
    <r>
      <rPr>
        <b/>
        <i/>
        <sz val="10"/>
        <rFont val="Arial"/>
        <family val="2"/>
      </rPr>
      <t>Optional:</t>
    </r>
    <r>
      <rPr>
        <i/>
        <sz val="10"/>
        <rFont val="Arial"/>
        <family val="2"/>
      </rPr>
      <t xml:space="preserve"> add your own technology/region names and formats to table on 'VBA' sheet</t>
    </r>
  </si>
  <si>
    <r>
      <rPr>
        <b/>
        <i/>
        <sz val="10"/>
        <rFont val="Arial"/>
        <family val="2"/>
      </rPr>
      <t>Optional:</t>
    </r>
    <r>
      <rPr>
        <i/>
        <sz val="10"/>
        <rFont val="Arial"/>
        <family val="2"/>
      </rPr>
      <t xml:space="preserve"> color with </t>
    </r>
    <r>
      <rPr>
        <b/>
        <i/>
        <sz val="10"/>
        <rFont val="Arial"/>
        <family val="2"/>
      </rPr>
      <t>standard colors</t>
    </r>
    <r>
      <rPr>
        <i/>
        <sz val="10"/>
        <rFont val="Arial"/>
        <family val="2"/>
      </rPr>
      <t xml:space="preserve"> or </t>
    </r>
    <r>
      <rPr>
        <b/>
        <i/>
        <sz val="10"/>
        <rFont val="Arial"/>
        <family val="2"/>
      </rPr>
      <t>technology specific colors</t>
    </r>
  </si>
  <si>
    <r>
      <rPr>
        <b/>
        <i/>
        <sz val="10"/>
        <rFont val="Arial"/>
        <family val="2"/>
      </rPr>
      <t xml:space="preserve">Optional: </t>
    </r>
    <r>
      <rPr>
        <i/>
        <sz val="10"/>
        <rFont val="Arial"/>
        <family val="2"/>
      </rPr>
      <t>leave out alternate row coloring, third header or footnote</t>
    </r>
  </si>
  <si>
    <r>
      <rPr>
        <b/>
        <i/>
        <sz val="10"/>
        <rFont val="Arial"/>
        <family val="2"/>
      </rPr>
      <t xml:space="preserve">Optional: </t>
    </r>
    <r>
      <rPr>
        <i/>
        <sz val="10"/>
        <rFont val="Arial"/>
        <family val="2"/>
      </rPr>
      <t>format pattern or background fill, and separately color True or False values</t>
    </r>
  </si>
  <si>
    <r>
      <rPr>
        <b/>
        <i/>
        <sz val="10"/>
        <rFont val="Arial"/>
        <family val="2"/>
      </rPr>
      <t>What:</t>
    </r>
    <r>
      <rPr>
        <i/>
        <sz val="10"/>
        <rFont val="Arial"/>
        <family val="2"/>
      </rPr>
      <t xml:space="preserve"> a neat tool to color formulae in your spreadsheet according to whether it's a normal, inconsistent or external formula</t>
    </r>
  </si>
  <si>
    <r>
      <rPr>
        <b/>
        <i/>
        <sz val="10"/>
        <rFont val="Arial"/>
        <family val="2"/>
      </rPr>
      <t>How:</t>
    </r>
    <r>
      <rPr>
        <i/>
        <sz val="10"/>
        <rFont val="Arial"/>
        <family val="2"/>
      </rPr>
      <t xml:space="preserve">  select some cells (or just one cell to change all cells in the sheet) then click 'Color formulae' on the 'Add-Ins' ribbon</t>
    </r>
  </si>
  <si>
    <t xml:space="preserve">Column chart </t>
  </si>
  <si>
    <t>Year</t>
  </si>
  <si>
    <t>US coal miners (k)</t>
  </si>
  <si>
    <t>Two-axis column-line chart</t>
  </si>
  <si>
    <t>US coal production (Mt)</t>
  </si>
  <si>
    <t>Bar chart</t>
  </si>
  <si>
    <t>Country</t>
  </si>
  <si>
    <t>Coal capacity additions 2015 - 2040 (GW)</t>
  </si>
  <si>
    <t>Southeast Asia</t>
  </si>
  <si>
    <t>Middle East and Africa</t>
  </si>
  <si>
    <t>Rest of world</t>
  </si>
  <si>
    <t>Line chart</t>
  </si>
  <si>
    <t>Thousands</t>
  </si>
  <si>
    <t>US light truck sales</t>
  </si>
  <si>
    <t>Chart1</t>
  </si>
  <si>
    <t>Chart2</t>
  </si>
  <si>
    <t>Charting best practice</t>
  </si>
  <si>
    <t>`</t>
  </si>
  <si>
    <t>Development sheet used for creating chart templates only</t>
  </si>
  <si>
    <t>A</t>
  </si>
  <si>
    <t>B</t>
  </si>
  <si>
    <t>- dismiss add-in tool dialog boxes with Enter and Esc keys</t>
  </si>
  <si>
    <r>
      <t>1</t>
    </r>
    <r>
      <rPr>
        <b/>
        <sz val="16"/>
        <color theme="4"/>
        <rFont val="Arial"/>
        <family val="2"/>
      </rPr>
      <t xml:space="preserve"> Color charts</t>
    </r>
  </si>
  <si>
    <r>
      <t xml:space="preserve">2 </t>
    </r>
    <r>
      <rPr>
        <b/>
        <sz val="16"/>
        <color theme="4"/>
        <rFont val="Arial"/>
        <family val="2"/>
      </rPr>
      <t>Format charts</t>
    </r>
  </si>
  <si>
    <r>
      <t xml:space="preserve">3 </t>
    </r>
    <r>
      <rPr>
        <b/>
        <sz val="16"/>
        <color theme="4"/>
        <rFont val="Arial"/>
        <family val="2"/>
      </rPr>
      <t>Format tables</t>
    </r>
  </si>
  <si>
    <r>
      <t xml:space="preserve">4 </t>
    </r>
    <r>
      <rPr>
        <b/>
        <sz val="16"/>
        <color theme="4"/>
        <rFont val="Arial"/>
        <family val="2"/>
      </rPr>
      <t>Format worksheet</t>
    </r>
  </si>
  <si>
    <r>
      <t xml:space="preserve">5 </t>
    </r>
    <r>
      <rPr>
        <b/>
        <sz val="16"/>
        <color theme="4"/>
        <rFont val="Arial"/>
        <family val="2"/>
      </rPr>
      <t>Apply conditional formatting to binary flag</t>
    </r>
  </si>
  <si>
    <r>
      <t xml:space="preserve">6 </t>
    </r>
    <r>
      <rPr>
        <b/>
        <sz val="16"/>
        <color theme="4"/>
        <rFont val="Arial"/>
        <family val="2"/>
      </rPr>
      <t>Add contents list to cover sheet</t>
    </r>
  </si>
  <si>
    <r>
      <t xml:space="preserve">7 </t>
    </r>
    <r>
      <rPr>
        <b/>
        <sz val="16"/>
        <color theme="4"/>
        <rFont val="Arial"/>
        <family val="2"/>
      </rPr>
      <t>Prep client-facing sheet</t>
    </r>
  </si>
  <si>
    <r>
      <t xml:space="preserve">8 </t>
    </r>
    <r>
      <rPr>
        <b/>
        <sz val="16"/>
        <color theme="4"/>
        <rFont val="Arial"/>
        <family val="2"/>
      </rPr>
      <t>Show/hide sheets with useful tips</t>
    </r>
  </si>
  <si>
    <r>
      <t xml:space="preserve">9 </t>
    </r>
    <r>
      <rPr>
        <b/>
        <sz val="16"/>
        <color theme="4"/>
        <rFont val="Arial"/>
        <family val="2"/>
      </rPr>
      <t>Copy formatting tools to other workbook</t>
    </r>
  </si>
  <si>
    <r>
      <t xml:space="preserve">10 </t>
    </r>
    <r>
      <rPr>
        <b/>
        <sz val="16"/>
        <color theme="4"/>
        <rFont val="Arial"/>
        <family val="2"/>
      </rPr>
      <t>Remove formatting tools</t>
    </r>
  </si>
  <si>
    <r>
      <t xml:space="preserve">11 </t>
    </r>
    <r>
      <rPr>
        <b/>
        <sz val="16"/>
        <color theme="4"/>
        <rFont val="Arial"/>
        <family val="2"/>
      </rPr>
      <t>Color formulae</t>
    </r>
  </si>
  <si>
    <t>BNEF standard colors</t>
  </si>
  <si>
    <t>color</t>
  </si>
  <si>
    <t>Core house style colors</t>
  </si>
  <si>
    <t>Notes: these are used by 'Format Chart' to apply standard BNEF colors to non-technology/regional charts</t>
  </si>
  <si>
    <t>This sheet contains the colors for automated chart formatting</t>
  </si>
  <si>
    <t>If you have a main color for a group, make sure this is the first instance of the group's classes (eg searching for wind in (Class: Group) -&gt; Wind: Wind Onshore, Wind: Offshore -&gt; will return first instance of Wind)</t>
  </si>
  <si>
    <t>Chart colors</t>
  </si>
  <si>
    <r>
      <t xml:space="preserve">   </t>
    </r>
    <r>
      <rPr>
        <b/>
        <sz val="10"/>
        <color rgb="FFFF0000"/>
        <rFont val="Arial"/>
        <family val="2"/>
      </rPr>
      <t>The purpose of this sheet</t>
    </r>
    <r>
      <rPr>
        <sz val="10"/>
        <rFont val="Arial"/>
        <family val="2"/>
      </rPr>
      <t xml:space="preserve"> is to explain how to use the BNEF add-in tools for charts, tables and other formatting.</t>
    </r>
  </si>
  <si>
    <r>
      <rPr>
        <sz val="10"/>
        <rFont val="Arial"/>
        <family val="2"/>
      </rPr>
      <t>Browse to the</t>
    </r>
    <r>
      <rPr>
        <sz val="10"/>
        <color rgb="FFFF0000"/>
        <rFont val="Arial"/>
        <family val="2"/>
      </rPr>
      <t xml:space="preserve"> </t>
    </r>
    <r>
      <rPr>
        <b/>
        <sz val="10"/>
        <color rgb="FFFF0000"/>
        <rFont val="Arial"/>
        <family val="2"/>
      </rPr>
      <t>'ADD-INS'</t>
    </r>
    <r>
      <rPr>
        <sz val="10"/>
        <rFont val="Arial"/>
        <family val="2"/>
      </rPr>
      <t xml:space="preserve"> ribbon,  then see the 'How:" section for each of the numbered tools below.</t>
    </r>
  </si>
  <si>
    <t>United Kingdom</t>
  </si>
  <si>
    <t>UK</t>
  </si>
  <si>
    <t>Italy</t>
  </si>
  <si>
    <t>Germany</t>
  </si>
  <si>
    <t>France</t>
  </si>
  <si>
    <t>Spain</t>
  </si>
  <si>
    <t>Holland</t>
  </si>
  <si>
    <t>Netherlands</t>
  </si>
  <si>
    <t>The Netherlands</t>
  </si>
  <si>
    <r>
      <rPr>
        <b/>
        <i/>
        <sz val="10"/>
        <rFont val="Arial"/>
        <family val="2"/>
      </rPr>
      <t>What:</t>
    </r>
    <r>
      <rPr>
        <i/>
        <sz val="10"/>
        <rFont val="Arial"/>
        <family val="2"/>
      </rPr>
      <t xml:space="preserve"> detects series/category name and applies BNEF colors: see the 'VBA' sheet</t>
    </r>
  </si>
  <si>
    <t>Andrew</t>
  </si>
  <si>
    <t>James</t>
  </si>
  <si>
    <t>Alex</t>
  </si>
  <si>
    <t>Hugh</t>
  </si>
  <si>
    <t>Poland</t>
  </si>
  <si>
    <t>Sweden</t>
  </si>
  <si>
    <t>Norway</t>
  </si>
  <si>
    <t>U.K.</t>
  </si>
  <si>
    <t>U.S.</t>
  </si>
  <si>
    <t>U.S.A.</t>
  </si>
  <si>
    <t>Canada</t>
  </si>
  <si>
    <t>Denmark</t>
  </si>
  <si>
    <t>Greys &amp; blacks</t>
  </si>
  <si>
    <t>Diagrams, Gridlines</t>
  </si>
  <si>
    <t>COLUMN BUBBLE</t>
  </si>
  <si>
    <t>AREA</t>
  </si>
  <si>
    <t>COLUMN LINE 2 AXIS</t>
  </si>
  <si>
    <t>BAR</t>
  </si>
  <si>
    <t>LINE</t>
  </si>
  <si>
    <t>STACKED COLUMN</t>
  </si>
  <si>
    <t>SCATTER</t>
  </si>
  <si>
    <t>PIE</t>
  </si>
  <si>
    <t>DONUT</t>
  </si>
  <si>
    <t>- design update to match brand refresh of 2017 web, Word and PowerPoint</t>
  </si>
  <si>
    <t>U.S. monthly light truck sales</t>
  </si>
  <si>
    <t>117, 227, 161</t>
  </si>
  <si>
    <t>25, 178, 78</t>
  </si>
  <si>
    <t>65, 65, 65</t>
  </si>
  <si>
    <t>38, 38, 38</t>
  </si>
  <si>
    <t>33, 95, 85</t>
  </si>
  <si>
    <t>189, 92, 163</t>
  </si>
  <si>
    <t>171, 150, 201</t>
  </si>
  <si>
    <t>210, 210, 210</t>
  </si>
  <si>
    <t>166, 166, 166</t>
  </si>
  <si>
    <t>138, 93, 181</t>
  </si>
  <si>
    <t>0, 86, 115</t>
  </si>
  <si>
    <t>0, 130, 172</t>
  </si>
  <si>
    <t>128, 128, 128</t>
  </si>
  <si>
    <t>127, 127, 127</t>
  </si>
  <si>
    <t>238, 49, 36</t>
  </si>
  <si>
    <t>64, 64, 64</t>
  </si>
  <si>
    <t>255, 201, 29</t>
  </si>
  <si>
    <t>255, 232, 56</t>
  </si>
  <si>
    <t>244, 126, 62</t>
  </si>
  <si>
    <t>239, 91, 157</t>
  </si>
  <si>
    <t>13, 157, 219</t>
  </si>
  <si>
    <t>97, 202, 230</t>
  </si>
  <si>
    <t>109, 110, 113</t>
  </si>
  <si>
    <t>67, 190, 173</t>
  </si>
  <si>
    <t>85, 213, 255</t>
  </si>
  <si>
    <t>92, 233, 141</t>
  </si>
  <si>
    <t>13, 89, 39</t>
  </si>
  <si>
    <t>204, 155, 0</t>
  </si>
  <si>
    <t>255, 245, 174</t>
  </si>
  <si>
    <t>155, 136, 0</t>
  </si>
  <si>
    <t>255, 240, 134</t>
  </si>
  <si>
    <t>19, 134, 60</t>
  </si>
  <si>
    <t>64, 216, 126</t>
  </si>
  <si>
    <t>244, 131, 121</t>
  </si>
  <si>
    <t>149, 24, 10</t>
  </si>
  <si>
    <t>208, 43, 31</t>
  </si>
  <si>
    <t>132, 212, 248</t>
  </si>
  <si>
    <t>253, 226, 105</t>
  </si>
  <si>
    <t>255, 158, 27</t>
  </si>
  <si>
    <t>237, 49, 36</t>
  </si>
  <si>
    <t>255, 199, 102</t>
  </si>
  <si>
    <t>Formatting &amp; RGB</t>
  </si>
  <si>
    <t>Axes, borders</t>
  </si>
  <si>
    <t>For more info, see the wiki at:</t>
  </si>
  <si>
    <t>https://cms.prod.bloomberg.com/team/x/wA93OQ</t>
  </si>
  <si>
    <t>Mine</t>
  </si>
  <si>
    <t>Commissioning year</t>
  </si>
  <si>
    <t>Finland</t>
  </si>
  <si>
    <t>Albemarle</t>
  </si>
  <si>
    <t>SQM</t>
  </si>
  <si>
    <t>Chile</t>
  </si>
  <si>
    <t>Brine</t>
  </si>
  <si>
    <t>Orocobre</t>
  </si>
  <si>
    <t>Argentina</t>
  </si>
  <si>
    <t>Cauchari-olaroz</t>
  </si>
  <si>
    <t>Nemaska</t>
  </si>
  <si>
    <t>Whabouchi</t>
  </si>
  <si>
    <t>Pilbara</t>
  </si>
  <si>
    <t>Pilgangoora</t>
  </si>
  <si>
    <t>Tianqi</t>
  </si>
  <si>
    <t>Bacanora</t>
  </si>
  <si>
    <t>Sonora</t>
  </si>
  <si>
    <t>Clay</t>
  </si>
  <si>
    <t>Rincon</t>
  </si>
  <si>
    <t>Bolivia</t>
  </si>
  <si>
    <t>Eramet</t>
  </si>
  <si>
    <t>Centinario</t>
  </si>
  <si>
    <t>Lithium Americas</t>
  </si>
  <si>
    <t>Lithium supply and demand</t>
  </si>
  <si>
    <t>Change log</t>
  </si>
  <si>
    <t>Company</t>
  </si>
  <si>
    <t>Production</t>
  </si>
  <si>
    <t>Construction</t>
  </si>
  <si>
    <t>MGX minerals</t>
  </si>
  <si>
    <t>Mali</t>
  </si>
  <si>
    <t>Exploration</t>
  </si>
  <si>
    <t>Rock tech lithium</t>
  </si>
  <si>
    <t>LiCo Energy Metals</t>
  </si>
  <si>
    <t>Southern Lithium Corp</t>
  </si>
  <si>
    <t>Battery Minerals Resources</t>
  </si>
  <si>
    <t>Cornish Lithium</t>
  </si>
  <si>
    <t>Cornwall</t>
  </si>
  <si>
    <t>Guayatayoc</t>
  </si>
  <si>
    <t>WCP Resources</t>
  </si>
  <si>
    <t>Sirios resources</t>
  </si>
  <si>
    <t>Avalon Advanced Materials Inc.</t>
  </si>
  <si>
    <t>Namibia</t>
  </si>
  <si>
    <t>Liberty one lithium</t>
  </si>
  <si>
    <t>MGX Minerals</t>
  </si>
  <si>
    <t>Far resources</t>
  </si>
  <si>
    <t>LSC lithium corporation</t>
  </si>
  <si>
    <t>Savannah Resources</t>
  </si>
  <si>
    <t>Portugal</t>
  </si>
  <si>
    <t>AVZ minerals</t>
  </si>
  <si>
    <t>Novo Litio</t>
  </si>
  <si>
    <t>D.R.C</t>
  </si>
  <si>
    <t>Cuba</t>
  </si>
  <si>
    <t>Madagascar</t>
  </si>
  <si>
    <t>Morocco</t>
  </si>
  <si>
    <t>New Caledonia</t>
  </si>
  <si>
    <t>Philippines</t>
  </si>
  <si>
    <t>South Africa</t>
  </si>
  <si>
    <t>Zambia</t>
  </si>
  <si>
    <t>North Korea</t>
  </si>
  <si>
    <t>Mozambique</t>
  </si>
  <si>
    <t>Zimbabwe</t>
  </si>
  <si>
    <t>Mt Marion</t>
  </si>
  <si>
    <t>Spodumene</t>
  </si>
  <si>
    <t>Risk factor</t>
  </si>
  <si>
    <t>Ore type</t>
  </si>
  <si>
    <t>Ore grade</t>
  </si>
  <si>
    <t>Production Cost</t>
  </si>
  <si>
    <t>Material  quality</t>
  </si>
  <si>
    <t xml:space="preserve">Offtake </t>
  </si>
  <si>
    <t>Technical risk</t>
  </si>
  <si>
    <t>Financial risk</t>
  </si>
  <si>
    <t>Concentrate</t>
  </si>
  <si>
    <t>Salar de Atacama</t>
  </si>
  <si>
    <t>1,800mg/L</t>
  </si>
  <si>
    <t>6.5:1</t>
  </si>
  <si>
    <t>Chloride</t>
  </si>
  <si>
    <t>800mg/L</t>
  </si>
  <si>
    <t>1.4:1</t>
  </si>
  <si>
    <t>2.4:1</t>
  </si>
  <si>
    <t>Carbonate</t>
  </si>
  <si>
    <t>3,480ppm</t>
  </si>
  <si>
    <t>Thacker Pass</t>
  </si>
  <si>
    <t>3,283ppm</t>
  </si>
  <si>
    <t>Mt Cattlin</t>
  </si>
  <si>
    <t>Altura</t>
  </si>
  <si>
    <t>Bikita Minerals</t>
  </si>
  <si>
    <t>Glencova</t>
  </si>
  <si>
    <t>Silver Peak</t>
  </si>
  <si>
    <t>Felmica</t>
  </si>
  <si>
    <t>Zabuye Lithium</t>
  </si>
  <si>
    <t>Lake Zabuye</t>
  </si>
  <si>
    <t>Qinghai</t>
  </si>
  <si>
    <t>1,000mg/L</t>
  </si>
  <si>
    <t>Jiangxi</t>
  </si>
  <si>
    <t>Methodology</t>
  </si>
  <si>
    <t>I</t>
  </si>
  <si>
    <t>II</t>
  </si>
  <si>
    <t>Expansion phase</t>
  </si>
  <si>
    <t>{https://www.prnewswire.com/news-releases/albemarle-positioned-to-double-lithium-concentrate-production-at-greenbushes-facility-300424602.html} {https://www.mining-technology.com/news/tianqi-lithium-gets-board-approval-for-382m-greenbushes-mine-expansion/} {http://lithium.today/lithium-supply-by-countries/lithium-supply-australia/}</t>
  </si>
  <si>
    <t>III</t>
  </si>
  <si>
    <t>IV</t>
  </si>
  <si>
    <t>Risk updates</t>
  </si>
  <si>
    <t>Lithium</t>
  </si>
  <si>
    <t>Wodgina</t>
  </si>
  <si>
    <t>Livent</t>
  </si>
  <si>
    <t>Ganfeng</t>
  </si>
  <si>
    <t>Cobalt</t>
  </si>
  <si>
    <t>News updates to assets</t>
  </si>
  <si>
    <t>varied</t>
  </si>
  <si>
    <t>Nickel</t>
  </si>
  <si>
    <t>Li - China</t>
  </si>
  <si>
    <t>Zangge Holding Co Ltd</t>
  </si>
  <si>
    <t>Chinese lithium miners</t>
  </si>
  <si>
    <t>Qinghai Lithium Industry Co.</t>
  </si>
  <si>
    <t>Dongtai Jinaier Salt Lake</t>
  </si>
  <si>
    <t>n/a</t>
  </si>
  <si>
    <t>Qinghai BYD Lithium Battery Co, Ltd</t>
  </si>
  <si>
    <t>Tibet</t>
  </si>
  <si>
    <t>Yichun</t>
  </si>
  <si>
    <t>Sichuan</t>
  </si>
  <si>
    <t>West Jinaier Salt Lake</t>
  </si>
  <si>
    <t>Qarhan Salt Lake</t>
  </si>
  <si>
    <t>Hydroxide</t>
  </si>
  <si>
    <t>Product as reported</t>
  </si>
  <si>
    <t>Q3 2019</t>
  </si>
  <si>
    <t>Q2 2019</t>
  </si>
  <si>
    <t>Q2 2018</t>
  </si>
  <si>
    <t>1.3%LiO2</t>
  </si>
  <si>
    <t>Qinghai Salt Lake Fozhao Lanke Lithium Industry Co., Ltd.</t>
  </si>
  <si>
    <t>Greenbushes</t>
  </si>
  <si>
    <t>Kemerton</t>
  </si>
  <si>
    <t>I/II</t>
  </si>
  <si>
    <t>La Negra</t>
  </si>
  <si>
    <t>III/IV</t>
  </si>
  <si>
    <t>40kt LCE</t>
  </si>
  <si>
    <t>Asset Name</t>
  </si>
  <si>
    <t>Asset Type</t>
  </si>
  <si>
    <t>Plant</t>
  </si>
  <si>
    <t>20kt LCE</t>
  </si>
  <si>
    <t>44kt LCE</t>
  </si>
  <si>
    <t>Current Capacity 
(as reported)</t>
  </si>
  <si>
    <t>Future Capacity 
(as reported)</t>
  </si>
  <si>
    <t>4.4kt LCE</t>
  </si>
  <si>
    <t>Construction Start Year</t>
  </si>
  <si>
    <t>Albemarle (Rockwood)</t>
  </si>
  <si>
    <t>https://blinks.bloomberg.com/screens/DOCC%20/ID%20ST000000002591492732</t>
  </si>
  <si>
    <t>Antofalla</t>
  </si>
  <si>
    <t>Kings Moutain</t>
  </si>
  <si>
    <t>220kt spodumene</t>
  </si>
  <si>
    <t>440kt spodumene</t>
  </si>
  <si>
    <t>https://blinks.bloomberg.com/screens/DOCC%20/ID%20SD000000002484080546</t>
  </si>
  <si>
    <t>35kt LCE</t>
  </si>
  <si>
    <t>Zinnwald</t>
  </si>
  <si>
    <t>Current Status</t>
  </si>
  <si>
    <t>Furloughed</t>
  </si>
  <si>
    <t>17,500 tpa LCE</t>
  </si>
  <si>
    <t>Lithium X</t>
  </si>
  <si>
    <t>Galaxy Resources</t>
  </si>
  <si>
    <t>http://www.eramet.com/en/lithium</t>
  </si>
  <si>
    <t>Sal de Vida</t>
  </si>
  <si>
    <t>James Bay</t>
  </si>
  <si>
    <t>25kt LCE</t>
  </si>
  <si>
    <t>Feasibility</t>
  </si>
  <si>
    <t>https://www.gxy.com/projects/mt-cattlin</t>
  </si>
  <si>
    <t>Lithium Americas/Ganfeng</t>
  </si>
  <si>
    <t>30kt LCE</t>
  </si>
  <si>
    <t>2.39:1</t>
  </si>
  <si>
    <t>60kt LCE</t>
  </si>
  <si>
    <t>1.6:1</t>
  </si>
  <si>
    <t>Clayton Valley</t>
  </si>
  <si>
    <t>Salar De Arizaro</t>
  </si>
  <si>
    <t>501mg/L</t>
  </si>
  <si>
    <t>3.8:1</t>
  </si>
  <si>
    <t>PureEnergy Minerals</t>
  </si>
  <si>
    <t>http://www.lithium-x.com/arizaro/</t>
  </si>
  <si>
    <t>http://www.lithium-x.com/sal-de-los-angeles/</t>
  </si>
  <si>
    <t>http://www.lithium-x.com/clayton_valley/</t>
  </si>
  <si>
    <t>Livent (FMC)</t>
  </si>
  <si>
    <t>NRG Metals</t>
  </si>
  <si>
    <t>Hombre Muerto Norte (HMN)</t>
  </si>
  <si>
    <t>Salar Escondido</t>
  </si>
  <si>
    <t>Q1 2019</t>
  </si>
  <si>
    <t>https://blinks.bloomberg.com/screens/DOCC%20/ID%200000037785-18-000019</t>
  </si>
  <si>
    <t>Jiangsu Plant</t>
  </si>
  <si>
    <t>30kt hydroxide</t>
  </si>
  <si>
    <t>9kt hydroxide</t>
  </si>
  <si>
    <t xml:space="preserve">Neometals </t>
  </si>
  <si>
    <t>Mt Edwards</t>
  </si>
  <si>
    <t>https://www.nemaskalithium.com/assets/documents/Feb%2021%202018%20Feasibility%20Study%20NMX.pdf</t>
  </si>
  <si>
    <t>Kalgoorlie Lithium Refinery (KLR)</t>
  </si>
  <si>
    <t>https://www.neometals.com.au/reports/855-Neometals-RIU-Presentation-Feb19.pdf</t>
  </si>
  <si>
    <t>10ktpa LiOH</t>
  </si>
  <si>
    <t>756mg/L</t>
  </si>
  <si>
    <t>144mg/L</t>
  </si>
  <si>
    <t>15.1:1</t>
  </si>
  <si>
    <t>https://www.nrgmetalsinc.com/wp-content/uploads/NRG-43-101-Technical-Report-Carachi-Pampa-Nov-30-2016-SEDAR-Filed-Feb-2017.pdf</t>
  </si>
  <si>
    <t>https://www.nrgmetalsinc.com/wp-content/uploads/NRG2018-11-16-HMN-43-101-Technical-Report.pdf</t>
  </si>
  <si>
    <t>825mg/L</t>
  </si>
  <si>
    <t>Cauchari JV</t>
  </si>
  <si>
    <t>Orocobre/Advantage Lithium</t>
  </si>
  <si>
    <t>Naraha Hydroxide Plant</t>
  </si>
  <si>
    <t>https://www.australianmining.com.au/news/orocobre-toyota-approve-400m-olaroz-lithium-expansion/</t>
  </si>
  <si>
    <t>https://www.orocobre.com/operations/salar-de-olaroz/</t>
  </si>
  <si>
    <t>Advantage Lithium</t>
  </si>
  <si>
    <t>450mg/L</t>
  </si>
  <si>
    <t>2.43:1</t>
  </si>
  <si>
    <t>Incahuasi</t>
  </si>
  <si>
    <t>Salinas Grande Salar</t>
  </si>
  <si>
    <t>139mg/L</t>
  </si>
  <si>
    <t>1.75:1</t>
  </si>
  <si>
    <t>100-200mg/L</t>
  </si>
  <si>
    <t>2Mtpa ore; 
330ktpa concentrate; 
42kt LCE</t>
  </si>
  <si>
    <t>5Mtpa ore; 
850ktpa concentrate; 
110kt LCE</t>
  </si>
  <si>
    <t>7Mtpa ore; 
1.2Mtpa concentrate; 
150kt LCE</t>
  </si>
  <si>
    <t>https://blinks.bloomberg.com/screens/DOCC%20/ID%20SD000000002590648442</t>
  </si>
  <si>
    <t>http://www.argosyminerals.com.au/rincon-lithium-project-argentina</t>
  </si>
  <si>
    <t>Argosy Minerals</t>
  </si>
  <si>
    <t>http://www.rinconltd.com/wp-content/uploads/2019/02/Rincon-Lithium-project-summary-Corporate-presentation-February-2019.pdf</t>
  </si>
  <si>
    <t>https://smallcaps.com.au/argosy-minerals-kicks-off-commissioning-rincon-pilot-plant/</t>
  </si>
  <si>
    <t>446mg/L</t>
  </si>
  <si>
    <t>8.2:1</t>
  </si>
  <si>
    <t>https://finance.yahoo.com/news/albemarle-double-lithium-production-greenbushes-115711825.html</t>
  </si>
  <si>
    <t>http://www.goldendragoncapital.com/greenbushes-lithium-mine/</t>
  </si>
  <si>
    <t>350mg/L</t>
  </si>
  <si>
    <t>Arena Minerals</t>
  </si>
  <si>
    <t>https://im-mining.com/2018/12/07/arena-minerals-acquires-antofalla-minerals/</t>
  </si>
  <si>
    <t>https://roskill.com/news/lithium-albemarle-expands-argentina/</t>
  </si>
  <si>
    <t>1330mg/L</t>
  </si>
  <si>
    <t>2.6:1</t>
  </si>
  <si>
    <t>https://www.lithiumchile.ca/project-item/salar-de-atacama/</t>
  </si>
  <si>
    <t>Suspended</t>
  </si>
  <si>
    <t>https://www.australianmining.com.au/news/altura-commission-pilbara-lithium-operation-quarter/</t>
  </si>
  <si>
    <t>http://tampabay.linkedlocalnetwork.com/2017/04/20/exclusive-albemarle-corp-may-reopen-king-mountain-lithium-mines/</t>
  </si>
  <si>
    <t>Companhia Brasileira de Litio (CBL)</t>
  </si>
  <si>
    <t>http://lithium.today/lithium-supply-by-countries/lithium-supply-portugal/</t>
  </si>
  <si>
    <t>200t LCE</t>
  </si>
  <si>
    <t>Grupo Mota</t>
  </si>
  <si>
    <t>Mina de Barroso</t>
  </si>
  <si>
    <t>Lepidico</t>
  </si>
  <si>
    <t>Alvarroes</t>
  </si>
  <si>
    <t>Sepeda</t>
  </si>
  <si>
    <t>Ireland</t>
  </si>
  <si>
    <t>Paradox Basin, Utah</t>
  </si>
  <si>
    <t>Mariana</t>
  </si>
  <si>
    <t>Gerogia Lake</t>
  </si>
  <si>
    <t>Purickuta</t>
  </si>
  <si>
    <t>Dixie Valley</t>
  </si>
  <si>
    <t>Cruz Property</t>
  </si>
  <si>
    <t>Nevada</t>
  </si>
  <si>
    <t>Avalonia</t>
  </si>
  <si>
    <t>Forgan Lake</t>
  </si>
  <si>
    <t>Mavis Lake</t>
  </si>
  <si>
    <t>Raleigh</t>
  </si>
  <si>
    <t>East Fault, Clayton Valley</t>
  </si>
  <si>
    <t>Scotch Creek, BC</t>
  </si>
  <si>
    <t>Piedmont Lithium Project</t>
  </si>
  <si>
    <t>Seperation Lake Lithium/Tantalum Deposit</t>
  </si>
  <si>
    <t>Green Energy Lithium/Potash Deposit</t>
  </si>
  <si>
    <t>Zoro lithium project</t>
  </si>
  <si>
    <t>Salar de Grandes</t>
  </si>
  <si>
    <t>Hallman-Beam Lithium Mine</t>
  </si>
  <si>
    <t>Orlovskoye Lithium/Tantalum Mine</t>
  </si>
  <si>
    <t>520,000t concentrate</t>
  </si>
  <si>
    <t>Piedmont Lithium</t>
  </si>
  <si>
    <t>753mg/L</t>
  </si>
  <si>
    <t>100-400mg/L</t>
  </si>
  <si>
    <t>Citic Guoan</t>
  </si>
  <si>
    <t>300ppm</t>
  </si>
  <si>
    <t>2.2:1</t>
  </si>
  <si>
    <t>Emerita Resources</t>
  </si>
  <si>
    <t>Falcon Litio MG Project</t>
  </si>
  <si>
    <t>Neometals</t>
  </si>
  <si>
    <t>45,254t LiOH</t>
  </si>
  <si>
    <t>Olaroz</t>
  </si>
  <si>
    <t>https://www.nemaskalithium.com/en/investors/press-releases/2016/8cb5b3a4-ebef-4139-971b-79eb40d65caa/</t>
  </si>
  <si>
    <t>Q3 2018</t>
  </si>
  <si>
    <t>Offtaker</t>
  </si>
  <si>
    <t>120-140kt LCE</t>
  </si>
  <si>
    <t>https://www.reuters.com/article/us-chile-lithium-albemarle-exclusive/chilean-regulators-reject-albemarles-plans-to-boost-lithium-output-idUSKCN1NI1ER</t>
  </si>
  <si>
    <t>MineID 
(DO NOT CHANGE)</t>
  </si>
  <si>
    <t>Coipasa</t>
  </si>
  <si>
    <t>Pastos Grandes</t>
  </si>
  <si>
    <t>https://www.reuters.com/article/us-bolivia-lithium-china/bolivia-picks-chinese-partner-for-23-billion-lithium-projects-idUSKCN1PV2F7</t>
  </si>
  <si>
    <t>Current Comm Year</t>
  </si>
  <si>
    <t>Orlovsky Mining</t>
  </si>
  <si>
    <t>http://en.misis.ru/university/news/science/2017-04/4621/</t>
  </si>
  <si>
    <t>Lithium Capacity by Market Share</t>
  </si>
  <si>
    <t>Back office</t>
  </si>
  <si>
    <t>Offtake agreements</t>
  </si>
  <si>
    <t>Atacama</t>
  </si>
  <si>
    <t>Cachoeira</t>
  </si>
  <si>
    <t>LAC</t>
  </si>
  <si>
    <t>Qinghai Dongtai Jinaier Lithium Resources Co., Ltd.</t>
  </si>
  <si>
    <t>Copper</t>
  </si>
  <si>
    <t>Aluminum</t>
  </si>
  <si>
    <t>PGM</t>
  </si>
  <si>
    <t>Rare Earths</t>
  </si>
  <si>
    <t>Iron Steel</t>
  </si>
  <si>
    <t>Gold</t>
  </si>
  <si>
    <t>Silver</t>
  </si>
  <si>
    <t>Graphite</t>
  </si>
  <si>
    <t>2, 58, 170</t>
  </si>
  <si>
    <t>118, 84, 163</t>
  </si>
  <si>
    <t>0, 212, 248</t>
  </si>
  <si>
    <t>Battery Metals</t>
  </si>
  <si>
    <t>Base Metals</t>
  </si>
  <si>
    <t>Precious Metals</t>
  </si>
  <si>
    <t>Ferrous Metals</t>
  </si>
  <si>
    <t>Minor Minerals</t>
  </si>
  <si>
    <t>Magnesium</t>
  </si>
  <si>
    <t xml:space="preserve">Manganese </t>
  </si>
  <si>
    <t>Bald Hill</t>
  </si>
  <si>
    <t>Cowan Lithium</t>
  </si>
  <si>
    <t>26.5Mt</t>
  </si>
  <si>
    <t>60-70,000t concentrate</t>
  </si>
  <si>
    <t>See Li China sheet</t>
  </si>
  <si>
    <t>17kt LiCl</t>
  </si>
  <si>
    <t>Heyuan</t>
  </si>
  <si>
    <t>512:1</t>
  </si>
  <si>
    <t>2,100-2,500mg/L</t>
  </si>
  <si>
    <t>6120mg/L</t>
  </si>
  <si>
    <t>4570mg/L</t>
  </si>
  <si>
    <t>Galaxy</t>
  </si>
  <si>
    <t>INTERNAL</t>
  </si>
  <si>
    <t>Lithium Supply &amp; Demand worksheet</t>
  </si>
  <si>
    <t>© Bloomberg Finance L.P. 2019. No portion of this document may be reproduced, scanned into an electronic system, distributed, publicly displayed or used as the basis of derivative works without the prior written consent of Bloomberg Finance L.P.</t>
  </si>
  <si>
    <t>Q1 2018</t>
  </si>
  <si>
    <t>Type</t>
  </si>
  <si>
    <t>Zangge</t>
  </si>
  <si>
    <t>Salar de Arizaro</t>
  </si>
  <si>
    <t>Litica Resources/LSC Lithium Corp.</t>
  </si>
  <si>
    <t>{NSN PCOTOH6S972F &lt;GO&gt;}</t>
  </si>
  <si>
    <t>255, 255, 255</t>
  </si>
  <si>
    <t>General Lithium</t>
  </si>
  <si>
    <t>POSCO</t>
  </si>
  <si>
    <t>Jiangsu</t>
  </si>
  <si>
    <t>Equity</t>
  </si>
  <si>
    <t>http://www.tianqilithium.com/en/base-detail.aspx?ContentID=6&amp;t=59</t>
  </si>
  <si>
    <t>24,000t LiOH</t>
  </si>
  <si>
    <t>48,000t LiOH</t>
  </si>
  <si>
    <t>http://www.tianqilithium.com/en/base-detail.aspx?ContentID=4&amp;t=59#tops</t>
  </si>
  <si>
    <t>Zhangjiagang</t>
  </si>
  <si>
    <t>17,000t LCE</t>
  </si>
  <si>
    <t>Tongliang</t>
  </si>
  <si>
    <t>600t metal products</t>
  </si>
  <si>
    <t>Sichuan Anju</t>
  </si>
  <si>
    <t>20,000t carbonate</t>
  </si>
  <si>
    <t>Li metal</t>
  </si>
  <si>
    <t>http://www.tianqilithium.com/Uploadfiles/Files/2019-3-28/20193282136236747.PDF</t>
  </si>
  <si>
    <t>http://m.cbea.com/dtqlywap/201809/899905.html</t>
  </si>
  <si>
    <t>Pre-feasibility</t>
  </si>
  <si>
    <t>International Lithium Corp/Pioneer Resources</t>
  </si>
  <si>
    <t>Critical Elements Corp.</t>
  </si>
  <si>
    <t>Rose Lithium-Tantalum</t>
  </si>
  <si>
    <t>Sayona Mining</t>
  </si>
  <si>
    <t>Authier Project</t>
  </si>
  <si>
    <t>750,000t concentrate</t>
  </si>
  <si>
    <t>3M wmt mined</t>
  </si>
  <si>
    <t>DSO</t>
  </si>
  <si>
    <t>Cowan Project</t>
  </si>
  <si>
    <t>Lynas Find</t>
  </si>
  <si>
    <t>International Lithium Corp</t>
  </si>
  <si>
    <t>International Lithium Corp/Ganfeng</t>
  </si>
  <si>
    <t>https://www.internationallithium.com/ganfeng-lithium/</t>
  </si>
  <si>
    <t>29kt LCE</t>
  </si>
  <si>
    <t>Fengxin</t>
  </si>
  <si>
    <t>Ningdu</t>
  </si>
  <si>
    <t>Zhonghe</t>
  </si>
  <si>
    <t>Haimen</t>
  </si>
  <si>
    <t>Meishan</t>
  </si>
  <si>
    <t>Huamen</t>
  </si>
  <si>
    <t>Dongguan</t>
  </si>
  <si>
    <t>17.5kt LCE</t>
  </si>
  <si>
    <t>Optimum Nano</t>
  </si>
  <si>
    <t>Sichuan Zhiyuan</t>
  </si>
  <si>
    <t>Jiangxi Dongpeng</t>
  </si>
  <si>
    <t>Fancy Resources</t>
  </si>
  <si>
    <t>Guangdong</t>
  </si>
  <si>
    <t>https://www.pv-magazine-india.com/2019/04/02/india-gets-access-to-bolivias-lithium-for-ev-batteries/</t>
  </si>
  <si>
    <t>KABIL</t>
  </si>
  <si>
    <t>Announced</t>
  </si>
  <si>
    <t>Molymet</t>
  </si>
  <si>
    <t>https://roskill.com/news/lithium-posco-samsung-fulin-and-molymet-win-corfo-tender-for-discounted-lithium/</t>
  </si>
  <si>
    <t>Cathode material</t>
  </si>
  <si>
    <t>POSCO/Samsung SDI</t>
  </si>
  <si>
    <t>Mejillones</t>
  </si>
  <si>
    <t>3,200tpa NCA/NMC materials</t>
  </si>
  <si>
    <t>Development</t>
  </si>
  <si>
    <t>Sichuan Fulin Industrial Group</t>
  </si>
  <si>
    <t>19,000tpa LFP/LMO material</t>
  </si>
  <si>
    <t>10,000t LCE</t>
  </si>
  <si>
    <t>322mg/L</t>
  </si>
  <si>
    <t>1.3-3%</t>
  </si>
  <si>
    <t>International Lithium Corp/Ultra Lithiuim Inc</t>
  </si>
  <si>
    <t>http://ultralithium.com/projects/georgia-lake-lithium-pegmatites/</t>
  </si>
  <si>
    <t>https://www.cowanlithium.com.au/cowan-lithium-project/</t>
  </si>
  <si>
    <t>https://www.allianceminerals.com.au/projects/</t>
  </si>
  <si>
    <t>undisclosed</t>
  </si>
  <si>
    <t>Sichuan Yahua</t>
  </si>
  <si>
    <t>James Bay (CYR)</t>
  </si>
  <si>
    <t>1Mtpa DSO; 250ktpa concentrate</t>
  </si>
  <si>
    <t>DSO, Concentrate</t>
  </si>
  <si>
    <t>Finniss</t>
  </si>
  <si>
    <t>https://corelithium.com.au/finniss-lithium-project</t>
  </si>
  <si>
    <t>Core Lithium Ltd (AU)</t>
  </si>
  <si>
    <t>Core Lithium Corp. (US)</t>
  </si>
  <si>
    <t>https://corelithium.com/wp-content/uploads/2018/04/Core-Lithium-Corporate-Presentation.pdf</t>
  </si>
  <si>
    <t>40.36Mt ore</t>
  </si>
  <si>
    <t>LiO2: 512kt</t>
  </si>
  <si>
    <t>1.05Mt ore; 
153kt concentrate</t>
  </si>
  <si>
    <t>Jiangxi Bao Jiang Lithium Industrial Limited (JBJLIL)</t>
  </si>
  <si>
    <t>400kt concentrate</t>
  </si>
  <si>
    <t>240,000t concentrate</t>
  </si>
  <si>
    <t>10kt LCE
5kt LiOH</t>
  </si>
  <si>
    <t>10kt LiCO
5kt LiOH</t>
  </si>
  <si>
    <t>Hubei</t>
  </si>
  <si>
    <t>http://www.burwill.com/html/about_overview.php</t>
  </si>
  <si>
    <t>2.8kt LiOH</t>
  </si>
  <si>
    <t>General Lithium (Palith)</t>
  </si>
  <si>
    <t>6000t LiCO technical and battery grade, 
500t high purity LiCO, 
200t LFP.</t>
  </si>
  <si>
    <t>Precursors and cathodes manufacturers</t>
  </si>
  <si>
    <t>European Lithium</t>
  </si>
  <si>
    <t>Austria</t>
  </si>
  <si>
    <t>https://europeanlithium.com/wolfsberg-lithium-project/</t>
  </si>
  <si>
    <t>Wolfsberg</t>
  </si>
  <si>
    <t>Hermasillo</t>
  </si>
  <si>
    <t>Birimian</t>
  </si>
  <si>
    <t>Goulamina</t>
  </si>
  <si>
    <t>362ktpa concentrate</t>
  </si>
  <si>
    <t>General Lithium (Palith)/Tinci Materials</t>
  </si>
  <si>
    <t>http://pg.jrj.com.cn/acc/Res/CN_RES/STOCK/2017/11/20/841d84d7-ea39-4991-8a90-9daad9629bfd.pdf</t>
  </si>
  <si>
    <t>10,000t LiCO (Battery and industry grade)</t>
  </si>
  <si>
    <t>Tinci / Yun Lithium</t>
  </si>
  <si>
    <t>Jiangxi Plant</t>
  </si>
  <si>
    <t>http://hbj.yichang.gov.cn/content-42532-977031-1.html</t>
  </si>
  <si>
    <t>http://yc.cnhubei.com/mrtt/201901/t4209030.shtml</t>
  </si>
  <si>
    <t>http://www.jxylgf.com/</t>
  </si>
  <si>
    <t>Arcadia</t>
  </si>
  <si>
    <t>Prospect Resources</t>
  </si>
  <si>
    <t>Bougouni</t>
  </si>
  <si>
    <t>Kodal Minerals</t>
  </si>
  <si>
    <t>Manono Mine</t>
  </si>
  <si>
    <t>Rubicon</t>
  </si>
  <si>
    <t>http://www.desertlionenergy.com/</t>
  </si>
  <si>
    <t>Helikon</t>
  </si>
  <si>
    <t>150-160kt concentrate (in-situ)</t>
  </si>
  <si>
    <t>220-250kt concentrate (in-situ)</t>
  </si>
  <si>
    <t>20,000 LiCO</t>
  </si>
  <si>
    <t>http://www.desertlionenergy.com/_resources/technical-reports/Desert-Lion-Energy-Lithium-Project-PEA.pdf</t>
  </si>
  <si>
    <t>62.2kt (slime)</t>
  </si>
  <si>
    <t>https://avzminerals.com.au/manono-mine</t>
  </si>
  <si>
    <t>https://blinks.bloomberg.com/screens/DOCC%20/ID%20SD000000002610944774</t>
  </si>
  <si>
    <t>21.3Mt</t>
  </si>
  <si>
    <t>North American Lithium</t>
  </si>
  <si>
    <t>CATL</t>
  </si>
  <si>
    <t>23,000t battery grade LiCO</t>
  </si>
  <si>
    <t>Bessemer (NC)</t>
  </si>
  <si>
    <t>Bromborough</t>
  </si>
  <si>
    <t>Andhra Pradesh</t>
  </si>
  <si>
    <t>Guemes</t>
  </si>
  <si>
    <t>25kt LiOH</t>
  </si>
  <si>
    <t>Jourdan Resources</t>
  </si>
  <si>
    <t>https://www.fscwire.com/newsrelease/elanore-resources-sends-spodumene-concentrate-sample-fancy-mining-industry-co-ltd</t>
  </si>
  <si>
    <t>150kt concentrate</t>
  </si>
  <si>
    <t>Batteries and battery components</t>
  </si>
  <si>
    <t>500t Li metal</t>
  </si>
  <si>
    <t>Lithium Chile (Sociedad Chilena del Litio)</t>
  </si>
  <si>
    <t>CODELCO/SQM</t>
  </si>
  <si>
    <t>Maricunga</t>
  </si>
  <si>
    <t>https://www.juniorminingnetwork.com/junior-miner-news/press-releases/2019-tsx-venture/brz/39815-bearing-lithium-corp-maricunga-preliminary-economic-assessment-pea-highlights-low-cost-and-short-payback.html</t>
  </si>
  <si>
    <t>10,300t LiOH</t>
  </si>
  <si>
    <t>20,000tpa LFP cathode materials</t>
  </si>
  <si>
    <t>85,000 LCE</t>
  </si>
  <si>
    <t>45kt LiCO
6kt LiOH</t>
  </si>
  <si>
    <t>Shenhe Yajiang Cuola Mine</t>
  </si>
  <si>
    <t>additional 20-30kt LCE</t>
  </si>
  <si>
    <t>additional 20-25kt LCE</t>
  </si>
  <si>
    <t>150,400t concentrate</t>
  </si>
  <si>
    <t>Covalent Kwinana Refinery</t>
  </si>
  <si>
    <t>Tianqi Kwinana Refinery</t>
  </si>
  <si>
    <t>Wodgina Refinery</t>
  </si>
  <si>
    <t>QMC Quantum Minerals</t>
  </si>
  <si>
    <t>Liontown Resources</t>
  </si>
  <si>
    <t>Buldania</t>
  </si>
  <si>
    <t>https://www.ltresources.com.au/buldania-project</t>
  </si>
  <si>
    <t>Kathleen Valley</t>
  </si>
  <si>
    <t>2Mtpa spodumene</t>
  </si>
  <si>
    <t>https://www.ltresources.com.au/kathleen-valley-project</t>
  </si>
  <si>
    <t>http://sayonamining.com.au/pre-feasibility-study/</t>
  </si>
  <si>
    <t>130ktpa concentrate</t>
  </si>
  <si>
    <t>https://kodalminerals.com/wp-content/uploads/2018/09/Kodal-Presentation-for-AGM-06.09.18.pdf</t>
  </si>
  <si>
    <t>186kt chemical grade concentrate
50kt technical grade concentrate</t>
  </si>
  <si>
    <t>Salar de Olaroz</t>
  </si>
  <si>
    <t>Black Rock Desert</t>
  </si>
  <si>
    <t>Vallée</t>
  </si>
  <si>
    <t>Cat Lake</t>
  </si>
  <si>
    <t>http://www.morningwhistle.com/da/42937.html</t>
  </si>
  <si>
    <t>70kt LCO
13.5kt LiOH</t>
  </si>
  <si>
    <t>Abu Dhabi</t>
  </si>
  <si>
    <t>Youanmi</t>
  </si>
  <si>
    <t>5ktpa LiOH</t>
  </si>
  <si>
    <t>Lithium Sulphate</t>
  </si>
  <si>
    <t>http://www.bacanoralithium.com/pdfs/zinnwald-resource-report-october-2018.pdf</t>
  </si>
  <si>
    <t>http://www.bacanoralithium.com/pdfs/Bacanora-FS-Technical-Report-25-01-2018.pdf</t>
  </si>
  <si>
    <t>Infinity Lithium</t>
  </si>
  <si>
    <t>MRL/Ganfeng</t>
  </si>
  <si>
    <t>Fenix</t>
  </si>
  <si>
    <t>Mt Holland</t>
  </si>
  <si>
    <t>Mine Supply Curves</t>
  </si>
  <si>
    <t>ALL assets - use for inputting new data, see methodology tab for de-risking</t>
  </si>
  <si>
    <t>Talison (Tianqi/Albemarle)</t>
  </si>
  <si>
    <t>Salar de Hombre Muerto</t>
  </si>
  <si>
    <t>https://livent.com/company-overview/global-locations/</t>
  </si>
  <si>
    <t>Battery Recycling Plant</t>
  </si>
  <si>
    <t>India Lithium Refinery</t>
  </si>
  <si>
    <t>https://www.neometals.com.au/reports/868-LIOH20062019a.pdf</t>
  </si>
  <si>
    <t>https://www.neometals.com.au/reports/2019-06-04-2257-LithiumBat.pdf</t>
  </si>
  <si>
    <t>https://www.orocobre.com/news/mdocs-posts/naraha-lithium-hydroxide-plant-approved/</t>
  </si>
  <si>
    <t>https://www.orocobre.com/news/mdocs-posts/naraha-lithium-hydroxide-plant-approved/?mdocs-file=5594&amp;mdocs-url=false</t>
  </si>
  <si>
    <t>Lithium Chemical Conversion Capacity (nameplate)</t>
  </si>
  <si>
    <t>Current capacity</t>
  </si>
  <si>
    <t>Lithium chemical supply and demand</t>
  </si>
  <si>
    <t>250t Li metal</t>
  </si>
  <si>
    <t>6000 LiCO</t>
  </si>
  <si>
    <t>Salar de Pozuelos</t>
  </si>
  <si>
    <t>https://s21.q4cdn.com/429708605/files/doc_downloads/technical_reports/Pozuelos-43-101-Final-Report-February-2018-FINAL-SEDAR.PDF</t>
  </si>
  <si>
    <t>Neolithium</t>
  </si>
  <si>
    <t>Tres Quebradas</t>
  </si>
  <si>
    <t>790 mg/L</t>
  </si>
  <si>
    <t>387 mg/L</t>
  </si>
  <si>
    <t>http://q4live.s22.clientfiles.s3-website-us-east-1.amazonaws.com/158019878/files/doc_presentations/2019/03/26/Neo-Lithium-Presentation-Pre-Feas-March-2019-v4.pdf</t>
  </si>
  <si>
    <t>Shandong Ruifu</t>
  </si>
  <si>
    <t>Flouride</t>
  </si>
  <si>
    <t>https://blinks.bloomberg.com/screens/DOCC%20/ID%200001742924-19-000013</t>
  </si>
  <si>
    <t>18.5 kt hydroxide</t>
  </si>
  <si>
    <t>3,265t Butyllithium</t>
  </si>
  <si>
    <t>9000t Chloride</t>
  </si>
  <si>
    <t>500t hydroxide</t>
  </si>
  <si>
    <t>buty</t>
  </si>
  <si>
    <t>5,112 tpa LiF</t>
  </si>
  <si>
    <t xml:space="preserve">Future capacity </t>
  </si>
  <si>
    <t>Conversion rate to contained Li</t>
  </si>
  <si>
    <t>156,689 kt concentrate</t>
  </si>
  <si>
    <t>180kt-210kt concentrate</t>
  </si>
  <si>
    <t>155kt concentrate</t>
  </si>
  <si>
    <t xml:space="preserve">Note: DSO = direct shipping ore; Wet tons ore convert to dry tone spodumene, we assume 11% conversion. For concentrate, we assume 2.4%. Spodumene ore grade refers to Li2O, brine refers to contained lithium. </t>
  </si>
  <si>
    <t>3500 LiCO</t>
  </si>
  <si>
    <t>MASTER</t>
  </si>
  <si>
    <t>Mg:Li</t>
  </si>
  <si>
    <t>30ktpa concentrate (5.5%)</t>
  </si>
  <si>
    <t>http://cblitio.com.br/mineracao/</t>
  </si>
  <si>
    <t>Sub-national Region</t>
  </si>
  <si>
    <t>4.5Mt LCE</t>
  </si>
  <si>
    <t xml:space="preserve">3.4Mt LCE </t>
  </si>
  <si>
    <t>4.3Mt</t>
  </si>
  <si>
    <t xml:space="preserve">40.8Mt </t>
  </si>
  <si>
    <t>80.3Mt</t>
  </si>
  <si>
    <t>31.4Mt</t>
  </si>
  <si>
    <t>31.2Mt</t>
  </si>
  <si>
    <t>618kt LCE</t>
  </si>
  <si>
    <t>10.2Mt</t>
  </si>
  <si>
    <t>60.5Mt</t>
  </si>
  <si>
    <t>7.3Mt</t>
  </si>
  <si>
    <t>0.94 Mt LCE</t>
  </si>
  <si>
    <t>4.12Mt LCE</t>
  </si>
  <si>
    <t>1.3Mt LCE</t>
  </si>
  <si>
    <t>5.8Mt</t>
  </si>
  <si>
    <t>33.24Mt</t>
  </si>
  <si>
    <t>8.5Mt</t>
  </si>
  <si>
    <t xml:space="preserve">115.7kt LiO2 286kt LiCO </t>
  </si>
  <si>
    <t>6.3Mt</t>
  </si>
  <si>
    <t>Operating cost
($/kg LCE)</t>
  </si>
  <si>
    <t>AISC
($/kg LCE)</t>
  </si>
  <si>
    <t>Net Capacity (per phase)</t>
  </si>
  <si>
    <t>120kt LCE; 
29.5kt LiOH</t>
  </si>
  <si>
    <t>180kt LCE; 
32kt LiOH</t>
  </si>
  <si>
    <t>1.03% LiO2</t>
  </si>
  <si>
    <t>-</t>
  </si>
  <si>
    <t>2017 Capacity</t>
  </si>
  <si>
    <t>20 ktpy LCE</t>
  </si>
  <si>
    <t>https://www.savannahresources.com/assets/mina-do-barroso/ </t>
  </si>
  <si>
    <t>3.9Mt</t>
  </si>
  <si>
    <t>9Mt</t>
  </si>
  <si>
    <t>https://www.lepidico.com/wp-content/uploads/2019/04/190411-210-increase-in-contained-lithium-at-Alvarroes.pdf</t>
  </si>
  <si>
    <t>10.3Mt</t>
  </si>
  <si>
    <t>http://www.exoreresources.com.au/projects/portugal-lithium-projects/</t>
  </si>
  <si>
    <t>Rincon Lithium</t>
  </si>
  <si>
    <t>Salar del Rincon</t>
  </si>
  <si>
    <t>398mg/L</t>
  </si>
  <si>
    <t>1.1Mt LCE</t>
  </si>
  <si>
    <t>3.6Mt LCE</t>
  </si>
  <si>
    <t>MRL/Albemarle</t>
  </si>
  <si>
    <t>Hombre Muerto</t>
  </si>
  <si>
    <t>Asset Financing</t>
  </si>
  <si>
    <t>8,000t LiCO (Battery grade)
8,000t LiOH 
(battery grade)</t>
  </si>
  <si>
    <t>11kt LCE</t>
  </si>
  <si>
    <t>23kt LiOH</t>
  </si>
  <si>
    <t>17,000t varied (assume 8000 LiOH, 8000 LiCO, 1000 LiCl)</t>
  </si>
  <si>
    <t>Feicheng (LiCO)</t>
  </si>
  <si>
    <t>Feicheng (LiOH)</t>
  </si>
  <si>
    <t>Tianyuan (LiCO)</t>
  </si>
  <si>
    <t>15520 (assume half/half split)</t>
  </si>
  <si>
    <t>Tianyuan (LiOH)</t>
  </si>
  <si>
    <t>Hebei</t>
  </si>
  <si>
    <t>Jiujiang (LiCO)</t>
  </si>
  <si>
    <t>Jiujiang (LiOH)</t>
  </si>
  <si>
    <t>Yichun (LiOH)</t>
  </si>
  <si>
    <t>Yichun (LiCO)</t>
  </si>
  <si>
    <t>5kt LiCO
10kt LiOH</t>
  </si>
  <si>
    <t>Yichang (LiCO)</t>
  </si>
  <si>
    <t>Yichang (LiOH)</t>
  </si>
  <si>
    <t>70kt LiCO
13.5kt LiOH</t>
  </si>
  <si>
    <t>180kt LCE (asssume 90kt LiCO, 90kt LiOH)</t>
  </si>
  <si>
    <t>Pengshan</t>
  </si>
  <si>
    <t>Fengyi</t>
  </si>
  <si>
    <t>25kt LiCO</t>
  </si>
  <si>
    <t>2.5kt LCE of hydroxide</t>
  </si>
  <si>
    <t>5kt LCE of hydroxide</t>
  </si>
  <si>
    <t>20ktpa LCE of carbonate</t>
  </si>
  <si>
    <t>500tpa LCE of carbonate</t>
  </si>
  <si>
    <t>1.5ktpa LCE of carbonate</t>
  </si>
  <si>
    <t>28ktpa LCE of carbonate</t>
  </si>
  <si>
    <t>carbonate</t>
  </si>
  <si>
    <t>Battery materials</t>
  </si>
  <si>
    <t>20kt LCE of carbonate</t>
  </si>
  <si>
    <t>24,000 TPY (&gt;99.5% LCE) of carbonate</t>
  </si>
  <si>
    <t>Lithium mines asset financing</t>
  </si>
  <si>
    <t>Private share purchase</t>
  </si>
  <si>
    <t>Public share purchase</t>
  </si>
  <si>
    <t>IPO</t>
  </si>
  <si>
    <t>Bond</t>
  </si>
  <si>
    <t>Bank loan</t>
  </si>
  <si>
    <t>Share purchase plan</t>
  </si>
  <si>
    <t>South Jeolla Province</t>
  </si>
  <si>
    <t>Shehong (LiCO)</t>
  </si>
  <si>
    <t>Blossom Lithium Meishan</t>
  </si>
  <si>
    <t>Aba Zhongsheng</t>
  </si>
  <si>
    <t>http://services.scyahua.com/article_cat.php?id=60</t>
  </si>
  <si>
    <t>氢氧化锂产能12000吨/年</t>
  </si>
  <si>
    <t>http://www.statelithium.com/</t>
  </si>
  <si>
    <t>氢氧化锂产能6000吨/年</t>
  </si>
  <si>
    <t>Mianzhu Xinshi (LiCO)</t>
  </si>
  <si>
    <t>Mianzhu Xinshi (LiOH)</t>
  </si>
  <si>
    <t>http://www.zhiyuanlithium.com/news.aspx?mid=75&amp;nid=28</t>
  </si>
  <si>
    <t xml:space="preserve">Greatpower </t>
  </si>
  <si>
    <t>Xinyu (LiCO)</t>
  </si>
  <si>
    <t>http://data.eastmoney.com/notices/detail/002738/AN201904231321665647,JUU0JUI4JUFEJUU3JTlGJUJGJUU4JUI1JTg0JUU2JUJBJTkw.html</t>
  </si>
  <si>
    <t>POSCO/Pilbara</t>
  </si>
  <si>
    <t>Gwangyang</t>
  </si>
  <si>
    <t>37:1</t>
  </si>
  <si>
    <t>61:1</t>
  </si>
  <si>
    <t>0.008:1</t>
  </si>
  <si>
    <t>Yaan Plant (LiCO)</t>
  </si>
  <si>
    <t>Yaan Plant (LiOH)</t>
  </si>
  <si>
    <t>Guoli State Lithium</t>
  </si>
  <si>
    <t>15,520 (assume half/half split)</t>
  </si>
  <si>
    <t>Mianzhu Xinshi (LiCl)</t>
  </si>
  <si>
    <t>电池级单水氢氧化锂5000吨/年，电池级碳酸锂8000吨/年, 2000 tons chloride</t>
  </si>
  <si>
    <t>Fluoride</t>
  </si>
  <si>
    <t>15kt LiCO
15kt LiOH</t>
  </si>
  <si>
    <t>20000 
(assume 50/50 split)</t>
  </si>
  <si>
    <t>40000 
(assume 50/50 split)</t>
  </si>
  <si>
    <t>Xinyun (LiOH)</t>
  </si>
  <si>
    <t>目前已具有年产
5,000吨高纯碳酸锂、6,000吨电池级碳酸锂及3,000吨电池级氟化锂的生产能力</t>
  </si>
  <si>
    <t>Xinyun (LiCO)</t>
  </si>
  <si>
    <t>Land Use</t>
  </si>
  <si>
    <t>占地面积 200,000
平方米</t>
  </si>
  <si>
    <t>Resource Stats</t>
  </si>
  <si>
    <t>http://pdf.dfcfw.com/pdf/H2_AN201904231321665647_1.pdf</t>
  </si>
  <si>
    <t>Xinyu (LiOH)</t>
  </si>
  <si>
    <t>Xinyu (LiFI)</t>
  </si>
  <si>
    <t>3:1 reserve strip ratio</t>
  </si>
  <si>
    <t>Reserve (P&amp;P)</t>
  </si>
  <si>
    <t>Resource (I&amp;M)</t>
  </si>
  <si>
    <t>2.4Mtpa ore
212ktpa spodumene (6%) concentrate
216ktpa petalite concentrate (4%)
188,000 lbs tantalum</t>
  </si>
  <si>
    <t>https://www.prospectresources.com.au/sites/default/files/asx-announcements/6945209.pdf</t>
  </si>
  <si>
    <t>12 years</t>
  </si>
  <si>
    <t>Mine type</t>
  </si>
  <si>
    <t>Plant type</t>
  </si>
  <si>
    <t>Open Pit</t>
  </si>
  <si>
    <t>Power Supply</t>
  </si>
  <si>
    <t>Water Supply</t>
  </si>
  <si>
    <t>33KV, 20MVA</t>
  </si>
  <si>
    <t>Costs and Financing</t>
  </si>
  <si>
    <t>$29M</t>
  </si>
  <si>
    <t>Groundwater</t>
  </si>
  <si>
    <t>Exploration Expenses</t>
  </si>
  <si>
    <t>G&amp;A expenses</t>
  </si>
  <si>
    <t>$165M</t>
  </si>
  <si>
    <t>2018 Capacity</t>
  </si>
  <si>
    <t>$4M</t>
  </si>
  <si>
    <t>40ktpa petalite (4%)</t>
  </si>
  <si>
    <t>80ktpa petalite (4%)</t>
  </si>
  <si>
    <t>Petalite</t>
  </si>
  <si>
    <t>https://www.herald.co.zw/bikita-minerals-to-beneficiate-lithium/</t>
  </si>
  <si>
    <t>10.8Mt@1.4%</t>
  </si>
  <si>
    <t>https://www.business-humanrights.org/sites/default/files/documents/Bikita%20Minerals%20Response%20%5Bpdf%5D.pdf</t>
  </si>
  <si>
    <t>15.4km2</t>
  </si>
  <si>
    <t>10km2</t>
  </si>
  <si>
    <t>Owners</t>
  </si>
  <si>
    <t>Owner 1</t>
  </si>
  <si>
    <t>Owner 1 share</t>
  </si>
  <si>
    <t>Owner 2</t>
  </si>
  <si>
    <t>Owner 2 share</t>
  </si>
  <si>
    <t>Owner 3</t>
  </si>
  <si>
    <t>Owner 3 share</t>
  </si>
  <si>
    <t>Owner 4</t>
  </si>
  <si>
    <t>Owner 4 share</t>
  </si>
  <si>
    <t>Others</t>
  </si>
  <si>
    <t>Other share</t>
  </si>
  <si>
    <t>African Minerals Ltd</t>
  </si>
  <si>
    <t>Anzim Minerals Ltd</t>
  </si>
  <si>
    <t>Dzikamai Mavhaire</t>
  </si>
  <si>
    <t>Bishop Nehemiah Mutendi</t>
  </si>
  <si>
    <t>Chekilli Investmentss</t>
  </si>
  <si>
    <t>年产1.5万吨电池级氢氧化锂、1万吨电池级碳酸锂生产线项目, 44.27ktpa Sodium suflate</t>
  </si>
  <si>
    <t>450M yuan</t>
  </si>
  <si>
    <t>10,000t LiCO</t>
  </si>
  <si>
    <t>Sichuan Jingchuan Lijiagou</t>
  </si>
  <si>
    <t>10,000t LiCO, 
8,000t LiOH</t>
  </si>
  <si>
    <t>20,000t LiCO, 
18,000t LiOH</t>
  </si>
  <si>
    <t>8,000t LiCO 
(Battery grade)
8,000t LiOH 
(battery grade)</t>
  </si>
  <si>
    <t>Defined lists</t>
  </si>
  <si>
    <t>lithium assets (mines and plants) database</t>
  </si>
  <si>
    <t>Change Log</t>
  </si>
  <si>
    <t>LiRes (nameplate)</t>
  </si>
  <si>
    <t>LiRes (derisked)</t>
  </si>
  <si>
    <t>Mine Chart (nameplate)</t>
  </si>
  <si>
    <t>Mine Chart (derisked)</t>
  </si>
  <si>
    <t>LiChem (nameplate)</t>
  </si>
  <si>
    <t>LiChem (derisked)</t>
  </si>
  <si>
    <t>LiRes Market Shares</t>
  </si>
  <si>
    <t>Asset Fin Tools</t>
  </si>
  <si>
    <t>Cost Curves</t>
  </si>
  <si>
    <t>SPLC</t>
  </si>
  <si>
    <t>2016-2017 China Ref M&amp;A</t>
  </si>
  <si>
    <t>CE FY18
(in $m)</t>
  </si>
  <si>
    <t>RongJie (Youngy)</t>
  </si>
  <si>
    <t>Sal de Los Angles</t>
  </si>
  <si>
    <t>Albemarle/MRL</t>
  </si>
  <si>
    <t>MRL</t>
  </si>
  <si>
    <t>Lepidolite</t>
  </si>
  <si>
    <t>Quebec Lithium Mine</t>
  </si>
  <si>
    <t>SolarWorld AG</t>
  </si>
  <si>
    <t>Huni Holdco</t>
  </si>
  <si>
    <t>CITIC Guoan</t>
  </si>
  <si>
    <t>https://www.mining-technology.com/news/galaxy-resources-to-sell-argentinian-lithium-tenements-for-280m/</t>
  </si>
  <si>
    <t>2.54Mt LCE</t>
  </si>
  <si>
    <t>ILC</t>
  </si>
  <si>
    <t>ULI</t>
  </si>
  <si>
    <t>Pioneer</t>
  </si>
  <si>
    <t>Cancelled</t>
  </si>
  <si>
    <t>Savannah</t>
  </si>
  <si>
    <t>Toyota</t>
  </si>
  <si>
    <t>Salar del Hombre Muerto</t>
  </si>
  <si>
    <t>Sal de Los Angeles</t>
  </si>
  <si>
    <t>http://www.pilbaraminerals.com.au/site/PDF/2472_0/BindingTermsAgreedforPOSCOJV</t>
  </si>
  <si>
    <t>Western Australia</t>
  </si>
  <si>
    <t>$597M</t>
  </si>
  <si>
    <t>175000 tpa spodumene (26,000tpa LCE)</t>
  </si>
  <si>
    <t>14.4Mt@1.07%</t>
  </si>
  <si>
    <t>$109M</t>
  </si>
  <si>
    <t>CBL</t>
  </si>
  <si>
    <t>Qinghai Lanke Lithium</t>
  </si>
  <si>
    <t>Qinghai Lithium Industry</t>
  </si>
  <si>
    <t>Qinghai BYD Lithium Resource</t>
  </si>
  <si>
    <t>Sicomine</t>
  </si>
  <si>
    <t>Greatpower</t>
  </si>
  <si>
    <t>Tinci Materials</t>
  </si>
  <si>
    <t>Jiangxi Yun Lithium</t>
  </si>
  <si>
    <t>Ioneer</t>
  </si>
  <si>
    <t>Ryholite Ridge</t>
  </si>
  <si>
    <t>21kt LCE</t>
  </si>
  <si>
    <t>12605 LCE</t>
  </si>
  <si>
    <t>17500 battery grade LiCO</t>
  </si>
  <si>
    <t>technical grade carbonate</t>
  </si>
  <si>
    <t>30,000t LiCO; OR
34,000t LiOH</t>
  </si>
  <si>
    <t>60,000t LiCO;  OR
68,000t LiOH</t>
  </si>
  <si>
    <t>New Age Metals</t>
  </si>
  <si>
    <t>Lithium One</t>
  </si>
  <si>
    <t>Lithium Two</t>
  </si>
  <si>
    <t>Manitoba</t>
  </si>
  <si>
    <t>https://newagemetals.com/corporate-update-new-age-metals-inc/</t>
  </si>
  <si>
    <t>https://www.ioneer.com/rhyolite-ridge/overview</t>
  </si>
  <si>
    <t>ioneer</t>
  </si>
  <si>
    <t>LiCO: 4.1Mt  
Boric acid: 10.9Mt</t>
  </si>
  <si>
    <t>20.2kt LiCO
173kt boric acid</t>
  </si>
  <si>
    <t>$599M</t>
  </si>
  <si>
    <t>$1,796/tLCE (w boric acid credit)</t>
  </si>
  <si>
    <t>Sulfuric acid plant</t>
  </si>
  <si>
    <t>47 MW</t>
  </si>
  <si>
    <t>$255.8M</t>
  </si>
  <si>
    <t>1,050ppm</t>
  </si>
  <si>
    <t>AVZ</t>
  </si>
  <si>
    <t>La Congolaise D’exploitation Miniere SA</t>
  </si>
  <si>
    <t>Dathomir Mining Resources SARL</t>
  </si>
  <si>
    <t>400Mt LiO2</t>
  </si>
  <si>
    <t>20ktpa LiOH</t>
  </si>
  <si>
    <t>Manikaran Power Ltd</t>
  </si>
  <si>
    <t>Rio Tinto</t>
  </si>
  <si>
    <t>Jadar</t>
  </si>
  <si>
    <t>Jadarite</t>
  </si>
  <si>
    <t>Battery grade carbonate, boric acid, and sodium sulfate</t>
  </si>
  <si>
    <t>Serbia</t>
  </si>
  <si>
    <t>Loznica</t>
  </si>
  <si>
    <t>https://www.riotinto.com/energyandminerals/jadar-4643.aspx</t>
  </si>
  <si>
    <t>Rio tinto</t>
  </si>
  <si>
    <t>Bundoora Integrated Continuous Chemical Plant (BICCPP)</t>
  </si>
  <si>
    <t>Melbourne</t>
  </si>
  <si>
    <t>https://www.riotinto.com/documents/RT_Q1_2019_Jadar_Newsletter_EN.pdf</t>
  </si>
  <si>
    <t>Sayona Mining/Altura</t>
  </si>
  <si>
    <t>Malina/Tabba Tabba</t>
  </si>
  <si>
    <t>https://alturamining.com/wp-content/uploads/2019/08/1956358.pdf</t>
  </si>
  <si>
    <t>Sayona</t>
  </si>
  <si>
    <t>11MW</t>
  </si>
  <si>
    <t>A$118M</t>
  </si>
  <si>
    <t>394 hectares</t>
  </si>
  <si>
    <t>Plateau Energy Metals</t>
  </si>
  <si>
    <t>Falchani</t>
  </si>
  <si>
    <t>99.74%-99.82% LiCo</t>
  </si>
  <si>
    <t>Peru</t>
  </si>
  <si>
    <t>https://plateauenergymetals.com/falchani-lithium-project/</t>
  </si>
  <si>
    <t>Liontown</t>
  </si>
  <si>
    <t>35.5Mt LCE</t>
  </si>
  <si>
    <t>Cauchari East</t>
  </si>
  <si>
    <t>$40M</t>
  </si>
  <si>
    <t>Millennial</t>
  </si>
  <si>
    <t>Millennial Lithium</t>
  </si>
  <si>
    <t>439 mg/L</t>
  </si>
  <si>
    <t>$3388/yr</t>
  </si>
  <si>
    <t>$102M</t>
  </si>
  <si>
    <t>$448.2M</t>
  </si>
  <si>
    <t>https://www.millenniallithium.com/projects/pastos-grandes-project/</t>
  </si>
  <si>
    <t>https://www.millenniallithium.com/projects/cauchari-east-lithium-project/</t>
  </si>
  <si>
    <t>74.9Mt</t>
  </si>
  <si>
    <t>Advantage</t>
  </si>
  <si>
    <t>YLB</t>
  </si>
  <si>
    <t>TBEA</t>
  </si>
  <si>
    <t>$1.1bn</t>
  </si>
  <si>
    <t>42500 (includes  previous 17500tLiCO, 15,500t of technical-grade LiCO (99%); and 9500t of feedstock LiCO (99%) for Naraha lithium hydroxide plant)</t>
  </si>
  <si>
    <t>15,500t technical grade LiCO (99%)</t>
  </si>
  <si>
    <t>Jujuy</t>
  </si>
  <si>
    <t>Alita Resources</t>
  </si>
  <si>
    <t>Alita</t>
  </si>
  <si>
    <t>10000t LiCO, 10,000t LiOH</t>
  </si>
  <si>
    <t>Zhejiang (LiOH)</t>
  </si>
  <si>
    <t>$661M</t>
  </si>
  <si>
    <t>https://www.reuters.com/article/us-galaxy-resources-divestiture/posco-buys-lithium-mining-rights-in-argentina-from-australias-galaxy-idUSKCN1LC0NO</t>
  </si>
  <si>
    <t>$280M</t>
  </si>
  <si>
    <t>25,000 tonnes of the commodity per year for 20 years starting from 2021</t>
  </si>
  <si>
    <t>115kt spodumene 6% concentrate</t>
  </si>
  <si>
    <t>337 $/t FOB</t>
  </si>
  <si>
    <t>3144 $/ton (after potash credits)</t>
  </si>
  <si>
    <t>474 $/mm2</t>
  </si>
  <si>
    <t>312 $/t (net tantalum by-prod)</t>
  </si>
  <si>
    <t>263 $/t (net tantalum by-prod)</t>
  </si>
  <si>
    <t>25 $/t</t>
  </si>
  <si>
    <t>231 AU$ M</t>
  </si>
  <si>
    <t>420 $M</t>
  </si>
  <si>
    <t>$317.77/ton concentrate</t>
  </si>
  <si>
    <t>158 $M</t>
  </si>
  <si>
    <t>Shawinigan (LiOH)</t>
  </si>
  <si>
    <t>Shawinigan (LiCO)</t>
  </si>
  <si>
    <t>C1 = 4507 $/ton (net byproduct credits, excluding govt royalties)</t>
  </si>
  <si>
    <t>https://kidmanresources.com.au/live/wp-content/uploads/2019/03/190327-Kidman-Resources-Limited-Annual-Report-FINAL.pdf</t>
  </si>
  <si>
    <t>US$76M</t>
  </si>
  <si>
    <t>http://member.afraccess.com/media?id=CMN://3A508048&amp;filename=20181218/KDR_02060880.pdf</t>
  </si>
  <si>
    <t>LOM 
(# of years)</t>
  </si>
  <si>
    <t>94.2Mt @1.5%LiO</t>
  </si>
  <si>
    <t>345kt concentrate (5.5%)</t>
  </si>
  <si>
    <t>Recovery Rate</t>
  </si>
  <si>
    <t>Avg Strip Ratio</t>
  </si>
  <si>
    <t>US$348M</t>
  </si>
  <si>
    <t>US$389M</t>
  </si>
  <si>
    <t xml:space="preserve">US$264/t of concentrate cash cost </t>
  </si>
  <si>
    <t>US$22/t concentrate</t>
  </si>
  <si>
    <t>897.8 Ha</t>
  </si>
  <si>
    <t>189Mt @1.5%LiO</t>
  </si>
  <si>
    <t>Wesfarmers</t>
  </si>
  <si>
    <t>SQM/Wesfarmers</t>
  </si>
  <si>
    <t>Remediation Expenses</t>
  </si>
  <si>
    <t>Cash Costs (OPEX)</t>
  </si>
  <si>
    <t>http://s1.q4cdn.com/793210788/files/doc_financials/annual_report/2018/Memoria-Anual-2018_eng.pdf</t>
  </si>
  <si>
    <t>Salar del Carmen (LiCO)</t>
  </si>
  <si>
    <t>Salar del Carmen (LiOH)</t>
  </si>
  <si>
    <t>28-40%</t>
  </si>
  <si>
    <t>8.55MT @0.05%Li</t>
  </si>
  <si>
    <t>CAPEX</t>
  </si>
  <si>
    <t>66-71% gross margin on $10-$13,000/t lithium product price</t>
  </si>
  <si>
    <t>126 ha</t>
  </si>
  <si>
    <t>35.9 ha</t>
  </si>
  <si>
    <t>US$200M</t>
  </si>
  <si>
    <t>US$100M</t>
  </si>
  <si>
    <t>US$240M</t>
  </si>
  <si>
    <t>138 ha</t>
  </si>
  <si>
    <t>37.36Mt @1.48% Li2O</t>
  </si>
  <si>
    <t>24Mt @1.53% Li2O</t>
  </si>
  <si>
    <t>$ 1,661/t LiOH-H₂O</t>
  </si>
  <si>
    <t>$ 2,143/t Li₂CO3</t>
  </si>
  <si>
    <t>Electrochemical</t>
  </si>
  <si>
    <t>215kt concentrate</t>
  </si>
  <si>
    <t>CAD 333.4M</t>
  </si>
  <si>
    <t>CAD 541.3M</t>
  </si>
  <si>
    <t>CAD606.3M</t>
  </si>
  <si>
    <t>CAD 700,000</t>
  </si>
  <si>
    <t>CAD9.2M</t>
  </si>
  <si>
    <t>CAD 71.78/t concentrate</t>
  </si>
  <si>
    <t>CAD 78/t LiOH</t>
  </si>
  <si>
    <t>CAD 93/t LiCO</t>
  </si>
  <si>
    <t>$3,576/t LiCO</t>
  </si>
  <si>
    <t>607mg/L</t>
  </si>
  <si>
    <t>19.85Mt LCE</t>
  </si>
  <si>
    <t>US$425M</t>
  </si>
  <si>
    <t>$2.495/t LiCO</t>
  </si>
  <si>
    <t>US$565M</t>
  </si>
  <si>
    <t>1,200 ha</t>
  </si>
  <si>
    <t>$86/t LiCO</t>
  </si>
  <si>
    <t>$141/t LiCO</t>
  </si>
  <si>
    <t>https://www.lithiumamericas.com/news/lithium-americas-announces-40000-tpa-feasibility-study-for-the-cauchar-olaroz-lithium-project-</t>
  </si>
  <si>
    <t>https://www.lithiumamericas.com/_resources/pdf/investors/technical-reports/cauchari-olaroz/LACCauchariUpdateTRFINAL.pdf</t>
  </si>
  <si>
    <t>3.14Mt LCE</t>
  </si>
  <si>
    <t>5.98Mt LCE</t>
  </si>
  <si>
    <t>$2,507/t LiCO ($4,088/t before by-produce credits)</t>
  </si>
  <si>
    <t>https://www.lithiumamericas.com/_resources/pdf/investors/technical-reports/thacker-pass/Technical-Report-Thacker-Pass.pdf</t>
  </si>
  <si>
    <t>$156/t LiCO</t>
  </si>
  <si>
    <t>3,367 ha</t>
  </si>
  <si>
    <t>630kt ore; 70kt concentratae</t>
  </si>
  <si>
    <t>10000t LiCO, 
10,000t LiOH</t>
  </si>
  <si>
    <t>US$500M capex in 2018</t>
  </si>
  <si>
    <t>Wealth Minerals Ltd</t>
  </si>
  <si>
    <t>1840mg/L</t>
  </si>
  <si>
    <t>6.38:1</t>
  </si>
  <si>
    <t>https://wealthminerals.com/projects/atacama-salar/</t>
  </si>
  <si>
    <t>ENAMI</t>
  </si>
  <si>
    <t>Q4 2019</t>
  </si>
  <si>
    <t>North Carolina</t>
  </si>
  <si>
    <t>Catamarca</t>
  </si>
  <si>
    <t>San Pedro de Atacama</t>
  </si>
  <si>
    <t>Antofagasta</t>
  </si>
  <si>
    <t>Salta</t>
  </si>
  <si>
    <t>Mangualde</t>
  </si>
  <si>
    <t>Quebec</t>
  </si>
  <si>
    <t xml:space="preserve">Salta </t>
  </si>
  <si>
    <t xml:space="preserve">Catamarca </t>
  </si>
  <si>
    <t>Fukushima</t>
  </si>
  <si>
    <t>Utah</t>
  </si>
  <si>
    <t>Ontario</t>
  </si>
  <si>
    <t>British Columbia</t>
  </si>
  <si>
    <t xml:space="preserve">Utah </t>
  </si>
  <si>
    <t>Erongo Region ,</t>
  </si>
  <si>
    <t>Lago Coipasa</t>
  </si>
  <si>
    <t>Laguna Pastos Grandes</t>
  </si>
  <si>
    <t>Chongqing</t>
  </si>
  <si>
    <t>Merseyside</t>
  </si>
  <si>
    <t>Extremadura</t>
  </si>
  <si>
    <t>50kt LiCO</t>
  </si>
  <si>
    <t>US$16-18m</t>
  </si>
  <si>
    <t>https://ir.livent.com/news/news-details/2019/Livent-Hosts-Groundbreaking-Ceremony-for-Construction-of-Additional-Lithium-Hydroxide-Production-Facilities-in-Bessemer-City-North-Carolina/default.aspx</t>
  </si>
  <si>
    <t>5,000kt hydroxide</t>
  </si>
  <si>
    <t>Uyuni Salt Flat</t>
  </si>
  <si>
    <t>Yacimientos de Litio Bolivianos (YLB)</t>
  </si>
  <si>
    <t>Yacimientos de Litio Bolivianos (YLB)/TBEA</t>
  </si>
  <si>
    <t>Yacimientos de Litio Bolivianos (YLB)/ACI Systems</t>
  </si>
  <si>
    <t>$250 million</t>
  </si>
  <si>
    <t>https://blinks.bloomberg.com/news/stories/PJ6NW56K50YG</t>
  </si>
  <si>
    <t>A$1.5 million</t>
  </si>
  <si>
    <t>Yibing Tianyi</t>
  </si>
  <si>
    <t>Yibin</t>
  </si>
  <si>
    <t>407kt Li2O</t>
  </si>
  <si>
    <t>483kt Li2O</t>
  </si>
  <si>
    <t>California</t>
  </si>
  <si>
    <t>Boron Plant</t>
  </si>
  <si>
    <t>10 metric tons LCE</t>
  </si>
  <si>
    <t>US$10M</t>
  </si>
  <si>
    <t>5kt LCE</t>
  </si>
  <si>
    <t>https://blinks.bloomberg.com/news/stories/PZR377T1UM0Z</t>
  </si>
  <si>
    <t>100kt LCE</t>
  </si>
  <si>
    <t>16kt LiOH</t>
  </si>
  <si>
    <t>31kt LiOH</t>
  </si>
  <si>
    <t>23kt LCE</t>
  </si>
  <si>
    <t>$50M</t>
  </si>
  <si>
    <t>Q2 2020</t>
  </si>
  <si>
    <t>Q1 2020</t>
  </si>
  <si>
    <t>E3 Metals</t>
  </si>
  <si>
    <t>Alberta</t>
  </si>
  <si>
    <t>Alberta plant</t>
  </si>
  <si>
    <t>Rocky</t>
  </si>
  <si>
    <t>Exshaw</t>
  </si>
  <si>
    <t>Clearwater</t>
  </si>
  <si>
    <t>1.9Mt LCE</t>
  </si>
  <si>
    <t>0.9Mt LCE</t>
  </si>
  <si>
    <t>3.9Mt LCE</t>
  </si>
  <si>
    <t>77.4mg/L</t>
  </si>
  <si>
    <t>52.9mg/L</t>
  </si>
  <si>
    <t>75mg/L</t>
  </si>
  <si>
    <t>https://www.e3metalscorp.com/projects</t>
  </si>
  <si>
    <t>Fengyi/Xinyu</t>
  </si>
  <si>
    <t>https://investors.albemarle.com/static-files/3f193c43-bc7e-4b05-ae1a-bf15735fb1d5</t>
  </si>
  <si>
    <t>AUD 245/ton of concentrate</t>
  </si>
  <si>
    <t>COGS 2013 Rockwood $760 million, w est. capacity of 29,000t LCE</t>
  </si>
  <si>
    <t>Sustaining Costs (AISC)</t>
  </si>
  <si>
    <t>A$316/t concentrate</t>
  </si>
  <si>
    <t>A$324/t concentrate</t>
  </si>
  <si>
    <t>2.9:1</t>
  </si>
  <si>
    <t>A$139.7M</t>
  </si>
  <si>
    <t>DMS</t>
  </si>
  <si>
    <t>380 $M</t>
  </si>
  <si>
    <t>5Mt LCE</t>
  </si>
  <si>
    <t>$325/t LCE</t>
  </si>
  <si>
    <t>$4039/t LCE</t>
  </si>
  <si>
    <t>296 $/ton</t>
  </si>
  <si>
    <t>$511/t LCE</t>
  </si>
  <si>
    <t>3893 $/ton LCE</t>
  </si>
  <si>
    <t>$212/t LCE</t>
  </si>
  <si>
    <t>$271/tconcentrate</t>
  </si>
  <si>
    <t>A$648/t concentrate</t>
  </si>
  <si>
    <t>assumed same as Phase II</t>
  </si>
  <si>
    <t>$236.8M (cost of sales, 2018) for all products (assume around 40,000t total LCE, 16,000 LiOH, 17,000 LiCO, 5,000t LiCl, 2,300t Butyli)</t>
  </si>
  <si>
    <t>Assume same as LAC</t>
  </si>
  <si>
    <t>$165M (2019)</t>
  </si>
  <si>
    <t>$60M (2019)</t>
  </si>
  <si>
    <t>Avg Cost $621/t CFR concentrate shipped (FY 2019)</t>
  </si>
  <si>
    <t>Beneficiation plant nameplate 405kt concentrate (200kt 6%, 200kt 4%)</t>
  </si>
  <si>
    <t>260Mt @Li2O 1.17% (includes 22Mt from tailings)</t>
  </si>
  <si>
    <t>152Mt @0.5% Li2O</t>
  </si>
  <si>
    <t>71.3Mt @1.37% Li2O</t>
  </si>
  <si>
    <t>https://clients3.weblink.com.au/pdf/MIN/02175046.pdf</t>
  </si>
  <si>
    <t>$50M (FY20)</t>
  </si>
  <si>
    <t>$1.2 billion-$1.6 bn</t>
  </si>
  <si>
    <t>&gt;$1 billion</t>
  </si>
  <si>
    <t>no costs available</t>
  </si>
  <si>
    <t>used estimates from 2019 Investor Day report</t>
  </si>
  <si>
    <t>$3,500/tLCE (2016 update)</t>
  </si>
  <si>
    <t>$2,500/tLCE (projected, but needs to be confirmed w DFS)</t>
  </si>
  <si>
    <t>Carbonate + 2 conversion charge</t>
  </si>
  <si>
    <t>$190M</t>
  </si>
  <si>
    <t>$180M</t>
  </si>
  <si>
    <t>$30M</t>
  </si>
  <si>
    <t>5-5.2</t>
  </si>
  <si>
    <t>2204.62-2645.55</t>
  </si>
  <si>
    <t>$2.4-2.9/kg, 4.5</t>
  </si>
  <si>
    <t>$3,000/t LCE</t>
  </si>
  <si>
    <t>see Costs Raw CIBC curve</t>
  </si>
  <si>
    <t>C1 Cash Cost: A$374/t (US$281/t)</t>
  </si>
  <si>
    <t>AISC: A$425/t</t>
  </si>
  <si>
    <t>Milling and concentration cost of USD 110/t (slimes), to produce a 4% Li2O lepidolite concentrate; 25% Ta2O5</t>
  </si>
  <si>
    <t>concentrate and a 4% Li2O petalite concentrate.</t>
  </si>
  <si>
    <t>Mining cost of USD 1/t slimes.
Milling and concentration cost of USD 110/t (slimes), to produce a 4% Li2O lepidolite concentrate; 25% Ta2O5
concentrate and a 4% Li2O petalite concentrate.</t>
  </si>
  <si>
    <t>A$648/t</t>
  </si>
  <si>
    <t>placeholder (same as Nemaska Whabouchi)</t>
  </si>
  <si>
    <t>cash operating costs of USD285 per tonne</t>
  </si>
  <si>
    <t>Processing cost USD 2,050/t (lithium carbonate).
Transport cost of USD 15/t product to port</t>
  </si>
  <si>
    <t>none disclosed so far - assume lower end of Chinese production costs</t>
  </si>
  <si>
    <t>Assume slightly more expensive than Kemerton</t>
  </si>
  <si>
    <t>Assume all Chinese converters $4.5-5/tLCE production cost + spodumene source costs (when known) unless otherwise specified publicly</t>
  </si>
  <si>
    <t>Assume same as cheapest Chinese converter</t>
  </si>
  <si>
    <t>Zhejiang (LiCO)</t>
  </si>
  <si>
    <t>Shehong (LiOH)</t>
  </si>
  <si>
    <t>Shehong (LiCl)</t>
  </si>
  <si>
    <t>600 tons li metal</t>
  </si>
  <si>
    <t>2019 Capacity</t>
  </si>
  <si>
    <t>40kt LCE additional</t>
  </si>
  <si>
    <t>Saxony</t>
  </si>
  <si>
    <t>3519ppm</t>
  </si>
  <si>
    <t>Divisa Alegre</t>
  </si>
  <si>
    <t>1500 tpy LCE</t>
  </si>
  <si>
    <t>http://cblitio.com.br/chemical-plant/?lang=en</t>
  </si>
  <si>
    <t>check</t>
  </si>
  <si>
    <t>2020e Production</t>
  </si>
  <si>
    <t>2020e Capacity</t>
  </si>
  <si>
    <t>Covid-19 operations</t>
  </si>
  <si>
    <t>No major disruption</t>
  </si>
  <si>
    <t>Construction on hold. Comissioning (by early 2021) may be delayed.</t>
  </si>
  <si>
    <t>Care and maintenance March 20-31. Will recommence operations within a week of quarantine end.</t>
  </si>
  <si>
    <t>Expansion suspended.</t>
  </si>
  <si>
    <t>Suspended operations since March 22 (until at least March 31). Working to get govt exemption as 'essential business'.</t>
  </si>
  <si>
    <t>Livent's global capital expansion plans on hold, but remain committed.</t>
  </si>
  <si>
    <t>Ponds and pilot plant almost ready for production. Suspended all non-essential onsite operations under Argentinian quarantine March 20-31.</t>
  </si>
  <si>
    <t>SALES</t>
  </si>
  <si>
    <t>Q3 2017</t>
  </si>
  <si>
    <t>Q4 2017</t>
  </si>
  <si>
    <t>Q4 2018</t>
  </si>
  <si>
    <t>Q1 2017</t>
  </si>
  <si>
    <t>Q2 2017</t>
  </si>
  <si>
    <t>see phase 1</t>
  </si>
  <si>
    <t>see sales</t>
  </si>
  <si>
    <t>pilot</t>
  </si>
  <si>
    <t>Hermosillo</t>
  </si>
  <si>
    <t>Mesa Exploration Corp</t>
  </si>
  <si>
    <t>Cas Lake</t>
  </si>
  <si>
    <t>Paradox Basin</t>
  </si>
  <si>
    <t>12.619kt hectares</t>
  </si>
  <si>
    <t>37.4Mt @1.22%</t>
  </si>
  <si>
    <t>61.3Mt
@1.12%</t>
  </si>
  <si>
    <t>Sienna Resources Inc</t>
  </si>
  <si>
    <t>sqm</t>
  </si>
  <si>
    <t>tianqi</t>
  </si>
  <si>
    <t xml:space="preserve">Suspended onsite operations since March 22 until (at least) March 31. </t>
  </si>
  <si>
    <t>No impact yet</t>
  </si>
  <si>
    <t>10.2Mt @ 1.28%Li2O</t>
  </si>
  <si>
    <t>8.2Mt @ 1.29%Li2O</t>
  </si>
  <si>
    <t>One month delay in capital purchases for project.</t>
  </si>
  <si>
    <t>Operations interrupted to unknown extent. Back in full operation as of March.</t>
  </si>
  <si>
    <t>Sharon Mustri</t>
  </si>
  <si>
    <t>smustri@bloomberg.net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</si>
</sst>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43" formatCode="_(* #,##0.00_);_(* \(#,##0.00\);_(* &quot;-&quot;??_);_(@_)"/>
    <numFmt numFmtId="164" formatCode="_-* #,##0_-;\-* #,##0_-;_-* &quot;-&quot;_-;_-@_-"/>
    <numFmt numFmtId="165" formatCode="_-* #,##0.00_-;\-* #,##0.00_-;_-* &quot;-&quot;??_-;_-@_-"/>
    <numFmt numFmtId="166" formatCode="_-&quot;£&quot;* #,##0_-;\-&quot;£&quot;* #,##0_-;_-&quot;£&quot;* &quot;-&quot;_-;_-@_-"/>
    <numFmt numFmtId="167" formatCode="_-&quot;£&quot;* #,##0.00_-;\-&quot;£&quot;* #,##0.00_-;_-&quot;£&quot;* &quot;-&quot;??_-;_-@_-"/>
    <numFmt numFmtId="168" formatCode="dd\ mmmm\ yyyy"/>
    <numFmt numFmtId="169" formatCode="_(* #,##0.00_);[Red]_(* \(#,##0.00\);_(* &quot;-&quot;??_);_(@_)"/>
    <numFmt numFmtId="170" formatCode="_(* #,##0_);_(* \(#,##0\);_(* &quot;-&quot;??_);_(@_)"/>
    <numFmt numFmtId="171" formatCode="[$$-409]#,##0"/>
    <numFmt numFmtId="172" formatCode="0.0"/>
    <numFmt numFmtId="173" formatCode="_(* #,##0_);[Red]_(* \(#,##0\);_(* &quot;-&quot;??_);_(@_)"/>
    <numFmt numFmtId="175" formatCode="0.0%"/>
    <numFmt numFmtId="177" formatCode="0_);\(0\)"/>
    <numFmt numFmtId="178" formatCode="_(* #,##0.000_);_(* \(#,##0.000\);_(* &quot;-&quot;??_);_(@_)"/>
    <numFmt numFmtId="179" formatCode="_(* #,##0.0_);_(* \(#,##0.0\);_(* &quot;-&quot;??_);_(@_)"/>
    <numFmt numFmtId="180" formatCode="[$$-409]#,##0.00"/>
  </numFmts>
  <fonts count="82" x14ac:knownFonts="1">
    <font>
      <sz val="10"/>
      <name val="Arial"/>
    </font>
    <font>
      <sz val="10"/>
      <name val="Arial"/>
      <family val="2"/>
    </font>
    <font>
      <sz val="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2"/>
      <name val="Arial"/>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0"/>
      <name val="Arial"/>
      <family val="2"/>
    </font>
    <font>
      <b/>
      <sz val="18"/>
      <color indexed="62"/>
      <name val="Cambria"/>
      <family val="2"/>
    </font>
    <font>
      <sz val="11"/>
      <color indexed="10"/>
      <name val="Calibri"/>
      <family val="2"/>
    </font>
    <font>
      <sz val="10"/>
      <name val="Tahoma"/>
      <family val="2"/>
    </font>
    <font>
      <sz val="9"/>
      <name val="Arial"/>
      <family val="2"/>
    </font>
    <font>
      <b/>
      <sz val="10"/>
      <name val="Tahoma"/>
      <family val="2"/>
    </font>
    <font>
      <b/>
      <sz val="11"/>
      <name val="Arial"/>
      <family val="2"/>
    </font>
    <font>
      <b/>
      <sz val="8"/>
      <name val="Arial"/>
      <family val="2"/>
    </font>
    <font>
      <u/>
      <sz val="11.5"/>
      <color theme="10"/>
      <name val="Arial"/>
      <family val="2"/>
    </font>
    <font>
      <sz val="7"/>
      <name val="Arial"/>
      <family val="2"/>
    </font>
    <font>
      <b/>
      <sz val="12"/>
      <color rgb="FF00B9E4"/>
      <name val="Arial"/>
      <family val="2"/>
    </font>
    <font>
      <sz val="10"/>
      <name val="Arial"/>
      <family val="2"/>
    </font>
    <font>
      <sz val="10"/>
      <color theme="1"/>
      <name val="Arial"/>
      <family val="2"/>
    </font>
    <font>
      <b/>
      <sz val="10"/>
      <color theme="0"/>
      <name val="Arial"/>
      <family val="2"/>
    </font>
    <font>
      <sz val="10"/>
      <color indexed="23"/>
      <name val="Calibri"/>
      <family val="2"/>
      <scheme val="minor"/>
    </font>
    <font>
      <sz val="10"/>
      <color indexed="23"/>
      <name val="Arial"/>
      <family val="2"/>
    </font>
    <font>
      <sz val="10"/>
      <name val="Calibri"/>
      <family val="2"/>
      <scheme val="minor"/>
    </font>
    <font>
      <sz val="10"/>
      <color indexed="55"/>
      <name val="Arial"/>
      <family val="2"/>
    </font>
    <font>
      <b/>
      <sz val="10"/>
      <color theme="4"/>
      <name val="Arial"/>
      <family val="2"/>
    </font>
    <font>
      <i/>
      <sz val="10"/>
      <name val="Arial"/>
      <family val="2"/>
    </font>
    <font>
      <sz val="10"/>
      <color theme="0"/>
      <name val="Arial"/>
      <family val="2"/>
    </font>
    <font>
      <i/>
      <sz val="10"/>
      <color indexed="55"/>
      <name val="Arial"/>
      <family val="2"/>
    </font>
    <font>
      <sz val="10"/>
      <color rgb="FF000000"/>
      <name val="Arial"/>
      <family val="2"/>
    </font>
    <font>
      <sz val="10"/>
      <color rgb="FFF47E3E"/>
      <name val="Arial"/>
      <family val="2"/>
    </font>
    <font>
      <sz val="9"/>
      <color indexed="81"/>
      <name val="Tahoma"/>
      <family val="2"/>
    </font>
    <font>
      <b/>
      <sz val="9"/>
      <color indexed="81"/>
      <name val="Tahoma"/>
      <family val="2"/>
    </font>
    <font>
      <sz val="10"/>
      <color rgb="FFFF0000"/>
      <name val="Arial"/>
      <family val="2"/>
    </font>
    <font>
      <b/>
      <sz val="10"/>
      <color rgb="FFFF0000"/>
      <name val="Arial"/>
      <family val="2"/>
    </font>
    <font>
      <sz val="10"/>
      <name val="Arial"/>
      <family val="2"/>
    </font>
    <font>
      <b/>
      <sz val="10"/>
      <color theme="1"/>
      <name val="Arial"/>
      <family val="2"/>
    </font>
    <font>
      <u/>
      <sz val="10"/>
      <color rgb="FF0D9DDB"/>
      <name val="Arial"/>
      <family val="2"/>
    </font>
    <font>
      <sz val="10"/>
      <color rgb="FF75E3A1"/>
      <name val="Arial"/>
      <family val="2"/>
    </font>
    <font>
      <b/>
      <sz val="16"/>
      <name val="Arial"/>
      <family val="2"/>
    </font>
    <font>
      <b/>
      <sz val="12"/>
      <name val="Arial"/>
      <family val="2"/>
    </font>
    <font>
      <sz val="10"/>
      <color rgb="FFFFC91D"/>
      <name val="Arial"/>
      <family val="2"/>
    </font>
    <font>
      <b/>
      <i/>
      <sz val="10"/>
      <name val="Arial"/>
      <family val="2"/>
    </font>
    <font>
      <b/>
      <sz val="16"/>
      <color rgb="FF7654A3"/>
      <name val="Arial"/>
      <family val="2"/>
    </font>
    <font>
      <u/>
      <sz val="10"/>
      <color rgb="FF7654A3"/>
      <name val="Arial"/>
      <family val="2"/>
    </font>
    <font>
      <b/>
      <sz val="10"/>
      <color rgb="FF7654A3"/>
      <name val="Arial"/>
      <family val="2"/>
    </font>
    <font>
      <sz val="10"/>
      <color rgb="FF4DAA50"/>
      <name val="Arial"/>
      <family val="2"/>
    </font>
    <font>
      <b/>
      <sz val="10"/>
      <color rgb="FFFFAE21"/>
      <name val="Arial"/>
      <family val="2"/>
    </font>
    <font>
      <b/>
      <sz val="10"/>
      <color rgb="FF7030A0"/>
      <name val="Arial"/>
      <family val="2"/>
    </font>
    <font>
      <b/>
      <sz val="10"/>
      <color rgb="FF4DAA50"/>
      <name val="Arial"/>
      <family val="2"/>
    </font>
    <font>
      <sz val="10"/>
      <color rgb="FF44AE7E"/>
      <name val="Arial"/>
      <family val="2"/>
    </font>
    <font>
      <b/>
      <sz val="10"/>
      <color rgb="FF000000"/>
      <name val="Arial"/>
      <family val="2"/>
    </font>
    <font>
      <b/>
      <sz val="16"/>
      <color rgb="FFFF0000"/>
      <name val="Arial"/>
      <family val="2"/>
    </font>
    <font>
      <b/>
      <sz val="22"/>
      <name val="Arial"/>
      <family val="2"/>
    </font>
    <font>
      <u/>
      <sz val="10"/>
      <color theme="4"/>
      <name val="Arial"/>
      <family val="2"/>
    </font>
    <font>
      <b/>
      <sz val="36"/>
      <color theme="4"/>
      <name val="Arial"/>
      <family val="2"/>
    </font>
    <font>
      <b/>
      <sz val="16"/>
      <color theme="4"/>
      <name val="Arial"/>
      <family val="2"/>
    </font>
    <font>
      <sz val="12"/>
      <color rgb="FF000000"/>
      <name val="Arial"/>
      <family val="2"/>
    </font>
    <font>
      <sz val="10"/>
      <color theme="8"/>
      <name val="Arial"/>
      <family val="2"/>
    </font>
    <font>
      <u/>
      <sz val="10"/>
      <name val="Arial"/>
      <family val="2"/>
    </font>
    <font>
      <sz val="8"/>
      <color rgb="FFFF0000"/>
      <name val="Arial"/>
      <family val="2"/>
    </font>
    <font>
      <b/>
      <sz val="10"/>
      <color theme="8"/>
      <name val="Arial"/>
      <family val="2"/>
    </font>
    <font>
      <u/>
      <sz val="10"/>
      <color theme="8"/>
      <name val="Arial"/>
      <family val="2"/>
    </font>
    <font>
      <b/>
      <u/>
      <sz val="10"/>
      <color rgb="FF7654A3"/>
      <name val="Arial"/>
      <family val="2"/>
    </font>
    <font>
      <sz val="9"/>
      <color indexed="81"/>
      <name val="Tahoma"/>
      <charset val="1"/>
    </font>
    <font>
      <b/>
      <sz val="9"/>
      <color indexed="81"/>
      <name val="Tahoma"/>
      <charset val="1"/>
    </font>
    <font>
      <b/>
      <i/>
      <sz val="10"/>
      <color theme="9"/>
      <name val="Arial"/>
      <family val="2"/>
    </font>
    <font>
      <b/>
      <sz val="10"/>
      <color theme="9"/>
      <name val="Arial"/>
      <family val="2"/>
    </font>
    <font>
      <b/>
      <i/>
      <sz val="10"/>
      <color theme="8"/>
      <name val="Arial"/>
      <family val="2"/>
    </font>
    <font>
      <i/>
      <sz val="10"/>
      <color theme="8"/>
      <name val="Arial"/>
      <family val="2"/>
    </font>
    <font>
      <i/>
      <u/>
      <sz val="10"/>
      <color theme="8"/>
      <name val="Arial"/>
      <family val="2"/>
    </font>
  </fonts>
  <fills count="114">
    <fill>
      <patternFill patternType="none"/>
    </fill>
    <fill>
      <patternFill patternType="gray125"/>
    </fill>
    <fill>
      <patternFill patternType="solid">
        <fgColor indexed="56"/>
      </patternFill>
    </fill>
    <fill>
      <patternFill patternType="solid">
        <fgColor indexed="58"/>
      </patternFill>
    </fill>
    <fill>
      <patternFill patternType="solid">
        <fgColor indexed="45"/>
      </patternFill>
    </fill>
    <fill>
      <patternFill patternType="solid">
        <fgColor indexed="42"/>
      </patternFill>
    </fill>
    <fill>
      <patternFill patternType="solid">
        <fgColor indexed="9"/>
      </patternFill>
    </fill>
    <fill>
      <patternFill patternType="solid">
        <fgColor indexed="27"/>
      </patternFill>
    </fill>
    <fill>
      <patternFill patternType="solid">
        <fgColor indexed="47"/>
      </patternFill>
    </fill>
    <fill>
      <patternFill patternType="solid">
        <fgColor indexed="22"/>
      </patternFill>
    </fill>
    <fill>
      <patternFill patternType="solid">
        <fgColor indexed="49"/>
      </patternFill>
    </fill>
    <fill>
      <patternFill patternType="solid">
        <fgColor indexed="16"/>
      </patternFill>
    </fill>
    <fill>
      <patternFill patternType="solid">
        <fgColor indexed="59"/>
      </patternFill>
    </fill>
    <fill>
      <patternFill patternType="solid">
        <fgColor indexed="54"/>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theme="0" tint="-4.9989318521683403E-2"/>
        <bgColor indexed="64"/>
      </patternFill>
    </fill>
    <fill>
      <patternFill patternType="solid">
        <fgColor rgb="FF00B9E4"/>
        <bgColor indexed="64"/>
      </patternFill>
    </fill>
    <fill>
      <patternFill patternType="lightDown">
        <fgColor indexed="23"/>
      </patternFill>
    </fill>
    <fill>
      <patternFill patternType="lightGray">
        <fgColor indexed="22"/>
      </patternFill>
    </fill>
    <fill>
      <patternFill patternType="lightGray">
        <bgColor indexed="9"/>
      </patternFill>
    </fill>
    <fill>
      <patternFill patternType="solid">
        <fgColor theme="0" tint="-0.24994659260841701"/>
        <bgColor indexed="64"/>
      </patternFill>
    </fill>
    <fill>
      <patternFill patternType="solid">
        <fgColor rgb="FF808080"/>
        <bgColor indexed="64"/>
      </patternFill>
    </fill>
    <fill>
      <patternFill patternType="solid">
        <fgColor rgb="FFC0C0C0"/>
        <bgColor indexed="64"/>
      </patternFill>
    </fill>
    <fill>
      <patternFill patternType="solid">
        <fgColor rgb="FF0D9DDB"/>
        <bgColor indexed="64"/>
      </patternFill>
    </fill>
    <fill>
      <patternFill patternType="solid">
        <fgColor rgb="FF8A5DB5"/>
        <bgColor indexed="64"/>
      </patternFill>
    </fill>
    <fill>
      <patternFill patternType="solid">
        <fgColor rgb="FFBD5CA3"/>
        <bgColor indexed="64"/>
      </patternFill>
    </fill>
    <fill>
      <patternFill patternType="solid">
        <fgColor rgb="FFD2D2D2"/>
        <bgColor indexed="64"/>
      </patternFill>
    </fill>
    <fill>
      <patternFill patternType="solid">
        <fgColor rgb="FFFFAE21"/>
        <bgColor auto="1"/>
      </patternFill>
    </fill>
    <fill>
      <patternFill patternType="solid">
        <fgColor rgb="FFFFAE21"/>
        <bgColor indexed="64"/>
      </patternFill>
    </fill>
    <fill>
      <patternFill patternType="solid">
        <fgColor rgb="FFFFC766"/>
      </patternFill>
    </fill>
    <fill>
      <patternFill patternType="solid">
        <fgColor rgb="FFFFC766"/>
        <bgColor auto="1"/>
      </patternFill>
    </fill>
    <fill>
      <patternFill patternType="solid">
        <fgColor rgb="FFFFC766"/>
        <bgColor indexed="64"/>
      </patternFill>
    </fill>
    <fill>
      <patternFill patternType="solid">
        <fgColor rgb="FF75E3A1"/>
        <bgColor indexed="64"/>
      </patternFill>
    </fill>
    <fill>
      <patternFill patternType="solid">
        <fgColor rgb="FF414141"/>
        <bgColor indexed="64"/>
      </patternFill>
    </fill>
    <fill>
      <patternFill patternType="solid">
        <fgColor rgb="FF391E54"/>
        <bgColor indexed="64"/>
      </patternFill>
    </fill>
    <fill>
      <patternFill patternType="solid">
        <fgColor rgb="FF593C7B"/>
        <bgColor indexed="64"/>
      </patternFill>
    </fill>
    <fill>
      <patternFill patternType="solid">
        <fgColor rgb="FFB3B3B3"/>
        <bgColor indexed="64"/>
      </patternFill>
    </fill>
    <fill>
      <patternFill patternType="solid">
        <fgColor rgb="FF6D6D6D"/>
        <bgColor indexed="64"/>
      </patternFill>
    </fill>
    <fill>
      <patternFill patternType="solid">
        <fgColor rgb="FFFFC91D"/>
        <bgColor indexed="64"/>
      </patternFill>
    </fill>
    <fill>
      <patternFill patternType="solid">
        <fgColor rgb="FF61CAE6"/>
        <bgColor indexed="64"/>
      </patternFill>
    </fill>
    <fill>
      <patternFill patternType="solid">
        <fgColor rgb="FF6D6E71"/>
        <bgColor indexed="64"/>
      </patternFill>
    </fill>
    <fill>
      <patternFill patternType="solid">
        <fgColor rgb="FF43BEAD"/>
        <bgColor indexed="64"/>
      </patternFill>
    </fill>
    <fill>
      <patternFill patternType="solid">
        <fgColor rgb="FF19B24E"/>
        <bgColor indexed="64"/>
      </patternFill>
    </fill>
    <fill>
      <patternFill patternType="solid">
        <fgColor rgb="FFEE3124"/>
        <bgColor indexed="64"/>
      </patternFill>
    </fill>
    <fill>
      <patternFill patternType="solid">
        <fgColor rgb="FFEF5B9D"/>
        <bgColor indexed="64"/>
      </patternFill>
    </fill>
    <fill>
      <patternFill patternType="solid">
        <fgColor rgb="FF95180A"/>
        <bgColor indexed="64"/>
      </patternFill>
    </fill>
    <fill>
      <patternFill patternType="solid">
        <fgColor rgb="FFD02B1F"/>
        <bgColor indexed="64"/>
      </patternFill>
    </fill>
    <fill>
      <patternFill patternType="solid">
        <fgColor rgb="FF00688A"/>
        <bgColor indexed="64"/>
      </patternFill>
    </fill>
    <fill>
      <patternFill patternType="solid">
        <fgColor rgb="FF0095C4"/>
        <bgColor indexed="64"/>
      </patternFill>
    </fill>
    <fill>
      <patternFill patternType="solid">
        <fgColor rgb="FFFF9E1B"/>
        <bgColor indexed="64"/>
      </patternFill>
    </fill>
    <fill>
      <patternFill patternType="lightTrellis">
        <fgColor rgb="FF666666"/>
        <bgColor rgb="FF414141"/>
      </patternFill>
    </fill>
    <fill>
      <patternFill patternType="gray0625">
        <fgColor theme="0"/>
        <bgColor rgb="FFD2D2D2"/>
      </patternFill>
    </fill>
    <fill>
      <patternFill patternType="solid">
        <fgColor theme="0" tint="-0.14996795556505021"/>
        <bgColor indexed="65"/>
      </patternFill>
    </fill>
    <fill>
      <patternFill patternType="darkDown">
        <fgColor theme="0"/>
        <bgColor rgb="FFBD5CA3"/>
      </patternFill>
    </fill>
    <fill>
      <patternFill patternType="gray0625">
        <fgColor theme="0"/>
        <bgColor rgb="FF414141"/>
      </patternFill>
    </fill>
    <fill>
      <patternFill patternType="gray0625">
        <fgColor theme="0"/>
        <bgColor rgb="FFBD5CA3"/>
      </patternFill>
    </fill>
    <fill>
      <patternFill patternType="gray0625">
        <fgColor theme="0"/>
        <bgColor rgb="FFEE3124"/>
      </patternFill>
    </fill>
    <fill>
      <patternFill patternType="solid">
        <fgColor rgb="FFFDE269"/>
        <bgColor indexed="64"/>
      </patternFill>
    </fill>
    <fill>
      <patternFill patternType="solid">
        <fgColor rgb="FFF9F9F9"/>
        <bgColor indexed="64"/>
      </patternFill>
    </fill>
    <fill>
      <patternFill patternType="lightHorizontal">
        <fgColor theme="0"/>
        <bgColor rgb="FF414141"/>
      </patternFill>
    </fill>
    <fill>
      <patternFill patternType="lightTrellis">
        <fgColor theme="0"/>
        <bgColor rgb="FF414141"/>
      </patternFill>
    </fill>
    <fill>
      <patternFill patternType="lightTrellis">
        <fgColor theme="0"/>
        <bgColor rgb="FF75E3A1"/>
      </patternFill>
    </fill>
    <fill>
      <patternFill patternType="solid">
        <fgColor theme="3" tint="-4.9989318521683403E-2"/>
        <bgColor indexed="64"/>
      </patternFill>
    </fill>
    <fill>
      <patternFill patternType="solid">
        <fgColor rgb="FF7654A3"/>
        <bgColor indexed="64"/>
      </patternFill>
    </fill>
    <fill>
      <patternFill patternType="solid">
        <fgColor rgb="FFED3124"/>
        <bgColor indexed="64"/>
      </patternFill>
    </fill>
    <fill>
      <patternFill patternType="solid">
        <fgColor rgb="FF00AEE5"/>
        <bgColor indexed="64"/>
      </patternFill>
    </fill>
    <fill>
      <patternFill patternType="solid">
        <fgColor rgb="FFFFE838"/>
        <bgColor indexed="64"/>
      </patternFill>
    </fill>
    <fill>
      <patternFill patternType="lightUp">
        <fgColor rgb="FF666769"/>
        <bgColor rgb="FF262626"/>
      </patternFill>
    </fill>
    <fill>
      <patternFill patternType="lightGray">
        <fgColor rgb="FF49C0E6"/>
        <bgColor rgb="FF262626"/>
      </patternFill>
    </fill>
    <fill>
      <patternFill patternType="lightGray">
        <fgColor theme="6"/>
        <bgColor rgb="FFA6A6A6"/>
      </patternFill>
    </fill>
    <fill>
      <patternFill patternType="lightDown">
        <fgColor rgb="FFF1F1F1"/>
        <bgColor rgb="FFA6A6A6"/>
      </patternFill>
    </fill>
    <fill>
      <patternFill patternType="lightHorizontal">
        <fgColor rgb="FFF1F1F1"/>
        <bgColor rgb="FFA6A6A6"/>
      </patternFill>
    </fill>
    <fill>
      <patternFill patternType="lightDown">
        <fgColor rgb="FF666769"/>
        <bgColor rgb="FF262626"/>
      </patternFill>
    </fill>
    <fill>
      <patternFill patternType="solid">
        <fgColor rgb="FF7F7F7F"/>
        <bgColor indexed="64"/>
      </patternFill>
    </fill>
    <fill>
      <patternFill patternType="gray125">
        <fgColor rgb="FF666769"/>
        <bgColor rgb="FF7F7F7F"/>
      </patternFill>
    </fill>
    <fill>
      <patternFill patternType="lightGray">
        <fgColor rgb="FF49C0E6"/>
        <bgColor rgb="FF7F7F7F"/>
      </patternFill>
    </fill>
    <fill>
      <patternFill patternType="lightGray">
        <fgColor theme="6"/>
        <bgColor rgb="FF7F7F7F"/>
      </patternFill>
    </fill>
    <fill>
      <patternFill patternType="solid">
        <fgColor rgb="FF404040"/>
        <bgColor indexed="64"/>
      </patternFill>
    </fill>
    <fill>
      <patternFill patternType="solid">
        <fgColor rgb="FFF47E3E"/>
        <bgColor indexed="64"/>
      </patternFill>
    </fill>
    <fill>
      <patternFill patternType="lightGray">
        <fgColor rgb="FF49C0E6"/>
        <bgColor theme="6" tint="-0.499984740745262"/>
      </patternFill>
    </fill>
    <fill>
      <patternFill patternType="lightGray">
        <fgColor theme="6"/>
        <bgColor theme="6" tint="-0.499984740745262"/>
      </patternFill>
    </fill>
    <fill>
      <patternFill patternType="solid">
        <fgColor theme="5" tint="0.39997558519241921"/>
        <bgColor indexed="64"/>
      </patternFill>
    </fill>
    <fill>
      <patternFill patternType="lightUp">
        <fgColor rgb="FFF1F1F1"/>
        <bgColor theme="2" tint="-0.34998626667073579"/>
      </patternFill>
    </fill>
    <fill>
      <patternFill patternType="solid">
        <fgColor theme="4" tint="-0.249977111117893"/>
        <bgColor indexed="64"/>
      </patternFill>
    </fill>
    <fill>
      <patternFill patternType="solid">
        <fgColor theme="4" tint="-0.499984740745262"/>
        <bgColor indexed="64"/>
      </patternFill>
    </fill>
    <fill>
      <patternFill patternType="darkUp">
        <fgColor rgb="FF666769"/>
        <bgColor rgb="FF808080"/>
      </patternFill>
    </fill>
    <fill>
      <patternFill patternType="gray125">
        <fgColor rgb="FFBFBDBE"/>
        <bgColor theme="4" tint="-0.499984740745262"/>
      </patternFill>
    </fill>
    <fill>
      <patternFill patternType="solid">
        <fgColor theme="7" tint="-0.499984740745262"/>
        <bgColor indexed="64"/>
      </patternFill>
    </fill>
    <fill>
      <patternFill patternType="solid">
        <fgColor theme="8" tint="0.39997558519241921"/>
        <bgColor indexed="64"/>
      </patternFill>
    </fill>
    <fill>
      <patternFill patternType="solid">
        <fgColor theme="7" tint="0.59999389629810485"/>
        <bgColor indexed="64"/>
      </patternFill>
    </fill>
    <fill>
      <patternFill patternType="solid">
        <fgColor theme="9" tint="-0.249977111117893"/>
        <bgColor indexed="64"/>
      </patternFill>
    </fill>
    <fill>
      <patternFill patternType="solid">
        <fgColor theme="9" tint="-0.499984740745262"/>
        <bgColor indexed="64"/>
      </patternFill>
    </fill>
    <fill>
      <patternFill patternType="solid">
        <fgColor theme="7" tint="0.39997558519241921"/>
        <bgColor indexed="64"/>
      </patternFill>
    </fill>
    <fill>
      <patternFill patternType="solid">
        <fgColor rgb="FF40D87E"/>
        <bgColor indexed="64"/>
      </patternFill>
    </fill>
    <fill>
      <patternFill patternType="solid">
        <fgColor rgb="FF84D4F8"/>
        <bgColor indexed="64"/>
      </patternFill>
    </fill>
    <fill>
      <patternFill patternType="solid">
        <fgColor rgb="FFCC9B00"/>
        <bgColor indexed="64"/>
      </patternFill>
    </fill>
    <fill>
      <patternFill patternType="solid">
        <fgColor theme="1"/>
        <bgColor indexed="64"/>
      </patternFill>
    </fill>
    <fill>
      <patternFill patternType="solid">
        <fgColor theme="2" tint="-0.14999847407452621"/>
        <bgColor indexed="64"/>
      </patternFill>
    </fill>
    <fill>
      <patternFill patternType="solid">
        <fgColor rgb="FFFF0000"/>
        <bgColor indexed="64"/>
      </patternFill>
    </fill>
    <fill>
      <patternFill patternType="solid">
        <fgColor rgb="FF023AAA"/>
        <bgColor indexed="64"/>
      </patternFill>
    </fill>
    <fill>
      <patternFill patternType="solid">
        <fgColor rgb="FFF47E3E"/>
        <bgColor theme="0"/>
      </patternFill>
    </fill>
    <fill>
      <patternFill patternType="solid">
        <fgColor rgb="FF13863C"/>
        <bgColor indexed="64"/>
      </patternFill>
    </fill>
    <fill>
      <patternFill patternType="solid">
        <fgColor rgb="FF00D4F8"/>
        <bgColor indexed="64"/>
      </patternFill>
    </fill>
    <fill>
      <patternFill patternType="solid">
        <fgColor rgb="FFAB96C9"/>
        <bgColor indexed="64"/>
      </patternFill>
    </fill>
    <fill>
      <patternFill patternType="solid">
        <fgColor rgb="FF000000"/>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8" tint="0.79998168889431442"/>
        <bgColor indexed="64"/>
      </patternFill>
    </fill>
  </fills>
  <borders count="44">
    <border>
      <left/>
      <right/>
      <top/>
      <bottom/>
      <diagonal/>
    </border>
    <border>
      <left style="thin">
        <color auto="1"/>
      </left>
      <right style="thin">
        <color auto="1"/>
      </right>
      <top style="thin">
        <color auto="1"/>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medium">
        <color indexed="56"/>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auto="1"/>
      </top>
      <bottom style="double">
        <color auto="1"/>
      </bottom>
      <diagonal/>
    </border>
    <border>
      <left/>
      <right/>
      <top style="thin">
        <color auto="1"/>
      </top>
      <bottom style="thin">
        <color auto="1"/>
      </bottom>
      <diagonal/>
    </border>
    <border>
      <left style="thin">
        <color theme="1"/>
      </left>
      <right style="thin">
        <color theme="1"/>
      </right>
      <top style="thin">
        <color theme="1"/>
      </top>
      <bottom style="thin">
        <color theme="1"/>
      </bottom>
      <diagonal/>
    </border>
    <border>
      <left style="thin">
        <color rgb="FFB2B2B2"/>
      </left>
      <right style="thin">
        <color rgb="FFB2B2B2"/>
      </right>
      <top style="thin">
        <color rgb="FFB2B2B2"/>
      </top>
      <bottom style="thin">
        <color rgb="FFB2B2B2"/>
      </bottom>
      <diagonal/>
    </border>
    <border>
      <left/>
      <right/>
      <top style="thin">
        <color auto="1"/>
      </top>
      <bottom/>
      <diagonal/>
    </border>
    <border>
      <left/>
      <right/>
      <top/>
      <bottom style="thin">
        <color auto="1"/>
      </bottom>
      <diagonal/>
    </border>
    <border>
      <left style="dashed">
        <color auto="1"/>
      </left>
      <right/>
      <top style="dashed">
        <color auto="1"/>
      </top>
      <bottom/>
      <diagonal/>
    </border>
    <border>
      <left/>
      <right/>
      <top style="dashed">
        <color auto="1"/>
      </top>
      <bottom/>
      <diagonal/>
    </border>
    <border>
      <left/>
      <right style="dashed">
        <color auto="1"/>
      </right>
      <top style="dashed">
        <color auto="1"/>
      </top>
      <bottom/>
      <diagonal/>
    </border>
    <border>
      <left style="dashed">
        <color auto="1"/>
      </left>
      <right/>
      <top/>
      <bottom/>
      <diagonal/>
    </border>
    <border>
      <left/>
      <right style="dashed">
        <color auto="1"/>
      </right>
      <top/>
      <bottom/>
      <diagonal/>
    </border>
    <border>
      <left style="dashed">
        <color auto="1"/>
      </left>
      <right/>
      <top/>
      <bottom style="dashed">
        <color auto="1"/>
      </bottom>
      <diagonal/>
    </border>
    <border>
      <left/>
      <right/>
      <top/>
      <bottom style="dashed">
        <color auto="1"/>
      </bottom>
      <diagonal/>
    </border>
    <border>
      <left/>
      <right style="dashed">
        <color auto="1"/>
      </right>
      <top/>
      <bottom style="dashed">
        <color auto="1"/>
      </bottom>
      <diagonal/>
    </border>
    <border>
      <left style="hair">
        <color auto="1"/>
      </left>
      <right/>
      <top style="hair">
        <color auto="1"/>
      </top>
      <bottom/>
      <diagonal/>
    </border>
    <border>
      <left/>
      <right style="hair">
        <color auto="1"/>
      </right>
      <top style="hair">
        <color auto="1"/>
      </top>
      <bottom/>
      <diagonal/>
    </border>
    <border>
      <left style="hair">
        <color auto="1"/>
      </left>
      <right/>
      <top/>
      <bottom style="hair">
        <color auto="1"/>
      </bottom>
      <diagonal/>
    </border>
    <border>
      <left/>
      <right style="hair">
        <color auto="1"/>
      </right>
      <top/>
      <bottom style="hair">
        <color auto="1"/>
      </bottom>
      <diagonal/>
    </border>
    <border>
      <left/>
      <right/>
      <top style="thin">
        <color auto="1"/>
      </top>
      <bottom style="thin">
        <color theme="0" tint="-0.14996795556505021"/>
      </bottom>
      <diagonal/>
    </border>
    <border>
      <left/>
      <right/>
      <top/>
      <bottom style="medium">
        <color indexed="64"/>
      </bottom>
      <diagonal/>
    </border>
    <border>
      <left style="thin">
        <color indexed="64"/>
      </left>
      <right/>
      <top style="thin">
        <color auto="1"/>
      </top>
      <bottom/>
      <diagonal/>
    </border>
    <border>
      <left style="thin">
        <color indexed="64"/>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s>
  <cellStyleXfs count="73">
    <xf numFmtId="0" fontId="0" fillId="0" borderId="0"/>
    <xf numFmtId="0" fontId="3" fillId="2"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2"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9" borderId="0" applyNumberFormat="0" applyBorder="0" applyAlignment="0" applyProtection="0"/>
    <xf numFmtId="0" fontId="3" fillId="2" borderId="0" applyNumberFormat="0" applyBorder="0" applyAlignment="0" applyProtection="0"/>
    <xf numFmtId="0" fontId="3" fillId="8" borderId="0" applyNumberFormat="0" applyBorder="0" applyAlignment="0" applyProtection="0"/>
    <xf numFmtId="0" fontId="4" fillId="2"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9" borderId="0" applyNumberFormat="0" applyBorder="0" applyAlignment="0" applyProtection="0"/>
    <xf numFmtId="0" fontId="4" fillId="2" borderId="0" applyNumberFormat="0" applyBorder="0" applyAlignment="0" applyProtection="0"/>
    <xf numFmtId="0" fontId="4" fillId="8" borderId="0" applyNumberFormat="0" applyBorder="0" applyAlignment="0" applyProtection="0"/>
    <xf numFmtId="0" fontId="4" fillId="2"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0" borderId="0" applyNumberFormat="0" applyBorder="0" applyAlignment="0" applyProtection="0"/>
    <xf numFmtId="0" fontId="4" fillId="14" borderId="0" applyNumberFormat="0" applyBorder="0" applyAlignment="0" applyProtection="0"/>
    <xf numFmtId="0" fontId="5" fillId="4" borderId="0" applyNumberFormat="0" applyBorder="0" applyAlignment="0" applyProtection="0"/>
    <xf numFmtId="0" fontId="6" fillId="6" borderId="2" applyNumberFormat="0" applyAlignment="0" applyProtection="0"/>
    <xf numFmtId="0" fontId="7" fillId="15" borderId="3" applyNumberFormat="0" applyAlignment="0" applyProtection="0"/>
    <xf numFmtId="0" fontId="9" fillId="0" borderId="0" applyNumberFormat="0" applyFill="0" applyBorder="0" applyAlignment="0" applyProtection="0"/>
    <xf numFmtId="0" fontId="10" fillId="5" borderId="0" applyNumberFormat="0" applyBorder="0" applyAlignment="0" applyProtection="0"/>
    <xf numFmtId="0" fontId="11" fillId="0" borderId="4" applyNumberFormat="0" applyFill="0" applyAlignment="0" applyProtection="0"/>
    <xf numFmtId="0" fontId="12" fillId="0" borderId="4" applyNumberFormat="0" applyFill="0" applyAlignment="0" applyProtection="0"/>
    <xf numFmtId="0" fontId="13" fillId="0" borderId="5" applyNumberFormat="0" applyFill="0" applyAlignment="0" applyProtection="0"/>
    <xf numFmtId="0" fontId="13" fillId="0" borderId="0" applyNumberFormat="0" applyFill="0" applyBorder="0" applyAlignment="0" applyProtection="0"/>
    <xf numFmtId="0" fontId="14" fillId="8" borderId="2" applyNumberFormat="0" applyAlignment="0" applyProtection="0"/>
    <xf numFmtId="0" fontId="15" fillId="0" borderId="6" applyNumberFormat="0" applyFill="0" applyAlignment="0" applyProtection="0"/>
    <xf numFmtId="0" fontId="16" fillId="16" borderId="0" applyNumberFormat="0" applyBorder="0" applyAlignment="0" applyProtection="0"/>
    <xf numFmtId="0" fontId="1" fillId="17" borderId="7" applyNumberFormat="0" applyFont="0" applyAlignment="0" applyProtection="0"/>
    <xf numFmtId="0" fontId="17" fillId="6" borderId="8" applyNumberFormat="0" applyAlignment="0" applyProtection="0"/>
    <xf numFmtId="0" fontId="19" fillId="0" borderId="0" applyNumberFormat="0" applyFill="0" applyBorder="0" applyAlignment="0" applyProtection="0"/>
    <xf numFmtId="0" fontId="8" fillId="0" borderId="9" applyNumberFormat="0" applyFill="0" applyAlignment="0" applyProtection="0"/>
    <xf numFmtId="0" fontId="20" fillId="0" borderId="0" applyNumberFormat="0" applyFill="0" applyBorder="0" applyAlignment="0" applyProtection="0"/>
    <xf numFmtId="0" fontId="26" fillId="0" borderId="0" applyNumberFormat="0" applyFill="0" applyBorder="0" applyAlignment="0" applyProtection="0">
      <alignment vertical="top"/>
      <protection locked="0"/>
    </xf>
    <xf numFmtId="165" fontId="29" fillId="0" borderId="0" applyFont="0" applyFill="0" applyBorder="0" applyAlignment="0" applyProtection="0"/>
    <xf numFmtId="164" fontId="29" fillId="0" borderId="0" applyFont="0" applyFill="0" applyBorder="0" applyAlignment="0" applyProtection="0"/>
    <xf numFmtId="167" fontId="29" fillId="0" borderId="0" applyFont="0" applyFill="0" applyBorder="0" applyAlignment="0" applyProtection="0"/>
    <xf numFmtId="166" fontId="29" fillId="0" borderId="0" applyFont="0" applyFill="0" applyBorder="0" applyAlignment="0" applyProtection="0"/>
    <xf numFmtId="9" fontId="29" fillId="0" borderId="0" applyFont="0" applyFill="0" applyBorder="0" applyAlignment="0" applyProtection="0"/>
    <xf numFmtId="0" fontId="54" fillId="0" borderId="0"/>
    <xf numFmtId="0" fontId="50" fillId="0" borderId="14" applyProtection="0">
      <alignment horizontal="left" vertical="center"/>
    </xf>
    <xf numFmtId="169" fontId="32" fillId="21" borderId="2" applyBorder="0">
      <alignment horizontal="right" vertical="center"/>
    </xf>
    <xf numFmtId="0" fontId="33" fillId="22" borderId="2" applyNumberFormat="0" applyBorder="0">
      <alignment horizontal="right"/>
    </xf>
    <xf numFmtId="0" fontId="34" fillId="23" borderId="1" applyNumberFormat="0" applyBorder="0">
      <alignment vertical="center"/>
    </xf>
    <xf numFmtId="169" fontId="30" fillId="24" borderId="11" applyBorder="0">
      <alignment horizontal="right" vertical="center"/>
    </xf>
    <xf numFmtId="0" fontId="57" fillId="0" borderId="0" applyNumberFormat="0"/>
    <xf numFmtId="0" fontId="35" fillId="0" borderId="0" applyBorder="0">
      <alignment horizontal="left" vertical="center"/>
    </xf>
    <xf numFmtId="0" fontId="47" fillId="0" borderId="14" applyNumberFormat="0">
      <alignment horizontal="left" vertical="center"/>
    </xf>
    <xf numFmtId="0" fontId="47" fillId="0" borderId="0" applyNumberFormat="0">
      <alignment horizontal="center" vertical="center"/>
    </xf>
    <xf numFmtId="0" fontId="47" fillId="0" borderId="13">
      <alignment horizontal="right"/>
    </xf>
    <xf numFmtId="169" fontId="1" fillId="43" borderId="12" applyNumberFormat="0" applyBorder="0" applyAlignment="0" applyProtection="0">
      <alignment vertical="center"/>
    </xf>
    <xf numFmtId="43" fontId="1" fillId="0" borderId="0" applyFont="0" applyFill="0" applyBorder="0" applyAlignment="0" applyProtection="0"/>
    <xf numFmtId="0" fontId="22" fillId="56" borderId="0" applyNumberFormat="0" applyFont="0" applyBorder="0" applyAlignment="0" applyProtection="0"/>
    <xf numFmtId="9" fontId="22" fillId="0" borderId="0" applyFont="0" applyFill="0" applyBorder="0" applyAlignment="0" applyProtection="0"/>
    <xf numFmtId="9" fontId="22" fillId="0" borderId="0" applyFont="0" applyFill="0" applyBorder="0" applyAlignment="0"/>
    <xf numFmtId="171" fontId="46" fillId="20" borderId="0" applyFont="0" applyFill="0" applyBorder="0" applyAlignment="0">
      <alignment vertical="center"/>
    </xf>
    <xf numFmtId="0" fontId="18" fillId="33" borderId="0" applyNumberFormat="0">
      <alignment horizontal="center"/>
      <protection locked="0"/>
    </xf>
    <xf numFmtId="0" fontId="55" fillId="0" borderId="0" applyNumberFormat="0" applyFill="0" applyBorder="0" applyAlignment="0" applyProtection="0"/>
    <xf numFmtId="0" fontId="48" fillId="0" borderId="0" applyNumberFormat="0" applyFill="0" applyBorder="0" applyAlignment="0" applyProtection="0"/>
    <xf numFmtId="0" fontId="18" fillId="32" borderId="0">
      <alignment horizontal="center" vertical="center"/>
      <protection locked="0"/>
    </xf>
    <xf numFmtId="0" fontId="18" fillId="31" borderId="0">
      <alignment horizontal="center"/>
    </xf>
    <xf numFmtId="0" fontId="18" fillId="34" borderId="0">
      <alignment horizontal="center"/>
    </xf>
    <xf numFmtId="0" fontId="1" fillId="0" borderId="0"/>
    <xf numFmtId="0" fontId="1" fillId="0" borderId="0"/>
  </cellStyleXfs>
  <cellXfs count="589">
    <xf numFmtId="0" fontId="0" fillId="0" borderId="0" xfId="0"/>
    <xf numFmtId="0" fontId="0" fillId="0" borderId="0" xfId="0" applyBorder="1" applyAlignment="1">
      <alignment vertical="top"/>
    </xf>
    <xf numFmtId="0" fontId="1" fillId="18" borderId="0" xfId="0" applyFont="1" applyFill="1" applyBorder="1" applyAlignment="1">
      <alignment vertical="top"/>
    </xf>
    <xf numFmtId="0" fontId="18" fillId="18" borderId="0" xfId="0" applyFont="1" applyFill="1" applyBorder="1" applyAlignment="1">
      <alignment horizontal="left" vertical="top"/>
    </xf>
    <xf numFmtId="49" fontId="1" fillId="18" borderId="0" xfId="0" applyNumberFormat="1" applyFont="1" applyFill="1" applyBorder="1" applyAlignment="1">
      <alignment vertical="top"/>
    </xf>
    <xf numFmtId="0" fontId="1" fillId="0" borderId="0" xfId="0" applyFont="1" applyFill="1" applyBorder="1" applyAlignment="1">
      <alignment vertical="top"/>
    </xf>
    <xf numFmtId="0" fontId="28" fillId="18" borderId="0" xfId="0" applyFont="1" applyFill="1" applyBorder="1" applyAlignment="1">
      <alignment vertical="top"/>
    </xf>
    <xf numFmtId="168" fontId="1" fillId="18" borderId="0" xfId="0" applyNumberFormat="1" applyFont="1" applyFill="1" applyBorder="1" applyAlignment="1">
      <alignment horizontal="left" vertical="top"/>
    </xf>
    <xf numFmtId="0" fontId="18" fillId="0" borderId="0" xfId="0" applyFont="1" applyBorder="1" applyAlignment="1">
      <alignment horizontal="left" vertical="top"/>
    </xf>
    <xf numFmtId="0" fontId="1" fillId="0" borderId="0" xfId="0" applyFont="1" applyBorder="1" applyAlignment="1">
      <alignment vertical="top"/>
    </xf>
    <xf numFmtId="49" fontId="1" fillId="0" borderId="0" xfId="0" applyNumberFormat="1" applyFont="1" applyBorder="1" applyAlignment="1">
      <alignment vertical="top"/>
    </xf>
    <xf numFmtId="49" fontId="1" fillId="0" borderId="0" xfId="0" applyNumberFormat="1" applyFont="1" applyFill="1" applyBorder="1" applyAlignment="1">
      <alignment vertical="top"/>
    </xf>
    <xf numFmtId="49" fontId="21" fillId="0" borderId="0" xfId="0" applyNumberFormat="1" applyFont="1" applyBorder="1" applyAlignment="1">
      <alignment vertical="top"/>
    </xf>
    <xf numFmtId="0" fontId="1" fillId="0" borderId="0" xfId="0" applyFont="1" applyBorder="1" applyAlignment="1">
      <alignment vertical="top" wrapText="1"/>
    </xf>
    <xf numFmtId="0" fontId="22" fillId="0" borderId="0" xfId="0" applyFont="1" applyBorder="1" applyAlignment="1">
      <alignment vertical="top"/>
    </xf>
    <xf numFmtId="49" fontId="22" fillId="0" borderId="0" xfId="0" applyNumberFormat="1" applyFont="1" applyBorder="1" applyAlignment="1">
      <alignment vertical="top"/>
    </xf>
    <xf numFmtId="0" fontId="21" fillId="0" borderId="0" xfId="0" applyFont="1" applyBorder="1" applyAlignment="1">
      <alignment vertical="top"/>
    </xf>
    <xf numFmtId="0" fontId="18" fillId="19" borderId="0" xfId="0" applyFont="1" applyFill="1" applyBorder="1" applyAlignment="1">
      <alignment horizontal="left" vertical="top"/>
    </xf>
    <xf numFmtId="0" fontId="21" fillId="19" borderId="0" xfId="0" applyFont="1" applyFill="1" applyBorder="1" applyAlignment="1">
      <alignment vertical="top"/>
    </xf>
    <xf numFmtId="49" fontId="1" fillId="19" borderId="0" xfId="0" applyNumberFormat="1" applyFont="1" applyFill="1" applyBorder="1" applyAlignment="1">
      <alignment vertical="top"/>
    </xf>
    <xf numFmtId="0" fontId="25" fillId="19" borderId="0" xfId="0" applyFont="1" applyFill="1" applyBorder="1" applyAlignment="1">
      <alignment horizontal="left" vertical="top"/>
    </xf>
    <xf numFmtId="0" fontId="2" fillId="19" borderId="0" xfId="0" applyFont="1" applyFill="1" applyBorder="1" applyAlignment="1">
      <alignment vertical="top"/>
    </xf>
    <xf numFmtId="0" fontId="2" fillId="19" borderId="0" xfId="0" applyFont="1" applyFill="1" applyBorder="1" applyAlignment="1">
      <alignment horizontal="justify" vertical="top" wrapText="1"/>
    </xf>
    <xf numFmtId="0" fontId="27" fillId="19" borderId="0" xfId="0" applyFont="1" applyFill="1" applyBorder="1" applyAlignment="1">
      <alignment horizontal="justify" vertical="top" wrapText="1"/>
    </xf>
    <xf numFmtId="0" fontId="23" fillId="0" borderId="0" xfId="0" applyFont="1" applyBorder="1" applyAlignment="1">
      <alignment horizontal="left" vertical="top"/>
    </xf>
    <xf numFmtId="0" fontId="0" fillId="0" borderId="0" xfId="0"/>
    <xf numFmtId="49" fontId="24" fillId="0" borderId="0" xfId="0" applyNumberFormat="1" applyFont="1"/>
    <xf numFmtId="0" fontId="1" fillId="0" borderId="0" xfId="0" applyFont="1"/>
    <xf numFmtId="49" fontId="22" fillId="0" borderId="0" xfId="0" applyNumberFormat="1" applyFont="1"/>
    <xf numFmtId="0" fontId="1" fillId="0" borderId="0" xfId="0" applyFont="1" applyAlignment="1">
      <alignment vertical="center"/>
    </xf>
    <xf numFmtId="0" fontId="0" fillId="0" borderId="0" xfId="0"/>
    <xf numFmtId="0" fontId="39" fillId="0" borderId="0" xfId="55" applyFont="1">
      <alignment horizontal="left" vertical="center"/>
    </xf>
    <xf numFmtId="0" fontId="35" fillId="0" borderId="0" xfId="55" applyFont="1">
      <alignment horizontal="left" vertical="center"/>
    </xf>
    <xf numFmtId="0" fontId="1" fillId="0" borderId="0" xfId="0" applyFont="1" applyAlignment="1">
      <alignment horizontal="left" vertical="center" indent="1"/>
    </xf>
    <xf numFmtId="49" fontId="22" fillId="0" borderId="0" xfId="0" applyNumberFormat="1" applyFont="1" applyBorder="1" applyAlignment="1">
      <alignment horizontal="left"/>
    </xf>
    <xf numFmtId="49" fontId="22" fillId="0" borderId="14" xfId="0" applyNumberFormat="1" applyFont="1" applyBorder="1" applyAlignment="1">
      <alignment horizontal="left"/>
    </xf>
    <xf numFmtId="49" fontId="22" fillId="0" borderId="0" xfId="0" applyNumberFormat="1" applyFont="1" applyBorder="1"/>
    <xf numFmtId="49" fontId="22" fillId="0" borderId="14" xfId="0" applyNumberFormat="1" applyFont="1" applyBorder="1"/>
    <xf numFmtId="0" fontId="18" fillId="0" borderId="0" xfId="0" applyFont="1"/>
    <xf numFmtId="0" fontId="37" fillId="0" borderId="0" xfId="0" applyFont="1"/>
    <xf numFmtId="0" fontId="1" fillId="0" borderId="15" xfId="0" applyFont="1" applyFill="1" applyBorder="1"/>
    <xf numFmtId="0" fontId="1" fillId="0" borderId="16" xfId="0" applyFont="1" applyFill="1" applyBorder="1"/>
    <xf numFmtId="0" fontId="1" fillId="0" borderId="17" xfId="0" applyFont="1" applyFill="1" applyBorder="1"/>
    <xf numFmtId="0" fontId="1" fillId="0" borderId="18" xfId="0" applyFont="1" applyFill="1" applyBorder="1"/>
    <xf numFmtId="0" fontId="1" fillId="0" borderId="0" xfId="0" applyFont="1" applyFill="1" applyBorder="1"/>
    <xf numFmtId="0" fontId="1" fillId="0" borderId="19" xfId="0" applyFont="1" applyFill="1" applyBorder="1"/>
    <xf numFmtId="0" fontId="1" fillId="0" borderId="20" xfId="0" applyFont="1" applyFill="1" applyBorder="1"/>
    <xf numFmtId="0" fontId="1" fillId="0" borderId="21" xfId="0" applyFont="1" applyFill="1" applyBorder="1"/>
    <xf numFmtId="0" fontId="1" fillId="0" borderId="22" xfId="0" applyFont="1" applyFill="1" applyBorder="1"/>
    <xf numFmtId="0" fontId="0" fillId="0" borderId="0" xfId="0" applyAlignment="1">
      <alignment horizontal="center"/>
    </xf>
    <xf numFmtId="3" fontId="1" fillId="0" borderId="0" xfId="0" applyNumberFormat="1" applyFont="1" applyFill="1"/>
    <xf numFmtId="3" fontId="1" fillId="0" borderId="0" xfId="0" applyNumberFormat="1" applyFont="1" applyFill="1" applyBorder="1"/>
    <xf numFmtId="0" fontId="57" fillId="0" borderId="0" xfId="54"/>
    <xf numFmtId="0" fontId="1" fillId="0" borderId="23" xfId="0" applyFont="1" applyBorder="1"/>
    <xf numFmtId="0" fontId="1" fillId="0" borderId="24" xfId="0" applyFont="1" applyBorder="1"/>
    <xf numFmtId="0" fontId="1" fillId="0" borderId="25" xfId="0" applyFont="1" applyBorder="1"/>
    <xf numFmtId="0" fontId="1" fillId="0" borderId="26" xfId="0" applyFont="1" applyBorder="1"/>
    <xf numFmtId="0" fontId="18" fillId="56" borderId="0" xfId="61" applyFont="1"/>
    <xf numFmtId="0" fontId="0" fillId="56" borderId="0" xfId="61" applyFont="1"/>
    <xf numFmtId="0" fontId="1" fillId="56" borderId="0" xfId="61" applyFont="1"/>
    <xf numFmtId="3" fontId="1" fillId="0" borderId="0" xfId="0" applyNumberFormat="1" applyFont="1" applyFill="1" applyBorder="1" applyAlignment="1">
      <alignment horizontal="center" vertical="center"/>
    </xf>
    <xf numFmtId="0" fontId="50" fillId="0" borderId="14" xfId="49">
      <alignment horizontal="left" vertical="center"/>
    </xf>
    <xf numFmtId="0" fontId="47" fillId="0" borderId="14" xfId="56">
      <alignment horizontal="left" vertical="center"/>
    </xf>
    <xf numFmtId="0" fontId="18" fillId="0" borderId="0" xfId="57" applyNumberFormat="1" applyFont="1" applyFill="1">
      <alignment horizontal="center" vertical="center"/>
    </xf>
    <xf numFmtId="49" fontId="22" fillId="0" borderId="0" xfId="0" applyNumberFormat="1" applyFont="1" applyFill="1" applyBorder="1" applyAlignment="1">
      <alignment horizontal="left"/>
    </xf>
    <xf numFmtId="0" fontId="47" fillId="0" borderId="14" xfId="56" applyAlignment="1">
      <alignment horizontal="left" vertical="center"/>
    </xf>
    <xf numFmtId="0" fontId="18" fillId="32" borderId="0" xfId="68">
      <alignment horizontal="center" vertical="center"/>
      <protection locked="0"/>
    </xf>
    <xf numFmtId="0" fontId="18" fillId="0" borderId="0" xfId="0" applyFont="1" applyFill="1" applyBorder="1" applyAlignment="1">
      <alignment horizontal="center"/>
    </xf>
    <xf numFmtId="0" fontId="18" fillId="31" borderId="0" xfId="69">
      <alignment horizontal="center"/>
    </xf>
    <xf numFmtId="0" fontId="18" fillId="33" borderId="0" xfId="65">
      <alignment horizontal="center"/>
      <protection locked="0"/>
    </xf>
    <xf numFmtId="0" fontId="40" fillId="56" borderId="0" xfId="61" applyFont="1" applyBorder="1" applyAlignment="1">
      <alignment horizontal="left"/>
    </xf>
    <xf numFmtId="0" fontId="40" fillId="56" borderId="0" xfId="61" applyFont="1" applyBorder="1" applyAlignment="1">
      <alignment horizontal="right"/>
    </xf>
    <xf numFmtId="0" fontId="0" fillId="0" borderId="0" xfId="0" applyFill="1"/>
    <xf numFmtId="0" fontId="18" fillId="35" borderId="0" xfId="70" applyFill="1">
      <alignment horizontal="center"/>
    </xf>
    <xf numFmtId="0" fontId="47" fillId="0" borderId="0" xfId="57" applyBorder="1" applyAlignment="1">
      <alignment horizontal="left" vertical="center"/>
    </xf>
    <xf numFmtId="0" fontId="1" fillId="19" borderId="0" xfId="0" applyFont="1" applyFill="1" applyBorder="1" applyAlignment="1">
      <alignment vertical="top"/>
    </xf>
    <xf numFmtId="0" fontId="23" fillId="19" borderId="0" xfId="0" applyFont="1" applyFill="1" applyBorder="1" applyAlignment="1">
      <alignment horizontal="left" vertical="top"/>
    </xf>
    <xf numFmtId="0" fontId="50" fillId="0" borderId="0" xfId="49" applyFill="1" applyBorder="1">
      <alignment horizontal="left" vertical="center"/>
    </xf>
    <xf numFmtId="0" fontId="50" fillId="0" borderId="0" xfId="49" applyFont="1" applyFill="1" applyBorder="1">
      <alignment horizontal="left" vertical="center"/>
    </xf>
    <xf numFmtId="49" fontId="51" fillId="18" borderId="0" xfId="0" applyNumberFormat="1" applyFont="1" applyFill="1" applyBorder="1" applyAlignment="1">
      <alignment vertical="top"/>
    </xf>
    <xf numFmtId="169" fontId="33" fillId="21" borderId="0" xfId="50" applyFont="1" applyBorder="1">
      <alignment horizontal="right" vertical="center"/>
    </xf>
    <xf numFmtId="0" fontId="1" fillId="0" borderId="0" xfId="0" applyFont="1" applyBorder="1" applyAlignment="1">
      <alignment vertical="center"/>
    </xf>
    <xf numFmtId="0" fontId="33" fillId="22" borderId="0" xfId="51" applyFont="1" applyBorder="1" applyAlignment="1">
      <alignment horizontal="right" vertical="center"/>
    </xf>
    <xf numFmtId="0" fontId="1" fillId="23" borderId="0" xfId="52" applyFont="1" applyBorder="1">
      <alignment vertical="center"/>
    </xf>
    <xf numFmtId="169" fontId="30" fillId="24" borderId="0" xfId="53" applyFont="1" applyBorder="1">
      <alignment horizontal="right" vertical="center"/>
    </xf>
    <xf numFmtId="0" fontId="18" fillId="0" borderId="0" xfId="58" applyFont="1" applyBorder="1">
      <alignment horizontal="right"/>
    </xf>
    <xf numFmtId="0" fontId="49" fillId="0" borderId="0" xfId="0" applyFont="1" applyFill="1"/>
    <xf numFmtId="0" fontId="37" fillId="0" borderId="0" xfId="0" applyFont="1" applyAlignment="1">
      <alignment horizontal="left" indent="2"/>
    </xf>
    <xf numFmtId="0" fontId="18" fillId="0" borderId="14" xfId="56" applyFont="1" applyFill="1" applyBorder="1" applyAlignment="1">
      <alignment horizontal="left" vertical="center"/>
    </xf>
    <xf numFmtId="0" fontId="50" fillId="0" borderId="14" xfId="49" applyFill="1">
      <alignment horizontal="left" vertical="center"/>
    </xf>
    <xf numFmtId="0" fontId="18" fillId="0" borderId="14" xfId="56" applyFont="1" applyFill="1" applyBorder="1" applyAlignment="1">
      <alignment horizontal="right" vertical="center"/>
    </xf>
    <xf numFmtId="0" fontId="40" fillId="30" borderId="0" xfId="61" applyFont="1" applyFill="1" applyBorder="1" applyAlignment="1">
      <alignment horizontal="left"/>
    </xf>
    <xf numFmtId="0" fontId="40" fillId="30" borderId="0" xfId="61" applyFont="1" applyFill="1" applyBorder="1" applyAlignment="1">
      <alignment horizontal="right"/>
    </xf>
    <xf numFmtId="0" fontId="52" fillId="0" borderId="0" xfId="0" applyFont="1" applyFill="1"/>
    <xf numFmtId="0" fontId="38" fillId="36" borderId="0" xfId="0" applyFont="1" applyFill="1" applyAlignment="1">
      <alignment horizontal="center" vertical="center"/>
    </xf>
    <xf numFmtId="0" fontId="38" fillId="46" borderId="0" xfId="0" applyFont="1" applyFill="1" applyAlignment="1">
      <alignment horizontal="center"/>
    </xf>
    <xf numFmtId="0" fontId="38" fillId="37" borderId="0" xfId="0" applyFont="1" applyFill="1" applyAlignment="1">
      <alignment horizontal="center"/>
    </xf>
    <xf numFmtId="0" fontId="38" fillId="45" borderId="0" xfId="0" applyFont="1" applyFill="1" applyAlignment="1">
      <alignment horizontal="center"/>
    </xf>
    <xf numFmtId="0" fontId="38" fillId="28" borderId="0" xfId="0" applyFont="1" applyFill="1" applyAlignment="1">
      <alignment horizontal="center"/>
    </xf>
    <xf numFmtId="0" fontId="38" fillId="54" borderId="0" xfId="0" applyFont="1" applyFill="1" applyAlignment="1">
      <alignment horizontal="center"/>
    </xf>
    <xf numFmtId="0" fontId="38" fillId="38" borderId="0" xfId="0" applyFont="1" applyFill="1" applyAlignment="1">
      <alignment horizontal="center"/>
    </xf>
    <xf numFmtId="0" fontId="38" fillId="39" borderId="0" xfId="0" applyFont="1" applyFill="1" applyAlignment="1">
      <alignment horizontal="center"/>
    </xf>
    <xf numFmtId="0" fontId="38" fillId="40" borderId="0" xfId="0" applyFont="1" applyFill="1" applyAlignment="1">
      <alignment horizontal="center"/>
    </xf>
    <xf numFmtId="0" fontId="38" fillId="29" borderId="0" xfId="0" applyFont="1" applyFill="1" applyAlignment="1">
      <alignment horizontal="center"/>
    </xf>
    <xf numFmtId="0" fontId="38" fillId="47" borderId="0" xfId="0" applyFont="1" applyFill="1" applyAlignment="1">
      <alignment horizontal="center"/>
    </xf>
    <xf numFmtId="0" fontId="38" fillId="41" borderId="0" xfId="0" applyFont="1" applyFill="1" applyAlignment="1">
      <alignment horizontal="center"/>
    </xf>
    <xf numFmtId="0" fontId="38" fillId="48" borderId="0" xfId="0" applyFont="1" applyFill="1" applyAlignment="1">
      <alignment horizontal="center"/>
    </xf>
    <xf numFmtId="0" fontId="38" fillId="27" borderId="0" xfId="0" applyFont="1" applyFill="1" applyAlignment="1">
      <alignment horizontal="center"/>
    </xf>
    <xf numFmtId="0" fontId="38" fillId="44" borderId="0" xfId="0" applyFont="1" applyFill="1" applyAlignment="1">
      <alignment horizontal="center"/>
    </xf>
    <xf numFmtId="0" fontId="38" fillId="47" borderId="14" xfId="0" applyFont="1" applyFill="1" applyBorder="1" applyAlignment="1">
      <alignment horizontal="center"/>
    </xf>
    <xf numFmtId="0" fontId="38" fillId="36" borderId="0" xfId="0" applyFont="1" applyFill="1" applyAlignment="1">
      <alignment horizontal="center"/>
    </xf>
    <xf numFmtId="0" fontId="38" fillId="42" borderId="14" xfId="0" applyFont="1" applyFill="1" applyBorder="1" applyAlignment="1">
      <alignment horizontal="center"/>
    </xf>
    <xf numFmtId="0" fontId="38" fillId="43" borderId="0" xfId="0" applyFont="1" applyFill="1" applyAlignment="1">
      <alignment horizontal="center"/>
    </xf>
    <xf numFmtId="0" fontId="38" fillId="46" borderId="14" xfId="0" applyFont="1" applyFill="1" applyBorder="1" applyAlignment="1">
      <alignment horizontal="center"/>
    </xf>
    <xf numFmtId="0" fontId="38" fillId="49" borderId="0" xfId="0" applyFont="1" applyFill="1" applyAlignment="1">
      <alignment horizontal="center"/>
    </xf>
    <xf numFmtId="0" fontId="38" fillId="50" borderId="0" xfId="0" applyFont="1" applyFill="1" applyAlignment="1">
      <alignment horizontal="center"/>
    </xf>
    <xf numFmtId="0" fontId="38" fillId="51" borderId="0" xfId="0" applyFont="1" applyFill="1" applyAlignment="1">
      <alignment horizontal="center"/>
    </xf>
    <xf numFmtId="0" fontId="38" fillId="52" borderId="0" xfId="0" applyFont="1" applyFill="1" applyAlignment="1">
      <alignment horizontal="center"/>
    </xf>
    <xf numFmtId="0" fontId="38" fillId="53" borderId="0" xfId="0" applyFont="1" applyFill="1" applyAlignment="1">
      <alignment horizontal="center"/>
    </xf>
    <xf numFmtId="0" fontId="0" fillId="42" borderId="0" xfId="0" applyFont="1" applyFill="1" applyAlignment="1">
      <alignment horizontal="center"/>
    </xf>
    <xf numFmtId="0" fontId="0" fillId="36" borderId="0" xfId="0" applyFont="1" applyFill="1" applyAlignment="1">
      <alignment horizontal="center"/>
    </xf>
    <xf numFmtId="0" fontId="0" fillId="43" borderId="14" xfId="0" applyFont="1" applyFill="1" applyBorder="1" applyAlignment="1">
      <alignment horizontal="center"/>
    </xf>
    <xf numFmtId="0" fontId="0" fillId="43" borderId="0" xfId="0" applyFont="1" applyFill="1" applyAlignment="1">
      <alignment horizontal="center"/>
    </xf>
    <xf numFmtId="0" fontId="0" fillId="61" borderId="0" xfId="0" applyFont="1" applyFill="1" applyAlignment="1">
      <alignment horizontal="center"/>
    </xf>
    <xf numFmtId="0" fontId="0" fillId="53" borderId="0" xfId="0" applyFont="1" applyFill="1" applyAlignment="1">
      <alignment horizontal="center"/>
    </xf>
    <xf numFmtId="0" fontId="0" fillId="35" borderId="14" xfId="0" applyFont="1" applyFill="1" applyBorder="1" applyAlignment="1">
      <alignment horizontal="center"/>
    </xf>
    <xf numFmtId="0" fontId="47" fillId="0" borderId="0" xfId="57" applyFill="1" applyBorder="1" applyAlignment="1">
      <alignment horizontal="left" vertical="center" wrapText="1"/>
    </xf>
    <xf numFmtId="0" fontId="47" fillId="0" borderId="14" xfId="56" applyNumberFormat="1">
      <alignment horizontal="left" vertical="center"/>
    </xf>
    <xf numFmtId="0" fontId="47" fillId="0" borderId="14" xfId="56" applyAlignment="1">
      <alignment horizontal="center" vertical="center"/>
    </xf>
    <xf numFmtId="0" fontId="47" fillId="0" borderId="27" xfId="57" applyBorder="1" applyAlignment="1">
      <alignment horizontal="right" vertical="center"/>
    </xf>
    <xf numFmtId="0" fontId="36" fillId="0" borderId="10" xfId="56" applyFont="1" applyFill="1" applyBorder="1" applyAlignment="1">
      <alignment horizontal="right" vertical="center"/>
    </xf>
    <xf numFmtId="0" fontId="31" fillId="0" borderId="10" xfId="56" applyFont="1" applyFill="1" applyBorder="1" applyAlignment="1">
      <alignment horizontal="left" vertical="center"/>
    </xf>
    <xf numFmtId="0" fontId="56" fillId="18" borderId="0" xfId="0" applyFont="1" applyFill="1" applyBorder="1" applyAlignment="1">
      <alignment horizontal="left" vertical="top"/>
    </xf>
    <xf numFmtId="0" fontId="56" fillId="0" borderId="0" xfId="0" applyFont="1" applyBorder="1" applyAlignment="1">
      <alignment horizontal="left" vertical="top"/>
    </xf>
    <xf numFmtId="0" fontId="56" fillId="18" borderId="0" xfId="0" applyFont="1" applyFill="1" applyBorder="1" applyAlignment="1">
      <alignment vertical="top"/>
    </xf>
    <xf numFmtId="0" fontId="40" fillId="0" borderId="0" xfId="0" applyFont="1" applyFill="1" applyBorder="1" applyAlignment="1">
      <alignment horizontal="left"/>
    </xf>
    <xf numFmtId="3" fontId="40" fillId="0" borderId="0" xfId="0" applyNumberFormat="1" applyFont="1" applyFill="1" applyBorder="1" applyAlignment="1">
      <alignment horizontal="left"/>
    </xf>
    <xf numFmtId="3" fontId="40" fillId="62" borderId="0" xfId="0" applyNumberFormat="1" applyFont="1" applyFill="1" applyBorder="1" applyAlignment="1">
      <alignment horizontal="left"/>
    </xf>
    <xf numFmtId="0" fontId="47" fillId="0" borderId="0" xfId="58" applyBorder="1" applyAlignment="1">
      <alignment horizontal="left" vertical="center"/>
    </xf>
    <xf numFmtId="0" fontId="58" fillId="0" borderId="0" xfId="0" applyFont="1"/>
    <xf numFmtId="0" fontId="38" fillId="64" borderId="0" xfId="0" applyFont="1" applyFill="1" applyAlignment="1">
      <alignment horizontal="center"/>
    </xf>
    <xf numFmtId="0" fontId="45" fillId="18" borderId="0" xfId="0" applyFont="1" applyFill="1" applyBorder="1" applyAlignment="1">
      <alignment horizontal="left" vertical="top"/>
    </xf>
    <xf numFmtId="0" fontId="59" fillId="0" borderId="0" xfId="57" applyFont="1" applyAlignment="1">
      <alignment horizontal="left" vertical="center"/>
    </xf>
    <xf numFmtId="0" fontId="44" fillId="0" borderId="0" xfId="0" applyFont="1" applyFill="1"/>
    <xf numFmtId="0" fontId="44" fillId="0" borderId="0" xfId="0" applyFont="1"/>
    <xf numFmtId="0" fontId="45" fillId="0" borderId="0" xfId="0" applyFont="1"/>
    <xf numFmtId="171" fontId="1" fillId="18" borderId="0" xfId="64" applyFont="1" applyFill="1" applyBorder="1" applyAlignment="1">
      <alignment vertical="top"/>
    </xf>
    <xf numFmtId="0" fontId="18" fillId="34" borderId="0" xfId="70">
      <alignment horizontal="center"/>
    </xf>
    <xf numFmtId="0" fontId="44" fillId="0" borderId="0" xfId="0" applyFont="1" applyFill="1" applyAlignment="1">
      <alignment horizontal="right"/>
    </xf>
    <xf numFmtId="0" fontId="44" fillId="56" borderId="0" xfId="61" applyFont="1" applyAlignment="1">
      <alignment horizontal="left" indent="1"/>
    </xf>
    <xf numFmtId="0" fontId="1" fillId="56" borderId="0" xfId="61" applyFont="1" applyAlignment="1">
      <alignment horizontal="left" indent="1"/>
    </xf>
    <xf numFmtId="0" fontId="1" fillId="56" borderId="0" xfId="61" applyFont="1" applyAlignment="1">
      <alignment horizontal="left" indent="3"/>
    </xf>
    <xf numFmtId="0" fontId="18" fillId="56" borderId="0" xfId="61" applyFont="1" applyBorder="1"/>
    <xf numFmtId="0" fontId="0" fillId="0" borderId="0" xfId="0"/>
    <xf numFmtId="0" fontId="47" fillId="0" borderId="0" xfId="57">
      <alignment horizontal="center" vertical="center"/>
    </xf>
    <xf numFmtId="1" fontId="40" fillId="0" borderId="0" xfId="0" applyNumberFormat="1" applyFont="1" applyFill="1" applyBorder="1" applyAlignment="1" applyProtection="1">
      <alignment horizontal="right"/>
      <protection locked="0"/>
    </xf>
    <xf numFmtId="0" fontId="60" fillId="0" borderId="14" xfId="56" applyFont="1">
      <alignment horizontal="left" vertical="center"/>
    </xf>
    <xf numFmtId="0" fontId="47" fillId="0" borderId="14" xfId="56" applyAlignment="1">
      <alignment horizontal="left" vertical="center" indent="1"/>
    </xf>
    <xf numFmtId="0" fontId="1" fillId="56" borderId="0" xfId="61" quotePrefix="1" applyFont="1" applyBorder="1"/>
    <xf numFmtId="0" fontId="1" fillId="43" borderId="0" xfId="59" applyNumberFormat="1" applyBorder="1" applyAlignment="1"/>
    <xf numFmtId="0" fontId="60" fillId="0" borderId="14" xfId="56" applyFont="1" applyFill="1" applyBorder="1" applyAlignment="1">
      <alignment horizontal="right" vertical="center"/>
    </xf>
    <xf numFmtId="0" fontId="60" fillId="0" borderId="27" xfId="57" applyFont="1" applyBorder="1" applyAlignment="1">
      <alignment horizontal="right" vertical="center"/>
    </xf>
    <xf numFmtId="172" fontId="57" fillId="0" borderId="0" xfId="0" applyNumberFormat="1" applyFont="1" applyFill="1" applyBorder="1" applyAlignment="1">
      <alignment horizontal="center"/>
    </xf>
    <xf numFmtId="172" fontId="41" fillId="0" borderId="0" xfId="0" applyNumberFormat="1" applyFont="1" applyFill="1" applyBorder="1" applyAlignment="1">
      <alignment horizontal="center"/>
    </xf>
    <xf numFmtId="173" fontId="47" fillId="0" borderId="0" xfId="58" applyNumberFormat="1" applyBorder="1" applyAlignment="1">
      <alignment vertical="center"/>
    </xf>
    <xf numFmtId="172" fontId="44" fillId="0" borderId="0" xfId="0" quotePrefix="1" applyNumberFormat="1" applyFont="1" applyFill="1" applyBorder="1" applyAlignment="1">
      <alignment horizontal="left"/>
    </xf>
    <xf numFmtId="0" fontId="60" fillId="0" borderId="14" xfId="56" applyFont="1" applyAlignment="1">
      <alignment horizontal="left" vertical="center"/>
    </xf>
    <xf numFmtId="0" fontId="61" fillId="0" borderId="0" xfId="0" applyFont="1"/>
    <xf numFmtId="165" fontId="61" fillId="0" borderId="0" xfId="0" applyNumberFormat="1" applyFont="1"/>
    <xf numFmtId="0" fontId="40" fillId="0" borderId="0" xfId="0" applyFont="1"/>
    <xf numFmtId="1" fontId="62" fillId="0" borderId="0" xfId="0" applyNumberFormat="1" applyFont="1"/>
    <xf numFmtId="0" fontId="40" fillId="0" borderId="0" xfId="55" applyFont="1">
      <alignment horizontal="left" vertical="center"/>
    </xf>
    <xf numFmtId="1" fontId="47" fillId="0" borderId="0" xfId="57" applyNumberFormat="1">
      <alignment horizontal="center" vertical="center"/>
    </xf>
    <xf numFmtId="1" fontId="60" fillId="0" borderId="0" xfId="57" applyNumberFormat="1" applyFont="1">
      <alignment horizontal="center" vertical="center"/>
    </xf>
    <xf numFmtId="0" fontId="50" fillId="66" borderId="14" xfId="49" applyFill="1">
      <alignment horizontal="left" vertical="center"/>
    </xf>
    <xf numFmtId="0" fontId="0" fillId="66" borderId="0" xfId="0" applyFill="1"/>
    <xf numFmtId="0" fontId="40" fillId="66" borderId="0" xfId="0" applyFont="1" applyFill="1"/>
    <xf numFmtId="1" fontId="62" fillId="66" borderId="0" xfId="0" applyNumberFormat="1" applyFont="1" applyFill="1"/>
    <xf numFmtId="0" fontId="61" fillId="66" borderId="0" xfId="0" applyFont="1" applyFill="1"/>
    <xf numFmtId="0" fontId="47" fillId="66" borderId="14" xfId="56" applyFill="1">
      <alignment horizontal="left" vertical="center"/>
    </xf>
    <xf numFmtId="0" fontId="1" fillId="66" borderId="0" xfId="0" applyFont="1" applyFill="1"/>
    <xf numFmtId="0" fontId="40" fillId="66" borderId="0" xfId="0" applyNumberFormat="1" applyFont="1" applyFill="1" applyBorder="1" applyAlignment="1">
      <alignment horizontal="center"/>
    </xf>
    <xf numFmtId="170" fontId="40" fillId="66" borderId="0" xfId="60" applyNumberFormat="1" applyFont="1" applyFill="1"/>
    <xf numFmtId="0" fontId="1" fillId="66" borderId="0" xfId="0" applyFont="1" applyFill="1" applyAlignment="1">
      <alignment horizontal="center"/>
    </xf>
    <xf numFmtId="0" fontId="40" fillId="66" borderId="0" xfId="0" applyFont="1" applyFill="1" applyAlignment="1">
      <alignment horizontal="center"/>
    </xf>
    <xf numFmtId="0" fontId="61" fillId="66" borderId="0" xfId="0" applyFont="1" applyFill="1" applyAlignment="1">
      <alignment horizontal="center"/>
    </xf>
    <xf numFmtId="0" fontId="40" fillId="66" borderId="0" xfId="55" applyFont="1" applyFill="1">
      <alignment horizontal="left" vertical="center"/>
    </xf>
    <xf numFmtId="14" fontId="40" fillId="66" borderId="0" xfId="0" applyNumberFormat="1" applyFont="1" applyFill="1"/>
    <xf numFmtId="170" fontId="61" fillId="66" borderId="0" xfId="54" applyNumberFormat="1" applyFont="1" applyFill="1"/>
    <xf numFmtId="165" fontId="61" fillId="66" borderId="0" xfId="0" applyNumberFormat="1" applyFont="1" applyFill="1"/>
    <xf numFmtId="0" fontId="63" fillId="66" borderId="14" xfId="49" applyFont="1" applyFill="1">
      <alignment horizontal="left" vertical="center"/>
    </xf>
    <xf numFmtId="0" fontId="64" fillId="66" borderId="0" xfId="0" applyFont="1" applyFill="1"/>
    <xf numFmtId="0" fontId="50" fillId="0" borderId="14" xfId="49" applyFont="1">
      <alignment horizontal="left" vertical="center"/>
    </xf>
    <xf numFmtId="0" fontId="38" fillId="42" borderId="0" xfId="0" applyFont="1" applyFill="1" applyAlignment="1">
      <alignment horizontal="center"/>
    </xf>
    <xf numFmtId="0" fontId="38" fillId="67" borderId="0" xfId="0" applyFont="1" applyFill="1" applyAlignment="1">
      <alignment horizontal="center"/>
    </xf>
    <xf numFmtId="0" fontId="38" fillId="69" borderId="0" xfId="0" applyFont="1" applyFill="1" applyAlignment="1">
      <alignment horizontal="center"/>
    </xf>
    <xf numFmtId="0" fontId="1" fillId="40" borderId="0" xfId="0" applyFont="1" applyFill="1" applyAlignment="1">
      <alignment horizontal="center"/>
    </xf>
    <xf numFmtId="0" fontId="1" fillId="26" borderId="0" xfId="0" applyNumberFormat="1" applyFont="1" applyFill="1" applyBorder="1" applyAlignment="1">
      <alignment horizontal="center"/>
    </xf>
    <xf numFmtId="0" fontId="1" fillId="30" borderId="14" xfId="0" applyFont="1" applyFill="1" applyBorder="1" applyAlignment="1">
      <alignment horizontal="center"/>
    </xf>
    <xf numFmtId="0" fontId="40" fillId="0" borderId="0" xfId="0" applyFont="1" applyFill="1" applyBorder="1" applyAlignment="1" applyProtection="1">
      <alignment horizontal="right"/>
      <protection locked="0"/>
    </xf>
    <xf numFmtId="0" fontId="1" fillId="70" borderId="0" xfId="0" applyFont="1" applyFill="1" applyBorder="1" applyAlignment="1">
      <alignment horizontal="center"/>
    </xf>
    <xf numFmtId="0" fontId="38" fillId="68" borderId="0" xfId="0" applyFont="1" applyFill="1" applyBorder="1" applyAlignment="1">
      <alignment horizontal="center"/>
    </xf>
    <xf numFmtId="0" fontId="36" fillId="18" borderId="0" xfId="0" applyFont="1" applyFill="1" applyBorder="1" applyAlignment="1">
      <alignment horizontal="left"/>
    </xf>
    <xf numFmtId="0" fontId="36" fillId="18" borderId="0" xfId="0" applyFont="1" applyFill="1" applyBorder="1" applyAlignment="1">
      <alignment horizontal="left" vertical="top"/>
    </xf>
    <xf numFmtId="0" fontId="36" fillId="0" borderId="0" xfId="0" applyFont="1" applyBorder="1" applyAlignment="1">
      <alignment horizontal="left" vertical="top"/>
    </xf>
    <xf numFmtId="0" fontId="36" fillId="0" borderId="0" xfId="0" applyFont="1"/>
    <xf numFmtId="0" fontId="65" fillId="0" borderId="0" xfId="66" applyFont="1" applyAlignment="1" applyProtection="1"/>
    <xf numFmtId="0" fontId="36" fillId="0" borderId="0" xfId="57" applyFont="1" applyAlignment="1">
      <alignment horizontal="left" vertical="center"/>
    </xf>
    <xf numFmtId="0" fontId="47" fillId="0" borderId="13" xfId="58" applyFill="1" applyBorder="1" applyAlignment="1">
      <alignment vertical="center"/>
    </xf>
    <xf numFmtId="173" fontId="47" fillId="0" borderId="13" xfId="58" applyNumberFormat="1" applyFill="1" applyBorder="1" applyAlignment="1">
      <alignment vertical="center"/>
    </xf>
    <xf numFmtId="0" fontId="18" fillId="34" borderId="13" xfId="70" applyBorder="1">
      <alignment horizontal="center"/>
    </xf>
    <xf numFmtId="0" fontId="0" fillId="19" borderId="0" xfId="0" applyFill="1"/>
    <xf numFmtId="0" fontId="1" fillId="19" borderId="0" xfId="0" applyFont="1" applyFill="1"/>
    <xf numFmtId="1" fontId="1" fillId="19" borderId="0" xfId="0" applyNumberFormat="1" applyFont="1" applyFill="1"/>
    <xf numFmtId="0" fontId="38" fillId="100" borderId="0" xfId="0" applyNumberFormat="1" applyFont="1" applyFill="1" applyBorder="1" applyAlignment="1">
      <alignment horizontal="center"/>
    </xf>
    <xf numFmtId="0" fontId="18" fillId="66" borderId="0" xfId="0" applyFont="1" applyFill="1"/>
    <xf numFmtId="0" fontId="50" fillId="0" borderId="14" xfId="49" applyAlignment="1">
      <alignment horizontal="left" vertical="center"/>
    </xf>
    <xf numFmtId="1" fontId="40" fillId="0" borderId="0" xfId="0" applyNumberFormat="1" applyFont="1" applyFill="1" applyBorder="1" applyAlignment="1">
      <alignment horizontal="left"/>
    </xf>
    <xf numFmtId="1" fontId="62" fillId="56" borderId="0" xfId="61" applyNumberFormat="1" applyFont="1" applyBorder="1" applyAlignment="1">
      <alignment horizontal="left"/>
    </xf>
    <xf numFmtId="0" fontId="50" fillId="0" borderId="14" xfId="49" applyAlignment="1">
      <alignment horizontal="right" vertical="center"/>
    </xf>
    <xf numFmtId="0" fontId="47" fillId="0" borderId="14" xfId="56" applyAlignment="1">
      <alignment horizontal="right" vertical="center"/>
    </xf>
    <xf numFmtId="0" fontId="40" fillId="0" borderId="0" xfId="56" applyFont="1" applyFill="1" applyBorder="1" applyAlignment="1">
      <alignment horizontal="left" vertical="center"/>
    </xf>
    <xf numFmtId="0" fontId="0" fillId="56" borderId="0" xfId="61" applyFont="1" applyBorder="1" applyAlignment="1">
      <alignment horizontal="right"/>
    </xf>
    <xf numFmtId="0" fontId="50" fillId="0" borderId="0" xfId="49" applyBorder="1" applyAlignment="1">
      <alignment horizontal="left" vertical="center"/>
    </xf>
    <xf numFmtId="0" fontId="50" fillId="0" borderId="0" xfId="49" applyBorder="1" applyAlignment="1">
      <alignment horizontal="right" vertical="center"/>
    </xf>
    <xf numFmtId="0" fontId="40" fillId="0" borderId="0" xfId="57" applyFont="1" applyFill="1" applyBorder="1" applyAlignment="1">
      <alignment horizontal="left" vertical="center"/>
    </xf>
    <xf numFmtId="0" fontId="40" fillId="0" borderId="0" xfId="58" applyFont="1" applyFill="1" applyBorder="1" applyAlignment="1">
      <alignment horizontal="left"/>
    </xf>
    <xf numFmtId="0" fontId="40" fillId="0" borderId="0" xfId="57" applyFont="1" applyFill="1" applyBorder="1" applyAlignment="1" applyProtection="1">
      <alignment horizontal="right" vertical="center"/>
      <protection locked="0"/>
    </xf>
    <xf numFmtId="0" fontId="40" fillId="0" borderId="0" xfId="56" applyFont="1" applyFill="1" applyBorder="1" applyAlignment="1" applyProtection="1">
      <alignment horizontal="right" vertical="center"/>
      <protection locked="0"/>
    </xf>
    <xf numFmtId="0" fontId="40" fillId="0" borderId="0" xfId="58" applyFont="1" applyFill="1" applyBorder="1" applyAlignment="1" applyProtection="1">
      <alignment horizontal="right"/>
      <protection locked="0"/>
    </xf>
    <xf numFmtId="0" fontId="0" fillId="56" borderId="0" xfId="61" applyFont="1" applyBorder="1" applyAlignment="1">
      <alignment horizontal="left"/>
    </xf>
    <xf numFmtId="170" fontId="40" fillId="0" borderId="0" xfId="60" applyNumberFormat="1" applyFont="1" applyFill="1" applyBorder="1" applyAlignment="1" applyProtection="1">
      <alignment horizontal="right"/>
      <protection locked="0"/>
    </xf>
    <xf numFmtId="14" fontId="40" fillId="0" borderId="0" xfId="0" applyNumberFormat="1" applyFont="1" applyFill="1" applyBorder="1" applyAlignment="1">
      <alignment horizontal="left"/>
    </xf>
    <xf numFmtId="0" fontId="68" fillId="0" borderId="0" xfId="0" applyFont="1" applyAlignment="1">
      <alignment horizontal="center" vertical="center" readingOrder="1"/>
    </xf>
    <xf numFmtId="0" fontId="40" fillId="0" borderId="14" xfId="0" applyFont="1" applyFill="1" applyBorder="1" applyAlignment="1">
      <alignment horizontal="left"/>
    </xf>
    <xf numFmtId="0" fontId="30" fillId="36" borderId="0" xfId="0" applyFont="1" applyFill="1" applyAlignment="1">
      <alignment horizontal="left" vertical="center"/>
    </xf>
    <xf numFmtId="0" fontId="38" fillId="46" borderId="0" xfId="0" applyFont="1" applyFill="1" applyAlignment="1">
      <alignment horizontal="left"/>
    </xf>
    <xf numFmtId="0" fontId="38" fillId="37" borderId="0" xfId="0" applyFont="1" applyFill="1" applyAlignment="1">
      <alignment horizontal="left"/>
    </xf>
    <xf numFmtId="0" fontId="38" fillId="58" borderId="0" xfId="0" applyFont="1" applyFill="1" applyAlignment="1">
      <alignment horizontal="left"/>
    </xf>
    <xf numFmtId="0" fontId="38" fillId="71" borderId="0" xfId="0" applyFont="1" applyFill="1" applyBorder="1" applyAlignment="1">
      <alignment horizontal="left"/>
    </xf>
    <xf numFmtId="0" fontId="38" fillId="84" borderId="0" xfId="0" applyFont="1" applyFill="1" applyBorder="1" applyAlignment="1">
      <alignment horizontal="left"/>
    </xf>
    <xf numFmtId="0" fontId="38" fillId="63" borderId="0" xfId="0" applyFont="1" applyFill="1" applyAlignment="1">
      <alignment horizontal="left"/>
    </xf>
    <xf numFmtId="0" fontId="38" fillId="83" borderId="0" xfId="0" applyFont="1" applyFill="1" applyBorder="1" applyAlignment="1">
      <alignment horizontal="left"/>
    </xf>
    <xf numFmtId="0" fontId="0" fillId="57" borderId="0" xfId="0" applyFont="1" applyFill="1" applyAlignment="1">
      <alignment horizontal="left"/>
    </xf>
    <xf numFmtId="0" fontId="0" fillId="65" borderId="0" xfId="0" applyFont="1" applyFill="1" applyAlignment="1">
      <alignment horizontal="left"/>
    </xf>
    <xf numFmtId="0" fontId="30" fillId="85" borderId="0" xfId="0" applyFont="1" applyFill="1" applyAlignment="1">
      <alignment horizontal="left"/>
    </xf>
    <xf numFmtId="0" fontId="0" fillId="30" borderId="0" xfId="0" applyFont="1" applyFill="1" applyAlignment="1">
      <alignment horizontal="left"/>
    </xf>
    <xf numFmtId="0" fontId="0" fillId="55" borderId="0" xfId="0" applyFont="1" applyFill="1" applyAlignment="1">
      <alignment horizontal="left"/>
    </xf>
    <xf numFmtId="0" fontId="0" fillId="86" borderId="0" xfId="0" applyFill="1" applyBorder="1" applyAlignment="1">
      <alignment horizontal="left"/>
    </xf>
    <xf numFmtId="0" fontId="0" fillId="73" borderId="0" xfId="0" applyFill="1" applyBorder="1" applyAlignment="1">
      <alignment horizontal="left"/>
    </xf>
    <xf numFmtId="0" fontId="0" fillId="74" borderId="0" xfId="0" applyFill="1" applyBorder="1" applyAlignment="1">
      <alignment horizontal="left"/>
    </xf>
    <xf numFmtId="0" fontId="0" fillId="75" borderId="0" xfId="0" applyFill="1" applyBorder="1" applyAlignment="1">
      <alignment horizontal="left"/>
    </xf>
    <xf numFmtId="0" fontId="38" fillId="28" borderId="0" xfId="0" applyFont="1" applyFill="1" applyAlignment="1">
      <alignment horizontal="left"/>
    </xf>
    <xf numFmtId="0" fontId="38" fillId="76" borderId="0" xfId="0" applyFont="1" applyFill="1" applyBorder="1" applyAlignment="1">
      <alignment horizontal="left"/>
    </xf>
    <xf numFmtId="0" fontId="38" fillId="72" borderId="0" xfId="0" applyFont="1" applyFill="1" applyBorder="1" applyAlignment="1">
      <alignment horizontal="left"/>
    </xf>
    <xf numFmtId="0" fontId="38" fillId="88" borderId="0" xfId="0" applyFont="1" applyFill="1" applyAlignment="1">
      <alignment horizontal="left"/>
    </xf>
    <xf numFmtId="0" fontId="38" fillId="87" borderId="0" xfId="0" applyFont="1" applyFill="1" applyAlignment="1">
      <alignment horizontal="left"/>
    </xf>
    <xf numFmtId="0" fontId="38" fillId="90" borderId="0" xfId="0" applyFont="1" applyFill="1" applyBorder="1" applyAlignment="1">
      <alignment horizontal="left"/>
    </xf>
    <xf numFmtId="0" fontId="38" fillId="25" borderId="0" xfId="0" applyFont="1" applyFill="1" applyAlignment="1">
      <alignment horizontal="left"/>
    </xf>
    <xf numFmtId="0" fontId="38" fillId="78" borderId="0" xfId="0" applyFont="1" applyFill="1" applyBorder="1" applyAlignment="1">
      <alignment horizontal="left"/>
    </xf>
    <xf numFmtId="0" fontId="38" fillId="89" borderId="0" xfId="0" applyFont="1" applyFill="1" applyBorder="1" applyAlignment="1">
      <alignment horizontal="left"/>
    </xf>
    <xf numFmtId="0" fontId="38" fillId="79" borderId="0" xfId="0" applyFont="1" applyFill="1" applyBorder="1" applyAlignment="1">
      <alignment horizontal="left"/>
    </xf>
    <xf numFmtId="0" fontId="38" fillId="77" borderId="0" xfId="0" applyFont="1" applyFill="1" applyBorder="1" applyAlignment="1">
      <alignment horizontal="left"/>
    </xf>
    <xf numFmtId="0" fontId="38" fillId="80" borderId="0" xfId="0" applyFont="1" applyFill="1" applyBorder="1" applyAlignment="1">
      <alignment horizontal="left"/>
    </xf>
    <xf numFmtId="0" fontId="38" fillId="29" borderId="0" xfId="0" applyFont="1" applyFill="1" applyAlignment="1">
      <alignment horizontal="left"/>
    </xf>
    <xf numFmtId="0" fontId="38" fillId="59" borderId="0" xfId="0" applyFont="1" applyFill="1" applyAlignment="1">
      <alignment horizontal="left"/>
    </xf>
    <xf numFmtId="0" fontId="38" fillId="47" borderId="0" xfId="0" applyFont="1" applyFill="1" applyAlignment="1">
      <alignment horizontal="left"/>
    </xf>
    <xf numFmtId="0" fontId="38" fillId="60" borderId="0" xfId="0" applyFont="1" applyFill="1" applyAlignment="1">
      <alignment horizontal="left"/>
    </xf>
    <xf numFmtId="0" fontId="38" fillId="81" borderId="0" xfId="0" applyFont="1" applyFill="1" applyBorder="1" applyAlignment="1">
      <alignment horizontal="left"/>
    </xf>
    <xf numFmtId="0" fontId="1" fillId="42" borderId="0" xfId="0" applyFont="1" applyFill="1" applyAlignment="1">
      <alignment horizontal="left"/>
    </xf>
    <xf numFmtId="0" fontId="0" fillId="70" borderId="0" xfId="0" applyFill="1" applyAlignment="1">
      <alignment horizontal="left"/>
    </xf>
    <xf numFmtId="0" fontId="0" fillId="82" borderId="0" xfId="0" applyFill="1" applyBorder="1" applyAlignment="1">
      <alignment horizontal="left"/>
    </xf>
    <xf numFmtId="0" fontId="0" fillId="48" borderId="0" xfId="0" applyFill="1" applyAlignment="1">
      <alignment horizontal="left"/>
    </xf>
    <xf numFmtId="0" fontId="0" fillId="85" borderId="0" xfId="0" applyFill="1" applyBorder="1" applyAlignment="1">
      <alignment horizontal="left"/>
    </xf>
    <xf numFmtId="0" fontId="0" fillId="36" borderId="0" xfId="0" applyFill="1" applyAlignment="1">
      <alignment horizontal="left"/>
    </xf>
    <xf numFmtId="0" fontId="38" fillId="27" borderId="0" xfId="0" applyFont="1" applyFill="1" applyAlignment="1">
      <alignment horizontal="left"/>
    </xf>
    <xf numFmtId="0" fontId="38" fillId="95" borderId="0" xfId="0" applyFont="1" applyFill="1" applyAlignment="1">
      <alignment horizontal="left"/>
    </xf>
    <xf numFmtId="0" fontId="0" fillId="42" borderId="0" xfId="0" applyFill="1" applyAlignment="1">
      <alignment horizontal="left"/>
    </xf>
    <xf numFmtId="0" fontId="0" fillId="99" borderId="0" xfId="0" applyFill="1" applyAlignment="1">
      <alignment horizontal="left"/>
    </xf>
    <xf numFmtId="0" fontId="0" fillId="93" borderId="0" xfId="0" applyFill="1" applyAlignment="1">
      <alignment horizontal="left"/>
    </xf>
    <xf numFmtId="0" fontId="38" fillId="91" borderId="0" xfId="0" applyFont="1" applyFill="1" applyAlignment="1">
      <alignment horizontal="left"/>
    </xf>
    <xf numFmtId="0" fontId="0" fillId="96" borderId="0" xfId="0" applyFill="1" applyAlignment="1">
      <alignment horizontal="left"/>
    </xf>
    <xf numFmtId="0" fontId="0" fillId="45" borderId="0" xfId="0" applyFill="1" applyAlignment="1">
      <alignment horizontal="left"/>
    </xf>
    <xf numFmtId="0" fontId="38" fillId="94" borderId="0" xfId="0" applyFont="1" applyFill="1" applyAlignment="1">
      <alignment horizontal="left"/>
    </xf>
    <xf numFmtId="0" fontId="0" fillId="97" borderId="0" xfId="0" applyFill="1" applyAlignment="1">
      <alignment horizontal="left"/>
    </xf>
    <xf numFmtId="0" fontId="38" fillId="92" borderId="0" xfId="0" applyFont="1" applyFill="1" applyAlignment="1">
      <alignment horizontal="left"/>
    </xf>
    <xf numFmtId="0" fontId="38" fillId="49" borderId="0" xfId="0" applyFont="1" applyFill="1" applyAlignment="1">
      <alignment horizontal="left"/>
    </xf>
    <xf numFmtId="0" fontId="38" fillId="50" borderId="0" xfId="0" applyFont="1" applyFill="1" applyAlignment="1">
      <alignment horizontal="left"/>
    </xf>
    <xf numFmtId="0" fontId="38" fillId="85" borderId="0" xfId="0" applyFont="1" applyFill="1" applyAlignment="1">
      <alignment horizontal="left"/>
    </xf>
    <xf numFmtId="0" fontId="38" fillId="98" borderId="14" xfId="0" applyFont="1" applyFill="1" applyBorder="1" applyAlignment="1">
      <alignment horizontal="left"/>
    </xf>
    <xf numFmtId="0" fontId="0" fillId="61" borderId="0" xfId="0" applyFont="1" applyFill="1" applyAlignment="1">
      <alignment horizontal="left"/>
    </xf>
    <xf numFmtId="0" fontId="0" fillId="42" borderId="0" xfId="0" applyFont="1" applyFill="1" applyAlignment="1">
      <alignment horizontal="left"/>
    </xf>
    <xf numFmtId="0" fontId="0" fillId="43" borderId="0" xfId="0" applyFont="1" applyFill="1" applyAlignment="1">
      <alignment horizontal="left"/>
    </xf>
    <xf numFmtId="0" fontId="38" fillId="53" borderId="0" xfId="0" applyFont="1" applyFill="1" applyAlignment="1">
      <alignment horizontal="left"/>
    </xf>
    <xf numFmtId="0" fontId="38" fillId="36" borderId="0" xfId="0" applyFont="1" applyFill="1" applyAlignment="1">
      <alignment horizontal="left"/>
    </xf>
    <xf numFmtId="0" fontId="38" fillId="68" borderId="0" xfId="0" applyFont="1" applyFill="1" applyAlignment="1">
      <alignment horizontal="left"/>
    </xf>
    <xf numFmtId="0" fontId="38" fillId="43" borderId="0" xfId="0" applyFont="1" applyFill="1" applyAlignment="1">
      <alignment horizontal="left"/>
    </xf>
    <xf numFmtId="0" fontId="38" fillId="50" borderId="14" xfId="0" applyFont="1" applyFill="1" applyBorder="1" applyAlignment="1">
      <alignment horizontal="left"/>
    </xf>
    <xf numFmtId="0" fontId="0" fillId="35" borderId="14" xfId="0" applyFont="1" applyFill="1" applyBorder="1" applyAlignment="1">
      <alignment horizontal="left"/>
    </xf>
    <xf numFmtId="0" fontId="1" fillId="101" borderId="0" xfId="0" applyFont="1" applyFill="1"/>
    <xf numFmtId="0" fontId="55" fillId="101" borderId="0" xfId="66" applyFill="1"/>
    <xf numFmtId="0" fontId="38" fillId="100" borderId="0" xfId="0" applyFont="1" applyFill="1" applyAlignment="1">
      <alignment horizontal="left"/>
    </xf>
    <xf numFmtId="0" fontId="1" fillId="0" borderId="0" xfId="0" applyFont="1" applyProtection="1">
      <protection locked="0"/>
    </xf>
    <xf numFmtId="0" fontId="1" fillId="0" borderId="0" xfId="0" applyFont="1" applyAlignment="1">
      <alignment horizontal="left" vertical="center"/>
    </xf>
    <xf numFmtId="0" fontId="1" fillId="0" borderId="0" xfId="0" applyFont="1" applyFill="1" applyBorder="1" applyAlignment="1">
      <alignment horizontal="right" vertical="center"/>
    </xf>
    <xf numFmtId="0" fontId="1" fillId="0" borderId="0" xfId="0" applyFont="1" applyFill="1" applyBorder="1" applyAlignment="1">
      <alignment horizontal="right" vertical="center" wrapText="1"/>
    </xf>
    <xf numFmtId="0" fontId="55" fillId="0" borderId="0" xfId="66"/>
    <xf numFmtId="0" fontId="1" fillId="0" borderId="0" xfId="0" applyFont="1" applyAlignment="1">
      <alignment wrapText="1"/>
    </xf>
    <xf numFmtId="0" fontId="50" fillId="0" borderId="14" xfId="49" applyFont="1" applyAlignment="1">
      <alignment horizontal="left" vertical="center"/>
    </xf>
    <xf numFmtId="0" fontId="50" fillId="0" borderId="14" xfId="49" applyFont="1" applyAlignment="1">
      <alignment horizontal="right" vertical="center"/>
    </xf>
    <xf numFmtId="0" fontId="50" fillId="0" borderId="14" xfId="49" applyFont="1" applyAlignment="1">
      <alignment horizontal="left" vertical="center" wrapText="1"/>
    </xf>
    <xf numFmtId="0" fontId="0" fillId="0" borderId="0" xfId="0" applyAlignment="1">
      <alignment wrapText="1"/>
    </xf>
    <xf numFmtId="0" fontId="1" fillId="0" borderId="0" xfId="0" applyFont="1" applyFill="1" applyBorder="1" applyAlignment="1">
      <alignment vertical="center"/>
    </xf>
    <xf numFmtId="0" fontId="1" fillId="0" borderId="0" xfId="0" applyFont="1" applyFill="1" applyBorder="1" applyAlignment="1">
      <alignment horizontal="left" vertical="center"/>
    </xf>
    <xf numFmtId="0" fontId="1" fillId="0" borderId="0" xfId="0" applyFont="1" applyAlignment="1">
      <alignment horizontal="center"/>
    </xf>
    <xf numFmtId="0" fontId="1" fillId="0" borderId="0" xfId="0" applyFont="1" applyAlignment="1" applyProtection="1">
      <alignment vertical="center"/>
      <protection locked="0"/>
    </xf>
    <xf numFmtId="170" fontId="1" fillId="0" borderId="0" xfId="60" applyNumberFormat="1" applyFont="1" applyFill="1" applyBorder="1" applyAlignment="1">
      <alignment horizontal="right" vertical="center"/>
    </xf>
    <xf numFmtId="43" fontId="1" fillId="0" borderId="0" xfId="60" applyFont="1" applyFill="1" applyBorder="1" applyAlignment="1">
      <alignment horizontal="right" vertical="center"/>
    </xf>
    <xf numFmtId="0" fontId="1" fillId="0" borderId="0" xfId="0" applyFont="1" applyFill="1" applyBorder="1" applyAlignment="1">
      <alignment horizontal="center" vertical="center"/>
    </xf>
    <xf numFmtId="0" fontId="1" fillId="56" borderId="0" xfId="61" applyFont="1" applyBorder="1" applyAlignment="1">
      <alignment horizontal="right" vertical="center"/>
    </xf>
    <xf numFmtId="0" fontId="50" fillId="0" borderId="14" xfId="49" applyFont="1" applyAlignment="1">
      <alignment horizontal="center" vertical="center" wrapText="1"/>
    </xf>
    <xf numFmtId="0" fontId="1" fillId="0" borderId="0" xfId="0" applyFont="1" applyFill="1" applyBorder="1" applyAlignment="1">
      <alignment horizontal="center" vertical="center" wrapText="1"/>
    </xf>
    <xf numFmtId="0" fontId="1" fillId="0" borderId="0" xfId="0" applyFont="1" applyAlignment="1">
      <alignment horizontal="center" vertical="center" wrapText="1"/>
    </xf>
    <xf numFmtId="0" fontId="1" fillId="56" borderId="0" xfId="61" applyFont="1" applyBorder="1" applyAlignment="1">
      <alignment horizontal="center" vertical="center" wrapText="1"/>
    </xf>
    <xf numFmtId="10" fontId="1" fillId="0" borderId="0" xfId="0" applyNumberFormat="1" applyFont="1" applyFill="1" applyBorder="1" applyAlignment="1">
      <alignment horizontal="right" vertical="center"/>
    </xf>
    <xf numFmtId="0" fontId="1" fillId="0" borderId="0" xfId="0" applyFont="1" applyAlignment="1">
      <alignment horizontal="right" vertical="center"/>
    </xf>
    <xf numFmtId="0" fontId="0" fillId="0" borderId="0" xfId="0" applyAlignment="1">
      <alignment horizontal="center" wrapText="1"/>
    </xf>
    <xf numFmtId="0" fontId="1" fillId="0" borderId="0" xfId="0" applyFont="1" applyAlignment="1">
      <alignment horizontal="center" wrapText="1"/>
    </xf>
    <xf numFmtId="0" fontId="69" fillId="0" borderId="0" xfId="0" applyFont="1" applyFill="1" applyBorder="1" applyAlignment="1">
      <alignment horizontal="left" vertical="center"/>
    </xf>
    <xf numFmtId="0" fontId="38" fillId="48" borderId="0" xfId="0" applyFont="1" applyFill="1" applyAlignment="1">
      <alignment horizontal="left"/>
    </xf>
    <xf numFmtId="0" fontId="38" fillId="103" borderId="0" xfId="0" applyFont="1" applyFill="1" applyAlignment="1">
      <alignment horizontal="left"/>
    </xf>
    <xf numFmtId="0" fontId="38" fillId="104" borderId="0" xfId="0" applyFont="1" applyFill="1" applyAlignment="1">
      <alignment horizontal="left"/>
    </xf>
    <xf numFmtId="0" fontId="38" fillId="67" borderId="0" xfId="0" applyFont="1" applyFill="1" applyAlignment="1">
      <alignment horizontal="left"/>
    </xf>
    <xf numFmtId="0" fontId="38" fillId="105" borderId="0" xfId="0" applyFont="1" applyFill="1"/>
    <xf numFmtId="0" fontId="0" fillId="98" borderId="0" xfId="0" applyFill="1"/>
    <xf numFmtId="0" fontId="0" fillId="106" borderId="0" xfId="0" applyFill="1"/>
    <xf numFmtId="0" fontId="0" fillId="30" borderId="0" xfId="0" applyFill="1"/>
    <xf numFmtId="0" fontId="0" fillId="107" borderId="0" xfId="0" applyFill="1"/>
    <xf numFmtId="0" fontId="38" fillId="25" borderId="0" xfId="0" applyFont="1" applyFill="1"/>
    <xf numFmtId="0" fontId="38" fillId="99" borderId="0" xfId="0" applyFont="1" applyFill="1"/>
    <xf numFmtId="0" fontId="38" fillId="108" borderId="0" xfId="0" applyFont="1" applyFill="1"/>
    <xf numFmtId="0" fontId="38" fillId="102" borderId="0" xfId="0" applyFont="1" applyFill="1" applyAlignment="1">
      <alignment horizontal="left"/>
    </xf>
    <xf numFmtId="0" fontId="62" fillId="0" borderId="0" xfId="0" applyFont="1" applyFill="1" applyBorder="1" applyAlignment="1">
      <alignment horizontal="left"/>
    </xf>
    <xf numFmtId="3" fontId="1" fillId="0" borderId="0" xfId="0" applyNumberFormat="1" applyFont="1" applyFill="1" applyBorder="1" applyAlignment="1">
      <alignment vertical="center" wrapText="1"/>
    </xf>
    <xf numFmtId="0" fontId="38" fillId="50" borderId="0" xfId="0" applyFont="1" applyFill="1" applyBorder="1" applyAlignment="1">
      <alignment horizontal="left"/>
    </xf>
    <xf numFmtId="0" fontId="18" fillId="34" borderId="0" xfId="70" applyBorder="1">
      <alignment horizontal="center"/>
    </xf>
    <xf numFmtId="0" fontId="0" fillId="53" borderId="0" xfId="0" applyFont="1" applyFill="1" applyBorder="1" applyAlignment="1">
      <alignment horizontal="left"/>
    </xf>
    <xf numFmtId="0" fontId="38" fillId="59" borderId="0" xfId="0" applyFont="1" applyFill="1" applyBorder="1" applyAlignment="1">
      <alignment horizontal="left"/>
    </xf>
    <xf numFmtId="0" fontId="38" fillId="49" borderId="14" xfId="0" applyFont="1" applyFill="1" applyBorder="1" applyAlignment="1">
      <alignment horizontal="left"/>
    </xf>
    <xf numFmtId="0" fontId="18" fillId="34" borderId="14" xfId="70" applyBorder="1">
      <alignment horizontal="center"/>
    </xf>
    <xf numFmtId="0" fontId="47" fillId="0" borderId="14" xfId="56" applyAlignment="1">
      <alignment horizontal="center" vertical="center" wrapText="1"/>
    </xf>
    <xf numFmtId="0" fontId="1" fillId="56" borderId="0" xfId="61" applyFont="1" applyBorder="1" applyAlignment="1">
      <alignment horizontal="left" vertical="center"/>
    </xf>
    <xf numFmtId="0" fontId="1" fillId="56" borderId="0" xfId="61" applyFont="1" applyBorder="1" applyAlignment="1">
      <alignment horizontal="center" vertical="center"/>
    </xf>
    <xf numFmtId="0" fontId="1" fillId="56" borderId="0" xfId="0" applyFont="1" applyFill="1" applyBorder="1" applyAlignment="1">
      <alignment horizontal="left" vertical="center"/>
    </xf>
    <xf numFmtId="10" fontId="1" fillId="0" borderId="0" xfId="0" applyNumberFormat="1" applyFont="1" applyFill="1" applyBorder="1" applyAlignment="1">
      <alignment horizontal="right" vertical="center" wrapText="1"/>
    </xf>
    <xf numFmtId="0" fontId="55" fillId="0" borderId="0" xfId="66" applyBorder="1" applyAlignment="1">
      <alignment vertical="top"/>
    </xf>
    <xf numFmtId="170" fontId="1" fillId="0" borderId="0" xfId="60" applyNumberFormat="1" applyFont="1" applyFill="1" applyBorder="1" applyAlignment="1">
      <alignment horizontal="center" vertical="center"/>
    </xf>
    <xf numFmtId="0" fontId="71" fillId="22" borderId="0" xfId="51" applyFont="1" applyBorder="1" applyAlignment="1">
      <alignment horizontal="center"/>
    </xf>
    <xf numFmtId="0" fontId="18" fillId="0" borderId="0" xfId="0" applyFont="1" applyFill="1" applyBorder="1" applyAlignment="1">
      <alignment horizontal="right" vertical="center" wrapText="1"/>
    </xf>
    <xf numFmtId="0" fontId="50" fillId="0" borderId="14" xfId="49" applyFont="1" applyAlignment="1">
      <alignment horizontal="center" vertical="center"/>
    </xf>
    <xf numFmtId="0" fontId="1" fillId="0" borderId="0" xfId="0" applyFont="1" applyAlignment="1" applyProtection="1">
      <alignment horizontal="center" vertical="center"/>
      <protection locked="0"/>
    </xf>
    <xf numFmtId="0" fontId="50" fillId="0" borderId="14" xfId="49" applyFont="1" applyAlignment="1">
      <alignment horizontal="right" vertical="center" wrapText="1"/>
    </xf>
    <xf numFmtId="0" fontId="69" fillId="0" borderId="0" xfId="0" applyFont="1" applyAlignment="1" applyProtection="1">
      <alignment vertical="center"/>
      <protection locked="0"/>
    </xf>
    <xf numFmtId="0" fontId="18" fillId="0" borderId="14" xfId="56" applyFont="1" applyAlignment="1">
      <alignment horizontal="right" vertical="center" wrapText="1"/>
    </xf>
    <xf numFmtId="0" fontId="1" fillId="0" borderId="0" xfId="0" applyFont="1" applyAlignment="1">
      <alignment horizontal="center" vertical="center"/>
    </xf>
    <xf numFmtId="0" fontId="1" fillId="0" borderId="0" xfId="0" applyFont="1" applyAlignment="1">
      <alignment horizontal="right" vertical="center" wrapText="1"/>
    </xf>
    <xf numFmtId="43" fontId="1" fillId="0" borderId="0" xfId="60" applyFont="1" applyFill="1" applyBorder="1" applyAlignment="1">
      <alignment horizontal="right" vertical="center" wrapText="1"/>
    </xf>
    <xf numFmtId="0" fontId="0" fillId="0" borderId="0" xfId="0" applyAlignment="1">
      <alignment horizontal="center" vertical="center"/>
    </xf>
    <xf numFmtId="0" fontId="1" fillId="56" borderId="0" xfId="61" applyFont="1" applyBorder="1" applyAlignment="1">
      <alignment horizontal="right" vertical="center" wrapText="1"/>
    </xf>
    <xf numFmtId="3" fontId="1" fillId="0" borderId="0" xfId="0" applyNumberFormat="1" applyFont="1" applyFill="1" applyBorder="1" applyAlignment="1">
      <alignment horizontal="right" vertical="center" wrapText="1"/>
    </xf>
    <xf numFmtId="170" fontId="1" fillId="0" borderId="0" xfId="60" applyNumberFormat="1" applyFont="1" applyFill="1" applyBorder="1" applyAlignment="1">
      <alignment horizontal="center" vertical="center" wrapText="1"/>
    </xf>
    <xf numFmtId="170" fontId="69" fillId="0" borderId="0" xfId="60" applyNumberFormat="1" applyFont="1" applyFill="1" applyBorder="1" applyAlignment="1">
      <alignment horizontal="right" vertical="center"/>
    </xf>
    <xf numFmtId="0" fontId="71" fillId="22" borderId="0" xfId="51" applyFont="1" applyBorder="1" applyAlignment="1">
      <alignment horizontal="center" wrapText="1"/>
    </xf>
    <xf numFmtId="0" fontId="18" fillId="32" borderId="0" xfId="68" applyAlignment="1">
      <alignment horizontal="center" vertical="center" wrapText="1"/>
      <protection locked="0"/>
    </xf>
    <xf numFmtId="0" fontId="1" fillId="0" borderId="0" xfId="0" applyNumberFormat="1" applyFont="1" applyFill="1" applyBorder="1" applyAlignment="1">
      <alignment horizontal="right" vertical="center" wrapText="1"/>
    </xf>
    <xf numFmtId="170" fontId="1" fillId="0" borderId="0" xfId="60" applyNumberFormat="1" applyFont="1" applyFill="1" applyBorder="1" applyAlignment="1">
      <alignment horizontal="right" vertical="center" wrapText="1"/>
    </xf>
    <xf numFmtId="49" fontId="1" fillId="0" borderId="0" xfId="57" applyNumberFormat="1" applyFont="1" applyFill="1" applyBorder="1" applyAlignment="1">
      <alignment horizontal="right" vertical="center" wrapText="1"/>
    </xf>
    <xf numFmtId="170" fontId="1" fillId="0" borderId="0" xfId="60" applyNumberFormat="1" applyFont="1" applyAlignment="1">
      <alignment horizontal="right" vertical="center"/>
    </xf>
    <xf numFmtId="0" fontId="1" fillId="0" borderId="13" xfId="0" applyFont="1" applyFill="1" applyBorder="1" applyAlignment="1">
      <alignment horizontal="left" vertical="center"/>
    </xf>
    <xf numFmtId="0" fontId="47" fillId="0" borderId="14" xfId="56" applyFont="1" applyAlignment="1">
      <alignment horizontal="left" vertical="center"/>
    </xf>
    <xf numFmtId="0" fontId="47" fillId="0" borderId="14" xfId="56" applyFont="1" applyAlignment="1">
      <alignment horizontal="right" vertical="center"/>
    </xf>
    <xf numFmtId="0" fontId="47" fillId="0" borderId="0" xfId="57" applyFont="1" applyAlignment="1">
      <alignment horizontal="center" vertical="center"/>
    </xf>
    <xf numFmtId="170" fontId="69" fillId="0" borderId="0" xfId="60" applyNumberFormat="1" applyFont="1" applyFill="1" applyBorder="1" applyAlignment="1">
      <alignment horizontal="center" vertical="center" wrapText="1"/>
    </xf>
    <xf numFmtId="0" fontId="47" fillId="0" borderId="0" xfId="57" applyFont="1" applyAlignment="1">
      <alignment horizontal="center" vertical="center" wrapText="1"/>
    </xf>
    <xf numFmtId="0" fontId="71" fillId="22" borderId="0" xfId="51" applyFont="1" applyBorder="1" applyAlignment="1">
      <alignment horizontal="center" vertical="center"/>
    </xf>
    <xf numFmtId="0" fontId="18" fillId="0" borderId="0" xfId="0" applyFont="1" applyAlignment="1" applyProtection="1">
      <alignment horizontal="center" vertical="center" wrapText="1"/>
      <protection locked="0"/>
    </xf>
    <xf numFmtId="0" fontId="69" fillId="0" borderId="0" xfId="0" applyFont="1" applyFill="1" applyBorder="1" applyAlignment="1">
      <alignment horizontal="right" vertical="center" wrapText="1"/>
    </xf>
    <xf numFmtId="170" fontId="69" fillId="0" borderId="0" xfId="60" applyNumberFormat="1" applyFont="1" applyFill="1" applyBorder="1" applyAlignment="1">
      <alignment horizontal="right" vertical="center" wrapText="1"/>
    </xf>
    <xf numFmtId="0" fontId="69" fillId="0" borderId="0" xfId="0" applyFont="1" applyFill="1" applyBorder="1" applyAlignment="1">
      <alignment horizontal="center" vertical="center"/>
    </xf>
    <xf numFmtId="0" fontId="69" fillId="0" borderId="0" xfId="0" applyFont="1" applyFill="1" applyBorder="1" applyAlignment="1">
      <alignment horizontal="right" vertical="center"/>
    </xf>
    <xf numFmtId="43" fontId="69" fillId="0" borderId="0" xfId="60" applyFont="1" applyFill="1" applyBorder="1" applyAlignment="1">
      <alignment horizontal="right" vertical="center"/>
    </xf>
    <xf numFmtId="0" fontId="18" fillId="0" borderId="0" xfId="57" applyFont="1" applyAlignment="1">
      <alignment horizontal="center" vertical="center" wrapText="1"/>
    </xf>
    <xf numFmtId="0" fontId="47" fillId="0" borderId="14" xfId="56" applyFont="1" applyAlignment="1">
      <alignment horizontal="center" vertical="center"/>
    </xf>
    <xf numFmtId="0" fontId="47" fillId="0" borderId="14" xfId="56" applyFont="1" applyAlignment="1">
      <alignment horizontal="right" vertical="center" wrapText="1"/>
    </xf>
    <xf numFmtId="0" fontId="47" fillId="0" borderId="13" xfId="58" applyFont="1" applyBorder="1" applyAlignment="1">
      <alignment horizontal="left" vertical="center"/>
    </xf>
    <xf numFmtId="0" fontId="47" fillId="0" borderId="13" xfId="58" applyFont="1" applyBorder="1" applyAlignment="1">
      <alignment horizontal="center" vertical="center"/>
    </xf>
    <xf numFmtId="0" fontId="47" fillId="0" borderId="13" xfId="58" applyFont="1" applyBorder="1" applyAlignment="1">
      <alignment horizontal="right" vertical="center" wrapText="1"/>
    </xf>
    <xf numFmtId="170" fontId="47" fillId="0" borderId="13" xfId="58" applyNumberFormat="1" applyFont="1" applyBorder="1" applyAlignment="1">
      <alignment horizontal="right" vertical="center"/>
    </xf>
    <xf numFmtId="1" fontId="1" fillId="0" borderId="0" xfId="60" applyNumberFormat="1" applyFont="1" applyFill="1" applyBorder="1" applyAlignment="1">
      <alignment horizontal="center" vertical="center"/>
    </xf>
    <xf numFmtId="1" fontId="69" fillId="0" borderId="0" xfId="60" applyNumberFormat="1" applyFont="1" applyFill="1" applyBorder="1" applyAlignment="1">
      <alignment horizontal="center" vertical="center"/>
    </xf>
    <xf numFmtId="170" fontId="1" fillId="0" borderId="0" xfId="60" applyNumberFormat="1" applyFont="1" applyAlignment="1">
      <alignment horizontal="center" vertical="center"/>
    </xf>
    <xf numFmtId="170" fontId="47" fillId="0" borderId="13" xfId="58" applyNumberFormat="1" applyFont="1" applyBorder="1" applyAlignment="1">
      <alignment horizontal="center" vertical="center"/>
    </xf>
    <xf numFmtId="0" fontId="65" fillId="0" borderId="0" xfId="66" applyFont="1" applyAlignment="1" applyProtection="1">
      <alignment horizontal="center" vertical="center"/>
    </xf>
    <xf numFmtId="0" fontId="72" fillId="0" borderId="0" xfId="0" applyFont="1" applyAlignment="1">
      <alignment horizontal="center" vertical="center"/>
    </xf>
    <xf numFmtId="0" fontId="72" fillId="0" borderId="0" xfId="0" applyFont="1" applyAlignment="1">
      <alignment horizontal="center" vertical="center" wrapText="1"/>
    </xf>
    <xf numFmtId="0" fontId="36" fillId="0" borderId="0" xfId="0" applyFont="1" applyAlignment="1">
      <alignment horizontal="left" vertical="center"/>
    </xf>
    <xf numFmtId="0" fontId="65" fillId="0" borderId="0" xfId="66" applyFont="1" applyAlignment="1" applyProtection="1">
      <alignment horizontal="left" vertical="center"/>
    </xf>
    <xf numFmtId="0" fontId="44" fillId="0" borderId="0" xfId="0" applyFont="1" applyAlignment="1" applyProtection="1">
      <alignment horizontal="center"/>
      <protection locked="0"/>
    </xf>
    <xf numFmtId="0" fontId="1" fillId="0" borderId="0" xfId="0" applyFont="1" applyAlignment="1" applyProtection="1">
      <alignment horizontal="center" vertical="center" wrapText="1"/>
      <protection locked="0"/>
    </xf>
    <xf numFmtId="10" fontId="69" fillId="0" borderId="0" xfId="0" applyNumberFormat="1" applyFont="1" applyFill="1" applyBorder="1" applyAlignment="1">
      <alignment horizontal="right" vertical="center"/>
    </xf>
    <xf numFmtId="177" fontId="1" fillId="0" borderId="0" xfId="60" applyNumberFormat="1" applyFont="1" applyFill="1" applyBorder="1" applyAlignment="1">
      <alignment horizontal="center" vertical="center"/>
    </xf>
    <xf numFmtId="0" fontId="1" fillId="0" borderId="0" xfId="71" applyFont="1" applyFill="1" applyBorder="1" applyAlignment="1">
      <alignment horizontal="center" vertical="center" wrapText="1"/>
    </xf>
    <xf numFmtId="43" fontId="1" fillId="0" borderId="0" xfId="60" applyFont="1" applyFill="1" applyBorder="1" applyAlignment="1">
      <alignment horizontal="center" vertical="center"/>
    </xf>
    <xf numFmtId="0" fontId="18" fillId="0" borderId="14" xfId="56" applyFont="1" applyAlignment="1">
      <alignment horizontal="center" vertical="center"/>
    </xf>
    <xf numFmtId="178" fontId="1" fillId="0" borderId="0" xfId="60" applyNumberFormat="1" applyFont="1" applyFill="1" applyBorder="1" applyAlignment="1">
      <alignment horizontal="center" vertical="center"/>
    </xf>
    <xf numFmtId="43" fontId="1" fillId="0" borderId="0" xfId="60" applyNumberFormat="1" applyFont="1" applyFill="1" applyBorder="1" applyAlignment="1">
      <alignment horizontal="center" vertical="center"/>
    </xf>
    <xf numFmtId="0" fontId="44" fillId="0" borderId="0" xfId="0" applyFont="1" applyAlignment="1" applyProtection="1">
      <alignment horizontal="center" vertical="center"/>
      <protection locked="0"/>
    </xf>
    <xf numFmtId="43" fontId="69" fillId="0" borderId="0" xfId="60" applyFont="1" applyFill="1" applyBorder="1" applyAlignment="1">
      <alignment horizontal="center" vertical="center" wrapText="1"/>
    </xf>
    <xf numFmtId="170" fontId="1" fillId="0" borderId="0" xfId="60" applyNumberFormat="1" applyFont="1" applyAlignment="1">
      <alignment horizontal="center" vertical="center" wrapText="1"/>
    </xf>
    <xf numFmtId="170" fontId="47" fillId="0" borderId="13" xfId="58" applyNumberFormat="1" applyFont="1" applyBorder="1" applyAlignment="1">
      <alignment horizontal="center" vertical="center" wrapText="1"/>
    </xf>
    <xf numFmtId="0" fontId="1" fillId="0" borderId="0" xfId="0" applyFont="1" applyFill="1" applyBorder="1" applyAlignment="1">
      <alignment horizontal="left"/>
    </xf>
    <xf numFmtId="0" fontId="1" fillId="0" borderId="0" xfId="0" applyFont="1" applyFill="1" applyBorder="1" applyAlignment="1">
      <alignment horizontal="left" vertical="center" wrapText="1"/>
    </xf>
    <xf numFmtId="0" fontId="18" fillId="32" borderId="0" xfId="68" applyAlignment="1">
      <alignment horizontal="right" vertical="center" wrapText="1"/>
      <protection locked="0"/>
    </xf>
    <xf numFmtId="0" fontId="47" fillId="0" borderId="0" xfId="57" applyFont="1" applyBorder="1" applyAlignment="1">
      <alignment horizontal="center" vertical="center" wrapText="1"/>
    </xf>
    <xf numFmtId="0" fontId="45" fillId="0" borderId="0" xfId="0" applyFont="1" applyAlignment="1">
      <alignment horizontal="center" vertical="center"/>
    </xf>
    <xf numFmtId="0" fontId="44" fillId="0" borderId="0" xfId="0" applyFont="1" applyAlignment="1" applyProtection="1">
      <alignment vertical="center"/>
      <protection locked="0"/>
    </xf>
    <xf numFmtId="175" fontId="1" fillId="0" borderId="0" xfId="63" applyNumberFormat="1" applyFont="1" applyFill="1" applyBorder="1" applyAlignment="1">
      <alignment horizontal="center" vertical="center"/>
    </xf>
    <xf numFmtId="0" fontId="18" fillId="0" borderId="13" xfId="58" applyFont="1" applyBorder="1" applyAlignment="1">
      <alignment horizontal="center" vertical="center"/>
    </xf>
    <xf numFmtId="0" fontId="74" fillId="0" borderId="0" xfId="66" applyFont="1" applyBorder="1" applyAlignment="1">
      <alignment horizontal="left" vertical="top"/>
    </xf>
    <xf numFmtId="43" fontId="1" fillId="0" borderId="0" xfId="60" applyFont="1" applyFill="1" applyBorder="1" applyAlignment="1">
      <alignment vertical="center"/>
    </xf>
    <xf numFmtId="9" fontId="1" fillId="0" borderId="0" xfId="0" applyNumberFormat="1" applyFont="1" applyAlignment="1" applyProtection="1">
      <alignment horizontal="center" vertical="center"/>
      <protection locked="0"/>
    </xf>
    <xf numFmtId="0" fontId="18" fillId="0" borderId="13" xfId="58" applyFont="1" applyBorder="1" applyAlignment="1">
      <alignment horizontal="right" vertical="center" wrapText="1"/>
    </xf>
    <xf numFmtId="0" fontId="1" fillId="0" borderId="0" xfId="0" applyFont="1" applyFill="1" applyBorder="1" applyAlignment="1">
      <alignment horizontal="left" vertical="center" wrapText="1"/>
    </xf>
    <xf numFmtId="43" fontId="1" fillId="0" borderId="0" xfId="60" applyNumberFormat="1" applyFont="1" applyFill="1" applyBorder="1" applyAlignment="1">
      <alignment horizontal="right" vertical="center"/>
    </xf>
    <xf numFmtId="175" fontId="69" fillId="0" borderId="0" xfId="63" applyNumberFormat="1" applyFont="1" applyFill="1" applyBorder="1" applyAlignment="1">
      <alignment horizontal="center" vertical="center"/>
    </xf>
    <xf numFmtId="0" fontId="47" fillId="109" borderId="31" xfId="57" applyFont="1" applyFill="1" applyBorder="1" applyAlignment="1">
      <alignment horizontal="center" vertical="center" wrapText="1"/>
    </xf>
    <xf numFmtId="0" fontId="47" fillId="109" borderId="28" xfId="57" applyFont="1" applyFill="1" applyBorder="1" applyAlignment="1">
      <alignment horizontal="center" vertical="center" wrapText="1"/>
    </xf>
    <xf numFmtId="0" fontId="47" fillId="109" borderId="32" xfId="57" applyFont="1" applyFill="1" applyBorder="1" applyAlignment="1">
      <alignment horizontal="center" vertical="center" wrapText="1"/>
    </xf>
    <xf numFmtId="0" fontId="47" fillId="110" borderId="28" xfId="57" applyFont="1" applyFill="1" applyBorder="1" applyAlignment="1">
      <alignment horizontal="center" vertical="center" wrapText="1"/>
    </xf>
    <xf numFmtId="0" fontId="47" fillId="111" borderId="31" xfId="57" applyFont="1" applyFill="1" applyBorder="1" applyAlignment="1">
      <alignment horizontal="center" vertical="center" wrapText="1"/>
    </xf>
    <xf numFmtId="0" fontId="47" fillId="111" borderId="28" xfId="57" applyFont="1" applyFill="1" applyBorder="1" applyAlignment="1">
      <alignment horizontal="center" vertical="center" wrapText="1"/>
    </xf>
    <xf numFmtId="0" fontId="47" fillId="111" borderId="32" xfId="57" applyFont="1" applyFill="1" applyBorder="1" applyAlignment="1">
      <alignment horizontal="center" vertical="center" wrapText="1"/>
    </xf>
    <xf numFmtId="179" fontId="1" fillId="0" borderId="0" xfId="60" applyNumberFormat="1" applyFont="1" applyFill="1" applyBorder="1" applyAlignment="1">
      <alignment horizontal="center" vertical="center"/>
    </xf>
    <xf numFmtId="180" fontId="1" fillId="0" borderId="0" xfId="64" applyNumberFormat="1" applyFont="1" applyFill="1" applyBorder="1" applyAlignment="1">
      <alignment horizontal="center" vertical="center"/>
    </xf>
    <xf numFmtId="0" fontId="1" fillId="0" borderId="0" xfId="0" applyFont="1" applyFill="1" applyBorder="1" applyAlignment="1">
      <alignment horizontal="right" vertical="center" wrapText="1"/>
    </xf>
    <xf numFmtId="178" fontId="1" fillId="0" borderId="0" xfId="60" applyNumberFormat="1" applyFont="1" applyFill="1" applyBorder="1" applyAlignment="1">
      <alignment horizontal="right" vertical="center"/>
    </xf>
    <xf numFmtId="178" fontId="69" fillId="0" borderId="0" xfId="60" applyNumberFormat="1" applyFont="1" applyFill="1" applyBorder="1" applyAlignment="1">
      <alignment horizontal="right" vertical="center"/>
    </xf>
    <xf numFmtId="178" fontId="1" fillId="0" borderId="0" xfId="60" applyNumberFormat="1" applyFont="1" applyFill="1" applyBorder="1" applyAlignment="1">
      <alignment horizontal="right" vertical="center" wrapText="1"/>
    </xf>
    <xf numFmtId="178" fontId="1" fillId="0" borderId="0" xfId="60" applyNumberFormat="1" applyFont="1" applyFill="1" applyBorder="1" applyAlignment="1">
      <alignment vertical="center"/>
    </xf>
    <xf numFmtId="178" fontId="1" fillId="0" borderId="0" xfId="60" applyNumberFormat="1" applyFont="1" applyFill="1" applyBorder="1" applyAlignment="1">
      <alignment horizontal="center" vertical="center" wrapText="1"/>
    </xf>
    <xf numFmtId="180" fontId="69" fillId="0" borderId="0" xfId="64" applyNumberFormat="1" applyFont="1" applyFill="1" applyBorder="1" applyAlignment="1">
      <alignment horizontal="center" vertical="center"/>
    </xf>
    <xf numFmtId="180" fontId="1" fillId="0" borderId="0" xfId="64" applyNumberFormat="1" applyFont="1" applyFill="1" applyBorder="1" applyAlignment="1">
      <alignment horizontal="center" vertical="center" wrapText="1"/>
    </xf>
    <xf numFmtId="10" fontId="69" fillId="0" borderId="0" xfId="0" applyNumberFormat="1" applyFont="1" applyFill="1" applyBorder="1" applyAlignment="1">
      <alignment horizontal="right" vertical="center" wrapText="1"/>
    </xf>
    <xf numFmtId="0" fontId="18" fillId="110" borderId="36" xfId="0" applyFont="1" applyFill="1" applyBorder="1" applyAlignment="1" applyProtection="1">
      <alignment horizontal="center"/>
      <protection locked="0"/>
    </xf>
    <xf numFmtId="0" fontId="18" fillId="0" borderId="0" xfId="0" applyFont="1" applyBorder="1" applyAlignment="1" applyProtection="1">
      <alignment horizontal="center" vertical="center" wrapText="1"/>
      <protection locked="0"/>
    </xf>
    <xf numFmtId="0" fontId="47" fillId="0" borderId="10" xfId="56" applyFont="1" applyBorder="1" applyAlignment="1">
      <alignment horizontal="center" vertical="center"/>
    </xf>
    <xf numFmtId="3" fontId="1" fillId="0" borderId="0" xfId="0" applyNumberFormat="1" applyFont="1" applyFill="1" applyBorder="1" applyAlignment="1">
      <alignment horizontal="center" vertical="center"/>
    </xf>
    <xf numFmtId="0" fontId="1" fillId="0" borderId="38" xfId="0" applyFont="1" applyFill="1" applyBorder="1" applyAlignment="1">
      <alignment horizontal="center" vertical="center"/>
    </xf>
    <xf numFmtId="0" fontId="55" fillId="0" borderId="0" xfId="66" applyAlignment="1">
      <alignment horizontal="center"/>
    </xf>
    <xf numFmtId="20" fontId="1" fillId="0" borderId="0" xfId="0" applyNumberFormat="1" applyFont="1" applyFill="1" applyBorder="1" applyAlignment="1">
      <alignment horizontal="center" vertical="center"/>
    </xf>
    <xf numFmtId="10" fontId="1" fillId="0" borderId="0" xfId="0" applyNumberFormat="1" applyFont="1" applyAlignment="1" applyProtection="1">
      <alignment horizontal="center" vertical="center"/>
      <protection locked="0"/>
    </xf>
    <xf numFmtId="0" fontId="70" fillId="0" borderId="0" xfId="66" applyFont="1" applyAlignment="1">
      <alignment horizontal="center" vertical="center"/>
    </xf>
    <xf numFmtId="0" fontId="69" fillId="0" borderId="38" xfId="0" applyFont="1" applyFill="1" applyBorder="1" applyAlignment="1">
      <alignment horizontal="center" vertical="center"/>
    </xf>
    <xf numFmtId="0" fontId="55" fillId="0" borderId="0" xfId="66" applyFill="1" applyBorder="1" applyAlignment="1">
      <alignment horizontal="center" vertical="center"/>
    </xf>
    <xf numFmtId="9" fontId="1" fillId="0" borderId="0" xfId="0" applyNumberFormat="1" applyFont="1" applyFill="1" applyBorder="1" applyAlignment="1">
      <alignment horizontal="center" vertical="center"/>
    </xf>
    <xf numFmtId="0" fontId="44" fillId="0" borderId="0" xfId="0" applyFont="1" applyFill="1" applyBorder="1" applyAlignment="1">
      <alignment horizontal="center" vertical="center"/>
    </xf>
    <xf numFmtId="10" fontId="1" fillId="0" borderId="0" xfId="0" applyNumberFormat="1" applyFont="1" applyFill="1" applyBorder="1" applyAlignment="1">
      <alignment horizontal="center" vertical="center"/>
    </xf>
    <xf numFmtId="0" fontId="44" fillId="0" borderId="38" xfId="0" applyFont="1" applyFill="1" applyBorder="1" applyAlignment="1">
      <alignment horizontal="center" vertical="center"/>
    </xf>
    <xf numFmtId="0" fontId="1" fillId="0" borderId="0" xfId="0" applyFont="1" applyBorder="1" applyAlignment="1">
      <alignment horizontal="center" vertical="center"/>
    </xf>
    <xf numFmtId="0" fontId="1" fillId="0" borderId="38" xfId="0" applyFont="1" applyBorder="1" applyAlignment="1">
      <alignment horizontal="center" vertical="center"/>
    </xf>
    <xf numFmtId="0" fontId="69" fillId="0" borderId="0" xfId="0" applyFont="1" applyAlignment="1" applyProtection="1">
      <alignment horizontal="center" vertical="center"/>
      <protection locked="0"/>
    </xf>
    <xf numFmtId="0" fontId="73" fillId="0" borderId="0" xfId="66" applyFont="1" applyAlignment="1">
      <alignment horizontal="center"/>
    </xf>
    <xf numFmtId="9" fontId="69" fillId="0" borderId="0" xfId="0" applyNumberFormat="1" applyFont="1" applyAlignment="1" applyProtection="1">
      <alignment horizontal="center" vertical="center"/>
      <protection locked="0"/>
    </xf>
    <xf numFmtId="0" fontId="55" fillId="0" borderId="0" xfId="66" applyAlignment="1">
      <alignment horizontal="center" vertical="center"/>
    </xf>
    <xf numFmtId="0" fontId="47" fillId="0" borderId="33" xfId="58" applyFont="1" applyBorder="1" applyAlignment="1">
      <alignment horizontal="center" vertical="center"/>
    </xf>
    <xf numFmtId="180" fontId="47" fillId="0" borderId="0" xfId="64" applyNumberFormat="1" applyFont="1" applyFill="1" applyBorder="1" applyAlignment="1">
      <alignment horizontal="center" vertical="center"/>
    </xf>
    <xf numFmtId="0" fontId="1" fillId="56" borderId="14" xfId="61" applyFont="1" applyBorder="1" applyAlignment="1">
      <alignment horizontal="center" vertical="center"/>
    </xf>
    <xf numFmtId="0" fontId="1" fillId="56" borderId="41" xfId="61" applyFont="1" applyBorder="1" applyAlignment="1">
      <alignment horizontal="center" vertical="center"/>
    </xf>
    <xf numFmtId="180" fontId="1" fillId="56" borderId="0" xfId="64" applyNumberFormat="1" applyFont="1" applyFill="1" applyBorder="1" applyAlignment="1">
      <alignment horizontal="center" vertical="center"/>
    </xf>
    <xf numFmtId="3" fontId="44" fillId="0" borderId="0" xfId="60" applyNumberFormat="1" applyFont="1" applyFill="1" applyBorder="1" applyAlignment="1">
      <alignment horizontal="center" vertical="center"/>
    </xf>
    <xf numFmtId="3" fontId="44" fillId="0" borderId="39" xfId="60" applyNumberFormat="1" applyFont="1" applyFill="1" applyBorder="1" applyAlignment="1">
      <alignment horizontal="center" vertical="center"/>
    </xf>
    <xf numFmtId="0" fontId="18" fillId="110" borderId="36" xfId="0" applyFont="1" applyFill="1" applyBorder="1" applyAlignment="1" applyProtection="1">
      <alignment horizontal="center"/>
      <protection locked="0"/>
    </xf>
    <xf numFmtId="3" fontId="1" fillId="0" borderId="0" xfId="60" applyNumberFormat="1" applyFont="1" applyFill="1" applyBorder="1" applyAlignment="1">
      <alignment horizontal="center" vertical="center"/>
    </xf>
    <xf numFmtId="3" fontId="1" fillId="0" borderId="39" xfId="60" applyNumberFormat="1" applyFont="1" applyFill="1" applyBorder="1" applyAlignment="1">
      <alignment horizontal="center" vertical="center"/>
    </xf>
    <xf numFmtId="3" fontId="18" fillId="0" borderId="0" xfId="60" applyNumberFormat="1" applyFont="1" applyFill="1" applyBorder="1" applyAlignment="1">
      <alignment horizontal="center" vertical="center"/>
    </xf>
    <xf numFmtId="3" fontId="47" fillId="0" borderId="29" xfId="58" applyNumberFormat="1" applyFont="1" applyBorder="1" applyAlignment="1">
      <alignment horizontal="center" vertical="center"/>
    </xf>
    <xf numFmtId="3" fontId="47" fillId="0" borderId="13" xfId="58" applyNumberFormat="1" applyFont="1" applyBorder="1" applyAlignment="1">
      <alignment horizontal="center" vertical="center"/>
    </xf>
    <xf numFmtId="3" fontId="1" fillId="56" borderId="40" xfId="61" applyNumberFormat="1" applyFont="1" applyBorder="1" applyAlignment="1">
      <alignment horizontal="center" vertical="center"/>
    </xf>
    <xf numFmtId="3" fontId="1" fillId="56" borderId="14" xfId="61" applyNumberFormat="1" applyFont="1" applyBorder="1" applyAlignment="1">
      <alignment horizontal="center" vertical="center"/>
    </xf>
    <xf numFmtId="3" fontId="1" fillId="0" borderId="0" xfId="0" applyNumberFormat="1" applyFont="1" applyAlignment="1">
      <alignment horizontal="center" wrapText="1"/>
    </xf>
    <xf numFmtId="1" fontId="18" fillId="0" borderId="0" xfId="60" applyNumberFormat="1" applyFont="1" applyFill="1" applyBorder="1" applyAlignment="1">
      <alignment horizontal="center" vertical="center"/>
    </xf>
    <xf numFmtId="170" fontId="18" fillId="0" borderId="0" xfId="60" applyNumberFormat="1" applyFont="1" applyFill="1" applyBorder="1" applyAlignment="1">
      <alignment horizontal="right" vertical="center"/>
    </xf>
    <xf numFmtId="3" fontId="77" fillId="0" borderId="39" xfId="60" applyNumberFormat="1" applyFont="1" applyFill="1" applyBorder="1" applyAlignment="1">
      <alignment horizontal="center" vertical="center"/>
    </xf>
    <xf numFmtId="3" fontId="18" fillId="0" borderId="39" xfId="60" applyNumberFormat="1" applyFont="1" applyFill="1" applyBorder="1" applyAlignment="1">
      <alignment horizontal="center" vertical="center"/>
    </xf>
    <xf numFmtId="3" fontId="1" fillId="0" borderId="0" xfId="0" applyNumberFormat="1" applyFont="1"/>
    <xf numFmtId="0" fontId="18" fillId="0" borderId="0" xfId="0" applyFont="1" applyFill="1" applyBorder="1" applyAlignment="1">
      <alignment horizontal="left" vertical="center"/>
    </xf>
    <xf numFmtId="0" fontId="18" fillId="0" borderId="0" xfId="0" applyFont="1" applyFill="1" applyBorder="1" applyAlignment="1">
      <alignment horizontal="center" vertical="center"/>
    </xf>
    <xf numFmtId="175" fontId="18" fillId="0" borderId="0" xfId="63" applyNumberFormat="1" applyFont="1" applyFill="1" applyBorder="1" applyAlignment="1">
      <alignment horizontal="center" vertical="center"/>
    </xf>
    <xf numFmtId="0" fontId="18" fillId="112" borderId="36" xfId="0" applyFont="1" applyFill="1" applyBorder="1" applyAlignment="1" applyProtection="1">
      <alignment horizontal="center"/>
      <protection locked="0"/>
    </xf>
    <xf numFmtId="0" fontId="1" fillId="112" borderId="36" xfId="0" applyFont="1" applyFill="1" applyBorder="1" applyAlignment="1" applyProtection="1">
      <alignment horizontal="center"/>
      <protection locked="0"/>
    </xf>
    <xf numFmtId="0" fontId="47" fillId="112" borderId="28" xfId="57" applyFill="1" applyBorder="1" applyAlignment="1">
      <alignment horizontal="center" vertical="center" wrapText="1"/>
    </xf>
    <xf numFmtId="0" fontId="47" fillId="112" borderId="30" xfId="57" applyFill="1" applyBorder="1" applyAlignment="1">
      <alignment horizontal="center" vertical="center" wrapText="1"/>
    </xf>
    <xf numFmtId="0" fontId="47" fillId="112" borderId="32" xfId="57" applyFill="1" applyBorder="1" applyAlignment="1">
      <alignment horizontal="center" vertical="center" wrapText="1"/>
    </xf>
    <xf numFmtId="0" fontId="18" fillId="112" borderId="42" xfId="0" applyFont="1" applyFill="1" applyBorder="1" applyAlignment="1" applyProtection="1">
      <alignment horizontal="center"/>
      <protection locked="0"/>
    </xf>
    <xf numFmtId="3" fontId="1" fillId="0" borderId="40" xfId="60" applyNumberFormat="1" applyFont="1" applyFill="1" applyBorder="1" applyAlignment="1">
      <alignment horizontal="center" vertical="center"/>
    </xf>
    <xf numFmtId="0" fontId="18" fillId="110" borderId="42" xfId="0" applyFont="1" applyFill="1" applyBorder="1" applyAlignment="1" applyProtection="1">
      <alignment horizontal="center"/>
      <protection locked="0"/>
    </xf>
    <xf numFmtId="0" fontId="47" fillId="110" borderId="30" xfId="57" applyFont="1" applyFill="1" applyBorder="1" applyAlignment="1">
      <alignment horizontal="center" vertical="center" wrapText="1"/>
    </xf>
    <xf numFmtId="0" fontId="1" fillId="110" borderId="36" xfId="0" applyFont="1" applyFill="1" applyBorder="1" applyAlignment="1" applyProtection="1">
      <alignment horizontal="center"/>
      <protection locked="0"/>
    </xf>
    <xf numFmtId="0" fontId="47" fillId="110" borderId="28" xfId="57" applyFill="1" applyBorder="1" applyAlignment="1">
      <alignment horizontal="center" vertical="center" wrapText="1"/>
    </xf>
    <xf numFmtId="0" fontId="47" fillId="110" borderId="31" xfId="57" applyFill="1" applyBorder="1" applyAlignment="1">
      <alignment horizontal="center" vertical="center" wrapText="1"/>
    </xf>
    <xf numFmtId="0" fontId="47" fillId="110" borderId="30" xfId="57" applyFill="1" applyBorder="1" applyAlignment="1">
      <alignment horizontal="center" vertical="center" wrapText="1"/>
    </xf>
    <xf numFmtId="0" fontId="47" fillId="110" borderId="32" xfId="57" applyFill="1" applyBorder="1" applyAlignment="1">
      <alignment horizontal="center" vertical="center" wrapText="1"/>
    </xf>
    <xf numFmtId="3" fontId="44" fillId="0" borderId="40" xfId="60" applyNumberFormat="1" applyFont="1" applyFill="1" applyBorder="1" applyAlignment="1">
      <alignment horizontal="center" vertical="center"/>
    </xf>
    <xf numFmtId="3" fontId="1" fillId="0" borderId="42" xfId="60" applyNumberFormat="1" applyFont="1" applyFill="1" applyBorder="1" applyAlignment="1">
      <alignment horizontal="center" vertical="center"/>
    </xf>
    <xf numFmtId="3" fontId="1" fillId="0" borderId="38" xfId="60" applyNumberFormat="1" applyFont="1" applyFill="1" applyBorder="1" applyAlignment="1">
      <alignment horizontal="center" vertical="center"/>
    </xf>
    <xf numFmtId="0" fontId="1" fillId="0" borderId="39" xfId="0" applyFont="1" applyBorder="1" applyAlignment="1" applyProtection="1">
      <alignment vertical="center"/>
      <protection locked="0"/>
    </xf>
    <xf numFmtId="3" fontId="77" fillId="0" borderId="0" xfId="60" applyNumberFormat="1" applyFont="1" applyFill="1" applyBorder="1" applyAlignment="1">
      <alignment horizontal="center" vertical="center"/>
    </xf>
    <xf numFmtId="0" fontId="1" fillId="0" borderId="0" xfId="0" applyFont="1" applyFill="1" applyBorder="1" applyAlignment="1">
      <alignment horizontal="right" vertical="center" wrapText="1"/>
    </xf>
    <xf numFmtId="0" fontId="1" fillId="0" borderId="0" xfId="0" applyFont="1" applyFill="1" applyBorder="1" applyAlignment="1">
      <alignment horizontal="right" vertical="center" wrapText="1"/>
    </xf>
    <xf numFmtId="0" fontId="69" fillId="0" borderId="0" xfId="0" applyFont="1" applyAlignment="1">
      <alignment horizontal="center" vertical="center"/>
    </xf>
    <xf numFmtId="3" fontId="78" fillId="0" borderId="39" xfId="60" applyNumberFormat="1" applyFont="1" applyFill="1" applyBorder="1" applyAlignment="1">
      <alignment horizontal="center" vertical="center"/>
    </xf>
    <xf numFmtId="0" fontId="78" fillId="0" borderId="0" xfId="0" applyFont="1" applyFill="1" applyBorder="1" applyAlignment="1">
      <alignment horizontal="left" vertical="center"/>
    </xf>
    <xf numFmtId="0" fontId="1" fillId="0" borderId="0" xfId="0" applyFont="1" applyFill="1" applyBorder="1" applyAlignment="1">
      <alignment horizontal="right" vertical="center" wrapText="1"/>
    </xf>
    <xf numFmtId="0" fontId="78" fillId="0" borderId="0" xfId="0" applyFont="1" applyFill="1" applyBorder="1" applyAlignment="1">
      <alignment horizontal="right" vertical="center" wrapText="1"/>
    </xf>
    <xf numFmtId="0" fontId="47" fillId="0" borderId="10" xfId="56" applyFont="1" applyBorder="1" applyAlignment="1">
      <alignment horizontal="center" vertical="center" wrapText="1"/>
    </xf>
    <xf numFmtId="0" fontId="18" fillId="111" borderId="35" xfId="0" applyFont="1" applyFill="1" applyBorder="1" applyAlignment="1" applyProtection="1">
      <alignment horizontal="center" wrapText="1"/>
      <protection locked="0"/>
    </xf>
    <xf numFmtId="0" fontId="18" fillId="111" borderId="36" xfId="0" applyFont="1" applyFill="1" applyBorder="1" applyAlignment="1" applyProtection="1">
      <alignment horizontal="center" wrapText="1"/>
      <protection locked="0"/>
    </xf>
    <xf numFmtId="0" fontId="18" fillId="111" borderId="37" xfId="0" applyFont="1" applyFill="1" applyBorder="1" applyAlignment="1" applyProtection="1">
      <alignment horizontal="center" wrapText="1"/>
      <protection locked="0"/>
    </xf>
    <xf numFmtId="0" fontId="18" fillId="109" borderId="35" xfId="0" applyFont="1" applyFill="1" applyBorder="1" applyAlignment="1" applyProtection="1">
      <alignment horizontal="center" vertical="center"/>
      <protection locked="0"/>
    </xf>
    <xf numFmtId="0" fontId="18" fillId="109" borderId="36" xfId="0" applyFont="1" applyFill="1" applyBorder="1" applyAlignment="1" applyProtection="1">
      <alignment horizontal="center" vertical="center"/>
      <protection locked="0"/>
    </xf>
    <xf numFmtId="0" fontId="18" fillId="109" borderId="37" xfId="0" applyFont="1" applyFill="1" applyBorder="1" applyAlignment="1" applyProtection="1">
      <alignment horizontal="center" vertical="center"/>
      <protection locked="0"/>
    </xf>
    <xf numFmtId="0" fontId="18" fillId="0" borderId="0" xfId="0" applyFont="1" applyBorder="1" applyAlignment="1" applyProtection="1">
      <alignment horizontal="center" vertical="center" wrapText="1"/>
      <protection locked="0"/>
    </xf>
    <xf numFmtId="0" fontId="22" fillId="0" borderId="0" xfId="0" applyFont="1" applyBorder="1" applyAlignment="1">
      <alignment horizontal="center" vertical="center" wrapText="1"/>
    </xf>
    <xf numFmtId="0" fontId="22" fillId="0" borderId="13" xfId="0" applyFont="1" applyBorder="1" applyAlignment="1">
      <alignment horizontal="center" vertical="center"/>
    </xf>
    <xf numFmtId="0" fontId="22" fillId="0" borderId="0" xfId="0" applyFont="1" applyBorder="1" applyAlignment="1">
      <alignment horizontal="center" vertical="center"/>
    </xf>
    <xf numFmtId="0" fontId="22" fillId="0" borderId="14" xfId="0" applyFont="1" applyBorder="1" applyAlignment="1">
      <alignment horizontal="center" vertical="center"/>
    </xf>
    <xf numFmtId="0" fontId="18" fillId="31" borderId="0" xfId="69">
      <alignment horizontal="center"/>
    </xf>
    <xf numFmtId="0" fontId="66" fillId="0" borderId="0" xfId="0" applyFont="1" applyFill="1" applyAlignment="1">
      <alignment horizontal="left" vertical="center"/>
    </xf>
    <xf numFmtId="3" fontId="1" fillId="0" borderId="13" xfId="0" applyNumberFormat="1" applyFont="1" applyFill="1" applyBorder="1" applyAlignment="1">
      <alignment horizontal="center" vertical="center" wrapText="1"/>
    </xf>
    <xf numFmtId="3" fontId="1" fillId="0" borderId="0" xfId="0" applyNumberFormat="1" applyFont="1" applyFill="1" applyBorder="1" applyAlignment="1">
      <alignment horizontal="center" vertical="center" wrapText="1"/>
    </xf>
    <xf numFmtId="3" fontId="1" fillId="0" borderId="14" xfId="0" applyNumberFormat="1" applyFont="1" applyFill="1" applyBorder="1" applyAlignment="1">
      <alignment horizontal="center" vertical="center" wrapText="1"/>
    </xf>
    <xf numFmtId="3" fontId="1" fillId="0" borderId="13" xfId="0" applyNumberFormat="1" applyFont="1" applyFill="1" applyBorder="1" applyAlignment="1">
      <alignment horizontal="center" vertical="center"/>
    </xf>
    <xf numFmtId="3" fontId="1" fillId="0" borderId="0" xfId="0" applyNumberFormat="1" applyFont="1" applyFill="1" applyBorder="1" applyAlignment="1">
      <alignment horizontal="center" vertical="center"/>
    </xf>
    <xf numFmtId="3" fontId="0" fillId="0" borderId="0" xfId="0" applyNumberFormat="1" applyFont="1" applyFill="1" applyBorder="1" applyAlignment="1">
      <alignment horizontal="center" vertical="center" wrapText="1"/>
    </xf>
    <xf numFmtId="170" fontId="78" fillId="0" borderId="0" xfId="60" applyNumberFormat="1" applyFont="1" applyFill="1" applyBorder="1" applyAlignment="1">
      <alignment horizontal="right" vertical="center"/>
    </xf>
    <xf numFmtId="170" fontId="72" fillId="0" borderId="0" xfId="60" applyNumberFormat="1" applyFont="1" applyFill="1" applyBorder="1" applyAlignment="1">
      <alignment horizontal="right" vertical="center"/>
    </xf>
    <xf numFmtId="170" fontId="78" fillId="0" borderId="0" xfId="60" applyNumberFormat="1" applyFont="1" applyFill="1" applyBorder="1" applyAlignment="1">
      <alignment horizontal="center" vertical="center" wrapText="1"/>
    </xf>
    <xf numFmtId="1" fontId="78" fillId="0" borderId="0" xfId="60" applyNumberFormat="1" applyFont="1" applyFill="1" applyBorder="1" applyAlignment="1">
      <alignment horizontal="center" vertical="center"/>
    </xf>
    <xf numFmtId="0" fontId="18" fillId="113" borderId="43" xfId="0" applyFont="1" applyFill="1" applyBorder="1" applyAlignment="1" applyProtection="1">
      <alignment horizontal="center"/>
      <protection locked="0"/>
    </xf>
    <xf numFmtId="0" fontId="47" fillId="113" borderId="34" xfId="57" applyFont="1" applyFill="1" applyBorder="1" applyAlignment="1">
      <alignment horizontal="center" vertical="center" wrapText="1"/>
    </xf>
    <xf numFmtId="3" fontId="1" fillId="0" borderId="38" xfId="60" applyNumberFormat="1" applyFont="1" applyFill="1" applyBorder="1" applyAlignment="1">
      <alignment horizontal="center" vertical="center" wrapText="1"/>
    </xf>
    <xf numFmtId="3" fontId="1" fillId="0" borderId="41" xfId="60" applyNumberFormat="1" applyFont="1" applyFill="1" applyBorder="1" applyAlignment="1">
      <alignment horizontal="center" vertical="center"/>
    </xf>
    <xf numFmtId="0" fontId="18" fillId="110" borderId="43" xfId="0" applyFont="1" applyFill="1" applyBorder="1" applyAlignment="1" applyProtection="1">
      <alignment horizontal="center"/>
      <protection locked="0"/>
    </xf>
    <xf numFmtId="0" fontId="47" fillId="110" borderId="34" xfId="57" applyFont="1" applyFill="1" applyBorder="1" applyAlignment="1">
      <alignment horizontal="center" vertical="center" wrapText="1"/>
    </xf>
    <xf numFmtId="3" fontId="47" fillId="0" borderId="39" xfId="60" applyNumberFormat="1" applyFont="1" applyFill="1" applyBorder="1" applyAlignment="1">
      <alignment horizontal="center" vertical="center"/>
    </xf>
    <xf numFmtId="3" fontId="47" fillId="0" borderId="0" xfId="60" applyNumberFormat="1" applyFont="1" applyFill="1" applyBorder="1" applyAlignment="1">
      <alignment horizontal="center" vertical="center"/>
    </xf>
    <xf numFmtId="3" fontId="30" fillId="0" borderId="39" xfId="60" applyNumberFormat="1" applyFont="1" applyFill="1" applyBorder="1" applyAlignment="1">
      <alignment horizontal="center" vertical="center"/>
    </xf>
    <xf numFmtId="3" fontId="30" fillId="0" borderId="0" xfId="60" applyNumberFormat="1" applyFont="1" applyFill="1" applyBorder="1" applyAlignment="1">
      <alignment horizontal="center" vertical="center"/>
    </xf>
    <xf numFmtId="3" fontId="30" fillId="0" borderId="39" xfId="0" applyNumberFormat="1" applyFont="1" applyFill="1" applyBorder="1" applyAlignment="1">
      <alignment horizontal="center" vertical="center"/>
    </xf>
    <xf numFmtId="3" fontId="30" fillId="0" borderId="38" xfId="60" applyNumberFormat="1" applyFont="1" applyFill="1" applyBorder="1" applyAlignment="1">
      <alignment horizontal="center" vertical="center"/>
    </xf>
    <xf numFmtId="3" fontId="69" fillId="0" borderId="39" xfId="60" applyNumberFormat="1" applyFont="1" applyFill="1" applyBorder="1" applyAlignment="1">
      <alignment horizontal="center" vertical="center"/>
    </xf>
    <xf numFmtId="3" fontId="69" fillId="0" borderId="0" xfId="60" applyNumberFormat="1" applyFont="1" applyFill="1" applyBorder="1" applyAlignment="1">
      <alignment horizontal="center" vertical="center"/>
    </xf>
    <xf numFmtId="3" fontId="69" fillId="0" borderId="38" xfId="60" applyNumberFormat="1" applyFont="1" applyFill="1" applyBorder="1" applyAlignment="1">
      <alignment horizontal="center" vertical="center"/>
    </xf>
    <xf numFmtId="0" fontId="79" fillId="0" borderId="0" xfId="0" applyFont="1" applyAlignment="1">
      <alignment horizontal="center" vertical="center"/>
    </xf>
    <xf numFmtId="0" fontId="80" fillId="0" borderId="0" xfId="0" applyFont="1" applyFill="1" applyBorder="1" applyAlignment="1">
      <alignment horizontal="left" vertical="center"/>
    </xf>
    <xf numFmtId="0" fontId="80" fillId="0" borderId="0" xfId="0" applyFont="1" applyFill="1" applyBorder="1" applyAlignment="1">
      <alignment horizontal="center" vertical="center"/>
    </xf>
    <xf numFmtId="3" fontId="80" fillId="0" borderId="0" xfId="0" applyNumberFormat="1" applyFont="1" applyFill="1" applyBorder="1" applyAlignment="1">
      <alignment horizontal="right" vertical="center" wrapText="1"/>
    </xf>
    <xf numFmtId="170" fontId="80" fillId="0" borderId="0" xfId="60" applyNumberFormat="1" applyFont="1" applyFill="1" applyBorder="1" applyAlignment="1">
      <alignment horizontal="center" vertical="center" wrapText="1"/>
    </xf>
    <xf numFmtId="1" fontId="80" fillId="0" borderId="0" xfId="60" applyNumberFormat="1" applyFont="1" applyFill="1" applyBorder="1" applyAlignment="1">
      <alignment horizontal="center" vertical="center"/>
    </xf>
    <xf numFmtId="0" fontId="80" fillId="0" borderId="0" xfId="0" applyFont="1" applyFill="1" applyBorder="1" applyAlignment="1">
      <alignment horizontal="right" vertical="center" wrapText="1"/>
    </xf>
    <xf numFmtId="10" fontId="80" fillId="0" borderId="0" xfId="0" applyNumberFormat="1" applyFont="1" applyFill="1" applyBorder="1" applyAlignment="1">
      <alignment horizontal="right" vertical="center" wrapText="1"/>
    </xf>
    <xf numFmtId="175" fontId="80" fillId="0" borderId="0" xfId="63" applyNumberFormat="1" applyFont="1" applyFill="1" applyBorder="1" applyAlignment="1">
      <alignment horizontal="center" vertical="center"/>
    </xf>
    <xf numFmtId="180" fontId="80" fillId="0" borderId="0" xfId="64" applyNumberFormat="1" applyFont="1" applyFill="1" applyBorder="1" applyAlignment="1">
      <alignment horizontal="center" vertical="center"/>
    </xf>
    <xf numFmtId="178" fontId="80" fillId="0" borderId="0" xfId="60" applyNumberFormat="1" applyFont="1" applyFill="1" applyBorder="1" applyAlignment="1">
      <alignment horizontal="right" vertical="center"/>
    </xf>
    <xf numFmtId="43" fontId="80" fillId="0" borderId="0" xfId="60" applyFont="1" applyFill="1" applyBorder="1" applyAlignment="1">
      <alignment horizontal="center" vertical="center"/>
    </xf>
    <xf numFmtId="0" fontId="81" fillId="0" borderId="0" xfId="66" applyFont="1" applyAlignment="1">
      <alignment horizontal="center"/>
    </xf>
    <xf numFmtId="3" fontId="80" fillId="0" borderId="38" xfId="60" applyNumberFormat="1" applyFont="1" applyFill="1" applyBorder="1" applyAlignment="1">
      <alignment horizontal="center" vertical="center"/>
    </xf>
    <xf numFmtId="0" fontId="80" fillId="0" borderId="38" xfId="0" applyFont="1" applyFill="1" applyBorder="1" applyAlignment="1">
      <alignment horizontal="center" vertical="center"/>
    </xf>
    <xf numFmtId="0" fontId="80" fillId="0" borderId="0" xfId="0" applyFont="1" applyAlignment="1" applyProtection="1">
      <alignment horizontal="center" vertical="center"/>
      <protection locked="0"/>
    </xf>
    <xf numFmtId="9" fontId="80" fillId="0" borderId="0" xfId="0" applyNumberFormat="1" applyFont="1" applyAlignment="1" applyProtection="1">
      <alignment horizontal="center" vertical="center"/>
      <protection locked="0"/>
    </xf>
    <xf numFmtId="0" fontId="80" fillId="0" borderId="0" xfId="0" applyFont="1" applyAlignment="1" applyProtection="1">
      <alignment vertical="center"/>
      <protection locked="0"/>
    </xf>
    <xf numFmtId="170" fontId="80" fillId="0" borderId="0" xfId="60" applyNumberFormat="1" applyFont="1" applyFill="1" applyBorder="1" applyAlignment="1">
      <alignment horizontal="right" vertical="center"/>
    </xf>
    <xf numFmtId="3" fontId="80" fillId="0" borderId="39" xfId="60" applyNumberFormat="1" applyFont="1" applyFill="1" applyBorder="1" applyAlignment="1">
      <alignment horizontal="center" vertical="center"/>
    </xf>
    <xf numFmtId="3" fontId="80" fillId="0" borderId="0" xfId="60" applyNumberFormat="1" applyFont="1" applyFill="1" applyBorder="1" applyAlignment="1">
      <alignment horizontal="center" vertical="center"/>
    </xf>
    <xf numFmtId="170" fontId="80" fillId="0" borderId="0" xfId="60" applyNumberFormat="1" applyFont="1" applyFill="1" applyBorder="1" applyAlignment="1">
      <alignment horizontal="right" vertical="center" wrapText="1"/>
    </xf>
    <xf numFmtId="10" fontId="80" fillId="0" borderId="0" xfId="0" applyNumberFormat="1" applyFont="1" applyFill="1" applyBorder="1" applyAlignment="1">
      <alignment horizontal="right" vertical="center"/>
    </xf>
    <xf numFmtId="0" fontId="80" fillId="0" borderId="0" xfId="0" applyFont="1" applyFill="1" applyBorder="1" applyAlignment="1">
      <alignment horizontal="left" vertical="center" wrapText="1"/>
    </xf>
    <xf numFmtId="3" fontId="1" fillId="0" borderId="39" xfId="0" applyNumberFormat="1" applyFont="1" applyFill="1" applyBorder="1" applyAlignment="1">
      <alignment horizontal="center" vertical="center"/>
    </xf>
    <xf numFmtId="49" fontId="55" fillId="0" borderId="0" xfId="66" applyNumberFormat="1" applyFill="1" applyBorder="1" applyAlignment="1">
      <alignment vertical="top"/>
    </xf>
  </cellXfs>
  <cellStyles count="73">
    <cellStyle name="20% - Accent1" xfId="1" builtinId="30" hidden="1" customBuiltin="1"/>
    <cellStyle name="20% - Accent2" xfId="2" builtinId="34" hidden="1" customBuiltin="1"/>
    <cellStyle name="20% - Accent3" xfId="3" builtinId="38" hidden="1" customBuiltin="1"/>
    <cellStyle name="20% - Accent4" xfId="4" builtinId="42" hidden="1" customBuiltin="1"/>
    <cellStyle name="20% - Accent5" xfId="5" builtinId="46" hidden="1" customBuiltin="1"/>
    <cellStyle name="20% - Accent6" xfId="6" builtinId="50" hidden="1" customBuiltin="1"/>
    <cellStyle name="40% - Accent1" xfId="7" builtinId="31" hidden="1" customBuiltin="1"/>
    <cellStyle name="40% - Accent2" xfId="8" builtinId="35" hidden="1" customBuiltin="1"/>
    <cellStyle name="40% - Accent3" xfId="9" builtinId="39" hidden="1" customBuiltin="1"/>
    <cellStyle name="40% - Accent4" xfId="10" builtinId="43" hidden="1" customBuiltin="1"/>
    <cellStyle name="40% - Accent5" xfId="11" builtinId="47" hidden="1" customBuiltin="1"/>
    <cellStyle name="40% - Accent6" xfId="12" builtinId="51" hidden="1" customBuiltin="1"/>
    <cellStyle name="60% - Accent1" xfId="13" builtinId="32" hidden="1" customBuiltin="1"/>
    <cellStyle name="60% - Accent2" xfId="14" builtinId="36" hidden="1" customBuiltin="1"/>
    <cellStyle name="60% - Accent3" xfId="15" builtinId="40" hidden="1" customBuiltin="1"/>
    <cellStyle name="60% - Accent4" xfId="16" builtinId="44" hidden="1" customBuiltin="1"/>
    <cellStyle name="60% - Accent5" xfId="17" builtinId="48" hidden="1" customBuiltin="1"/>
    <cellStyle name="60% - Accent6" xfId="18" builtinId="52" hidden="1" customBuiltin="1"/>
    <cellStyle name="Accent1" xfId="19" builtinId="29" hidden="1" customBuiltin="1"/>
    <cellStyle name="Accent2" xfId="20" builtinId="33" hidden="1" customBuiltin="1"/>
    <cellStyle name="Accent3" xfId="21" builtinId="37" hidden="1" customBuiltin="1"/>
    <cellStyle name="Accent4" xfId="22" builtinId="41" hidden="1" customBuiltin="1"/>
    <cellStyle name="Accent5" xfId="23" builtinId="45" hidden="1" customBuiltin="1"/>
    <cellStyle name="Accent6" xfId="24" builtinId="49" hidden="1" customBuiltin="1"/>
    <cellStyle name="Bad" xfId="25" builtinId="27" hidden="1" customBuiltin="1"/>
    <cellStyle name="Binary Flag" xfId="50" xr:uid="{00000000-0005-0000-0000-000019000000}"/>
    <cellStyle name="Calculation" xfId="26" builtinId="22" hidden="1" customBuiltin="1"/>
    <cellStyle name="Check Cell" xfId="27" builtinId="23" hidden="1" customBuiltin="1"/>
    <cellStyle name="Code_Output" xfId="59" xr:uid="{00000000-0005-0000-0000-00001C000000}"/>
    <cellStyle name="Comma" xfId="43" builtinId="3" hidden="1"/>
    <cellStyle name="Comma" xfId="60" builtinId="3"/>
    <cellStyle name="Comma [0]" xfId="44" builtinId="6" hidden="1"/>
    <cellStyle name="Currency" xfId="45" builtinId="4" hidden="1"/>
    <cellStyle name="Currency" xfId="64" xr:uid="{00000000-0005-0000-0000-000021000000}"/>
    <cellStyle name="Currency [0]" xfId="46" builtinId="7" hidden="1"/>
    <cellStyle name="Dropdown" xfId="69" xr:uid="{00000000-0005-0000-0000-000023000000}"/>
    <cellStyle name="DropdownLight" xfId="70" xr:uid="{00000000-0005-0000-0000-000024000000}"/>
    <cellStyle name="Empty_Cell" xfId="52" xr:uid="{00000000-0005-0000-0000-000025000000}"/>
    <cellStyle name="Explanatory Text" xfId="28" builtinId="53" hidden="1" customBuiltin="1"/>
    <cellStyle name="Followed Hyperlink" xfId="67" builtinId="9" customBuiltin="1"/>
    <cellStyle name="Formula" xfId="54" xr:uid="{00000000-0005-0000-0000-000028000000}"/>
    <cellStyle name="Good" xfId="29" builtinId="26" hidden="1" customBuiltin="1"/>
    <cellStyle name="Heading 1" xfId="30" builtinId="16" hidden="1" customBuiltin="1"/>
    <cellStyle name="Heading 2" xfId="31" builtinId="17" hidden="1" customBuiltin="1"/>
    <cellStyle name="Heading 3" xfId="32" builtinId="18" hidden="1" customBuiltin="1"/>
    <cellStyle name="Heading 4" xfId="33" builtinId="19" hidden="1" customBuiltin="1"/>
    <cellStyle name="Hyperlink" xfId="42" builtinId="8" hidden="1"/>
    <cellStyle name="Hyperlink" xfId="66" builtinId="8" customBuiltin="1"/>
    <cellStyle name="Input" xfId="34" builtinId="20" hidden="1" customBuiltin="1"/>
    <cellStyle name="Input" xfId="68" builtinId="20"/>
    <cellStyle name="InputLight" xfId="65" xr:uid="{00000000-0005-0000-0000-000032000000}"/>
    <cellStyle name="Line_Summary" xfId="53" xr:uid="{00000000-0005-0000-0000-000033000000}"/>
    <cellStyle name="Linked Cell" xfId="35" builtinId="24" hidden="1" customBuiltin="1"/>
    <cellStyle name="Neutral" xfId="36" builtinId="28" hidden="1" customBuiltin="1"/>
    <cellStyle name="Normal" xfId="0" builtinId="0"/>
    <cellStyle name="Normal 10 4" xfId="72" xr:uid="{00000000-0005-0000-0000-000037000000}"/>
    <cellStyle name="Normal 2" xfId="71" xr:uid="{00000000-0005-0000-0000-000038000000}"/>
    <cellStyle name="Note" xfId="37" builtinId="10" hidden="1" customBuiltin="1"/>
    <cellStyle name="Notes" xfId="61" xr:uid="{00000000-0005-0000-0000-00003A000000}"/>
    <cellStyle name="Output" xfId="38" builtinId="21" hidden="1" customBuiltin="1"/>
    <cellStyle name="Percent" xfId="47" builtinId="5" hidden="1"/>
    <cellStyle name="Percent" xfId="62" builtinId="5" hidden="1"/>
    <cellStyle name="Percent" xfId="63" builtinId="5" customBuiltin="1"/>
    <cellStyle name="Sheet Header" xfId="48" xr:uid="{00000000-0005-0000-0000-00003F000000}"/>
    <cellStyle name="Table Header" xfId="49" xr:uid="{00000000-0005-0000-0000-000040000000}"/>
    <cellStyle name="Table Header 2" xfId="56" xr:uid="{00000000-0005-0000-0000-000041000000}"/>
    <cellStyle name="Table Header 3" xfId="57" xr:uid="{00000000-0005-0000-0000-000042000000}"/>
    <cellStyle name="Technical_Input" xfId="51" xr:uid="{00000000-0005-0000-0000-000043000000}"/>
    <cellStyle name="Title" xfId="39" builtinId="15" hidden="1" customBuiltin="1"/>
    <cellStyle name="Total" xfId="40" builtinId="25" hidden="1" customBuiltin="1"/>
    <cellStyle name="Total_Column" xfId="58" xr:uid="{00000000-0005-0000-0000-000046000000}"/>
    <cellStyle name="unit" xfId="55" xr:uid="{00000000-0005-0000-0000-000047000000}"/>
    <cellStyle name="Warning Text" xfId="41" builtinId="11" hidden="1" customBuiltin="1"/>
  </cellStyles>
  <dxfs count="3332">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FE3B3"/>
        </patternFill>
      </fill>
    </dxf>
    <dxf>
      <fill>
        <patternFill>
          <bgColor rgb="FFFFD17F"/>
        </patternFill>
      </fill>
    </dxf>
    <dxf>
      <fill>
        <patternFill>
          <bgColor rgb="FFFFE3B3"/>
        </patternFill>
      </fill>
    </dxf>
    <dxf>
      <fill>
        <patternFill>
          <bgColor rgb="FFFFD17F"/>
        </patternFill>
      </fill>
    </dxf>
    <dxf>
      <fill>
        <patternFill>
          <bgColor rgb="FFF9F9F9"/>
        </patternFill>
      </fill>
    </dxf>
    <dxf>
      <fill>
        <patternFill>
          <bgColor rgb="FFFFFFFF"/>
        </patternFill>
      </fill>
    </dxf>
    <dxf>
      <fill>
        <patternFill>
          <bgColor rgb="FFFFE3B3"/>
        </patternFill>
      </fill>
    </dxf>
    <dxf>
      <fill>
        <patternFill>
          <bgColor rgb="FFFFD17F"/>
        </patternFill>
      </fill>
    </dxf>
    <dxf>
      <fill>
        <patternFill>
          <bgColor rgb="FFF9F9F9"/>
        </patternFill>
      </fill>
    </dxf>
    <dxf>
      <fill>
        <patternFill>
          <bgColor rgb="FFFFFFFF"/>
        </patternFill>
      </fill>
    </dxf>
    <dxf>
      <fill>
        <patternFill>
          <bgColor rgb="FFFFE3B3"/>
        </patternFill>
      </fill>
    </dxf>
    <dxf>
      <fill>
        <patternFill>
          <bgColor rgb="FFFFD17F"/>
        </patternFill>
      </fill>
    </dxf>
    <dxf>
      <fill>
        <patternFill>
          <bgColor rgb="FFF9F9F9"/>
        </patternFill>
      </fill>
    </dxf>
    <dxf>
      <fill>
        <patternFill>
          <bgColor rgb="FFFFFFFF"/>
        </patternFill>
      </fill>
    </dxf>
    <dxf>
      <fill>
        <patternFill>
          <bgColor rgb="FFFFE3B3"/>
        </patternFill>
      </fill>
    </dxf>
    <dxf>
      <fill>
        <patternFill>
          <bgColor rgb="FFFFD17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FE3B3"/>
        </patternFill>
      </fill>
    </dxf>
    <dxf>
      <fill>
        <patternFill>
          <bgColor rgb="FFFFD17F"/>
        </patternFill>
      </fill>
    </dxf>
    <dxf>
      <font>
        <b/>
        <i val="0"/>
        <color rgb="FFC81F1D"/>
      </font>
      <fill>
        <patternFill>
          <bgColor rgb="FFEB4D4A"/>
        </patternFill>
      </fill>
    </dxf>
    <dxf>
      <font>
        <b/>
        <i val="0"/>
        <color rgb="FF28812A"/>
      </font>
      <fill>
        <patternFill>
          <bgColor rgb="FF00C78B"/>
        </patternFill>
      </fill>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border outline="0">
        <bottom style="thin">
          <color auto="1"/>
        </bottom>
      </border>
    </dxf>
    <dxf>
      <alignment horizontal="center" vertical="center" textRotation="0" wrapText="1" indent="0" justifyLastLine="0" shrinkToFit="0" readingOrder="0"/>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9F9F9"/>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FFFFF"/>
        </patternFill>
      </fill>
    </dxf>
    <dxf>
      <fill>
        <patternFill>
          <bgColor rgb="FFFFFFFF"/>
        </patternFill>
      </fill>
    </dxf>
    <dxf>
      <fill>
        <patternFill>
          <bgColor rgb="FFF9F9F9"/>
        </patternFill>
      </fill>
    </dxf>
    <dxf>
      <fill>
        <patternFill>
          <bgColor rgb="FFFFFFFF"/>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9F9F9"/>
        </patternFill>
      </fill>
    </dxf>
    <dxf>
      <fill>
        <patternFill>
          <bgColor rgb="FFFFFFFF"/>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9F9F9"/>
        </patternFill>
      </fill>
    </dxf>
    <dxf>
      <fill>
        <patternFill>
          <bgColor rgb="FFFFFFFF"/>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9F9F9"/>
        </patternFill>
      </fill>
    </dxf>
    <dxf>
      <fill>
        <patternFill>
          <bgColor rgb="FFFFFFFF"/>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9F9F9"/>
        </patternFill>
      </fill>
    </dxf>
    <dxf>
      <fill>
        <patternFill>
          <bgColor rgb="FFFFFFFF"/>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ill>
        <patternFill>
          <bgColor rgb="FFF9F9F9"/>
        </patternFill>
      </fill>
    </dxf>
    <dxf>
      <fill>
        <patternFill>
          <bgColor rgb="FFFFFFFF"/>
        </patternFill>
      </fill>
    </dxf>
    <dxf>
      <font>
        <b/>
        <i val="0"/>
        <color theme="0"/>
      </font>
      <fill>
        <patternFill>
          <bgColor theme="8"/>
        </patternFill>
      </fill>
    </dxf>
    <dxf>
      <border>
        <left style="thin">
          <color theme="8"/>
        </left>
        <right style="thin">
          <color theme="8"/>
        </right>
        <top style="thin">
          <color theme="8"/>
        </top>
        <bottom style="thin">
          <color theme="8"/>
        </bottom>
        <vertical style="thin">
          <color theme="8"/>
        </vertical>
        <horizontal style="thin">
          <color theme="8"/>
        </horizontal>
      </border>
    </dxf>
    <dxf>
      <fill>
        <patternFill>
          <bgColor theme="0" tint="-0.24994659260841701"/>
        </patternFill>
      </fill>
    </dxf>
    <dxf>
      <font>
        <color auto="1"/>
      </font>
      <border>
        <left style="thin">
          <color theme="0" tint="-0.24994659260841701"/>
        </left>
        <right style="thin">
          <color theme="0" tint="-0.24994659260841701"/>
        </right>
        <top style="thin">
          <color theme="0" tint="-0.24994659260841701"/>
        </top>
        <bottom style="thin">
          <color theme="0" tint="-0.24994659260841701"/>
        </bottom>
        <vertical/>
        <horizontal style="thin">
          <color theme="0" tint="-0.24994659260841701"/>
        </horizontal>
      </border>
    </dxf>
    <dxf>
      <font>
        <b/>
        <i val="0"/>
        <color auto="1"/>
      </font>
      <fill>
        <patternFill>
          <bgColor rgb="FFFDCCA3"/>
        </patternFill>
      </fill>
    </dxf>
    <dxf>
      <border>
        <left style="thin">
          <color rgb="FFFDCCA3"/>
        </left>
        <right style="thin">
          <color rgb="FFFDCCA3"/>
        </right>
        <top style="thin">
          <color rgb="FFFDCCA3"/>
        </top>
        <bottom style="thin">
          <color rgb="FFFDCCA3"/>
        </bottom>
        <vertical style="thin">
          <color rgb="FFFDCCA3"/>
        </vertical>
        <horizontal style="thin">
          <color rgb="FFFDCCA3"/>
        </horizontal>
      </border>
    </dxf>
    <dxf>
      <font>
        <b/>
        <i val="0"/>
        <color theme="0"/>
      </font>
      <fill>
        <patternFill>
          <bgColor rgb="FFEA2839"/>
        </patternFill>
      </fill>
    </dxf>
    <dxf>
      <border>
        <left style="thin">
          <color rgb="FFEA2839"/>
        </left>
        <right style="thin">
          <color rgb="FFEA2839"/>
        </right>
        <top style="thin">
          <color rgb="FFEA2839"/>
        </top>
        <bottom style="thin">
          <color rgb="FFEA2839"/>
        </bottom>
        <vertical/>
        <horizontal style="thin">
          <color rgb="FFEA2839"/>
        </horizontal>
      </border>
    </dxf>
    <dxf>
      <font>
        <b/>
        <i val="0"/>
        <color rgb="FFFFFFFF"/>
      </font>
      <fill>
        <patternFill>
          <bgColor rgb="FFFF6D22"/>
        </patternFill>
      </fill>
    </dxf>
    <dxf>
      <border>
        <left style="thin">
          <color rgb="FFFF6D22"/>
        </left>
        <right style="thin">
          <color rgb="FFFF6D22"/>
        </right>
        <top style="thin">
          <color rgb="FFFF6D22"/>
        </top>
        <bottom style="thin">
          <color rgb="FFFF6D22"/>
        </bottom>
        <vertical/>
        <horizontal style="thin">
          <color rgb="FFFF6D22"/>
        </horizontal>
      </border>
    </dxf>
    <dxf>
      <font>
        <b/>
        <i val="0"/>
        <color theme="0"/>
      </font>
      <fill>
        <patternFill>
          <bgColor rgb="FF00C78B"/>
        </patternFill>
      </fill>
      <border>
        <left style="thin">
          <color rgb="FF00C78B"/>
        </left>
        <right style="thin">
          <color rgb="FF00C78B"/>
        </right>
        <top style="thin">
          <color rgb="FF00C78B"/>
        </top>
        <bottom style="thin">
          <color rgb="FF00C78B"/>
        </bottom>
        <vertical style="thin">
          <color rgb="FF00C78B"/>
        </vertical>
        <horizontal style="thin">
          <color rgb="FF00C78B"/>
        </horizontal>
      </border>
    </dxf>
    <dxf>
      <border>
        <left style="thin">
          <color rgb="FF00C78B"/>
        </left>
        <right style="thin">
          <color rgb="FF00C78B"/>
        </right>
        <top style="thin">
          <color rgb="FF00C78B"/>
        </top>
        <bottom style="thin">
          <color rgb="FF00C78B"/>
        </bottom>
        <horizontal style="thin">
          <color rgb="FF00C78B"/>
        </horizontal>
      </border>
    </dxf>
    <dxf>
      <font>
        <b/>
        <i val="0"/>
        <color theme="0"/>
      </font>
      <fill>
        <patternFill>
          <bgColor rgb="FF00B9E4"/>
        </patternFill>
      </fill>
    </dxf>
    <dxf>
      <border>
        <left style="thin">
          <color rgb="FF00B9E4"/>
        </left>
        <right style="thin">
          <color rgb="FF00B9E4"/>
        </right>
        <top style="thin">
          <color rgb="FF00B9E4"/>
        </top>
        <bottom style="thin">
          <color rgb="FF00B9E4"/>
        </bottom>
      </border>
    </dxf>
  </dxfs>
  <tableStyles count="7" defaultTableStyle="TableStyleMedium2" defaultPivotStyle="PivotStyleLight16">
    <tableStyle name="BNEF " pivot="0" count="2" xr9:uid="{00000000-0011-0000-FFFF-FFFF00000000}">
      <tableStyleElement type="wholeTable" dxfId="3331"/>
      <tableStyleElement type="headerRow" dxfId="3330"/>
    </tableStyle>
    <tableStyle name="BNEF 1" pivot="0" count="2" xr9:uid="{00000000-0011-0000-FFFF-FFFF01000000}">
      <tableStyleElement type="wholeTable" dxfId="3329"/>
      <tableStyleElement type="headerRow" dxfId="3328"/>
    </tableStyle>
    <tableStyle name="BNEF 2" pivot="0" count="2" xr9:uid="{00000000-0011-0000-FFFF-FFFF02000000}">
      <tableStyleElement type="wholeTable" dxfId="3327"/>
      <tableStyleElement type="headerRow" dxfId="3326"/>
    </tableStyle>
    <tableStyle name="BNEF 3" pivot="0" count="2" xr9:uid="{00000000-0011-0000-FFFF-FFFF03000000}">
      <tableStyleElement type="wholeTable" dxfId="3325"/>
      <tableStyleElement type="headerRow" dxfId="3324"/>
    </tableStyle>
    <tableStyle name="BNEF 4" pivot="0" count="2" xr9:uid="{00000000-0011-0000-FFFF-FFFF04000000}">
      <tableStyleElement type="wholeTable" dxfId="3323"/>
      <tableStyleElement type="headerRow" dxfId="3322"/>
    </tableStyle>
    <tableStyle name="BNEF 5" pivot="0" count="2" xr9:uid="{00000000-0011-0000-FFFF-FFFF05000000}">
      <tableStyleElement type="wholeTable" dxfId="3321"/>
      <tableStyleElement type="headerRow" dxfId="3320"/>
    </tableStyle>
    <tableStyle name="DATA SPREADSHEET" pivot="0" count="2" xr9:uid="{00000000-0011-0000-FFFF-FFFF06000000}">
      <tableStyleElement type="wholeTable" dxfId="3319"/>
      <tableStyleElement type="headerRow" dxfId="3318"/>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725492"/>
      <rgbColor rgb="006F75B4"/>
      <rgbColor rgb="00BCA6D0"/>
      <rgbColor rgb="002F8FCC"/>
      <rgbColor rgb="0000B9E4"/>
      <rgbColor rgb="0084D1EC"/>
      <rgbColor rgb="00008060"/>
      <rgbColor rgb="0000C78B"/>
      <rgbColor rgb="0099D4BF"/>
      <rgbColor rgb="00EA2839"/>
      <rgbColor rgb="00FF6D22"/>
      <rgbColor rgb="00FDCCA3"/>
      <rgbColor rgb="00000000"/>
      <rgbColor rgb="00FFFFFF"/>
      <rgbColor rgb="00FFFFFF"/>
      <rgbColor rgb="00FFFF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66CC"/>
      <color rgb="FF7654A3"/>
      <color rgb="FF000000"/>
      <color rgb="FFAB96C9"/>
      <color rgb="FF808080"/>
      <color rgb="FFCC9B00"/>
      <color rgb="FFD2D2D2"/>
      <color rgb="FF00D4F8"/>
      <color rgb="FF84D4F8"/>
      <color rgb="FF13863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6.xml.rels><?xml version="1.0" encoding="UTF-8" standalone="yes"?>
<Relationships xmlns="http://schemas.openxmlformats.org/package/2006/relationships"><Relationship Id="rId2" Type="http://schemas.openxmlformats.org/officeDocument/2006/relationships/chartUserShapes" Target="../drawings/drawing6.xml"/><Relationship Id="rId1" Type="http://schemas.openxmlformats.org/officeDocument/2006/relationships/themeOverride" Target="../theme/themeOverride6.xml"/></Relationships>
</file>

<file path=xl/charts/_rels/chart8.xml.rels><?xml version="1.0" encoding="UTF-8" standalone="yes"?>
<Relationships xmlns="http://schemas.openxmlformats.org/package/2006/relationships"><Relationship Id="rId1" Type="http://schemas.openxmlformats.org/officeDocument/2006/relationships/themeOverride" Target="../theme/themeOverride7.xml"/></Relationships>
</file>

<file path=xl/charts/_rels/chart9.xml.rels><?xml version="1.0" encoding="UTF-8" standalone="yes"?>
<Relationships xmlns="http://schemas.openxmlformats.org/package/2006/relationships"><Relationship Id="rId1" Type="http://schemas.openxmlformats.org/officeDocument/2006/relationships/themeOverride" Target="../theme/themeOverride8.xml"/></Relationships>
</file>

<file path=xl/charts/_rels/chart10.xml.rels><?xml version="1.0" encoding="UTF-8" standalone="yes"?>
<Relationships xmlns="http://schemas.openxmlformats.org/package/2006/relationships"><Relationship Id="rId1" Type="http://schemas.openxmlformats.org/officeDocument/2006/relationships/themeOverride" Target="../theme/themeOverride9.xml"/></Relationships>
</file>

<file path=xl/charts/_rels/chart11.xml.rels><?xml version="1.0" encoding="UTF-8" standalone="yes"?>
<Relationships xmlns="http://schemas.openxmlformats.org/package/2006/relationships"><Relationship Id="rId1" Type="http://schemas.openxmlformats.org/officeDocument/2006/relationships/themeOverride" Target="../theme/themeOverride10.xml"/></Relationships>
</file>

<file path=xl/charts/_rels/chart12.xml.rels><?xml version="1.0" encoding="UTF-8" standalone="yes"?>
<Relationships xmlns="http://schemas.openxmlformats.org/package/2006/relationships"><Relationship Id="rId1" Type="http://schemas.openxmlformats.org/officeDocument/2006/relationships/themeOverride" Target="../theme/themeOverride11.xml"/></Relationships>
</file>

<file path=xl/charts/_rels/chart13.xml.rels><?xml version="1.0" encoding="UTF-8" standalone="yes"?>
<Relationships xmlns="http://schemas.openxmlformats.org/package/2006/relationships"><Relationship Id="rId1" Type="http://schemas.openxmlformats.org/officeDocument/2006/relationships/themeOverride" Target="../theme/themeOverride12.xml"/></Relationships>
</file>

<file path=xl/charts/_rels/chart14.xml.rels><?xml version="1.0" encoding="UTF-8" standalone="yes"?>
<Relationships xmlns="http://schemas.openxmlformats.org/package/2006/relationships"><Relationship Id="rId1" Type="http://schemas.openxmlformats.org/officeDocument/2006/relationships/themeOverride" Target="../theme/themeOverride1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10.xml"/><Relationship Id="rId1" Type="http://schemas.openxmlformats.org/officeDocument/2006/relationships/themeOverride" Target="../theme/themeOverride14.xml"/></Relationships>
</file>

<file path=xl/charts/_rels/chart18.xml.rels><?xml version="1.0" encoding="UTF-8" standalone="yes"?>
<Relationships xmlns="http://schemas.openxmlformats.org/package/2006/relationships"><Relationship Id="rId1" Type="http://schemas.openxmlformats.org/officeDocument/2006/relationships/themeOverride" Target="../theme/themeOverride15.xml"/></Relationships>
</file>

<file path=xl/charts/_rels/chart19.xml.rels><?xml version="1.0" encoding="UTF-8" standalone="yes"?>
<Relationships xmlns="http://schemas.openxmlformats.org/package/2006/relationships"><Relationship Id="rId1" Type="http://schemas.openxmlformats.org/officeDocument/2006/relationships/themeOverride" Target="../theme/themeOverride16.xml"/></Relationships>
</file>

<file path=xl/charts/_rels/chart20.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21.xml.rels><?xml version="1.0" encoding="UTF-8" standalone="yes"?>
<Relationships xmlns="http://schemas.openxmlformats.org/package/2006/relationships"><Relationship Id="rId1" Type="http://schemas.openxmlformats.org/officeDocument/2006/relationships/themeOverride" Target="../theme/themeOverride17.xml"/></Relationships>
</file>

<file path=xl/charts/_rels/chart22.xml.rels><?xml version="1.0" encoding="UTF-8" standalone="yes"?>
<Relationships xmlns="http://schemas.openxmlformats.org/package/2006/relationships"><Relationship Id="rId2" Type="http://schemas.openxmlformats.org/officeDocument/2006/relationships/chartUserShapes" Target="../drawings/drawing12.xml"/><Relationship Id="rId1" Type="http://schemas.openxmlformats.org/officeDocument/2006/relationships/themeOverride" Target="../theme/themeOverrid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9.91452101545158E-2"/>
          <c:y val="3.2433371201734201E-2"/>
          <c:w val="0.71176913501687167"/>
          <c:h val="0.86762721823951405"/>
        </c:manualLayout>
      </c:layout>
      <c:barChart>
        <c:barDir val="col"/>
        <c:grouping val="stacked"/>
        <c:varyColors val="0"/>
        <c:ser>
          <c:idx val="0"/>
          <c:order val="0"/>
          <c:tx>
            <c:strRef>
              <c:f>ExampleSheet!$B$52</c:f>
              <c:strCache>
                <c:ptCount val="1"/>
                <c:pt idx="0">
                  <c:v>a</c:v>
                </c:pt>
              </c:strCache>
            </c:strRef>
          </c:tx>
          <c:spPr>
            <a:solidFill>
              <a:srgbClr val="61CAE6"/>
            </a:solidFill>
            <a:ln w="12700">
              <a:noFill/>
              <a:prstDash val="solid"/>
            </a:ln>
            <a:effectLst/>
          </c:spPr>
          <c:invertIfNegative val="0"/>
          <c:cat>
            <c:numRef>
              <c:f>ExampleSheet!$C$51:$N$51</c:f>
              <c:numCache>
                <c:formatCode>General</c:formatCode>
                <c:ptCount val="12"/>
                <c:pt idx="0">
                  <c:v>2015</c:v>
                </c:pt>
                <c:pt idx="1">
                  <c:v>2016</c:v>
                </c:pt>
                <c:pt idx="2">
                  <c:v>2017</c:v>
                </c:pt>
                <c:pt idx="3">
                  <c:v>2018</c:v>
                </c:pt>
                <c:pt idx="4">
                  <c:v>2019</c:v>
                </c:pt>
                <c:pt idx="5">
                  <c:v>2020</c:v>
                </c:pt>
                <c:pt idx="6">
                  <c:v>2021</c:v>
                </c:pt>
                <c:pt idx="7">
                  <c:v>2022</c:v>
                </c:pt>
                <c:pt idx="8">
                  <c:v>2023</c:v>
                </c:pt>
                <c:pt idx="9">
                  <c:v>2024</c:v>
                </c:pt>
                <c:pt idx="10">
                  <c:v>2025</c:v>
                </c:pt>
                <c:pt idx="11">
                  <c:v>2026</c:v>
                </c:pt>
              </c:numCache>
            </c:numRef>
          </c:cat>
          <c:val>
            <c:numRef>
              <c:f>ExampleSheet!$C$52:$N$52</c:f>
              <c:numCache>
                <c:formatCode>0</c:formatCode>
                <c:ptCount val="12"/>
                <c:pt idx="0">
                  <c:v>273.602385445077</c:v>
                </c:pt>
                <c:pt idx="1">
                  <c:v>317.56248885071579</c:v>
                </c:pt>
                <c:pt idx="2">
                  <c:v>61.092920230930488</c:v>
                </c:pt>
                <c:pt idx="3">
                  <c:v>534.3577403771319</c:v>
                </c:pt>
                <c:pt idx="4">
                  <c:v>168.52159951406409</c:v>
                </c:pt>
                <c:pt idx="5">
                  <c:v>308.64156352528215</c:v>
                </c:pt>
                <c:pt idx="6">
                  <c:v>558.07225492569785</c:v>
                </c:pt>
                <c:pt idx="7">
                  <c:v>295.45272516093399</c:v>
                </c:pt>
                <c:pt idx="8">
                  <c:v>302.07590041537458</c:v>
                </c:pt>
                <c:pt idx="9">
                  <c:v>460.20692636640035</c:v>
                </c:pt>
                <c:pt idx="10">
                  <c:v>331.96301619541413</c:v>
                </c:pt>
                <c:pt idx="11">
                  <c:v>161.0125433516919</c:v>
                </c:pt>
              </c:numCache>
            </c:numRef>
          </c:val>
          <c:extLst>
            <c:ext xmlns:c16="http://schemas.microsoft.com/office/drawing/2014/chart" uri="{C3380CC4-5D6E-409C-BE32-E72D297353CC}">
              <c16:uniqueId val="{00000000-5A3F-4975-839C-615CA2B798A5}"/>
            </c:ext>
          </c:extLst>
        </c:ser>
        <c:ser>
          <c:idx val="1"/>
          <c:order val="1"/>
          <c:tx>
            <c:strRef>
              <c:f>ExampleSheet!$B$53</c:f>
              <c:strCache>
                <c:ptCount val="1"/>
                <c:pt idx="0">
                  <c:v>b</c:v>
                </c:pt>
              </c:strCache>
            </c:strRef>
          </c:tx>
          <c:spPr>
            <a:solidFill>
              <a:srgbClr val="EF5B9D"/>
            </a:solidFill>
            <a:ln w="12700">
              <a:noFill/>
              <a:prstDash val="solid"/>
            </a:ln>
            <a:effectLst/>
          </c:spPr>
          <c:invertIfNegative val="0"/>
          <c:cat>
            <c:numRef>
              <c:f>ExampleSheet!$C$51:$N$51</c:f>
              <c:numCache>
                <c:formatCode>General</c:formatCode>
                <c:ptCount val="12"/>
                <c:pt idx="0">
                  <c:v>2015</c:v>
                </c:pt>
                <c:pt idx="1">
                  <c:v>2016</c:v>
                </c:pt>
                <c:pt idx="2">
                  <c:v>2017</c:v>
                </c:pt>
                <c:pt idx="3">
                  <c:v>2018</c:v>
                </c:pt>
                <c:pt idx="4">
                  <c:v>2019</c:v>
                </c:pt>
                <c:pt idx="5">
                  <c:v>2020</c:v>
                </c:pt>
                <c:pt idx="6">
                  <c:v>2021</c:v>
                </c:pt>
                <c:pt idx="7">
                  <c:v>2022</c:v>
                </c:pt>
                <c:pt idx="8">
                  <c:v>2023</c:v>
                </c:pt>
                <c:pt idx="9">
                  <c:v>2024</c:v>
                </c:pt>
                <c:pt idx="10">
                  <c:v>2025</c:v>
                </c:pt>
                <c:pt idx="11">
                  <c:v>2026</c:v>
                </c:pt>
              </c:numCache>
            </c:numRef>
          </c:cat>
          <c:val>
            <c:numRef>
              <c:f>ExampleSheet!$C$53:$N$53</c:f>
              <c:numCache>
                <c:formatCode>0</c:formatCode>
                <c:ptCount val="12"/>
                <c:pt idx="0">
                  <c:v>669.64638765888947</c:v>
                </c:pt>
                <c:pt idx="1">
                  <c:v>533.85574952397099</c:v>
                </c:pt>
                <c:pt idx="2">
                  <c:v>103.78834564168193</c:v>
                </c:pt>
                <c:pt idx="3">
                  <c:v>463.72732911222283</c:v>
                </c:pt>
                <c:pt idx="4">
                  <c:v>520.71699758344221</c:v>
                </c:pt>
                <c:pt idx="5">
                  <c:v>768.83725040100069</c:v>
                </c:pt>
                <c:pt idx="6">
                  <c:v>208.98005755077352</c:v>
                </c:pt>
                <c:pt idx="7">
                  <c:v>280.04308061221263</c:v>
                </c:pt>
                <c:pt idx="8">
                  <c:v>718.43829979482814</c:v>
                </c:pt>
                <c:pt idx="9">
                  <c:v>903.11029546399459</c:v>
                </c:pt>
                <c:pt idx="10">
                  <c:v>463.21804407982046</c:v>
                </c:pt>
                <c:pt idx="11">
                  <c:v>856.58123318390619</c:v>
                </c:pt>
              </c:numCache>
            </c:numRef>
          </c:val>
          <c:extLst>
            <c:ext xmlns:c16="http://schemas.microsoft.com/office/drawing/2014/chart" uri="{C3380CC4-5D6E-409C-BE32-E72D297353CC}">
              <c16:uniqueId val="{00000001-5A3F-4975-839C-615CA2B798A5}"/>
            </c:ext>
          </c:extLst>
        </c:ser>
        <c:ser>
          <c:idx val="2"/>
          <c:order val="2"/>
          <c:tx>
            <c:strRef>
              <c:f>ExampleSheet!$B$54</c:f>
              <c:strCache>
                <c:ptCount val="1"/>
                <c:pt idx="0">
                  <c:v>c</c:v>
                </c:pt>
              </c:strCache>
            </c:strRef>
          </c:tx>
          <c:spPr>
            <a:solidFill>
              <a:srgbClr val="391E54"/>
            </a:solidFill>
            <a:ln w="12700">
              <a:noFill/>
              <a:prstDash val="solid"/>
            </a:ln>
            <a:effectLst/>
          </c:spPr>
          <c:invertIfNegative val="0"/>
          <c:cat>
            <c:numRef>
              <c:f>ExampleSheet!$C$51:$N$51</c:f>
              <c:numCache>
                <c:formatCode>General</c:formatCode>
                <c:ptCount val="12"/>
                <c:pt idx="0">
                  <c:v>2015</c:v>
                </c:pt>
                <c:pt idx="1">
                  <c:v>2016</c:v>
                </c:pt>
                <c:pt idx="2">
                  <c:v>2017</c:v>
                </c:pt>
                <c:pt idx="3">
                  <c:v>2018</c:v>
                </c:pt>
                <c:pt idx="4">
                  <c:v>2019</c:v>
                </c:pt>
                <c:pt idx="5">
                  <c:v>2020</c:v>
                </c:pt>
                <c:pt idx="6">
                  <c:v>2021</c:v>
                </c:pt>
                <c:pt idx="7">
                  <c:v>2022</c:v>
                </c:pt>
                <c:pt idx="8">
                  <c:v>2023</c:v>
                </c:pt>
                <c:pt idx="9">
                  <c:v>2024</c:v>
                </c:pt>
                <c:pt idx="10">
                  <c:v>2025</c:v>
                </c:pt>
                <c:pt idx="11">
                  <c:v>2026</c:v>
                </c:pt>
              </c:numCache>
            </c:numRef>
          </c:cat>
          <c:val>
            <c:numRef>
              <c:f>ExampleSheet!$C$54:$N$54</c:f>
              <c:numCache>
                <c:formatCode>0</c:formatCode>
                <c:ptCount val="12"/>
                <c:pt idx="0">
                  <c:v>924.936390970758</c:v>
                </c:pt>
                <c:pt idx="1">
                  <c:v>628.48340474712529</c:v>
                </c:pt>
                <c:pt idx="2">
                  <c:v>473.41409461901253</c:v>
                </c:pt>
                <c:pt idx="3">
                  <c:v>342.90755066125087</c:v>
                </c:pt>
                <c:pt idx="4">
                  <c:v>441.10870090589316</c:v>
                </c:pt>
                <c:pt idx="5">
                  <c:v>240.72505902689733</c:v>
                </c:pt>
                <c:pt idx="6">
                  <c:v>588.39911888837264</c:v>
                </c:pt>
                <c:pt idx="7">
                  <c:v>216.04759930090688</c:v>
                </c:pt>
                <c:pt idx="8">
                  <c:v>739.56208235119107</c:v>
                </c:pt>
                <c:pt idx="9">
                  <c:v>654.45891419605084</c:v>
                </c:pt>
                <c:pt idx="10">
                  <c:v>142.79773092856752</c:v>
                </c:pt>
                <c:pt idx="11">
                  <c:v>509.27175614027055</c:v>
                </c:pt>
              </c:numCache>
            </c:numRef>
          </c:val>
          <c:extLst>
            <c:ext xmlns:c16="http://schemas.microsoft.com/office/drawing/2014/chart" uri="{C3380CC4-5D6E-409C-BE32-E72D297353CC}">
              <c16:uniqueId val="{00000002-5A3F-4975-839C-615CA2B798A5}"/>
            </c:ext>
          </c:extLst>
        </c:ser>
        <c:ser>
          <c:idx val="3"/>
          <c:order val="3"/>
          <c:tx>
            <c:strRef>
              <c:f>ExampleSheet!$B$55</c:f>
              <c:strCache>
                <c:ptCount val="1"/>
                <c:pt idx="0">
                  <c:v>d</c:v>
                </c:pt>
              </c:strCache>
            </c:strRef>
          </c:tx>
          <c:spPr>
            <a:solidFill>
              <a:srgbClr val="FFC91D"/>
            </a:solidFill>
            <a:ln w="12700">
              <a:noFill/>
              <a:prstDash val="solid"/>
            </a:ln>
            <a:effectLst/>
          </c:spPr>
          <c:invertIfNegative val="0"/>
          <c:cat>
            <c:numRef>
              <c:f>ExampleSheet!$C$51:$N$51</c:f>
              <c:numCache>
                <c:formatCode>General</c:formatCode>
                <c:ptCount val="12"/>
                <c:pt idx="0">
                  <c:v>2015</c:v>
                </c:pt>
                <c:pt idx="1">
                  <c:v>2016</c:v>
                </c:pt>
                <c:pt idx="2">
                  <c:v>2017</c:v>
                </c:pt>
                <c:pt idx="3">
                  <c:v>2018</c:v>
                </c:pt>
                <c:pt idx="4">
                  <c:v>2019</c:v>
                </c:pt>
                <c:pt idx="5">
                  <c:v>2020</c:v>
                </c:pt>
                <c:pt idx="6">
                  <c:v>2021</c:v>
                </c:pt>
                <c:pt idx="7">
                  <c:v>2022</c:v>
                </c:pt>
                <c:pt idx="8">
                  <c:v>2023</c:v>
                </c:pt>
                <c:pt idx="9">
                  <c:v>2024</c:v>
                </c:pt>
                <c:pt idx="10">
                  <c:v>2025</c:v>
                </c:pt>
                <c:pt idx="11">
                  <c:v>2026</c:v>
                </c:pt>
              </c:numCache>
            </c:numRef>
          </c:cat>
          <c:val>
            <c:numRef>
              <c:f>ExampleSheet!$C$55:$N$55</c:f>
              <c:numCache>
                <c:formatCode>0</c:formatCode>
                <c:ptCount val="12"/>
                <c:pt idx="0">
                  <c:v>374.53016736179592</c:v>
                </c:pt>
                <c:pt idx="1">
                  <c:v>127.00771685719225</c:v>
                </c:pt>
                <c:pt idx="2">
                  <c:v>676.74154113247619</c:v>
                </c:pt>
                <c:pt idx="3">
                  <c:v>557.98653619032359</c:v>
                </c:pt>
                <c:pt idx="4">
                  <c:v>495.36778661795631</c:v>
                </c:pt>
                <c:pt idx="5">
                  <c:v>921.4821077090935</c:v>
                </c:pt>
                <c:pt idx="6">
                  <c:v>164.64410205763969</c:v>
                </c:pt>
                <c:pt idx="7">
                  <c:v>495.59431272686226</c:v>
                </c:pt>
                <c:pt idx="8">
                  <c:v>770.88210454016564</c:v>
                </c:pt>
                <c:pt idx="9">
                  <c:v>729.27362086259825</c:v>
                </c:pt>
                <c:pt idx="10">
                  <c:v>738.2979842638332</c:v>
                </c:pt>
                <c:pt idx="11">
                  <c:v>967.76665087848789</c:v>
                </c:pt>
              </c:numCache>
            </c:numRef>
          </c:val>
          <c:extLst>
            <c:ext xmlns:c16="http://schemas.microsoft.com/office/drawing/2014/chart" uri="{C3380CC4-5D6E-409C-BE32-E72D297353CC}">
              <c16:uniqueId val="{00000003-5A3F-4975-839C-615CA2B798A5}"/>
            </c:ext>
          </c:extLst>
        </c:ser>
        <c:ser>
          <c:idx val="4"/>
          <c:order val="4"/>
          <c:tx>
            <c:strRef>
              <c:f>ExampleSheet!$B$56</c:f>
              <c:strCache>
                <c:ptCount val="1"/>
                <c:pt idx="0">
                  <c:v>e</c:v>
                </c:pt>
              </c:strCache>
            </c:strRef>
          </c:tx>
          <c:spPr>
            <a:solidFill>
              <a:srgbClr val="00688A"/>
            </a:solidFill>
            <a:ln w="12700">
              <a:noFill/>
              <a:prstDash val="solid"/>
            </a:ln>
            <a:effectLst/>
          </c:spPr>
          <c:invertIfNegative val="0"/>
          <c:cat>
            <c:numRef>
              <c:f>ExampleSheet!$C$51:$N$51</c:f>
              <c:numCache>
                <c:formatCode>General</c:formatCode>
                <c:ptCount val="12"/>
                <c:pt idx="0">
                  <c:v>2015</c:v>
                </c:pt>
                <c:pt idx="1">
                  <c:v>2016</c:v>
                </c:pt>
                <c:pt idx="2">
                  <c:v>2017</c:v>
                </c:pt>
                <c:pt idx="3">
                  <c:v>2018</c:v>
                </c:pt>
                <c:pt idx="4">
                  <c:v>2019</c:v>
                </c:pt>
                <c:pt idx="5">
                  <c:v>2020</c:v>
                </c:pt>
                <c:pt idx="6">
                  <c:v>2021</c:v>
                </c:pt>
                <c:pt idx="7">
                  <c:v>2022</c:v>
                </c:pt>
                <c:pt idx="8">
                  <c:v>2023</c:v>
                </c:pt>
                <c:pt idx="9">
                  <c:v>2024</c:v>
                </c:pt>
                <c:pt idx="10">
                  <c:v>2025</c:v>
                </c:pt>
                <c:pt idx="11">
                  <c:v>2026</c:v>
                </c:pt>
              </c:numCache>
            </c:numRef>
          </c:cat>
          <c:val>
            <c:numRef>
              <c:f>ExampleSheet!$C$56:$N$56</c:f>
              <c:numCache>
                <c:formatCode>0</c:formatCode>
                <c:ptCount val="12"/>
                <c:pt idx="0">
                  <c:v>527.75951149830576</c:v>
                </c:pt>
                <c:pt idx="1">
                  <c:v>278.93234207579178</c:v>
                </c:pt>
                <c:pt idx="2">
                  <c:v>967.26244382935602</c:v>
                </c:pt>
                <c:pt idx="3">
                  <c:v>428.87281498548469</c:v>
                </c:pt>
                <c:pt idx="4">
                  <c:v>900.19233668929905</c:v>
                </c:pt>
                <c:pt idx="5">
                  <c:v>708.2710488833618</c:v>
                </c:pt>
                <c:pt idx="6">
                  <c:v>51.905491836001346</c:v>
                </c:pt>
                <c:pt idx="7">
                  <c:v>615.78184077937374</c:v>
                </c:pt>
                <c:pt idx="8">
                  <c:v>925.37111420302961</c:v>
                </c:pt>
                <c:pt idx="9">
                  <c:v>620.44464246415203</c:v>
                </c:pt>
                <c:pt idx="10">
                  <c:v>194.79838341220679</c:v>
                </c:pt>
                <c:pt idx="11">
                  <c:v>504.7316484433195</c:v>
                </c:pt>
              </c:numCache>
            </c:numRef>
          </c:val>
          <c:extLst>
            <c:ext xmlns:c16="http://schemas.microsoft.com/office/drawing/2014/chart" uri="{C3380CC4-5D6E-409C-BE32-E72D297353CC}">
              <c16:uniqueId val="{00000004-5A3F-4975-839C-615CA2B798A5}"/>
            </c:ext>
          </c:extLst>
        </c:ser>
        <c:ser>
          <c:idx val="5"/>
          <c:order val="5"/>
          <c:tx>
            <c:strRef>
              <c:f>ExampleSheet!$B$57</c:f>
              <c:strCache>
                <c:ptCount val="1"/>
                <c:pt idx="0">
                  <c:v>f</c:v>
                </c:pt>
              </c:strCache>
            </c:strRef>
          </c:tx>
          <c:spPr>
            <a:solidFill>
              <a:srgbClr val="75E3A1"/>
            </a:solidFill>
            <a:ln w="12700">
              <a:noFill/>
              <a:prstDash val="solid"/>
            </a:ln>
            <a:effectLst/>
          </c:spPr>
          <c:invertIfNegative val="0"/>
          <c:cat>
            <c:numRef>
              <c:f>ExampleSheet!$C$51:$N$51</c:f>
              <c:numCache>
                <c:formatCode>General</c:formatCode>
                <c:ptCount val="12"/>
                <c:pt idx="0">
                  <c:v>2015</c:v>
                </c:pt>
                <c:pt idx="1">
                  <c:v>2016</c:v>
                </c:pt>
                <c:pt idx="2">
                  <c:v>2017</c:v>
                </c:pt>
                <c:pt idx="3">
                  <c:v>2018</c:v>
                </c:pt>
                <c:pt idx="4">
                  <c:v>2019</c:v>
                </c:pt>
                <c:pt idx="5">
                  <c:v>2020</c:v>
                </c:pt>
                <c:pt idx="6">
                  <c:v>2021</c:v>
                </c:pt>
                <c:pt idx="7">
                  <c:v>2022</c:v>
                </c:pt>
                <c:pt idx="8">
                  <c:v>2023</c:v>
                </c:pt>
                <c:pt idx="9">
                  <c:v>2024</c:v>
                </c:pt>
                <c:pt idx="10">
                  <c:v>2025</c:v>
                </c:pt>
                <c:pt idx="11">
                  <c:v>2026</c:v>
                </c:pt>
              </c:numCache>
            </c:numRef>
          </c:cat>
          <c:val>
            <c:numRef>
              <c:f>ExampleSheet!$C$57:$N$57</c:f>
              <c:numCache>
                <c:formatCode>0</c:formatCode>
                <c:ptCount val="12"/>
                <c:pt idx="0">
                  <c:v>430.41291839546227</c:v>
                </c:pt>
                <c:pt idx="1">
                  <c:v>242.14324487635429</c:v>
                </c:pt>
                <c:pt idx="2">
                  <c:v>691.82751299878169</c:v>
                </c:pt>
                <c:pt idx="3">
                  <c:v>316.84927671776228</c:v>
                </c:pt>
                <c:pt idx="4">
                  <c:v>344.38860210299725</c:v>
                </c:pt>
                <c:pt idx="5">
                  <c:v>550.40900066259042</c:v>
                </c:pt>
                <c:pt idx="6">
                  <c:v>495.9888731664355</c:v>
                </c:pt>
                <c:pt idx="7">
                  <c:v>341.3608409632032</c:v>
                </c:pt>
                <c:pt idx="8">
                  <c:v>387.47275652086586</c:v>
                </c:pt>
                <c:pt idx="9">
                  <c:v>767.6225999975162</c:v>
                </c:pt>
                <c:pt idx="10">
                  <c:v>144.43504034161504</c:v>
                </c:pt>
                <c:pt idx="11">
                  <c:v>851.93742001181238</c:v>
                </c:pt>
              </c:numCache>
            </c:numRef>
          </c:val>
          <c:extLst>
            <c:ext xmlns:c16="http://schemas.microsoft.com/office/drawing/2014/chart" uri="{C3380CC4-5D6E-409C-BE32-E72D297353CC}">
              <c16:uniqueId val="{00000005-5A3F-4975-839C-615CA2B798A5}"/>
            </c:ext>
          </c:extLst>
        </c:ser>
        <c:ser>
          <c:idx val="6"/>
          <c:order val="6"/>
          <c:tx>
            <c:strRef>
              <c:f>ExampleSheet!$B$58</c:f>
              <c:strCache>
                <c:ptCount val="1"/>
                <c:pt idx="0">
                  <c:v>g</c:v>
                </c:pt>
              </c:strCache>
            </c:strRef>
          </c:tx>
          <c:spPr>
            <a:solidFill>
              <a:srgbClr val="0D9DDB"/>
            </a:solidFill>
            <a:ln w="12700">
              <a:noFill/>
              <a:prstDash val="solid"/>
            </a:ln>
            <a:effectLst/>
          </c:spPr>
          <c:invertIfNegative val="0"/>
          <c:cat>
            <c:numRef>
              <c:f>ExampleSheet!$C$51:$N$51</c:f>
              <c:numCache>
                <c:formatCode>General</c:formatCode>
                <c:ptCount val="12"/>
                <c:pt idx="0">
                  <c:v>2015</c:v>
                </c:pt>
                <c:pt idx="1">
                  <c:v>2016</c:v>
                </c:pt>
                <c:pt idx="2">
                  <c:v>2017</c:v>
                </c:pt>
                <c:pt idx="3">
                  <c:v>2018</c:v>
                </c:pt>
                <c:pt idx="4">
                  <c:v>2019</c:v>
                </c:pt>
                <c:pt idx="5">
                  <c:v>2020</c:v>
                </c:pt>
                <c:pt idx="6">
                  <c:v>2021</c:v>
                </c:pt>
                <c:pt idx="7">
                  <c:v>2022</c:v>
                </c:pt>
                <c:pt idx="8">
                  <c:v>2023</c:v>
                </c:pt>
                <c:pt idx="9">
                  <c:v>2024</c:v>
                </c:pt>
                <c:pt idx="10">
                  <c:v>2025</c:v>
                </c:pt>
                <c:pt idx="11">
                  <c:v>2026</c:v>
                </c:pt>
              </c:numCache>
            </c:numRef>
          </c:cat>
          <c:val>
            <c:numRef>
              <c:f>ExampleSheet!$C$58:$N$58</c:f>
              <c:numCache>
                <c:formatCode>0</c:formatCode>
                <c:ptCount val="12"/>
                <c:pt idx="0">
                  <c:v>611.38639434995252</c:v>
                </c:pt>
                <c:pt idx="1">
                  <c:v>781.53026147780827</c:v>
                </c:pt>
                <c:pt idx="2">
                  <c:v>982.95482405255973</c:v>
                </c:pt>
                <c:pt idx="3">
                  <c:v>307.90768808894398</c:v>
                </c:pt>
                <c:pt idx="4">
                  <c:v>549.31478913035494</c:v>
                </c:pt>
                <c:pt idx="5">
                  <c:v>257.92442616796717</c:v>
                </c:pt>
                <c:pt idx="6">
                  <c:v>527.33146728357099</c:v>
                </c:pt>
                <c:pt idx="7">
                  <c:v>44.28926888438167</c:v>
                </c:pt>
                <c:pt idx="8">
                  <c:v>780.30042856530247</c:v>
                </c:pt>
                <c:pt idx="9">
                  <c:v>395.6105073587064</c:v>
                </c:pt>
                <c:pt idx="10">
                  <c:v>74.734460143066059</c:v>
                </c:pt>
                <c:pt idx="11">
                  <c:v>126.41715763136607</c:v>
                </c:pt>
              </c:numCache>
            </c:numRef>
          </c:val>
          <c:extLst>
            <c:ext xmlns:c16="http://schemas.microsoft.com/office/drawing/2014/chart" uri="{C3380CC4-5D6E-409C-BE32-E72D297353CC}">
              <c16:uniqueId val="{00000006-5A3F-4975-839C-615CA2B798A5}"/>
            </c:ext>
          </c:extLst>
        </c:ser>
        <c:ser>
          <c:idx val="7"/>
          <c:order val="7"/>
          <c:tx>
            <c:strRef>
              <c:f>ExampleSheet!$B$59</c:f>
              <c:strCache>
                <c:ptCount val="1"/>
                <c:pt idx="0">
                  <c:v>h</c:v>
                </c:pt>
              </c:strCache>
            </c:strRef>
          </c:tx>
          <c:spPr>
            <a:solidFill>
              <a:srgbClr val="BD5CA3"/>
            </a:solidFill>
            <a:ln w="12700">
              <a:noFill/>
              <a:prstDash val="solid"/>
            </a:ln>
            <a:effectLst/>
          </c:spPr>
          <c:invertIfNegative val="0"/>
          <c:cat>
            <c:numRef>
              <c:f>ExampleSheet!$C$51:$N$51</c:f>
              <c:numCache>
                <c:formatCode>General</c:formatCode>
                <c:ptCount val="12"/>
                <c:pt idx="0">
                  <c:v>2015</c:v>
                </c:pt>
                <c:pt idx="1">
                  <c:v>2016</c:v>
                </c:pt>
                <c:pt idx="2">
                  <c:v>2017</c:v>
                </c:pt>
                <c:pt idx="3">
                  <c:v>2018</c:v>
                </c:pt>
                <c:pt idx="4">
                  <c:v>2019</c:v>
                </c:pt>
                <c:pt idx="5">
                  <c:v>2020</c:v>
                </c:pt>
                <c:pt idx="6">
                  <c:v>2021</c:v>
                </c:pt>
                <c:pt idx="7">
                  <c:v>2022</c:v>
                </c:pt>
                <c:pt idx="8">
                  <c:v>2023</c:v>
                </c:pt>
                <c:pt idx="9">
                  <c:v>2024</c:v>
                </c:pt>
                <c:pt idx="10">
                  <c:v>2025</c:v>
                </c:pt>
                <c:pt idx="11">
                  <c:v>2026</c:v>
                </c:pt>
              </c:numCache>
            </c:numRef>
          </c:cat>
          <c:val>
            <c:numRef>
              <c:f>ExampleSheet!$C$59:$N$59</c:f>
              <c:numCache>
                <c:formatCode>0</c:formatCode>
                <c:ptCount val="12"/>
                <c:pt idx="0">
                  <c:v>788.83783772012873</c:v>
                </c:pt>
                <c:pt idx="1">
                  <c:v>116.53611879840631</c:v>
                </c:pt>
                <c:pt idx="2">
                  <c:v>288.702979766135</c:v>
                </c:pt>
                <c:pt idx="3">
                  <c:v>473.60675192127678</c:v>
                </c:pt>
                <c:pt idx="4">
                  <c:v>405.82046726114606</c:v>
                </c:pt>
                <c:pt idx="5">
                  <c:v>77.687915486277845</c:v>
                </c:pt>
                <c:pt idx="6">
                  <c:v>518.77021043369484</c:v>
                </c:pt>
                <c:pt idx="7">
                  <c:v>77.757040006663061</c:v>
                </c:pt>
                <c:pt idx="8">
                  <c:v>66.079727056596042</c:v>
                </c:pt>
                <c:pt idx="9">
                  <c:v>422.93439111102174</c:v>
                </c:pt>
                <c:pt idx="10">
                  <c:v>73.314297868259487</c:v>
                </c:pt>
                <c:pt idx="11">
                  <c:v>788.23580981534906</c:v>
                </c:pt>
              </c:numCache>
            </c:numRef>
          </c:val>
          <c:extLst>
            <c:ext xmlns:c16="http://schemas.microsoft.com/office/drawing/2014/chart" uri="{C3380CC4-5D6E-409C-BE32-E72D297353CC}">
              <c16:uniqueId val="{00000007-5A3F-4975-839C-615CA2B798A5}"/>
            </c:ext>
          </c:extLst>
        </c:ser>
        <c:ser>
          <c:idx val="8"/>
          <c:order val="8"/>
          <c:tx>
            <c:strRef>
              <c:f>ExampleSheet!$B$60</c:f>
              <c:strCache>
                <c:ptCount val="1"/>
                <c:pt idx="0">
                  <c:v>i</c:v>
                </c:pt>
              </c:strCache>
            </c:strRef>
          </c:tx>
          <c:spPr>
            <a:solidFill>
              <a:srgbClr val="43BEAD"/>
            </a:solidFill>
            <a:ln w="12700">
              <a:noFill/>
              <a:prstDash val="solid"/>
            </a:ln>
            <a:effectLst/>
          </c:spPr>
          <c:invertIfNegative val="0"/>
          <c:cat>
            <c:numRef>
              <c:f>ExampleSheet!$C$51:$N$51</c:f>
              <c:numCache>
                <c:formatCode>General</c:formatCode>
                <c:ptCount val="12"/>
                <c:pt idx="0">
                  <c:v>2015</c:v>
                </c:pt>
                <c:pt idx="1">
                  <c:v>2016</c:v>
                </c:pt>
                <c:pt idx="2">
                  <c:v>2017</c:v>
                </c:pt>
                <c:pt idx="3">
                  <c:v>2018</c:v>
                </c:pt>
                <c:pt idx="4">
                  <c:v>2019</c:v>
                </c:pt>
                <c:pt idx="5">
                  <c:v>2020</c:v>
                </c:pt>
                <c:pt idx="6">
                  <c:v>2021</c:v>
                </c:pt>
                <c:pt idx="7">
                  <c:v>2022</c:v>
                </c:pt>
                <c:pt idx="8">
                  <c:v>2023</c:v>
                </c:pt>
                <c:pt idx="9">
                  <c:v>2024</c:v>
                </c:pt>
                <c:pt idx="10">
                  <c:v>2025</c:v>
                </c:pt>
                <c:pt idx="11">
                  <c:v>2026</c:v>
                </c:pt>
              </c:numCache>
            </c:numRef>
          </c:cat>
          <c:val>
            <c:numRef>
              <c:f>ExampleSheet!$C$60:$N$60</c:f>
              <c:numCache>
                <c:formatCode>0</c:formatCode>
                <c:ptCount val="12"/>
                <c:pt idx="0">
                  <c:v>232.81393799778306</c:v>
                </c:pt>
                <c:pt idx="1">
                  <c:v>744.36003084427011</c:v>
                </c:pt>
                <c:pt idx="2">
                  <c:v>549.49558297702538</c:v>
                </c:pt>
                <c:pt idx="3">
                  <c:v>979.20888030807839</c:v>
                </c:pt>
                <c:pt idx="4">
                  <c:v>706.41088325944747</c:v>
                </c:pt>
                <c:pt idx="5">
                  <c:v>718.3950417144539</c:v>
                </c:pt>
                <c:pt idx="6">
                  <c:v>191.97840829830105</c:v>
                </c:pt>
                <c:pt idx="7">
                  <c:v>826.81366271902311</c:v>
                </c:pt>
                <c:pt idx="8">
                  <c:v>165.61703194712007</c:v>
                </c:pt>
                <c:pt idx="9">
                  <c:v>659.89313327878187</c:v>
                </c:pt>
                <c:pt idx="10">
                  <c:v>519.97700903298607</c:v>
                </c:pt>
                <c:pt idx="11">
                  <c:v>434.62837115366995</c:v>
                </c:pt>
              </c:numCache>
            </c:numRef>
          </c:val>
          <c:extLst>
            <c:ext xmlns:c16="http://schemas.microsoft.com/office/drawing/2014/chart" uri="{C3380CC4-5D6E-409C-BE32-E72D297353CC}">
              <c16:uniqueId val="{00000008-5A3F-4975-839C-615CA2B798A5}"/>
            </c:ext>
          </c:extLst>
        </c:ser>
        <c:ser>
          <c:idx val="9"/>
          <c:order val="9"/>
          <c:tx>
            <c:strRef>
              <c:f>ExampleSheet!$B$61</c:f>
              <c:strCache>
                <c:ptCount val="1"/>
                <c:pt idx="0">
                  <c:v>j</c:v>
                </c:pt>
              </c:strCache>
            </c:strRef>
          </c:tx>
          <c:spPr>
            <a:solidFill>
              <a:srgbClr val="593C7B"/>
            </a:solidFill>
            <a:ln w="12700">
              <a:noFill/>
              <a:prstDash val="solid"/>
            </a:ln>
            <a:effectLst/>
          </c:spPr>
          <c:invertIfNegative val="0"/>
          <c:cat>
            <c:numRef>
              <c:f>ExampleSheet!$C$51:$N$51</c:f>
              <c:numCache>
                <c:formatCode>General</c:formatCode>
                <c:ptCount val="12"/>
                <c:pt idx="0">
                  <c:v>2015</c:v>
                </c:pt>
                <c:pt idx="1">
                  <c:v>2016</c:v>
                </c:pt>
                <c:pt idx="2">
                  <c:v>2017</c:v>
                </c:pt>
                <c:pt idx="3">
                  <c:v>2018</c:v>
                </c:pt>
                <c:pt idx="4">
                  <c:v>2019</c:v>
                </c:pt>
                <c:pt idx="5">
                  <c:v>2020</c:v>
                </c:pt>
                <c:pt idx="6">
                  <c:v>2021</c:v>
                </c:pt>
                <c:pt idx="7">
                  <c:v>2022</c:v>
                </c:pt>
                <c:pt idx="8">
                  <c:v>2023</c:v>
                </c:pt>
                <c:pt idx="9">
                  <c:v>2024</c:v>
                </c:pt>
                <c:pt idx="10">
                  <c:v>2025</c:v>
                </c:pt>
                <c:pt idx="11">
                  <c:v>2026</c:v>
                </c:pt>
              </c:numCache>
            </c:numRef>
          </c:cat>
          <c:val>
            <c:numRef>
              <c:f>ExampleSheet!$C$61:$N$61</c:f>
              <c:numCache>
                <c:formatCode>0</c:formatCode>
                <c:ptCount val="12"/>
                <c:pt idx="0">
                  <c:v>174.52745358324162</c:v>
                </c:pt>
                <c:pt idx="1">
                  <c:v>998.26490932482955</c:v>
                </c:pt>
                <c:pt idx="2">
                  <c:v>66.146817113979623</c:v>
                </c:pt>
                <c:pt idx="3">
                  <c:v>62.514730195582182</c:v>
                </c:pt>
                <c:pt idx="4">
                  <c:v>841.65060085281868</c:v>
                </c:pt>
                <c:pt idx="5">
                  <c:v>346.36882264243638</c:v>
                </c:pt>
                <c:pt idx="6">
                  <c:v>26.088610620533913</c:v>
                </c:pt>
                <c:pt idx="7">
                  <c:v>590.76688824844302</c:v>
                </c:pt>
                <c:pt idx="8">
                  <c:v>658.6564559422925</c:v>
                </c:pt>
                <c:pt idx="9">
                  <c:v>359.01495993494012</c:v>
                </c:pt>
                <c:pt idx="10">
                  <c:v>781.54069797202601</c:v>
                </c:pt>
                <c:pt idx="11">
                  <c:v>247.71001842351248</c:v>
                </c:pt>
              </c:numCache>
            </c:numRef>
          </c:val>
          <c:extLst>
            <c:ext xmlns:c16="http://schemas.microsoft.com/office/drawing/2014/chart" uri="{C3380CC4-5D6E-409C-BE32-E72D297353CC}">
              <c16:uniqueId val="{00000009-5A3F-4975-839C-615CA2B798A5}"/>
            </c:ext>
          </c:extLst>
        </c:ser>
        <c:ser>
          <c:idx val="10"/>
          <c:order val="10"/>
          <c:tx>
            <c:strRef>
              <c:f>ExampleSheet!$B$62</c:f>
              <c:strCache>
                <c:ptCount val="1"/>
                <c:pt idx="0">
                  <c:v>k</c:v>
                </c:pt>
              </c:strCache>
            </c:strRef>
          </c:tx>
          <c:spPr>
            <a:solidFill>
              <a:srgbClr val="EE3124"/>
            </a:solidFill>
            <a:ln w="12700">
              <a:noFill/>
              <a:prstDash val="solid"/>
            </a:ln>
            <a:effectLst/>
          </c:spPr>
          <c:invertIfNegative val="0"/>
          <c:cat>
            <c:numRef>
              <c:f>ExampleSheet!$C$51:$N$51</c:f>
              <c:numCache>
                <c:formatCode>General</c:formatCode>
                <c:ptCount val="12"/>
                <c:pt idx="0">
                  <c:v>2015</c:v>
                </c:pt>
                <c:pt idx="1">
                  <c:v>2016</c:v>
                </c:pt>
                <c:pt idx="2">
                  <c:v>2017</c:v>
                </c:pt>
                <c:pt idx="3">
                  <c:v>2018</c:v>
                </c:pt>
                <c:pt idx="4">
                  <c:v>2019</c:v>
                </c:pt>
                <c:pt idx="5">
                  <c:v>2020</c:v>
                </c:pt>
                <c:pt idx="6">
                  <c:v>2021</c:v>
                </c:pt>
                <c:pt idx="7">
                  <c:v>2022</c:v>
                </c:pt>
                <c:pt idx="8">
                  <c:v>2023</c:v>
                </c:pt>
                <c:pt idx="9">
                  <c:v>2024</c:v>
                </c:pt>
                <c:pt idx="10">
                  <c:v>2025</c:v>
                </c:pt>
                <c:pt idx="11">
                  <c:v>2026</c:v>
                </c:pt>
              </c:numCache>
            </c:numRef>
          </c:cat>
          <c:val>
            <c:numRef>
              <c:f>ExampleSheet!$C$62:$N$62</c:f>
              <c:numCache>
                <c:formatCode>0</c:formatCode>
                <c:ptCount val="12"/>
                <c:pt idx="0">
                  <c:v>165.5224971026189</c:v>
                </c:pt>
                <c:pt idx="1">
                  <c:v>586.41887517139094</c:v>
                </c:pt>
                <c:pt idx="2">
                  <c:v>135.74768087898582</c:v>
                </c:pt>
                <c:pt idx="3">
                  <c:v>708.20146359366629</c:v>
                </c:pt>
                <c:pt idx="4">
                  <c:v>996.52009454913878</c:v>
                </c:pt>
                <c:pt idx="5">
                  <c:v>852.89378910746802</c:v>
                </c:pt>
                <c:pt idx="6">
                  <c:v>270.31757181602489</c:v>
                </c:pt>
                <c:pt idx="7">
                  <c:v>771.88886063325947</c:v>
                </c:pt>
                <c:pt idx="8">
                  <c:v>49.716937752620204</c:v>
                </c:pt>
                <c:pt idx="9">
                  <c:v>24.113094775792266</c:v>
                </c:pt>
                <c:pt idx="10">
                  <c:v>132.21980528294463</c:v>
                </c:pt>
                <c:pt idx="11">
                  <c:v>529.61897599082488</c:v>
                </c:pt>
              </c:numCache>
            </c:numRef>
          </c:val>
          <c:extLst>
            <c:ext xmlns:c16="http://schemas.microsoft.com/office/drawing/2014/chart" uri="{C3380CC4-5D6E-409C-BE32-E72D297353CC}">
              <c16:uniqueId val="{0000000A-5A3F-4975-839C-615CA2B798A5}"/>
            </c:ext>
          </c:extLst>
        </c:ser>
        <c:ser>
          <c:idx val="11"/>
          <c:order val="11"/>
          <c:tx>
            <c:strRef>
              <c:f>ExampleSheet!$B$63</c:f>
              <c:strCache>
                <c:ptCount val="1"/>
                <c:pt idx="0">
                  <c:v>l</c:v>
                </c:pt>
              </c:strCache>
            </c:strRef>
          </c:tx>
          <c:spPr>
            <a:solidFill>
              <a:srgbClr val="8A5DB5"/>
            </a:solidFill>
            <a:ln w="12700">
              <a:noFill/>
              <a:prstDash val="solid"/>
            </a:ln>
            <a:effectLst/>
          </c:spPr>
          <c:invertIfNegative val="0"/>
          <c:cat>
            <c:numRef>
              <c:f>ExampleSheet!$C$51:$N$51</c:f>
              <c:numCache>
                <c:formatCode>General</c:formatCode>
                <c:ptCount val="12"/>
                <c:pt idx="0">
                  <c:v>2015</c:v>
                </c:pt>
                <c:pt idx="1">
                  <c:v>2016</c:v>
                </c:pt>
                <c:pt idx="2">
                  <c:v>2017</c:v>
                </c:pt>
                <c:pt idx="3">
                  <c:v>2018</c:v>
                </c:pt>
                <c:pt idx="4">
                  <c:v>2019</c:v>
                </c:pt>
                <c:pt idx="5">
                  <c:v>2020</c:v>
                </c:pt>
                <c:pt idx="6">
                  <c:v>2021</c:v>
                </c:pt>
                <c:pt idx="7">
                  <c:v>2022</c:v>
                </c:pt>
                <c:pt idx="8">
                  <c:v>2023</c:v>
                </c:pt>
                <c:pt idx="9">
                  <c:v>2024</c:v>
                </c:pt>
                <c:pt idx="10">
                  <c:v>2025</c:v>
                </c:pt>
                <c:pt idx="11">
                  <c:v>2026</c:v>
                </c:pt>
              </c:numCache>
            </c:numRef>
          </c:cat>
          <c:val>
            <c:numRef>
              <c:f>ExampleSheet!$C$63:$N$63</c:f>
              <c:numCache>
                <c:formatCode>0</c:formatCode>
                <c:ptCount val="12"/>
                <c:pt idx="0">
                  <c:v>498.49283231972464</c:v>
                </c:pt>
                <c:pt idx="1">
                  <c:v>408.17174004913346</c:v>
                </c:pt>
                <c:pt idx="2">
                  <c:v>981.78164253459124</c:v>
                </c:pt>
                <c:pt idx="3">
                  <c:v>661.49548587308277</c:v>
                </c:pt>
                <c:pt idx="4">
                  <c:v>846.93310402818338</c:v>
                </c:pt>
                <c:pt idx="5">
                  <c:v>779.02142981739973</c:v>
                </c:pt>
                <c:pt idx="6">
                  <c:v>658.55100894467046</c:v>
                </c:pt>
                <c:pt idx="7">
                  <c:v>916.13907815099799</c:v>
                </c:pt>
                <c:pt idx="8">
                  <c:v>767.63112667916039</c:v>
                </c:pt>
                <c:pt idx="9">
                  <c:v>859.98210426725802</c:v>
                </c:pt>
                <c:pt idx="10">
                  <c:v>170.4284541164549</c:v>
                </c:pt>
                <c:pt idx="11">
                  <c:v>233.5291430526083</c:v>
                </c:pt>
              </c:numCache>
            </c:numRef>
          </c:val>
          <c:extLst>
            <c:ext xmlns:c16="http://schemas.microsoft.com/office/drawing/2014/chart" uri="{C3380CC4-5D6E-409C-BE32-E72D297353CC}">
              <c16:uniqueId val="{0000000B-5A3F-4975-839C-615CA2B798A5}"/>
            </c:ext>
          </c:extLst>
        </c:ser>
        <c:ser>
          <c:idx val="12"/>
          <c:order val="12"/>
          <c:tx>
            <c:strRef>
              <c:f>ExampleSheet!$B$64</c:f>
              <c:strCache>
                <c:ptCount val="1"/>
                <c:pt idx="0">
                  <c:v>m</c:v>
                </c:pt>
              </c:strCache>
            </c:strRef>
          </c:tx>
          <c:spPr>
            <a:solidFill>
              <a:srgbClr val="19B24E"/>
            </a:solidFill>
            <a:ln w="12700">
              <a:noFill/>
              <a:prstDash val="solid"/>
            </a:ln>
            <a:effectLst/>
          </c:spPr>
          <c:invertIfNegative val="0"/>
          <c:cat>
            <c:numRef>
              <c:f>ExampleSheet!$C$51:$N$51</c:f>
              <c:numCache>
                <c:formatCode>General</c:formatCode>
                <c:ptCount val="12"/>
                <c:pt idx="0">
                  <c:v>2015</c:v>
                </c:pt>
                <c:pt idx="1">
                  <c:v>2016</c:v>
                </c:pt>
                <c:pt idx="2">
                  <c:v>2017</c:v>
                </c:pt>
                <c:pt idx="3">
                  <c:v>2018</c:v>
                </c:pt>
                <c:pt idx="4">
                  <c:v>2019</c:v>
                </c:pt>
                <c:pt idx="5">
                  <c:v>2020</c:v>
                </c:pt>
                <c:pt idx="6">
                  <c:v>2021</c:v>
                </c:pt>
                <c:pt idx="7">
                  <c:v>2022</c:v>
                </c:pt>
                <c:pt idx="8">
                  <c:v>2023</c:v>
                </c:pt>
                <c:pt idx="9">
                  <c:v>2024</c:v>
                </c:pt>
                <c:pt idx="10">
                  <c:v>2025</c:v>
                </c:pt>
                <c:pt idx="11">
                  <c:v>2026</c:v>
                </c:pt>
              </c:numCache>
            </c:numRef>
          </c:cat>
          <c:val>
            <c:numRef>
              <c:f>ExampleSheet!$C$64:$N$64</c:f>
              <c:numCache>
                <c:formatCode>0</c:formatCode>
                <c:ptCount val="12"/>
                <c:pt idx="0">
                  <c:v>89.825260239679736</c:v>
                </c:pt>
                <c:pt idx="1">
                  <c:v>730.11900609401425</c:v>
                </c:pt>
                <c:pt idx="2">
                  <c:v>663.32924627339401</c:v>
                </c:pt>
                <c:pt idx="3">
                  <c:v>398.4418998120891</c:v>
                </c:pt>
                <c:pt idx="4">
                  <c:v>955.11029989535859</c:v>
                </c:pt>
                <c:pt idx="5">
                  <c:v>957.98044397516776</c:v>
                </c:pt>
                <c:pt idx="6">
                  <c:v>403.2965502828211</c:v>
                </c:pt>
                <c:pt idx="7">
                  <c:v>964.98245183243716</c:v>
                </c:pt>
                <c:pt idx="8">
                  <c:v>918.35802630522176</c:v>
                </c:pt>
                <c:pt idx="9">
                  <c:v>377.65071025658938</c:v>
                </c:pt>
                <c:pt idx="10">
                  <c:v>285.83085320077117</c:v>
                </c:pt>
                <c:pt idx="11">
                  <c:v>343.0902993289393</c:v>
                </c:pt>
              </c:numCache>
            </c:numRef>
          </c:val>
          <c:extLst>
            <c:ext xmlns:c16="http://schemas.microsoft.com/office/drawing/2014/chart" uri="{C3380CC4-5D6E-409C-BE32-E72D297353CC}">
              <c16:uniqueId val="{0000000C-5A3F-4975-839C-615CA2B798A5}"/>
            </c:ext>
          </c:extLst>
        </c:ser>
        <c:dLbls>
          <c:showLegendKey val="0"/>
          <c:showVal val="0"/>
          <c:showCatName val="0"/>
          <c:showSerName val="0"/>
          <c:showPercent val="0"/>
          <c:showBubbleSize val="0"/>
        </c:dLbls>
        <c:gapWidth val="50"/>
        <c:overlap val="100"/>
        <c:axId val="268616448"/>
        <c:axId val="268617984"/>
      </c:barChart>
      <c:catAx>
        <c:axId val="268616448"/>
        <c:scaling>
          <c:orientation val="minMax"/>
        </c:scaling>
        <c:delete val="0"/>
        <c:axPos val="b"/>
        <c:numFmt formatCode="General" sourceLinked="1"/>
        <c:majorTickMark val="out"/>
        <c:minorTickMark val="none"/>
        <c:tickLblPos val="nextTo"/>
        <c:spPr>
          <a:ln w="3175">
            <a:noFill/>
          </a:ln>
        </c:spPr>
        <c:txPr>
          <a:bodyPr rot="-5400000" vert="horz" anchor="t" anchorCtr="1"/>
          <a:lstStyle/>
          <a:p>
            <a:pPr>
              <a:defRPr/>
            </a:pPr>
            <a:endParaRPr lang="en-US"/>
          </a:p>
        </c:txPr>
        <c:crossAx val="268617984"/>
        <c:crosses val="autoZero"/>
        <c:auto val="1"/>
        <c:lblAlgn val="ctr"/>
        <c:lblOffset val="100"/>
        <c:noMultiLvlLbl val="0"/>
      </c:catAx>
      <c:valAx>
        <c:axId val="268617984"/>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noFill/>
          </a:ln>
        </c:spPr>
        <c:crossAx val="268616448"/>
        <c:crosses val="autoZero"/>
        <c:crossBetween val="between"/>
      </c:valAx>
    </c:plotArea>
    <c:legend>
      <c:legendPos val="r"/>
      <c:layout>
        <c:manualLayout>
          <c:xMode val="edge"/>
          <c:yMode val="edge"/>
          <c:x val="0.88645301837270296"/>
          <c:y val="0"/>
          <c:w val="0.113546981627297"/>
          <c:h val="1"/>
        </c:manualLayout>
      </c:layout>
      <c:overlay val="0"/>
    </c:legend>
    <c:plotVisOnly val="1"/>
    <c:dispBlanksAs val="gap"/>
    <c:showDLblsOverMax val="0"/>
  </c:chart>
  <c:spPr>
    <a:ln>
      <a:noFill/>
    </a:ln>
  </c:spPr>
  <c:txPr>
    <a:bodyPr/>
    <a:lstStyle/>
    <a:p>
      <a:pPr>
        <a:defRPr sz="1200">
          <a:solidFill>
            <a:sysClr val="windowText" lastClr="000000"/>
          </a:solidFill>
          <a:latin typeface="Arial" pitchFamily="34" charset="0"/>
          <a:cs typeface="Arial" pitchFamily="34" charset="0"/>
        </a:defRPr>
      </a:pPr>
      <a:endParaRPr lang="en-US"/>
    </a:p>
  </c:txPr>
  <c:printSettings>
    <c:headerFooter/>
    <c:pageMargins b="0.750000000000002" l="0.70000000000000095" r="0.70000000000000095" t="0.750000000000002"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9.91452101545158E-2"/>
          <c:y val="3.2433371201734201E-2"/>
          <c:w val="0.6921077184864598"/>
          <c:h val="0.86762721823951305"/>
        </c:manualLayout>
      </c:layout>
      <c:areaChart>
        <c:grouping val="stacked"/>
        <c:varyColors val="0"/>
        <c:ser>
          <c:idx val="0"/>
          <c:order val="0"/>
          <c:tx>
            <c:strRef>
              <c:f>ExampleSheet!$B$31</c:f>
              <c:strCache>
                <c:ptCount val="1"/>
                <c:pt idx="0">
                  <c:v>a</c:v>
                </c:pt>
              </c:strCache>
            </c:strRef>
          </c:tx>
          <c:spPr>
            <a:solidFill>
              <a:srgbClr val="61CAE6"/>
            </a:solidFill>
            <a:ln w="12700">
              <a:noFill/>
              <a:prstDash val="solid"/>
            </a:ln>
            <a:effectLst/>
          </c:spPr>
          <c:cat>
            <c:numRef>
              <c:f>ExampleSheet!$C$30:$N$30</c:f>
              <c:numCache>
                <c:formatCode>0</c:formatCode>
                <c:ptCount val="12"/>
                <c:pt idx="0">
                  <c:v>2015</c:v>
                </c:pt>
                <c:pt idx="1">
                  <c:v>2016</c:v>
                </c:pt>
                <c:pt idx="2">
                  <c:v>2017</c:v>
                </c:pt>
                <c:pt idx="3">
                  <c:v>2018</c:v>
                </c:pt>
                <c:pt idx="4">
                  <c:v>2019</c:v>
                </c:pt>
                <c:pt idx="5">
                  <c:v>2020</c:v>
                </c:pt>
                <c:pt idx="6">
                  <c:v>2021</c:v>
                </c:pt>
                <c:pt idx="7">
                  <c:v>2022</c:v>
                </c:pt>
                <c:pt idx="8">
                  <c:v>2023</c:v>
                </c:pt>
                <c:pt idx="9">
                  <c:v>2024</c:v>
                </c:pt>
                <c:pt idx="10">
                  <c:v>2025</c:v>
                </c:pt>
                <c:pt idx="11">
                  <c:v>2026</c:v>
                </c:pt>
              </c:numCache>
            </c:numRef>
          </c:cat>
          <c:val>
            <c:numRef>
              <c:f>ExampleSheet!$C$31:$N$31</c:f>
              <c:numCache>
                <c:formatCode>0.0</c:formatCode>
                <c:ptCount val="12"/>
                <c:pt idx="0">
                  <c:v>273.602385445077</c:v>
                </c:pt>
                <c:pt idx="1">
                  <c:v>317.56248885071579</c:v>
                </c:pt>
                <c:pt idx="2">
                  <c:v>61.092920230930488</c:v>
                </c:pt>
                <c:pt idx="3">
                  <c:v>534.3577403771319</c:v>
                </c:pt>
                <c:pt idx="4">
                  <c:v>168.52159951406409</c:v>
                </c:pt>
                <c:pt idx="5">
                  <c:v>308.64156352528215</c:v>
                </c:pt>
                <c:pt idx="6">
                  <c:v>558.07225492569785</c:v>
                </c:pt>
                <c:pt idx="7">
                  <c:v>295.45272516093399</c:v>
                </c:pt>
                <c:pt idx="8">
                  <c:v>302.07590041537458</c:v>
                </c:pt>
                <c:pt idx="9">
                  <c:v>460.20692636640035</c:v>
                </c:pt>
                <c:pt idx="10">
                  <c:v>331.96301619541413</c:v>
                </c:pt>
                <c:pt idx="11">
                  <c:v>161.0125433516919</c:v>
                </c:pt>
              </c:numCache>
            </c:numRef>
          </c:val>
          <c:extLst>
            <c:ext xmlns:c16="http://schemas.microsoft.com/office/drawing/2014/chart" uri="{C3380CC4-5D6E-409C-BE32-E72D297353CC}">
              <c16:uniqueId val="{00000000-B2B6-49E2-B0C5-B12999C79E82}"/>
            </c:ext>
          </c:extLst>
        </c:ser>
        <c:ser>
          <c:idx val="1"/>
          <c:order val="1"/>
          <c:tx>
            <c:strRef>
              <c:f>ExampleSheet!$B$32</c:f>
              <c:strCache>
                <c:ptCount val="1"/>
                <c:pt idx="0">
                  <c:v>b</c:v>
                </c:pt>
              </c:strCache>
            </c:strRef>
          </c:tx>
          <c:spPr>
            <a:solidFill>
              <a:srgbClr val="EF5B9D"/>
            </a:solidFill>
            <a:ln w="12700">
              <a:noFill/>
              <a:prstDash val="solid"/>
            </a:ln>
            <a:effectLst/>
          </c:spPr>
          <c:cat>
            <c:numRef>
              <c:f>ExampleSheet!$C$30:$N$30</c:f>
              <c:numCache>
                <c:formatCode>0</c:formatCode>
                <c:ptCount val="12"/>
                <c:pt idx="0">
                  <c:v>2015</c:v>
                </c:pt>
                <c:pt idx="1">
                  <c:v>2016</c:v>
                </c:pt>
                <c:pt idx="2">
                  <c:v>2017</c:v>
                </c:pt>
                <c:pt idx="3">
                  <c:v>2018</c:v>
                </c:pt>
                <c:pt idx="4">
                  <c:v>2019</c:v>
                </c:pt>
                <c:pt idx="5">
                  <c:v>2020</c:v>
                </c:pt>
                <c:pt idx="6">
                  <c:v>2021</c:v>
                </c:pt>
                <c:pt idx="7">
                  <c:v>2022</c:v>
                </c:pt>
                <c:pt idx="8">
                  <c:v>2023</c:v>
                </c:pt>
                <c:pt idx="9">
                  <c:v>2024</c:v>
                </c:pt>
                <c:pt idx="10">
                  <c:v>2025</c:v>
                </c:pt>
                <c:pt idx="11">
                  <c:v>2026</c:v>
                </c:pt>
              </c:numCache>
            </c:numRef>
          </c:cat>
          <c:val>
            <c:numRef>
              <c:f>ExampleSheet!$C$32:$N$32</c:f>
              <c:numCache>
                <c:formatCode>0.0</c:formatCode>
                <c:ptCount val="12"/>
                <c:pt idx="0">
                  <c:v>669.64638765888947</c:v>
                </c:pt>
                <c:pt idx="1">
                  <c:v>533.85574952397099</c:v>
                </c:pt>
                <c:pt idx="2">
                  <c:v>103.78834564168193</c:v>
                </c:pt>
                <c:pt idx="3">
                  <c:v>463.72732911222283</c:v>
                </c:pt>
                <c:pt idx="4">
                  <c:v>520.71699758344221</c:v>
                </c:pt>
                <c:pt idx="5">
                  <c:v>768.83725040100069</c:v>
                </c:pt>
                <c:pt idx="6">
                  <c:v>208.98005755077352</c:v>
                </c:pt>
                <c:pt idx="7">
                  <c:v>280.04308061221263</c:v>
                </c:pt>
                <c:pt idx="8">
                  <c:v>718.43829979482814</c:v>
                </c:pt>
                <c:pt idx="9">
                  <c:v>903.11029546399459</c:v>
                </c:pt>
                <c:pt idx="10">
                  <c:v>463.21804407982046</c:v>
                </c:pt>
                <c:pt idx="11">
                  <c:v>856.58123318390619</c:v>
                </c:pt>
              </c:numCache>
            </c:numRef>
          </c:val>
          <c:extLst>
            <c:ext xmlns:c16="http://schemas.microsoft.com/office/drawing/2014/chart" uri="{C3380CC4-5D6E-409C-BE32-E72D297353CC}">
              <c16:uniqueId val="{00000001-B2B6-49E2-B0C5-B12999C79E82}"/>
            </c:ext>
          </c:extLst>
        </c:ser>
        <c:ser>
          <c:idx val="2"/>
          <c:order val="2"/>
          <c:tx>
            <c:strRef>
              <c:f>ExampleSheet!$B$33</c:f>
              <c:strCache>
                <c:ptCount val="1"/>
                <c:pt idx="0">
                  <c:v>c</c:v>
                </c:pt>
              </c:strCache>
            </c:strRef>
          </c:tx>
          <c:spPr>
            <a:solidFill>
              <a:srgbClr val="391E54"/>
            </a:solidFill>
            <a:ln w="12700">
              <a:noFill/>
              <a:prstDash val="solid"/>
            </a:ln>
            <a:effectLst/>
          </c:spPr>
          <c:cat>
            <c:numRef>
              <c:f>ExampleSheet!$C$30:$N$30</c:f>
              <c:numCache>
                <c:formatCode>0</c:formatCode>
                <c:ptCount val="12"/>
                <c:pt idx="0">
                  <c:v>2015</c:v>
                </c:pt>
                <c:pt idx="1">
                  <c:v>2016</c:v>
                </c:pt>
                <c:pt idx="2">
                  <c:v>2017</c:v>
                </c:pt>
                <c:pt idx="3">
                  <c:v>2018</c:v>
                </c:pt>
                <c:pt idx="4">
                  <c:v>2019</c:v>
                </c:pt>
                <c:pt idx="5">
                  <c:v>2020</c:v>
                </c:pt>
                <c:pt idx="6">
                  <c:v>2021</c:v>
                </c:pt>
                <c:pt idx="7">
                  <c:v>2022</c:v>
                </c:pt>
                <c:pt idx="8">
                  <c:v>2023</c:v>
                </c:pt>
                <c:pt idx="9">
                  <c:v>2024</c:v>
                </c:pt>
                <c:pt idx="10">
                  <c:v>2025</c:v>
                </c:pt>
                <c:pt idx="11">
                  <c:v>2026</c:v>
                </c:pt>
              </c:numCache>
            </c:numRef>
          </c:cat>
          <c:val>
            <c:numRef>
              <c:f>ExampleSheet!$C$33:$N$33</c:f>
              <c:numCache>
                <c:formatCode>0.0</c:formatCode>
                <c:ptCount val="12"/>
                <c:pt idx="0">
                  <c:v>924.936390970758</c:v>
                </c:pt>
                <c:pt idx="1">
                  <c:v>628.48340474712529</c:v>
                </c:pt>
                <c:pt idx="2">
                  <c:v>473.41409461901253</c:v>
                </c:pt>
                <c:pt idx="3">
                  <c:v>342.90755066125087</c:v>
                </c:pt>
                <c:pt idx="4">
                  <c:v>441.10870090589316</c:v>
                </c:pt>
                <c:pt idx="5">
                  <c:v>240.72505902689733</c:v>
                </c:pt>
                <c:pt idx="6">
                  <c:v>588.39911888837264</c:v>
                </c:pt>
                <c:pt idx="7">
                  <c:v>216.04759930090688</c:v>
                </c:pt>
                <c:pt idx="8">
                  <c:v>739.56208235119107</c:v>
                </c:pt>
                <c:pt idx="9">
                  <c:v>654.45891419605084</c:v>
                </c:pt>
                <c:pt idx="10">
                  <c:v>0</c:v>
                </c:pt>
                <c:pt idx="11">
                  <c:v>509.27175614027055</c:v>
                </c:pt>
              </c:numCache>
            </c:numRef>
          </c:val>
          <c:extLst>
            <c:ext xmlns:c16="http://schemas.microsoft.com/office/drawing/2014/chart" uri="{C3380CC4-5D6E-409C-BE32-E72D297353CC}">
              <c16:uniqueId val="{00000002-B2B6-49E2-B0C5-B12999C79E82}"/>
            </c:ext>
          </c:extLst>
        </c:ser>
        <c:ser>
          <c:idx val="3"/>
          <c:order val="3"/>
          <c:tx>
            <c:strRef>
              <c:f>ExampleSheet!$B$34</c:f>
              <c:strCache>
                <c:ptCount val="1"/>
                <c:pt idx="0">
                  <c:v>d</c:v>
                </c:pt>
              </c:strCache>
            </c:strRef>
          </c:tx>
          <c:spPr>
            <a:solidFill>
              <a:srgbClr val="FFC91D"/>
            </a:solidFill>
            <a:ln w="12700">
              <a:noFill/>
              <a:prstDash val="solid"/>
            </a:ln>
            <a:effectLst/>
          </c:spPr>
          <c:cat>
            <c:numRef>
              <c:f>ExampleSheet!$C$30:$N$30</c:f>
              <c:numCache>
                <c:formatCode>0</c:formatCode>
                <c:ptCount val="12"/>
                <c:pt idx="0">
                  <c:v>2015</c:v>
                </c:pt>
                <c:pt idx="1">
                  <c:v>2016</c:v>
                </c:pt>
                <c:pt idx="2">
                  <c:v>2017</c:v>
                </c:pt>
                <c:pt idx="3">
                  <c:v>2018</c:v>
                </c:pt>
                <c:pt idx="4">
                  <c:v>2019</c:v>
                </c:pt>
                <c:pt idx="5">
                  <c:v>2020</c:v>
                </c:pt>
                <c:pt idx="6">
                  <c:v>2021</c:v>
                </c:pt>
                <c:pt idx="7">
                  <c:v>2022</c:v>
                </c:pt>
                <c:pt idx="8">
                  <c:v>2023</c:v>
                </c:pt>
                <c:pt idx="9">
                  <c:v>2024</c:v>
                </c:pt>
                <c:pt idx="10">
                  <c:v>2025</c:v>
                </c:pt>
                <c:pt idx="11">
                  <c:v>2026</c:v>
                </c:pt>
              </c:numCache>
            </c:numRef>
          </c:cat>
          <c:val>
            <c:numRef>
              <c:f>ExampleSheet!$C$34:$N$34</c:f>
              <c:numCache>
                <c:formatCode>0.0</c:formatCode>
                <c:ptCount val="12"/>
                <c:pt idx="0">
                  <c:v>374.53016736179592</c:v>
                </c:pt>
                <c:pt idx="1">
                  <c:v>127.00771685719225</c:v>
                </c:pt>
                <c:pt idx="2">
                  <c:v>676.74154113247619</c:v>
                </c:pt>
                <c:pt idx="3">
                  <c:v>557.98653619032359</c:v>
                </c:pt>
                <c:pt idx="4">
                  <c:v>495.36778661795631</c:v>
                </c:pt>
                <c:pt idx="5">
                  <c:v>921.4821077090935</c:v>
                </c:pt>
                <c:pt idx="6">
                  <c:v>164.64410205763969</c:v>
                </c:pt>
                <c:pt idx="7">
                  <c:v>495.59431272686226</c:v>
                </c:pt>
                <c:pt idx="8">
                  <c:v>770.88210454016564</c:v>
                </c:pt>
                <c:pt idx="9">
                  <c:v>729.27362086259825</c:v>
                </c:pt>
                <c:pt idx="10">
                  <c:v>738.2979842638332</c:v>
                </c:pt>
                <c:pt idx="11">
                  <c:v>967.76665087848789</c:v>
                </c:pt>
              </c:numCache>
            </c:numRef>
          </c:val>
          <c:extLst>
            <c:ext xmlns:c16="http://schemas.microsoft.com/office/drawing/2014/chart" uri="{C3380CC4-5D6E-409C-BE32-E72D297353CC}">
              <c16:uniqueId val="{00000003-B2B6-49E2-B0C5-B12999C79E82}"/>
            </c:ext>
          </c:extLst>
        </c:ser>
        <c:ser>
          <c:idx val="4"/>
          <c:order val="4"/>
          <c:tx>
            <c:strRef>
              <c:f>ExampleSheet!$B$35</c:f>
              <c:strCache>
                <c:ptCount val="1"/>
                <c:pt idx="0">
                  <c:v>e</c:v>
                </c:pt>
              </c:strCache>
            </c:strRef>
          </c:tx>
          <c:spPr>
            <a:solidFill>
              <a:srgbClr val="00688A"/>
            </a:solidFill>
            <a:ln w="12700">
              <a:noFill/>
              <a:prstDash val="solid"/>
            </a:ln>
            <a:effectLst/>
          </c:spPr>
          <c:cat>
            <c:numRef>
              <c:f>ExampleSheet!$C$30:$N$30</c:f>
              <c:numCache>
                <c:formatCode>0</c:formatCode>
                <c:ptCount val="12"/>
                <c:pt idx="0">
                  <c:v>2015</c:v>
                </c:pt>
                <c:pt idx="1">
                  <c:v>2016</c:v>
                </c:pt>
                <c:pt idx="2">
                  <c:v>2017</c:v>
                </c:pt>
                <c:pt idx="3">
                  <c:v>2018</c:v>
                </c:pt>
                <c:pt idx="4">
                  <c:v>2019</c:v>
                </c:pt>
                <c:pt idx="5">
                  <c:v>2020</c:v>
                </c:pt>
                <c:pt idx="6">
                  <c:v>2021</c:v>
                </c:pt>
                <c:pt idx="7">
                  <c:v>2022</c:v>
                </c:pt>
                <c:pt idx="8">
                  <c:v>2023</c:v>
                </c:pt>
                <c:pt idx="9">
                  <c:v>2024</c:v>
                </c:pt>
                <c:pt idx="10">
                  <c:v>2025</c:v>
                </c:pt>
                <c:pt idx="11">
                  <c:v>2026</c:v>
                </c:pt>
              </c:numCache>
            </c:numRef>
          </c:cat>
          <c:val>
            <c:numRef>
              <c:f>ExampleSheet!$C$35:$N$35</c:f>
              <c:numCache>
                <c:formatCode>0.0</c:formatCode>
                <c:ptCount val="12"/>
                <c:pt idx="0">
                  <c:v>527.75951149830576</c:v>
                </c:pt>
                <c:pt idx="1">
                  <c:v>278.93234207579178</c:v>
                </c:pt>
                <c:pt idx="2">
                  <c:v>967.26244382935602</c:v>
                </c:pt>
                <c:pt idx="3">
                  <c:v>428.87281498548469</c:v>
                </c:pt>
                <c:pt idx="4">
                  <c:v>900.19233668929905</c:v>
                </c:pt>
                <c:pt idx="5">
                  <c:v>708.2710488833618</c:v>
                </c:pt>
                <c:pt idx="6">
                  <c:v>51.905491836001346</c:v>
                </c:pt>
                <c:pt idx="7">
                  <c:v>615.78184077937374</c:v>
                </c:pt>
                <c:pt idx="8">
                  <c:v>925.37111420302961</c:v>
                </c:pt>
                <c:pt idx="9">
                  <c:v>620.44464246415203</c:v>
                </c:pt>
                <c:pt idx="10">
                  <c:v>194.79838341220679</c:v>
                </c:pt>
                <c:pt idx="11">
                  <c:v>504.7316484433195</c:v>
                </c:pt>
              </c:numCache>
            </c:numRef>
          </c:val>
          <c:extLst>
            <c:ext xmlns:c16="http://schemas.microsoft.com/office/drawing/2014/chart" uri="{C3380CC4-5D6E-409C-BE32-E72D297353CC}">
              <c16:uniqueId val="{00000004-B2B6-49E2-B0C5-B12999C79E82}"/>
            </c:ext>
          </c:extLst>
        </c:ser>
        <c:ser>
          <c:idx val="5"/>
          <c:order val="5"/>
          <c:tx>
            <c:strRef>
              <c:f>ExampleSheet!$B$36</c:f>
              <c:strCache>
                <c:ptCount val="1"/>
                <c:pt idx="0">
                  <c:v>f</c:v>
                </c:pt>
              </c:strCache>
            </c:strRef>
          </c:tx>
          <c:spPr>
            <a:solidFill>
              <a:srgbClr val="75E3A1"/>
            </a:solidFill>
            <a:ln w="12700">
              <a:noFill/>
              <a:prstDash val="solid"/>
            </a:ln>
            <a:effectLst/>
          </c:spPr>
          <c:cat>
            <c:numRef>
              <c:f>ExampleSheet!$C$30:$N$30</c:f>
              <c:numCache>
                <c:formatCode>0</c:formatCode>
                <c:ptCount val="12"/>
                <c:pt idx="0">
                  <c:v>2015</c:v>
                </c:pt>
                <c:pt idx="1">
                  <c:v>2016</c:v>
                </c:pt>
                <c:pt idx="2">
                  <c:v>2017</c:v>
                </c:pt>
                <c:pt idx="3">
                  <c:v>2018</c:v>
                </c:pt>
                <c:pt idx="4">
                  <c:v>2019</c:v>
                </c:pt>
                <c:pt idx="5">
                  <c:v>2020</c:v>
                </c:pt>
                <c:pt idx="6">
                  <c:v>2021</c:v>
                </c:pt>
                <c:pt idx="7">
                  <c:v>2022</c:v>
                </c:pt>
                <c:pt idx="8">
                  <c:v>2023</c:v>
                </c:pt>
                <c:pt idx="9">
                  <c:v>2024</c:v>
                </c:pt>
                <c:pt idx="10">
                  <c:v>2025</c:v>
                </c:pt>
                <c:pt idx="11">
                  <c:v>2026</c:v>
                </c:pt>
              </c:numCache>
            </c:numRef>
          </c:cat>
          <c:val>
            <c:numRef>
              <c:f>ExampleSheet!$C$36:$N$36</c:f>
              <c:numCache>
                <c:formatCode>0.0</c:formatCode>
                <c:ptCount val="12"/>
                <c:pt idx="0">
                  <c:v>430.41291839546227</c:v>
                </c:pt>
                <c:pt idx="1">
                  <c:v>242.14324487635429</c:v>
                </c:pt>
                <c:pt idx="2">
                  <c:v>691.82751299878169</c:v>
                </c:pt>
                <c:pt idx="3">
                  <c:v>316.84927671776228</c:v>
                </c:pt>
                <c:pt idx="4">
                  <c:v>344.38860210299725</c:v>
                </c:pt>
                <c:pt idx="5">
                  <c:v>550.40900066259042</c:v>
                </c:pt>
                <c:pt idx="6">
                  <c:v>495.9888731664355</c:v>
                </c:pt>
                <c:pt idx="7">
                  <c:v>341.3608409632032</c:v>
                </c:pt>
                <c:pt idx="8">
                  <c:v>387.47275652086586</c:v>
                </c:pt>
                <c:pt idx="9">
                  <c:v>767.6225999975162</c:v>
                </c:pt>
                <c:pt idx="10">
                  <c:v>144.43504034161504</c:v>
                </c:pt>
                <c:pt idx="11">
                  <c:v>851.93742001181238</c:v>
                </c:pt>
              </c:numCache>
            </c:numRef>
          </c:val>
          <c:extLst>
            <c:ext xmlns:c16="http://schemas.microsoft.com/office/drawing/2014/chart" uri="{C3380CC4-5D6E-409C-BE32-E72D297353CC}">
              <c16:uniqueId val="{00000005-B2B6-49E2-B0C5-B12999C79E82}"/>
            </c:ext>
          </c:extLst>
        </c:ser>
        <c:ser>
          <c:idx val="6"/>
          <c:order val="6"/>
          <c:tx>
            <c:strRef>
              <c:f>ExampleSheet!$B$37</c:f>
              <c:strCache>
                <c:ptCount val="1"/>
                <c:pt idx="0">
                  <c:v>g</c:v>
                </c:pt>
              </c:strCache>
            </c:strRef>
          </c:tx>
          <c:spPr>
            <a:solidFill>
              <a:srgbClr val="0D9DDB"/>
            </a:solidFill>
            <a:ln w="12700">
              <a:noFill/>
              <a:prstDash val="solid"/>
            </a:ln>
            <a:effectLst/>
          </c:spPr>
          <c:cat>
            <c:numRef>
              <c:f>ExampleSheet!$C$30:$N$30</c:f>
              <c:numCache>
                <c:formatCode>0</c:formatCode>
                <c:ptCount val="12"/>
                <c:pt idx="0">
                  <c:v>2015</c:v>
                </c:pt>
                <c:pt idx="1">
                  <c:v>2016</c:v>
                </c:pt>
                <c:pt idx="2">
                  <c:v>2017</c:v>
                </c:pt>
                <c:pt idx="3">
                  <c:v>2018</c:v>
                </c:pt>
                <c:pt idx="4">
                  <c:v>2019</c:v>
                </c:pt>
                <c:pt idx="5">
                  <c:v>2020</c:v>
                </c:pt>
                <c:pt idx="6">
                  <c:v>2021</c:v>
                </c:pt>
                <c:pt idx="7">
                  <c:v>2022</c:v>
                </c:pt>
                <c:pt idx="8">
                  <c:v>2023</c:v>
                </c:pt>
                <c:pt idx="9">
                  <c:v>2024</c:v>
                </c:pt>
                <c:pt idx="10">
                  <c:v>2025</c:v>
                </c:pt>
                <c:pt idx="11">
                  <c:v>2026</c:v>
                </c:pt>
              </c:numCache>
            </c:numRef>
          </c:cat>
          <c:val>
            <c:numRef>
              <c:f>ExampleSheet!$C$37:$N$37</c:f>
              <c:numCache>
                <c:formatCode>0.0</c:formatCode>
                <c:ptCount val="12"/>
                <c:pt idx="0">
                  <c:v>611.38639434995252</c:v>
                </c:pt>
                <c:pt idx="1">
                  <c:v>781.53026147780827</c:v>
                </c:pt>
                <c:pt idx="2">
                  <c:v>982.95482405255973</c:v>
                </c:pt>
                <c:pt idx="3">
                  <c:v>307.90768808894398</c:v>
                </c:pt>
                <c:pt idx="4">
                  <c:v>549.31478913035494</c:v>
                </c:pt>
                <c:pt idx="5">
                  <c:v>257.92442616796717</c:v>
                </c:pt>
                <c:pt idx="6">
                  <c:v>527.33146728357099</c:v>
                </c:pt>
                <c:pt idx="7">
                  <c:v>44.28926888438167</c:v>
                </c:pt>
                <c:pt idx="8">
                  <c:v>780.30042856530247</c:v>
                </c:pt>
                <c:pt idx="9">
                  <c:v>395.6105073587064</c:v>
                </c:pt>
                <c:pt idx="10">
                  <c:v>74.734460143066059</c:v>
                </c:pt>
                <c:pt idx="11">
                  <c:v>126.41715763136607</c:v>
                </c:pt>
              </c:numCache>
            </c:numRef>
          </c:val>
          <c:extLst>
            <c:ext xmlns:c16="http://schemas.microsoft.com/office/drawing/2014/chart" uri="{C3380CC4-5D6E-409C-BE32-E72D297353CC}">
              <c16:uniqueId val="{00000006-B2B6-49E2-B0C5-B12999C79E82}"/>
            </c:ext>
          </c:extLst>
        </c:ser>
        <c:ser>
          <c:idx val="7"/>
          <c:order val="7"/>
          <c:tx>
            <c:strRef>
              <c:f>ExampleSheet!$B$38</c:f>
              <c:strCache>
                <c:ptCount val="1"/>
                <c:pt idx="0">
                  <c:v>h</c:v>
                </c:pt>
              </c:strCache>
            </c:strRef>
          </c:tx>
          <c:spPr>
            <a:solidFill>
              <a:srgbClr val="BD5CA3"/>
            </a:solidFill>
            <a:ln w="12700">
              <a:noFill/>
              <a:prstDash val="solid"/>
            </a:ln>
            <a:effectLst/>
          </c:spPr>
          <c:cat>
            <c:numRef>
              <c:f>ExampleSheet!$C$30:$N$30</c:f>
              <c:numCache>
                <c:formatCode>0</c:formatCode>
                <c:ptCount val="12"/>
                <c:pt idx="0">
                  <c:v>2015</c:v>
                </c:pt>
                <c:pt idx="1">
                  <c:v>2016</c:v>
                </c:pt>
                <c:pt idx="2">
                  <c:v>2017</c:v>
                </c:pt>
                <c:pt idx="3">
                  <c:v>2018</c:v>
                </c:pt>
                <c:pt idx="4">
                  <c:v>2019</c:v>
                </c:pt>
                <c:pt idx="5">
                  <c:v>2020</c:v>
                </c:pt>
                <c:pt idx="6">
                  <c:v>2021</c:v>
                </c:pt>
                <c:pt idx="7">
                  <c:v>2022</c:v>
                </c:pt>
                <c:pt idx="8">
                  <c:v>2023</c:v>
                </c:pt>
                <c:pt idx="9">
                  <c:v>2024</c:v>
                </c:pt>
                <c:pt idx="10">
                  <c:v>2025</c:v>
                </c:pt>
                <c:pt idx="11">
                  <c:v>2026</c:v>
                </c:pt>
              </c:numCache>
            </c:numRef>
          </c:cat>
          <c:val>
            <c:numRef>
              <c:f>ExampleSheet!$C$38:$N$38</c:f>
              <c:numCache>
                <c:formatCode>0.0</c:formatCode>
                <c:ptCount val="12"/>
                <c:pt idx="0">
                  <c:v>788.83783772012873</c:v>
                </c:pt>
                <c:pt idx="1">
                  <c:v>116.53611879840631</c:v>
                </c:pt>
                <c:pt idx="2">
                  <c:v>288.702979766135</c:v>
                </c:pt>
                <c:pt idx="3">
                  <c:v>473.60675192127678</c:v>
                </c:pt>
                <c:pt idx="4">
                  <c:v>405.82046726114606</c:v>
                </c:pt>
                <c:pt idx="5">
                  <c:v>77.687915486277845</c:v>
                </c:pt>
                <c:pt idx="6">
                  <c:v>518.77021043369484</c:v>
                </c:pt>
                <c:pt idx="7">
                  <c:v>77.757040006663061</c:v>
                </c:pt>
                <c:pt idx="8">
                  <c:v>66.079727056596042</c:v>
                </c:pt>
                <c:pt idx="9">
                  <c:v>422.93439111102174</c:v>
                </c:pt>
                <c:pt idx="10">
                  <c:v>73.314297868259487</c:v>
                </c:pt>
                <c:pt idx="11">
                  <c:v>788.23580981534906</c:v>
                </c:pt>
              </c:numCache>
            </c:numRef>
          </c:val>
          <c:extLst>
            <c:ext xmlns:c16="http://schemas.microsoft.com/office/drawing/2014/chart" uri="{C3380CC4-5D6E-409C-BE32-E72D297353CC}">
              <c16:uniqueId val="{00000007-B2B6-49E2-B0C5-B12999C79E82}"/>
            </c:ext>
          </c:extLst>
        </c:ser>
        <c:ser>
          <c:idx val="8"/>
          <c:order val="8"/>
          <c:tx>
            <c:strRef>
              <c:f>ExampleSheet!$B$39</c:f>
              <c:strCache>
                <c:ptCount val="1"/>
                <c:pt idx="0">
                  <c:v>i</c:v>
                </c:pt>
              </c:strCache>
            </c:strRef>
          </c:tx>
          <c:spPr>
            <a:solidFill>
              <a:srgbClr val="43BEAD"/>
            </a:solidFill>
            <a:ln w="12700">
              <a:noFill/>
              <a:prstDash val="solid"/>
            </a:ln>
            <a:effectLst/>
          </c:spPr>
          <c:cat>
            <c:numRef>
              <c:f>ExampleSheet!$C$30:$N$30</c:f>
              <c:numCache>
                <c:formatCode>0</c:formatCode>
                <c:ptCount val="12"/>
                <c:pt idx="0">
                  <c:v>2015</c:v>
                </c:pt>
                <c:pt idx="1">
                  <c:v>2016</c:v>
                </c:pt>
                <c:pt idx="2">
                  <c:v>2017</c:v>
                </c:pt>
                <c:pt idx="3">
                  <c:v>2018</c:v>
                </c:pt>
                <c:pt idx="4">
                  <c:v>2019</c:v>
                </c:pt>
                <c:pt idx="5">
                  <c:v>2020</c:v>
                </c:pt>
                <c:pt idx="6">
                  <c:v>2021</c:v>
                </c:pt>
                <c:pt idx="7">
                  <c:v>2022</c:v>
                </c:pt>
                <c:pt idx="8">
                  <c:v>2023</c:v>
                </c:pt>
                <c:pt idx="9">
                  <c:v>2024</c:v>
                </c:pt>
                <c:pt idx="10">
                  <c:v>2025</c:v>
                </c:pt>
                <c:pt idx="11">
                  <c:v>2026</c:v>
                </c:pt>
              </c:numCache>
            </c:numRef>
          </c:cat>
          <c:val>
            <c:numRef>
              <c:f>ExampleSheet!$C$39:$N$39</c:f>
              <c:numCache>
                <c:formatCode>0.0</c:formatCode>
                <c:ptCount val="12"/>
                <c:pt idx="0">
                  <c:v>232.81393799778306</c:v>
                </c:pt>
                <c:pt idx="1">
                  <c:v>744.36003084427011</c:v>
                </c:pt>
                <c:pt idx="2">
                  <c:v>549.49558297702538</c:v>
                </c:pt>
                <c:pt idx="3">
                  <c:v>979.20888030807839</c:v>
                </c:pt>
                <c:pt idx="4">
                  <c:v>706.41088325944747</c:v>
                </c:pt>
                <c:pt idx="5">
                  <c:v>718.3950417144539</c:v>
                </c:pt>
                <c:pt idx="6">
                  <c:v>191.97840829830105</c:v>
                </c:pt>
                <c:pt idx="7">
                  <c:v>826.81366271902311</c:v>
                </c:pt>
                <c:pt idx="8">
                  <c:v>165.61703194712007</c:v>
                </c:pt>
                <c:pt idx="9">
                  <c:v>659.89313327878187</c:v>
                </c:pt>
                <c:pt idx="10">
                  <c:v>519.97700903298607</c:v>
                </c:pt>
                <c:pt idx="11">
                  <c:v>434.62837115366995</c:v>
                </c:pt>
              </c:numCache>
            </c:numRef>
          </c:val>
          <c:extLst>
            <c:ext xmlns:c16="http://schemas.microsoft.com/office/drawing/2014/chart" uri="{C3380CC4-5D6E-409C-BE32-E72D297353CC}">
              <c16:uniqueId val="{00000008-B2B6-49E2-B0C5-B12999C79E82}"/>
            </c:ext>
          </c:extLst>
        </c:ser>
        <c:ser>
          <c:idx val="9"/>
          <c:order val="9"/>
          <c:tx>
            <c:strRef>
              <c:f>ExampleSheet!$B$40</c:f>
              <c:strCache>
                <c:ptCount val="1"/>
                <c:pt idx="0">
                  <c:v>j</c:v>
                </c:pt>
              </c:strCache>
            </c:strRef>
          </c:tx>
          <c:spPr>
            <a:solidFill>
              <a:srgbClr val="593C7B"/>
            </a:solidFill>
            <a:ln w="12700">
              <a:noFill/>
              <a:prstDash val="solid"/>
            </a:ln>
            <a:effectLst/>
          </c:spPr>
          <c:cat>
            <c:numRef>
              <c:f>ExampleSheet!$C$30:$N$30</c:f>
              <c:numCache>
                <c:formatCode>0</c:formatCode>
                <c:ptCount val="12"/>
                <c:pt idx="0">
                  <c:v>2015</c:v>
                </c:pt>
                <c:pt idx="1">
                  <c:v>2016</c:v>
                </c:pt>
                <c:pt idx="2">
                  <c:v>2017</c:v>
                </c:pt>
                <c:pt idx="3">
                  <c:v>2018</c:v>
                </c:pt>
                <c:pt idx="4">
                  <c:v>2019</c:v>
                </c:pt>
                <c:pt idx="5">
                  <c:v>2020</c:v>
                </c:pt>
                <c:pt idx="6">
                  <c:v>2021</c:v>
                </c:pt>
                <c:pt idx="7">
                  <c:v>2022</c:v>
                </c:pt>
                <c:pt idx="8">
                  <c:v>2023</c:v>
                </c:pt>
                <c:pt idx="9">
                  <c:v>2024</c:v>
                </c:pt>
                <c:pt idx="10">
                  <c:v>2025</c:v>
                </c:pt>
                <c:pt idx="11">
                  <c:v>2026</c:v>
                </c:pt>
              </c:numCache>
            </c:numRef>
          </c:cat>
          <c:val>
            <c:numRef>
              <c:f>ExampleSheet!$C$40:$N$40</c:f>
              <c:numCache>
                <c:formatCode>0.0</c:formatCode>
                <c:ptCount val="12"/>
                <c:pt idx="0">
                  <c:v>174.52745358324162</c:v>
                </c:pt>
                <c:pt idx="1">
                  <c:v>998.26490932482955</c:v>
                </c:pt>
                <c:pt idx="2">
                  <c:v>66.146817113979623</c:v>
                </c:pt>
                <c:pt idx="3">
                  <c:v>62.514730195582182</c:v>
                </c:pt>
                <c:pt idx="4">
                  <c:v>841.65060085281868</c:v>
                </c:pt>
                <c:pt idx="5">
                  <c:v>346.36882264243638</c:v>
                </c:pt>
                <c:pt idx="6">
                  <c:v>26.088610620533913</c:v>
                </c:pt>
                <c:pt idx="7">
                  <c:v>590.76688824844302</c:v>
                </c:pt>
                <c:pt idx="8">
                  <c:v>658.6564559422925</c:v>
                </c:pt>
                <c:pt idx="9">
                  <c:v>359.01495993494012</c:v>
                </c:pt>
                <c:pt idx="10">
                  <c:v>781.54069797202601</c:v>
                </c:pt>
                <c:pt idx="11">
                  <c:v>247.71001842351248</c:v>
                </c:pt>
              </c:numCache>
            </c:numRef>
          </c:val>
          <c:extLst>
            <c:ext xmlns:c16="http://schemas.microsoft.com/office/drawing/2014/chart" uri="{C3380CC4-5D6E-409C-BE32-E72D297353CC}">
              <c16:uniqueId val="{00000009-B2B6-49E2-B0C5-B12999C79E82}"/>
            </c:ext>
          </c:extLst>
        </c:ser>
        <c:ser>
          <c:idx val="10"/>
          <c:order val="10"/>
          <c:tx>
            <c:strRef>
              <c:f>ExampleSheet!$B$41</c:f>
              <c:strCache>
                <c:ptCount val="1"/>
                <c:pt idx="0">
                  <c:v>k</c:v>
                </c:pt>
              </c:strCache>
            </c:strRef>
          </c:tx>
          <c:spPr>
            <a:solidFill>
              <a:srgbClr val="EE3124"/>
            </a:solidFill>
            <a:ln w="12700">
              <a:noFill/>
              <a:prstDash val="solid"/>
            </a:ln>
            <a:effectLst/>
          </c:spPr>
          <c:cat>
            <c:numRef>
              <c:f>ExampleSheet!$C$30:$N$30</c:f>
              <c:numCache>
                <c:formatCode>0</c:formatCode>
                <c:ptCount val="12"/>
                <c:pt idx="0">
                  <c:v>2015</c:v>
                </c:pt>
                <c:pt idx="1">
                  <c:v>2016</c:v>
                </c:pt>
                <c:pt idx="2">
                  <c:v>2017</c:v>
                </c:pt>
                <c:pt idx="3">
                  <c:v>2018</c:v>
                </c:pt>
                <c:pt idx="4">
                  <c:v>2019</c:v>
                </c:pt>
                <c:pt idx="5">
                  <c:v>2020</c:v>
                </c:pt>
                <c:pt idx="6">
                  <c:v>2021</c:v>
                </c:pt>
                <c:pt idx="7">
                  <c:v>2022</c:v>
                </c:pt>
                <c:pt idx="8">
                  <c:v>2023</c:v>
                </c:pt>
                <c:pt idx="9">
                  <c:v>2024</c:v>
                </c:pt>
                <c:pt idx="10">
                  <c:v>2025</c:v>
                </c:pt>
                <c:pt idx="11">
                  <c:v>2026</c:v>
                </c:pt>
              </c:numCache>
            </c:numRef>
          </c:cat>
          <c:val>
            <c:numRef>
              <c:f>ExampleSheet!$C$41:$N$41</c:f>
              <c:numCache>
                <c:formatCode>0.0</c:formatCode>
                <c:ptCount val="12"/>
                <c:pt idx="0">
                  <c:v>165.5224971026189</c:v>
                </c:pt>
                <c:pt idx="1">
                  <c:v>586.41887517139094</c:v>
                </c:pt>
                <c:pt idx="2">
                  <c:v>135.74768087898582</c:v>
                </c:pt>
                <c:pt idx="3">
                  <c:v>708.20146359366629</c:v>
                </c:pt>
                <c:pt idx="4">
                  <c:v>996.52009454913878</c:v>
                </c:pt>
                <c:pt idx="5">
                  <c:v>852.89378910746802</c:v>
                </c:pt>
                <c:pt idx="6">
                  <c:v>270.31757181602489</c:v>
                </c:pt>
                <c:pt idx="7">
                  <c:v>771.88886063325947</c:v>
                </c:pt>
                <c:pt idx="8">
                  <c:v>49.716937752620204</c:v>
                </c:pt>
                <c:pt idx="9">
                  <c:v>24.113094775792266</c:v>
                </c:pt>
                <c:pt idx="10">
                  <c:v>132.21980528294463</c:v>
                </c:pt>
                <c:pt idx="11">
                  <c:v>529.61897599082488</c:v>
                </c:pt>
              </c:numCache>
            </c:numRef>
          </c:val>
          <c:extLst>
            <c:ext xmlns:c16="http://schemas.microsoft.com/office/drawing/2014/chart" uri="{C3380CC4-5D6E-409C-BE32-E72D297353CC}">
              <c16:uniqueId val="{0000000A-B2B6-49E2-B0C5-B12999C79E82}"/>
            </c:ext>
          </c:extLst>
        </c:ser>
        <c:ser>
          <c:idx val="11"/>
          <c:order val="11"/>
          <c:tx>
            <c:strRef>
              <c:f>ExampleSheet!$B$42</c:f>
              <c:strCache>
                <c:ptCount val="1"/>
                <c:pt idx="0">
                  <c:v>l</c:v>
                </c:pt>
              </c:strCache>
            </c:strRef>
          </c:tx>
          <c:spPr>
            <a:solidFill>
              <a:srgbClr val="8A5DB5"/>
            </a:solidFill>
            <a:ln w="12700">
              <a:noFill/>
              <a:prstDash val="solid"/>
            </a:ln>
            <a:effectLst/>
          </c:spPr>
          <c:cat>
            <c:numRef>
              <c:f>ExampleSheet!$C$30:$N$30</c:f>
              <c:numCache>
                <c:formatCode>0</c:formatCode>
                <c:ptCount val="12"/>
                <c:pt idx="0">
                  <c:v>2015</c:v>
                </c:pt>
                <c:pt idx="1">
                  <c:v>2016</c:v>
                </c:pt>
                <c:pt idx="2">
                  <c:v>2017</c:v>
                </c:pt>
                <c:pt idx="3">
                  <c:v>2018</c:v>
                </c:pt>
                <c:pt idx="4">
                  <c:v>2019</c:v>
                </c:pt>
                <c:pt idx="5">
                  <c:v>2020</c:v>
                </c:pt>
                <c:pt idx="6">
                  <c:v>2021</c:v>
                </c:pt>
                <c:pt idx="7">
                  <c:v>2022</c:v>
                </c:pt>
                <c:pt idx="8">
                  <c:v>2023</c:v>
                </c:pt>
                <c:pt idx="9">
                  <c:v>2024</c:v>
                </c:pt>
                <c:pt idx="10">
                  <c:v>2025</c:v>
                </c:pt>
                <c:pt idx="11">
                  <c:v>2026</c:v>
                </c:pt>
              </c:numCache>
            </c:numRef>
          </c:cat>
          <c:val>
            <c:numRef>
              <c:f>ExampleSheet!$C$42:$N$42</c:f>
              <c:numCache>
                <c:formatCode>0.0</c:formatCode>
                <c:ptCount val="12"/>
                <c:pt idx="0">
                  <c:v>498.49283231972464</c:v>
                </c:pt>
                <c:pt idx="1">
                  <c:v>408.17174004913346</c:v>
                </c:pt>
                <c:pt idx="2">
                  <c:v>981.78164253459124</c:v>
                </c:pt>
                <c:pt idx="3">
                  <c:v>661.49548587308277</c:v>
                </c:pt>
                <c:pt idx="4">
                  <c:v>846.93310402818338</c:v>
                </c:pt>
                <c:pt idx="5">
                  <c:v>779.02142981739973</c:v>
                </c:pt>
                <c:pt idx="6">
                  <c:v>658.55100894467046</c:v>
                </c:pt>
                <c:pt idx="7">
                  <c:v>916.13907815099799</c:v>
                </c:pt>
                <c:pt idx="8">
                  <c:v>767.63112667916039</c:v>
                </c:pt>
                <c:pt idx="9">
                  <c:v>859.98210426725802</c:v>
                </c:pt>
                <c:pt idx="10">
                  <c:v>170.4284541164549</c:v>
                </c:pt>
                <c:pt idx="11">
                  <c:v>233.5291430526083</c:v>
                </c:pt>
              </c:numCache>
            </c:numRef>
          </c:val>
          <c:extLst>
            <c:ext xmlns:c16="http://schemas.microsoft.com/office/drawing/2014/chart" uri="{C3380CC4-5D6E-409C-BE32-E72D297353CC}">
              <c16:uniqueId val="{0000000B-B2B6-49E2-B0C5-B12999C79E82}"/>
            </c:ext>
          </c:extLst>
        </c:ser>
        <c:ser>
          <c:idx val="12"/>
          <c:order val="12"/>
          <c:tx>
            <c:strRef>
              <c:f>ExampleSheet!$B$43</c:f>
              <c:strCache>
                <c:ptCount val="1"/>
                <c:pt idx="0">
                  <c:v>m</c:v>
                </c:pt>
              </c:strCache>
            </c:strRef>
          </c:tx>
          <c:spPr>
            <a:solidFill>
              <a:srgbClr val="19B24E"/>
            </a:solidFill>
            <a:ln w="12700">
              <a:noFill/>
              <a:prstDash val="solid"/>
            </a:ln>
            <a:effectLst/>
          </c:spPr>
          <c:cat>
            <c:numRef>
              <c:f>ExampleSheet!$C$30:$N$30</c:f>
              <c:numCache>
                <c:formatCode>0</c:formatCode>
                <c:ptCount val="12"/>
                <c:pt idx="0">
                  <c:v>2015</c:v>
                </c:pt>
                <c:pt idx="1">
                  <c:v>2016</c:v>
                </c:pt>
                <c:pt idx="2">
                  <c:v>2017</c:v>
                </c:pt>
                <c:pt idx="3">
                  <c:v>2018</c:v>
                </c:pt>
                <c:pt idx="4">
                  <c:v>2019</c:v>
                </c:pt>
                <c:pt idx="5">
                  <c:v>2020</c:v>
                </c:pt>
                <c:pt idx="6">
                  <c:v>2021</c:v>
                </c:pt>
                <c:pt idx="7">
                  <c:v>2022</c:v>
                </c:pt>
                <c:pt idx="8">
                  <c:v>2023</c:v>
                </c:pt>
                <c:pt idx="9">
                  <c:v>2024</c:v>
                </c:pt>
                <c:pt idx="10">
                  <c:v>2025</c:v>
                </c:pt>
                <c:pt idx="11">
                  <c:v>2026</c:v>
                </c:pt>
              </c:numCache>
            </c:numRef>
          </c:cat>
          <c:val>
            <c:numRef>
              <c:f>ExampleSheet!$C$43:$N$43</c:f>
              <c:numCache>
                <c:formatCode>0.0</c:formatCode>
                <c:ptCount val="12"/>
                <c:pt idx="0">
                  <c:v>89.825260239679736</c:v>
                </c:pt>
                <c:pt idx="1">
                  <c:v>730.11900609401425</c:v>
                </c:pt>
                <c:pt idx="2">
                  <c:v>663.32924627339401</c:v>
                </c:pt>
                <c:pt idx="3">
                  <c:v>398.4418998120891</c:v>
                </c:pt>
                <c:pt idx="4">
                  <c:v>955.11029989535859</c:v>
                </c:pt>
                <c:pt idx="5">
                  <c:v>957.98044397516776</c:v>
                </c:pt>
                <c:pt idx="6">
                  <c:v>403.2965502828211</c:v>
                </c:pt>
                <c:pt idx="7">
                  <c:v>964.98245183243716</c:v>
                </c:pt>
                <c:pt idx="8">
                  <c:v>918.35802630522176</c:v>
                </c:pt>
                <c:pt idx="9">
                  <c:v>377.65071025658938</c:v>
                </c:pt>
                <c:pt idx="10">
                  <c:v>285.83085320077117</c:v>
                </c:pt>
                <c:pt idx="11">
                  <c:v>343.0902993289393</c:v>
                </c:pt>
              </c:numCache>
            </c:numRef>
          </c:val>
          <c:extLst>
            <c:ext xmlns:c16="http://schemas.microsoft.com/office/drawing/2014/chart" uri="{C3380CC4-5D6E-409C-BE32-E72D297353CC}">
              <c16:uniqueId val="{0000000C-B2B6-49E2-B0C5-B12999C79E82}"/>
            </c:ext>
          </c:extLst>
        </c:ser>
        <c:dLbls>
          <c:showLegendKey val="0"/>
          <c:showVal val="0"/>
          <c:showCatName val="0"/>
          <c:showSerName val="0"/>
          <c:showPercent val="0"/>
          <c:showBubbleSize val="0"/>
        </c:dLbls>
        <c:axId val="271266944"/>
        <c:axId val="271268480"/>
      </c:areaChart>
      <c:catAx>
        <c:axId val="271266944"/>
        <c:scaling>
          <c:orientation val="minMax"/>
        </c:scaling>
        <c:delete val="0"/>
        <c:axPos val="b"/>
        <c:numFmt formatCode="0" sourceLinked="1"/>
        <c:majorTickMark val="out"/>
        <c:minorTickMark val="none"/>
        <c:tickLblPos val="nextTo"/>
        <c:spPr>
          <a:ln w="3175">
            <a:solidFill>
              <a:srgbClr val="808080"/>
            </a:solidFill>
          </a:ln>
        </c:spPr>
        <c:crossAx val="271268480"/>
        <c:crosses val="autoZero"/>
        <c:auto val="1"/>
        <c:lblAlgn val="ctr"/>
        <c:lblOffset val="100"/>
        <c:noMultiLvlLbl val="0"/>
      </c:catAx>
      <c:valAx>
        <c:axId val="271268480"/>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noFill/>
          </a:ln>
        </c:spPr>
        <c:crossAx val="271266944"/>
        <c:crosses val="autoZero"/>
        <c:crossBetween val="midCat"/>
      </c:valAx>
    </c:plotArea>
    <c:legend>
      <c:legendPos val="r"/>
      <c:layout>
        <c:manualLayout>
          <c:xMode val="edge"/>
          <c:yMode val="edge"/>
          <c:x val="0.88645301837270296"/>
          <c:y val="0"/>
          <c:w val="0.113546981627297"/>
          <c:h val="0.97902899578310998"/>
        </c:manualLayout>
      </c:layout>
      <c:overlay val="0"/>
    </c:legend>
    <c:plotVisOnly val="1"/>
    <c:dispBlanksAs val="zero"/>
    <c:showDLblsOverMax val="0"/>
  </c:chart>
  <c:spPr>
    <a:ln>
      <a:noFill/>
    </a:ln>
  </c:spPr>
  <c:txPr>
    <a:bodyPr/>
    <a:lstStyle/>
    <a:p>
      <a:pPr>
        <a:defRPr sz="1200">
          <a:solidFill>
            <a:sysClr val="windowText" lastClr="000000"/>
          </a:solidFill>
          <a:latin typeface="Arial" pitchFamily="34" charset="0"/>
          <a:cs typeface="Arial" pitchFamily="34" charset="0"/>
        </a:defRPr>
      </a:pPr>
      <a:endParaRPr lang="en-US"/>
    </a:p>
  </c:txPr>
  <c:printSettings>
    <c:headerFooter/>
    <c:pageMargins b="0.750000000000002" l="0.70000000000000095" r="0.70000000000000095" t="0.750000000000002"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l" rtl="0">
              <a:defRPr lang="en-US" sz="12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sz="1200" b="0" i="0" u="none" strike="noStrike" kern="1200" spc="0" baseline="0">
                <a:solidFill>
                  <a:sysClr val="windowText" lastClr="000000"/>
                </a:solidFill>
                <a:latin typeface="Arial" panose="020B0604020202020204" pitchFamily="34" charset="0"/>
                <a:ea typeface="+mn-ea"/>
                <a:cs typeface="Arial" panose="020B0604020202020204" pitchFamily="34" charset="0"/>
              </a:rPr>
              <a:t>Thousands of employees</a:t>
            </a:r>
          </a:p>
        </c:rich>
      </c:tx>
      <c:layout>
        <c:manualLayout>
          <c:xMode val="edge"/>
          <c:yMode val="edge"/>
          <c:x val="1.4374453193351003E-3"/>
          <c:y val="0"/>
        </c:manualLayout>
      </c:layout>
      <c:overlay val="0"/>
    </c:title>
    <c:autoTitleDeleted val="0"/>
    <c:plotArea>
      <c:layout>
        <c:manualLayout>
          <c:layoutTarget val="inner"/>
          <c:xMode val="edge"/>
          <c:yMode val="edge"/>
          <c:x val="8.8293963254593169E-2"/>
          <c:y val="9.683426443202979E-2"/>
          <c:w val="0.88115048118985129"/>
          <c:h val="0.81485388348802767"/>
        </c:manualLayout>
      </c:layout>
      <c:barChart>
        <c:barDir val="col"/>
        <c:grouping val="clustered"/>
        <c:varyColors val="0"/>
        <c:ser>
          <c:idx val="0"/>
          <c:order val="0"/>
          <c:spPr>
            <a:solidFill>
              <a:srgbClr val="00AEE5"/>
            </a:solidFill>
            <a:ln w="12700">
              <a:noFill/>
            </a:ln>
          </c:spPr>
          <c:invertIfNegative val="0"/>
          <c:cat>
            <c:numRef>
              <c:f>ChartExamples!$B$8:$B$14</c:f>
              <c:numCache>
                <c:formatCode>General</c:formatCode>
                <c:ptCount val="7"/>
                <c:pt idx="0">
                  <c:v>2010</c:v>
                </c:pt>
                <c:pt idx="1">
                  <c:v>2011</c:v>
                </c:pt>
                <c:pt idx="2" formatCode="0">
                  <c:v>2012</c:v>
                </c:pt>
                <c:pt idx="3" formatCode="0">
                  <c:v>2013</c:v>
                </c:pt>
                <c:pt idx="4" formatCode="0">
                  <c:v>2014</c:v>
                </c:pt>
                <c:pt idx="5">
                  <c:v>2015</c:v>
                </c:pt>
                <c:pt idx="6">
                  <c:v>2016</c:v>
                </c:pt>
              </c:numCache>
            </c:numRef>
          </c:cat>
          <c:val>
            <c:numRef>
              <c:f>ChartExamples!$C$8:$C$14</c:f>
              <c:numCache>
                <c:formatCode>General</c:formatCode>
                <c:ptCount val="7"/>
                <c:pt idx="0">
                  <c:v>84.3</c:v>
                </c:pt>
                <c:pt idx="1">
                  <c:v>89.5</c:v>
                </c:pt>
                <c:pt idx="2">
                  <c:v>78.8</c:v>
                </c:pt>
                <c:pt idx="3">
                  <c:v>76.900000000000006</c:v>
                </c:pt>
                <c:pt idx="4">
                  <c:v>70.099999999999994</c:v>
                </c:pt>
                <c:pt idx="5">
                  <c:v>57.6</c:v>
                </c:pt>
                <c:pt idx="6">
                  <c:v>50.2</c:v>
                </c:pt>
              </c:numCache>
            </c:numRef>
          </c:val>
          <c:extLst>
            <c:ext xmlns:c16="http://schemas.microsoft.com/office/drawing/2014/chart" uri="{C3380CC4-5D6E-409C-BE32-E72D297353CC}">
              <c16:uniqueId val="{00000000-7C34-4240-8C7E-2EB65C74D999}"/>
            </c:ext>
          </c:extLst>
        </c:ser>
        <c:dLbls>
          <c:showLegendKey val="0"/>
          <c:showVal val="0"/>
          <c:showCatName val="0"/>
          <c:showSerName val="0"/>
          <c:showPercent val="0"/>
          <c:showBubbleSize val="0"/>
        </c:dLbls>
        <c:gapWidth val="50"/>
        <c:axId val="271135104"/>
        <c:axId val="271136640"/>
      </c:barChart>
      <c:catAx>
        <c:axId val="271135104"/>
        <c:scaling>
          <c:orientation val="minMax"/>
        </c:scaling>
        <c:delete val="0"/>
        <c:axPos val="b"/>
        <c:numFmt formatCode="General" sourceLinked="1"/>
        <c:majorTickMark val="out"/>
        <c:minorTickMark val="none"/>
        <c:tickLblPos val="nextTo"/>
        <c:spPr>
          <a:ln w="3175">
            <a:solidFill>
              <a:srgbClr val="B3B3B3"/>
            </a:solidFill>
          </a:ln>
        </c:spPr>
        <c:txPr>
          <a:bodyPr/>
          <a:lstStyle/>
          <a:p>
            <a:pPr>
              <a:defRPr>
                <a:solidFill>
                  <a:sysClr val="windowText" lastClr="000000"/>
                </a:solidFill>
              </a:defRPr>
            </a:pPr>
            <a:endParaRPr lang="en-US"/>
          </a:p>
        </c:txPr>
        <c:crossAx val="271136640"/>
        <c:crosses val="autoZero"/>
        <c:auto val="1"/>
        <c:lblAlgn val="ctr"/>
        <c:lblOffset val="100"/>
        <c:noMultiLvlLbl val="0"/>
      </c:catAx>
      <c:valAx>
        <c:axId val="271136640"/>
        <c:scaling>
          <c:orientation val="minMax"/>
        </c:scaling>
        <c:delete val="0"/>
        <c:axPos val="l"/>
        <c:majorGridlines>
          <c:spPr>
            <a:ln w="3175">
              <a:solidFill>
                <a:srgbClr val="D2D2D2"/>
              </a:solidFill>
              <a:prstDash val="solid"/>
            </a:ln>
          </c:spPr>
        </c:majorGridlines>
        <c:numFmt formatCode="#,##0" sourceLinked="0"/>
        <c:majorTickMark val="out"/>
        <c:minorTickMark val="none"/>
        <c:tickLblPos val="nextTo"/>
        <c:spPr>
          <a:ln w="3175">
            <a:noFill/>
          </a:ln>
        </c:spPr>
        <c:txPr>
          <a:bodyPr/>
          <a:lstStyle/>
          <a:p>
            <a:pPr>
              <a:defRPr>
                <a:solidFill>
                  <a:sysClr val="windowText" lastClr="000000"/>
                </a:solidFill>
              </a:defRPr>
            </a:pPr>
            <a:endParaRPr lang="en-US"/>
          </a:p>
        </c:txPr>
        <c:crossAx val="271135104"/>
        <c:crosses val="autoZero"/>
        <c:crossBetween val="between"/>
        <c:majorUnit val="25"/>
      </c:valAx>
    </c:plotArea>
    <c:plotVisOnly val="1"/>
    <c:dispBlanksAs val="gap"/>
    <c:showDLblsOverMax val="0"/>
  </c:chart>
  <c:spPr>
    <a:solidFill>
      <a:srgbClr val="FFFFFF"/>
    </a:solidFill>
    <a:ln>
      <a:noFill/>
    </a:ln>
  </c:spPr>
  <c:txPr>
    <a:bodyPr/>
    <a:lstStyle/>
    <a:p>
      <a:pPr>
        <a:defRPr sz="1200">
          <a:solidFill>
            <a:sysClr val="windowText" lastClr="000000"/>
          </a:solidFill>
          <a:latin typeface="Arial" pitchFamily="34" charset="0"/>
          <a:cs typeface="Arial" pitchFamily="34"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200" b="0"/>
            </a:pPr>
            <a:r>
              <a:rPr lang="en-US" sz="1200" b="0"/>
              <a:t>GW</a:t>
            </a:r>
          </a:p>
        </c:rich>
      </c:tx>
      <c:layout>
        <c:manualLayout>
          <c:xMode val="edge"/>
          <c:yMode val="edge"/>
          <c:x val="0.24446106676000592"/>
          <c:y val="2.2366943981548502E-2"/>
        </c:manualLayout>
      </c:layout>
      <c:overlay val="0"/>
    </c:title>
    <c:autoTitleDeleted val="0"/>
    <c:plotArea>
      <c:layout>
        <c:manualLayout>
          <c:layoutTarget val="inner"/>
          <c:xMode val="edge"/>
          <c:yMode val="edge"/>
          <c:x val="0.29728003671462261"/>
          <c:y val="0.11292073832790445"/>
          <c:w val="0.67883288810811804"/>
          <c:h val="0.8393051031487514"/>
        </c:manualLayout>
      </c:layout>
      <c:barChart>
        <c:barDir val="bar"/>
        <c:grouping val="clustered"/>
        <c:varyColors val="0"/>
        <c:ser>
          <c:idx val="0"/>
          <c:order val="0"/>
          <c:spPr>
            <a:solidFill>
              <a:srgbClr val="00AEE5"/>
            </a:solidFill>
            <a:ln w="12700">
              <a:noFill/>
            </a:ln>
          </c:spPr>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ChartExamples!$B$51:$B$57</c:f>
              <c:strCache>
                <c:ptCount val="7"/>
                <c:pt idx="0">
                  <c:v>India</c:v>
                </c:pt>
                <c:pt idx="1">
                  <c:v>China</c:v>
                </c:pt>
                <c:pt idx="2">
                  <c:v>Southeast Asia</c:v>
                </c:pt>
                <c:pt idx="3">
                  <c:v>Middle East and Africa</c:v>
                </c:pt>
                <c:pt idx="4">
                  <c:v>Japan</c:v>
                </c:pt>
                <c:pt idx="6">
                  <c:v>Rest of world</c:v>
                </c:pt>
              </c:strCache>
            </c:strRef>
          </c:cat>
          <c:val>
            <c:numRef>
              <c:f>ChartExamples!$C$51:$C$57</c:f>
              <c:numCache>
                <c:formatCode>General</c:formatCode>
                <c:ptCount val="7"/>
                <c:pt idx="0">
                  <c:v>258</c:v>
                </c:pt>
                <c:pt idx="1">
                  <c:v>188</c:v>
                </c:pt>
                <c:pt idx="2">
                  <c:v>73</c:v>
                </c:pt>
                <c:pt idx="3">
                  <c:v>67</c:v>
                </c:pt>
                <c:pt idx="4">
                  <c:v>17</c:v>
                </c:pt>
                <c:pt idx="6">
                  <c:v>354</c:v>
                </c:pt>
              </c:numCache>
            </c:numRef>
          </c:val>
          <c:extLst>
            <c:ext xmlns:c16="http://schemas.microsoft.com/office/drawing/2014/chart" uri="{C3380CC4-5D6E-409C-BE32-E72D297353CC}">
              <c16:uniqueId val="{00000000-7D3E-451D-86E7-F6E493CD6D40}"/>
            </c:ext>
          </c:extLst>
        </c:ser>
        <c:dLbls>
          <c:showLegendKey val="0"/>
          <c:showVal val="0"/>
          <c:showCatName val="0"/>
          <c:showSerName val="0"/>
          <c:showPercent val="0"/>
          <c:showBubbleSize val="0"/>
        </c:dLbls>
        <c:gapWidth val="50"/>
        <c:axId val="271182080"/>
        <c:axId val="271183872"/>
      </c:barChart>
      <c:catAx>
        <c:axId val="271182080"/>
        <c:scaling>
          <c:orientation val="maxMin"/>
        </c:scaling>
        <c:delete val="0"/>
        <c:axPos val="l"/>
        <c:numFmt formatCode="General" sourceLinked="1"/>
        <c:majorTickMark val="none"/>
        <c:minorTickMark val="none"/>
        <c:tickLblPos val="nextTo"/>
        <c:spPr>
          <a:ln w="3175">
            <a:solidFill>
              <a:srgbClr val="B3B3B3"/>
            </a:solidFill>
          </a:ln>
        </c:spPr>
        <c:crossAx val="271183872"/>
        <c:crosses val="autoZero"/>
        <c:auto val="1"/>
        <c:lblAlgn val="ctr"/>
        <c:lblOffset val="100"/>
        <c:noMultiLvlLbl val="0"/>
      </c:catAx>
      <c:valAx>
        <c:axId val="271183872"/>
        <c:scaling>
          <c:orientation val="minMax"/>
        </c:scaling>
        <c:delete val="1"/>
        <c:axPos val="t"/>
        <c:numFmt formatCode="#,##0" sourceLinked="0"/>
        <c:majorTickMark val="out"/>
        <c:minorTickMark val="none"/>
        <c:tickLblPos val="nextTo"/>
        <c:crossAx val="271182080"/>
        <c:crosses val="autoZero"/>
        <c:crossBetween val="between"/>
      </c:valAx>
    </c:plotArea>
    <c:plotVisOnly val="1"/>
    <c:dispBlanksAs val="gap"/>
    <c:showDLblsOverMax val="0"/>
  </c:chart>
  <c:spPr>
    <a:solidFill>
      <a:srgbClr val="FFFFFF"/>
    </a:solidFill>
    <a:ln>
      <a:noFill/>
    </a:ln>
  </c:spPr>
  <c:txPr>
    <a:bodyPr/>
    <a:lstStyle/>
    <a:p>
      <a:pPr>
        <a:defRPr sz="1200">
          <a:solidFill>
            <a:sysClr val="windowText" lastClr="000000"/>
          </a:solidFill>
          <a:latin typeface="Arial" pitchFamily="34" charset="0"/>
          <a:cs typeface="Arial" pitchFamily="34" charset="0"/>
        </a:defRPr>
      </a:pPr>
      <a:endParaRPr lang="en-US"/>
    </a:p>
  </c:txPr>
  <c:printSettings>
    <c:headerFooter/>
    <c:pageMargins b="0.75000000000000044" l="0.7000000000000004" r="0.7000000000000004" t="0.75000000000000044" header="0.30000000000000021" footer="0.30000000000000021"/>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200" b="0"/>
            </a:pPr>
            <a:r>
              <a:rPr lang="en-GB" sz="1200" b="0"/>
              <a:t>Thousands</a:t>
            </a:r>
          </a:p>
        </c:rich>
      </c:tx>
      <c:layout>
        <c:manualLayout>
          <c:xMode val="edge"/>
          <c:yMode val="edge"/>
          <c:x val="1.9409530330447694E-3"/>
          <c:y val="0"/>
        </c:manualLayout>
      </c:layout>
      <c:overlay val="0"/>
    </c:title>
    <c:autoTitleDeleted val="0"/>
    <c:plotArea>
      <c:layout>
        <c:manualLayout>
          <c:layoutTarget val="inner"/>
          <c:xMode val="edge"/>
          <c:yMode val="edge"/>
          <c:x val="7.2926798976626767E-2"/>
          <c:y val="7.9773200586968504E-2"/>
          <c:w val="0.87461265550671152"/>
          <c:h val="0.79745678946640386"/>
        </c:manualLayout>
      </c:layout>
      <c:lineChart>
        <c:grouping val="standard"/>
        <c:varyColors val="0"/>
        <c:ser>
          <c:idx val="0"/>
          <c:order val="0"/>
          <c:spPr>
            <a:ln w="38100">
              <a:solidFill>
                <a:srgbClr val="00AEE5"/>
              </a:solidFill>
            </a:ln>
          </c:spPr>
          <c:marker>
            <c:symbol val="none"/>
          </c:marker>
          <c:cat>
            <c:numRef>
              <c:f>ChartExamples!$B$69:$B$273</c:f>
              <c:numCache>
                <c:formatCode>m/d/yyyy</c:formatCode>
                <c:ptCount val="205"/>
                <c:pt idx="0">
                  <c:v>36556</c:v>
                </c:pt>
                <c:pt idx="1">
                  <c:v>36585</c:v>
                </c:pt>
                <c:pt idx="2">
                  <c:v>36616</c:v>
                </c:pt>
                <c:pt idx="3">
                  <c:v>36646</c:v>
                </c:pt>
                <c:pt idx="4">
                  <c:v>36677</c:v>
                </c:pt>
                <c:pt idx="5">
                  <c:v>36707</c:v>
                </c:pt>
                <c:pt idx="6">
                  <c:v>36738</c:v>
                </c:pt>
                <c:pt idx="7">
                  <c:v>36769</c:v>
                </c:pt>
                <c:pt idx="8">
                  <c:v>36799</c:v>
                </c:pt>
                <c:pt idx="9">
                  <c:v>36830</c:v>
                </c:pt>
                <c:pt idx="10">
                  <c:v>36860</c:v>
                </c:pt>
                <c:pt idx="11">
                  <c:v>36891</c:v>
                </c:pt>
                <c:pt idx="12">
                  <c:v>36922</c:v>
                </c:pt>
                <c:pt idx="13">
                  <c:v>36950</c:v>
                </c:pt>
                <c:pt idx="14">
                  <c:v>36981</c:v>
                </c:pt>
                <c:pt idx="15">
                  <c:v>37011</c:v>
                </c:pt>
                <c:pt idx="16">
                  <c:v>37042</c:v>
                </c:pt>
                <c:pt idx="17">
                  <c:v>37072</c:v>
                </c:pt>
                <c:pt idx="18">
                  <c:v>37103</c:v>
                </c:pt>
                <c:pt idx="19">
                  <c:v>37134</c:v>
                </c:pt>
                <c:pt idx="20">
                  <c:v>37164</c:v>
                </c:pt>
                <c:pt idx="21">
                  <c:v>37195</c:v>
                </c:pt>
                <c:pt idx="22">
                  <c:v>37225</c:v>
                </c:pt>
                <c:pt idx="23">
                  <c:v>37256</c:v>
                </c:pt>
                <c:pt idx="24">
                  <c:v>37287</c:v>
                </c:pt>
                <c:pt idx="25">
                  <c:v>37315</c:v>
                </c:pt>
                <c:pt idx="26">
                  <c:v>37346</c:v>
                </c:pt>
                <c:pt idx="27">
                  <c:v>37376</c:v>
                </c:pt>
                <c:pt idx="28">
                  <c:v>37407</c:v>
                </c:pt>
                <c:pt idx="29">
                  <c:v>37437</c:v>
                </c:pt>
                <c:pt idx="30">
                  <c:v>37468</c:v>
                </c:pt>
                <c:pt idx="31">
                  <c:v>37499</c:v>
                </c:pt>
                <c:pt idx="32">
                  <c:v>37529</c:v>
                </c:pt>
                <c:pt idx="33">
                  <c:v>37560</c:v>
                </c:pt>
                <c:pt idx="34">
                  <c:v>37590</c:v>
                </c:pt>
                <c:pt idx="35">
                  <c:v>37621</c:v>
                </c:pt>
                <c:pt idx="36">
                  <c:v>37652</c:v>
                </c:pt>
                <c:pt idx="37">
                  <c:v>37680</c:v>
                </c:pt>
                <c:pt idx="38">
                  <c:v>37711</c:v>
                </c:pt>
                <c:pt idx="39">
                  <c:v>37741</c:v>
                </c:pt>
                <c:pt idx="40">
                  <c:v>37772</c:v>
                </c:pt>
                <c:pt idx="41">
                  <c:v>37802</c:v>
                </c:pt>
                <c:pt idx="42">
                  <c:v>37833</c:v>
                </c:pt>
                <c:pt idx="43">
                  <c:v>37864</c:v>
                </c:pt>
                <c:pt idx="44">
                  <c:v>37894</c:v>
                </c:pt>
                <c:pt idx="45">
                  <c:v>37925</c:v>
                </c:pt>
                <c:pt idx="46">
                  <c:v>37955</c:v>
                </c:pt>
                <c:pt idx="47">
                  <c:v>37986</c:v>
                </c:pt>
                <c:pt idx="48">
                  <c:v>38017</c:v>
                </c:pt>
                <c:pt idx="49">
                  <c:v>38046</c:v>
                </c:pt>
                <c:pt idx="50">
                  <c:v>38077</c:v>
                </c:pt>
                <c:pt idx="51">
                  <c:v>38107</c:v>
                </c:pt>
                <c:pt idx="52">
                  <c:v>38138</c:v>
                </c:pt>
                <c:pt idx="53">
                  <c:v>38168</c:v>
                </c:pt>
                <c:pt idx="54">
                  <c:v>38199</c:v>
                </c:pt>
                <c:pt idx="55">
                  <c:v>38230</c:v>
                </c:pt>
                <c:pt idx="56">
                  <c:v>38260</c:v>
                </c:pt>
                <c:pt idx="57">
                  <c:v>38291</c:v>
                </c:pt>
                <c:pt idx="58">
                  <c:v>38321</c:v>
                </c:pt>
                <c:pt idx="59">
                  <c:v>38352</c:v>
                </c:pt>
                <c:pt idx="60">
                  <c:v>38383</c:v>
                </c:pt>
                <c:pt idx="61">
                  <c:v>38411</c:v>
                </c:pt>
                <c:pt idx="62">
                  <c:v>38442</c:v>
                </c:pt>
                <c:pt idx="63">
                  <c:v>38472</c:v>
                </c:pt>
                <c:pt idx="64">
                  <c:v>38503</c:v>
                </c:pt>
                <c:pt idx="65">
                  <c:v>38533</c:v>
                </c:pt>
                <c:pt idx="66">
                  <c:v>38564</c:v>
                </c:pt>
                <c:pt idx="67">
                  <c:v>38595</c:v>
                </c:pt>
                <c:pt idx="68">
                  <c:v>38625</c:v>
                </c:pt>
                <c:pt idx="69">
                  <c:v>38656</c:v>
                </c:pt>
                <c:pt idx="70">
                  <c:v>38686</c:v>
                </c:pt>
                <c:pt idx="71">
                  <c:v>38717</c:v>
                </c:pt>
                <c:pt idx="72">
                  <c:v>38748</c:v>
                </c:pt>
                <c:pt idx="73">
                  <c:v>38776</c:v>
                </c:pt>
                <c:pt idx="74">
                  <c:v>38807</c:v>
                </c:pt>
                <c:pt idx="75">
                  <c:v>38837</c:v>
                </c:pt>
                <c:pt idx="76">
                  <c:v>38868</c:v>
                </c:pt>
                <c:pt idx="77">
                  <c:v>38898</c:v>
                </c:pt>
                <c:pt idx="78">
                  <c:v>38929</c:v>
                </c:pt>
                <c:pt idx="79">
                  <c:v>38960</c:v>
                </c:pt>
                <c:pt idx="80">
                  <c:v>38990</c:v>
                </c:pt>
                <c:pt idx="81">
                  <c:v>39021</c:v>
                </c:pt>
                <c:pt idx="82">
                  <c:v>39051</c:v>
                </c:pt>
                <c:pt idx="83">
                  <c:v>39082</c:v>
                </c:pt>
                <c:pt idx="84">
                  <c:v>39113</c:v>
                </c:pt>
                <c:pt idx="85">
                  <c:v>39141</c:v>
                </c:pt>
                <c:pt idx="86">
                  <c:v>39172</c:v>
                </c:pt>
                <c:pt idx="87">
                  <c:v>39202</c:v>
                </c:pt>
                <c:pt idx="88">
                  <c:v>39233</c:v>
                </c:pt>
                <c:pt idx="89">
                  <c:v>39263</c:v>
                </c:pt>
                <c:pt idx="90">
                  <c:v>39294</c:v>
                </c:pt>
                <c:pt idx="91">
                  <c:v>39325</c:v>
                </c:pt>
                <c:pt idx="92">
                  <c:v>39355</c:v>
                </c:pt>
                <c:pt idx="93">
                  <c:v>39386</c:v>
                </c:pt>
                <c:pt idx="94">
                  <c:v>39416</c:v>
                </c:pt>
                <c:pt idx="95">
                  <c:v>39447</c:v>
                </c:pt>
                <c:pt idx="96">
                  <c:v>39478</c:v>
                </c:pt>
                <c:pt idx="97">
                  <c:v>39507</c:v>
                </c:pt>
                <c:pt idx="98">
                  <c:v>39538</c:v>
                </c:pt>
                <c:pt idx="99">
                  <c:v>39568</c:v>
                </c:pt>
                <c:pt idx="100">
                  <c:v>39599</c:v>
                </c:pt>
                <c:pt idx="101">
                  <c:v>39629</c:v>
                </c:pt>
                <c:pt idx="102">
                  <c:v>39660</c:v>
                </c:pt>
                <c:pt idx="103">
                  <c:v>39691</c:v>
                </c:pt>
                <c:pt idx="104">
                  <c:v>39721</c:v>
                </c:pt>
                <c:pt idx="105">
                  <c:v>39752</c:v>
                </c:pt>
                <c:pt idx="106">
                  <c:v>39782</c:v>
                </c:pt>
                <c:pt idx="107">
                  <c:v>39813</c:v>
                </c:pt>
                <c:pt idx="108">
                  <c:v>39844</c:v>
                </c:pt>
                <c:pt idx="109">
                  <c:v>39872</c:v>
                </c:pt>
                <c:pt idx="110">
                  <c:v>39903</c:v>
                </c:pt>
                <c:pt idx="111">
                  <c:v>39933</c:v>
                </c:pt>
                <c:pt idx="112">
                  <c:v>39964</c:v>
                </c:pt>
                <c:pt idx="113">
                  <c:v>39994</c:v>
                </c:pt>
                <c:pt idx="114">
                  <c:v>40025</c:v>
                </c:pt>
                <c:pt idx="115">
                  <c:v>40056</c:v>
                </c:pt>
                <c:pt idx="116">
                  <c:v>40086</c:v>
                </c:pt>
                <c:pt idx="117">
                  <c:v>40117</c:v>
                </c:pt>
                <c:pt idx="118">
                  <c:v>40147</c:v>
                </c:pt>
                <c:pt idx="119">
                  <c:v>40178</c:v>
                </c:pt>
                <c:pt idx="120">
                  <c:v>40209</c:v>
                </c:pt>
                <c:pt idx="121">
                  <c:v>40237</c:v>
                </c:pt>
                <c:pt idx="122">
                  <c:v>40268</c:v>
                </c:pt>
                <c:pt idx="123">
                  <c:v>40298</c:v>
                </c:pt>
                <c:pt idx="124">
                  <c:v>40329</c:v>
                </c:pt>
                <c:pt idx="125">
                  <c:v>40359</c:v>
                </c:pt>
                <c:pt idx="126">
                  <c:v>40390</c:v>
                </c:pt>
                <c:pt idx="127">
                  <c:v>40421</c:v>
                </c:pt>
                <c:pt idx="128">
                  <c:v>40451</c:v>
                </c:pt>
                <c:pt idx="129">
                  <c:v>40482</c:v>
                </c:pt>
                <c:pt idx="130">
                  <c:v>40512</c:v>
                </c:pt>
                <c:pt idx="131">
                  <c:v>40543</c:v>
                </c:pt>
                <c:pt idx="132">
                  <c:v>40574</c:v>
                </c:pt>
                <c:pt idx="133">
                  <c:v>40602</c:v>
                </c:pt>
                <c:pt idx="134">
                  <c:v>40633</c:v>
                </c:pt>
                <c:pt idx="135">
                  <c:v>40663</c:v>
                </c:pt>
                <c:pt idx="136">
                  <c:v>40694</c:v>
                </c:pt>
                <c:pt idx="137">
                  <c:v>40724</c:v>
                </c:pt>
                <c:pt idx="138">
                  <c:v>40755</c:v>
                </c:pt>
                <c:pt idx="139">
                  <c:v>40786</c:v>
                </c:pt>
                <c:pt idx="140">
                  <c:v>40816</c:v>
                </c:pt>
                <c:pt idx="141">
                  <c:v>40847</c:v>
                </c:pt>
                <c:pt idx="142">
                  <c:v>40877</c:v>
                </c:pt>
                <c:pt idx="143">
                  <c:v>40908</c:v>
                </c:pt>
                <c:pt idx="144">
                  <c:v>40939</c:v>
                </c:pt>
                <c:pt idx="145">
                  <c:v>40968</c:v>
                </c:pt>
                <c:pt idx="146">
                  <c:v>40999</c:v>
                </c:pt>
                <c:pt idx="147">
                  <c:v>41029</c:v>
                </c:pt>
                <c:pt idx="148">
                  <c:v>41060</c:v>
                </c:pt>
                <c:pt idx="149">
                  <c:v>41090</c:v>
                </c:pt>
                <c:pt idx="150">
                  <c:v>41121</c:v>
                </c:pt>
                <c:pt idx="151">
                  <c:v>41152</c:v>
                </c:pt>
                <c:pt idx="152">
                  <c:v>41182</c:v>
                </c:pt>
                <c:pt idx="153">
                  <c:v>41213</c:v>
                </c:pt>
                <c:pt idx="154">
                  <c:v>41243</c:v>
                </c:pt>
                <c:pt idx="155">
                  <c:v>41274</c:v>
                </c:pt>
                <c:pt idx="156">
                  <c:v>41305</c:v>
                </c:pt>
                <c:pt idx="157">
                  <c:v>41333</c:v>
                </c:pt>
                <c:pt idx="158">
                  <c:v>41364</c:v>
                </c:pt>
                <c:pt idx="159">
                  <c:v>41394</c:v>
                </c:pt>
                <c:pt idx="160">
                  <c:v>41425</c:v>
                </c:pt>
                <c:pt idx="161">
                  <c:v>41455</c:v>
                </c:pt>
                <c:pt idx="162">
                  <c:v>41486</c:v>
                </c:pt>
                <c:pt idx="163">
                  <c:v>41517</c:v>
                </c:pt>
                <c:pt idx="164">
                  <c:v>41547</c:v>
                </c:pt>
                <c:pt idx="165">
                  <c:v>41578</c:v>
                </c:pt>
                <c:pt idx="166">
                  <c:v>41608</c:v>
                </c:pt>
                <c:pt idx="167">
                  <c:v>41639</c:v>
                </c:pt>
                <c:pt idx="168">
                  <c:v>41670</c:v>
                </c:pt>
                <c:pt idx="169">
                  <c:v>41698</c:v>
                </c:pt>
                <c:pt idx="170">
                  <c:v>41729</c:v>
                </c:pt>
                <c:pt idx="171">
                  <c:v>41759</c:v>
                </c:pt>
                <c:pt idx="172">
                  <c:v>41790</c:v>
                </c:pt>
                <c:pt idx="173">
                  <c:v>41820</c:v>
                </c:pt>
                <c:pt idx="174">
                  <c:v>41851</c:v>
                </c:pt>
                <c:pt idx="175">
                  <c:v>41882</c:v>
                </c:pt>
                <c:pt idx="176">
                  <c:v>41912</c:v>
                </c:pt>
                <c:pt idx="177">
                  <c:v>41943</c:v>
                </c:pt>
                <c:pt idx="178">
                  <c:v>41973</c:v>
                </c:pt>
                <c:pt idx="179">
                  <c:v>42004</c:v>
                </c:pt>
                <c:pt idx="180">
                  <c:v>42035</c:v>
                </c:pt>
                <c:pt idx="181">
                  <c:v>42063</c:v>
                </c:pt>
                <c:pt idx="182">
                  <c:v>42094</c:v>
                </c:pt>
                <c:pt idx="183">
                  <c:v>42124</c:v>
                </c:pt>
                <c:pt idx="184">
                  <c:v>42155</c:v>
                </c:pt>
                <c:pt idx="185">
                  <c:v>42185</c:v>
                </c:pt>
                <c:pt idx="186">
                  <c:v>42216</c:v>
                </c:pt>
                <c:pt idx="187">
                  <c:v>42247</c:v>
                </c:pt>
                <c:pt idx="188">
                  <c:v>42277</c:v>
                </c:pt>
                <c:pt idx="189">
                  <c:v>42308</c:v>
                </c:pt>
                <c:pt idx="190">
                  <c:v>42338</c:v>
                </c:pt>
                <c:pt idx="191">
                  <c:v>42369</c:v>
                </c:pt>
                <c:pt idx="192">
                  <c:v>42400</c:v>
                </c:pt>
                <c:pt idx="193">
                  <c:v>42429</c:v>
                </c:pt>
                <c:pt idx="194">
                  <c:v>42460</c:v>
                </c:pt>
                <c:pt idx="195">
                  <c:v>42490</c:v>
                </c:pt>
                <c:pt idx="196">
                  <c:v>42521</c:v>
                </c:pt>
                <c:pt idx="197">
                  <c:v>42551</c:v>
                </c:pt>
                <c:pt idx="198">
                  <c:v>42582</c:v>
                </c:pt>
                <c:pt idx="199">
                  <c:v>42613</c:v>
                </c:pt>
                <c:pt idx="200">
                  <c:v>42643</c:v>
                </c:pt>
                <c:pt idx="201">
                  <c:v>42674</c:v>
                </c:pt>
                <c:pt idx="202">
                  <c:v>42704</c:v>
                </c:pt>
                <c:pt idx="203">
                  <c:v>42735</c:v>
                </c:pt>
                <c:pt idx="204">
                  <c:v>42766</c:v>
                </c:pt>
              </c:numCache>
            </c:numRef>
          </c:cat>
          <c:val>
            <c:numRef>
              <c:f>ChartExamples!$D$69:$D$273</c:f>
              <c:numCache>
                <c:formatCode>_(* #,##0_);_(* \(#,##0\);_(* "-"??_);_(@_)</c:formatCode>
                <c:ptCount val="205"/>
                <c:pt idx="0">
                  <c:v>583.08199999999999</c:v>
                </c:pt>
                <c:pt idx="1">
                  <c:v>731.34900000000005</c:v>
                </c:pt>
                <c:pt idx="2">
                  <c:v>834.06</c:v>
                </c:pt>
                <c:pt idx="3">
                  <c:v>727.07899999999995</c:v>
                </c:pt>
                <c:pt idx="4">
                  <c:v>791.61900000000003</c:v>
                </c:pt>
                <c:pt idx="5">
                  <c:v>780.13300000000004</c:v>
                </c:pt>
                <c:pt idx="6">
                  <c:v>692.48599999999999</c:v>
                </c:pt>
                <c:pt idx="7">
                  <c:v>740.25300000000004</c:v>
                </c:pt>
                <c:pt idx="8">
                  <c:v>728.54600000000005</c:v>
                </c:pt>
                <c:pt idx="9">
                  <c:v>658.81500000000005</c:v>
                </c:pt>
                <c:pt idx="10">
                  <c:v>630.48800000000006</c:v>
                </c:pt>
                <c:pt idx="11">
                  <c:v>627.21500000000003</c:v>
                </c:pt>
                <c:pt idx="12">
                  <c:v>573.87800000000004</c:v>
                </c:pt>
                <c:pt idx="13">
                  <c:v>655.10400000000004</c:v>
                </c:pt>
                <c:pt idx="14">
                  <c:v>808.024</c:v>
                </c:pt>
                <c:pt idx="15">
                  <c:v>659.60400000000004</c:v>
                </c:pt>
                <c:pt idx="16">
                  <c:v>788.154</c:v>
                </c:pt>
                <c:pt idx="17">
                  <c:v>809.22500000000002</c:v>
                </c:pt>
                <c:pt idx="18">
                  <c:v>681.03300000000002</c:v>
                </c:pt>
                <c:pt idx="19">
                  <c:v>708.68799999999999</c:v>
                </c:pt>
                <c:pt idx="20">
                  <c:v>649.22900000000004</c:v>
                </c:pt>
                <c:pt idx="21">
                  <c:v>909.75599999999997</c:v>
                </c:pt>
                <c:pt idx="22">
                  <c:v>722.76900000000001</c:v>
                </c:pt>
                <c:pt idx="23">
                  <c:v>736.423</c:v>
                </c:pt>
                <c:pt idx="24">
                  <c:v>582.91600000000005</c:v>
                </c:pt>
                <c:pt idx="25">
                  <c:v>683.57600000000002</c:v>
                </c:pt>
                <c:pt idx="26">
                  <c:v>773.50900000000001</c:v>
                </c:pt>
                <c:pt idx="27">
                  <c:v>726.23599999999999</c:v>
                </c:pt>
                <c:pt idx="28">
                  <c:v>746.43799999999999</c:v>
                </c:pt>
                <c:pt idx="29">
                  <c:v>775.20500000000004</c:v>
                </c:pt>
                <c:pt idx="30">
                  <c:v>783.62400000000002</c:v>
                </c:pt>
                <c:pt idx="31">
                  <c:v>875.79</c:v>
                </c:pt>
                <c:pt idx="32">
                  <c:v>622.18700000000001</c:v>
                </c:pt>
                <c:pt idx="33">
                  <c:v>695.16700000000003</c:v>
                </c:pt>
                <c:pt idx="34">
                  <c:v>629.60699999999997</c:v>
                </c:pt>
                <c:pt idx="35">
                  <c:v>815.15800000000002</c:v>
                </c:pt>
                <c:pt idx="36">
                  <c:v>544.61800000000005</c:v>
                </c:pt>
                <c:pt idx="37">
                  <c:v>637.58399999999995</c:v>
                </c:pt>
                <c:pt idx="38">
                  <c:v>757.51599999999996</c:v>
                </c:pt>
                <c:pt idx="39">
                  <c:v>754.86099999999999</c:v>
                </c:pt>
                <c:pt idx="40">
                  <c:v>845.96600000000001</c:v>
                </c:pt>
                <c:pt idx="41">
                  <c:v>785.91</c:v>
                </c:pt>
                <c:pt idx="42">
                  <c:v>830.23099999999999</c:v>
                </c:pt>
                <c:pt idx="43">
                  <c:v>890.39599999999996</c:v>
                </c:pt>
                <c:pt idx="44">
                  <c:v>705.19600000000003</c:v>
                </c:pt>
                <c:pt idx="45">
                  <c:v>729.46400000000006</c:v>
                </c:pt>
                <c:pt idx="46">
                  <c:v>700.49099999999999</c:v>
                </c:pt>
                <c:pt idx="47">
                  <c:v>847.75699999999995</c:v>
                </c:pt>
                <c:pt idx="48">
                  <c:v>627.41800000000001</c:v>
                </c:pt>
                <c:pt idx="49">
                  <c:v>692.74300000000005</c:v>
                </c:pt>
                <c:pt idx="50">
                  <c:v>811.52499999999998</c:v>
                </c:pt>
                <c:pt idx="51">
                  <c:v>776.47900000000004</c:v>
                </c:pt>
                <c:pt idx="52">
                  <c:v>884.30499999999995</c:v>
                </c:pt>
                <c:pt idx="53">
                  <c:v>774.82399999999996</c:v>
                </c:pt>
                <c:pt idx="54">
                  <c:v>870.74400000000003</c:v>
                </c:pt>
                <c:pt idx="55">
                  <c:v>789.90200000000004</c:v>
                </c:pt>
                <c:pt idx="56">
                  <c:v>829.44600000000003</c:v>
                </c:pt>
                <c:pt idx="57">
                  <c:v>748.49099999999999</c:v>
                </c:pt>
                <c:pt idx="58">
                  <c:v>680.01599999999996</c:v>
                </c:pt>
                <c:pt idx="59">
                  <c:v>888.07600000000002</c:v>
                </c:pt>
                <c:pt idx="60">
                  <c:v>575.21500000000003</c:v>
                </c:pt>
                <c:pt idx="61">
                  <c:v>681.24300000000005</c:v>
                </c:pt>
                <c:pt idx="62">
                  <c:v>856.30600000000004</c:v>
                </c:pt>
                <c:pt idx="63">
                  <c:v>787.74599999999998</c:v>
                </c:pt>
                <c:pt idx="64">
                  <c:v>808.08799999999997</c:v>
                </c:pt>
                <c:pt idx="65">
                  <c:v>969.62800000000004</c:v>
                </c:pt>
                <c:pt idx="66">
                  <c:v>1094.126</c:v>
                </c:pt>
                <c:pt idx="67">
                  <c:v>783.40700000000004</c:v>
                </c:pt>
                <c:pt idx="68">
                  <c:v>681.34400000000005</c:v>
                </c:pt>
                <c:pt idx="69">
                  <c:v>583.46799999999996</c:v>
                </c:pt>
                <c:pt idx="70">
                  <c:v>622.09299999999996</c:v>
                </c:pt>
                <c:pt idx="71">
                  <c:v>859.94</c:v>
                </c:pt>
                <c:pt idx="72">
                  <c:v>582.61300000000006</c:v>
                </c:pt>
                <c:pt idx="73">
                  <c:v>687.57100000000003</c:v>
                </c:pt>
                <c:pt idx="74">
                  <c:v>835.21600000000001</c:v>
                </c:pt>
                <c:pt idx="75">
                  <c:v>734.75800000000004</c:v>
                </c:pt>
                <c:pt idx="76">
                  <c:v>755.59699999999998</c:v>
                </c:pt>
                <c:pt idx="77">
                  <c:v>781.9</c:v>
                </c:pt>
                <c:pt idx="78">
                  <c:v>775.37300000000005</c:v>
                </c:pt>
                <c:pt idx="79">
                  <c:v>766.61099999999999</c:v>
                </c:pt>
                <c:pt idx="80">
                  <c:v>717.92200000000003</c:v>
                </c:pt>
                <c:pt idx="81">
                  <c:v>669.74800000000005</c:v>
                </c:pt>
                <c:pt idx="82">
                  <c:v>660.82299999999998</c:v>
                </c:pt>
                <c:pt idx="83">
                  <c:v>781.74199999999996</c:v>
                </c:pt>
                <c:pt idx="84">
                  <c:v>581.00199999999995</c:v>
                </c:pt>
                <c:pt idx="85">
                  <c:v>690.50199999999995</c:v>
                </c:pt>
                <c:pt idx="86">
                  <c:v>817.83299999999997</c:v>
                </c:pt>
                <c:pt idx="87">
                  <c:v>710.68200000000002</c:v>
                </c:pt>
                <c:pt idx="88">
                  <c:v>780.81100000000004</c:v>
                </c:pt>
                <c:pt idx="89">
                  <c:v>729.46699999999998</c:v>
                </c:pt>
                <c:pt idx="90">
                  <c:v>683.69899999999996</c:v>
                </c:pt>
                <c:pt idx="91">
                  <c:v>790.08299999999997</c:v>
                </c:pt>
                <c:pt idx="92">
                  <c:v>697.1</c:v>
                </c:pt>
                <c:pt idx="93">
                  <c:v>665.34</c:v>
                </c:pt>
                <c:pt idx="94">
                  <c:v>607.81799999999998</c:v>
                </c:pt>
                <c:pt idx="95">
                  <c:v>752.07399999999996</c:v>
                </c:pt>
                <c:pt idx="96">
                  <c:v>539.19200000000001</c:v>
                </c:pt>
                <c:pt idx="97">
                  <c:v>610.97500000000002</c:v>
                </c:pt>
                <c:pt idx="98">
                  <c:v>666.86699999999996</c:v>
                </c:pt>
                <c:pt idx="99">
                  <c:v>582.05499999999995</c:v>
                </c:pt>
                <c:pt idx="100">
                  <c:v>593.75800000000004</c:v>
                </c:pt>
                <c:pt idx="101">
                  <c:v>520.63499999999999</c:v>
                </c:pt>
                <c:pt idx="102">
                  <c:v>512.84100000000001</c:v>
                </c:pt>
                <c:pt idx="103">
                  <c:v>616.08900000000006</c:v>
                </c:pt>
                <c:pt idx="104">
                  <c:v>486.89699999999999</c:v>
                </c:pt>
                <c:pt idx="105">
                  <c:v>408.62700000000001</c:v>
                </c:pt>
                <c:pt idx="106">
                  <c:v>387.62299999999999</c:v>
                </c:pt>
                <c:pt idx="107">
                  <c:v>471.26799999999997</c:v>
                </c:pt>
                <c:pt idx="108">
                  <c:v>341.24700000000001</c:v>
                </c:pt>
                <c:pt idx="109">
                  <c:v>345.68</c:v>
                </c:pt>
                <c:pt idx="110">
                  <c:v>410.262</c:v>
                </c:pt>
                <c:pt idx="111">
                  <c:v>390.37099999999998</c:v>
                </c:pt>
                <c:pt idx="112">
                  <c:v>442.709</c:v>
                </c:pt>
                <c:pt idx="113">
                  <c:v>404.03899999999999</c:v>
                </c:pt>
                <c:pt idx="114">
                  <c:v>449.21499999999997</c:v>
                </c:pt>
                <c:pt idx="115">
                  <c:v>541.31500000000005</c:v>
                </c:pt>
                <c:pt idx="116">
                  <c:v>348.637</c:v>
                </c:pt>
                <c:pt idx="117">
                  <c:v>413.11200000000002</c:v>
                </c:pt>
                <c:pt idx="118">
                  <c:v>375.61799999999999</c:v>
                </c:pt>
                <c:pt idx="119">
                  <c:v>520.72199999999998</c:v>
                </c:pt>
                <c:pt idx="120">
                  <c:v>339.24099999999999</c:v>
                </c:pt>
                <c:pt idx="121">
                  <c:v>382.53300000000002</c:v>
                </c:pt>
                <c:pt idx="122">
                  <c:v>530.64599999999996</c:v>
                </c:pt>
                <c:pt idx="123">
                  <c:v>486.9</c:v>
                </c:pt>
                <c:pt idx="124">
                  <c:v>547.38900000000001</c:v>
                </c:pt>
                <c:pt idx="125">
                  <c:v>491.59899999999999</c:v>
                </c:pt>
                <c:pt idx="126">
                  <c:v>537.39200000000005</c:v>
                </c:pt>
                <c:pt idx="127">
                  <c:v>498.92500000000001</c:v>
                </c:pt>
                <c:pt idx="128">
                  <c:v>485.80500000000001</c:v>
                </c:pt>
                <c:pt idx="129">
                  <c:v>508.57</c:v>
                </c:pt>
                <c:pt idx="130">
                  <c:v>472.98099999999999</c:v>
                </c:pt>
                <c:pt idx="131">
                  <c:v>629.89200000000005</c:v>
                </c:pt>
                <c:pt idx="132">
                  <c:v>436.54199999999997</c:v>
                </c:pt>
                <c:pt idx="133">
                  <c:v>507.26799999999997</c:v>
                </c:pt>
                <c:pt idx="134">
                  <c:v>599.60400000000004</c:v>
                </c:pt>
                <c:pt idx="135">
                  <c:v>555.66499999999996</c:v>
                </c:pt>
                <c:pt idx="136">
                  <c:v>522.75099999999998</c:v>
                </c:pt>
                <c:pt idx="137">
                  <c:v>532.63199999999995</c:v>
                </c:pt>
                <c:pt idx="138">
                  <c:v>560.30200000000002</c:v>
                </c:pt>
                <c:pt idx="139">
                  <c:v>571.13699999999994</c:v>
                </c:pt>
                <c:pt idx="140">
                  <c:v>574.23500000000001</c:v>
                </c:pt>
                <c:pt idx="141">
                  <c:v>548.79899999999998</c:v>
                </c:pt>
                <c:pt idx="142">
                  <c:v>539.18100000000004</c:v>
                </c:pt>
                <c:pt idx="143">
                  <c:v>695.26800000000003</c:v>
                </c:pt>
                <c:pt idx="144">
                  <c:v>452.56400000000002</c:v>
                </c:pt>
                <c:pt idx="145">
                  <c:v>546.18499999999995</c:v>
                </c:pt>
                <c:pt idx="146">
                  <c:v>652.77499999999998</c:v>
                </c:pt>
                <c:pt idx="147">
                  <c:v>561.64400000000001</c:v>
                </c:pt>
                <c:pt idx="148">
                  <c:v>657.53499999999997</c:v>
                </c:pt>
                <c:pt idx="149">
                  <c:v>636.27300000000002</c:v>
                </c:pt>
                <c:pt idx="150">
                  <c:v>580.46</c:v>
                </c:pt>
                <c:pt idx="151">
                  <c:v>646.33199999999999</c:v>
                </c:pt>
                <c:pt idx="152">
                  <c:v>598.83600000000001</c:v>
                </c:pt>
                <c:pt idx="153">
                  <c:v>557.57600000000002</c:v>
                </c:pt>
                <c:pt idx="154">
                  <c:v>588.96400000000006</c:v>
                </c:pt>
                <c:pt idx="155">
                  <c:v>719.53300000000002</c:v>
                </c:pt>
                <c:pt idx="156">
                  <c:v>517.94899999999996</c:v>
                </c:pt>
                <c:pt idx="157">
                  <c:v>588.70600000000002</c:v>
                </c:pt>
                <c:pt idx="158">
                  <c:v>710.30200000000002</c:v>
                </c:pt>
                <c:pt idx="159">
                  <c:v>642.923</c:v>
                </c:pt>
                <c:pt idx="160">
                  <c:v>730.58600000000001</c:v>
                </c:pt>
                <c:pt idx="161">
                  <c:v>709.36900000000003</c:v>
                </c:pt>
                <c:pt idx="162">
                  <c:v>669.19</c:v>
                </c:pt>
                <c:pt idx="163">
                  <c:v>763.48599999999999</c:v>
                </c:pt>
                <c:pt idx="164">
                  <c:v>580.63400000000001</c:v>
                </c:pt>
                <c:pt idx="165">
                  <c:v>637.68200000000002</c:v>
                </c:pt>
                <c:pt idx="166">
                  <c:v>656.74300000000005</c:v>
                </c:pt>
                <c:pt idx="167">
                  <c:v>738.77700000000004</c:v>
                </c:pt>
                <c:pt idx="168">
                  <c:v>530.995</c:v>
                </c:pt>
                <c:pt idx="169">
                  <c:v>623.88</c:v>
                </c:pt>
                <c:pt idx="170">
                  <c:v>790.16</c:v>
                </c:pt>
                <c:pt idx="171">
                  <c:v>725.94299999999998</c:v>
                </c:pt>
                <c:pt idx="172">
                  <c:v>826.52800000000002</c:v>
                </c:pt>
                <c:pt idx="173">
                  <c:v>730.32899999999995</c:v>
                </c:pt>
                <c:pt idx="174">
                  <c:v>758.00099999999998</c:v>
                </c:pt>
                <c:pt idx="175">
                  <c:v>831.02800000000002</c:v>
                </c:pt>
                <c:pt idx="176">
                  <c:v>676.42700000000002</c:v>
                </c:pt>
                <c:pt idx="177">
                  <c:v>695.63</c:v>
                </c:pt>
                <c:pt idx="178">
                  <c:v>717.13499999999999</c:v>
                </c:pt>
                <c:pt idx="179">
                  <c:v>841.76400000000001</c:v>
                </c:pt>
                <c:pt idx="180">
                  <c:v>631.50900000000001</c:v>
                </c:pt>
                <c:pt idx="181">
                  <c:v>694.69</c:v>
                </c:pt>
                <c:pt idx="182">
                  <c:v>826.45600000000002</c:v>
                </c:pt>
                <c:pt idx="183">
                  <c:v>800.09199999999998</c:v>
                </c:pt>
                <c:pt idx="184">
                  <c:v>881.74199999999996</c:v>
                </c:pt>
                <c:pt idx="185">
                  <c:v>810.99099999999999</c:v>
                </c:pt>
                <c:pt idx="186">
                  <c:v>859.65</c:v>
                </c:pt>
                <c:pt idx="187">
                  <c:v>898.625</c:v>
                </c:pt>
                <c:pt idx="188">
                  <c:v>836.38099999999997</c:v>
                </c:pt>
                <c:pt idx="189">
                  <c:v>845.24800000000005</c:v>
                </c:pt>
                <c:pt idx="190">
                  <c:v>783.70899999999995</c:v>
                </c:pt>
                <c:pt idx="191">
                  <c:v>999.91800000000001</c:v>
                </c:pt>
                <c:pt idx="192">
                  <c:v>670.34500000000003</c:v>
                </c:pt>
                <c:pt idx="193">
                  <c:v>779.54700000000003</c:v>
                </c:pt>
                <c:pt idx="194">
                  <c:v>918.43499999999995</c:v>
                </c:pt>
                <c:pt idx="195">
                  <c:v>887.31500000000005</c:v>
                </c:pt>
                <c:pt idx="196">
                  <c:v>899.721</c:v>
                </c:pt>
                <c:pt idx="197">
                  <c:v>902.79200000000003</c:v>
                </c:pt>
                <c:pt idx="198">
                  <c:v>925.09699999999998</c:v>
                </c:pt>
                <c:pt idx="199">
                  <c:v>926.56700000000001</c:v>
                </c:pt>
                <c:pt idx="200">
                  <c:v>873.649</c:v>
                </c:pt>
                <c:pt idx="201">
                  <c:v>859.65899999999999</c:v>
                </c:pt>
                <c:pt idx="202">
                  <c:v>863.41499999999996</c:v>
                </c:pt>
                <c:pt idx="203">
                  <c:v>1080.0630000000001</c:v>
                </c:pt>
                <c:pt idx="204">
                  <c:v>726.29300000000001</c:v>
                </c:pt>
              </c:numCache>
            </c:numRef>
          </c:val>
          <c:smooth val="0"/>
          <c:extLst>
            <c:ext xmlns:c16="http://schemas.microsoft.com/office/drawing/2014/chart" uri="{C3380CC4-5D6E-409C-BE32-E72D297353CC}">
              <c16:uniqueId val="{00000000-C79A-430B-8795-919BCE217A99}"/>
            </c:ext>
          </c:extLst>
        </c:ser>
        <c:dLbls>
          <c:showLegendKey val="0"/>
          <c:showVal val="0"/>
          <c:showCatName val="0"/>
          <c:showSerName val="0"/>
          <c:showPercent val="0"/>
          <c:showBubbleSize val="0"/>
        </c:dLbls>
        <c:smooth val="0"/>
        <c:axId val="271630336"/>
        <c:axId val="271631872"/>
      </c:lineChart>
      <c:dateAx>
        <c:axId val="271630336"/>
        <c:scaling>
          <c:orientation val="minMax"/>
        </c:scaling>
        <c:delete val="0"/>
        <c:axPos val="b"/>
        <c:numFmt formatCode="yyyy" sourceLinked="0"/>
        <c:majorTickMark val="out"/>
        <c:minorTickMark val="none"/>
        <c:tickLblPos val="nextTo"/>
        <c:spPr>
          <a:ln w="3175">
            <a:solidFill>
              <a:srgbClr val="B3B3B3"/>
            </a:solidFill>
          </a:ln>
        </c:spPr>
        <c:txPr>
          <a:bodyPr rot="-5400000" vert="horz"/>
          <a:lstStyle/>
          <a:p>
            <a:pPr>
              <a:defRPr sz="1200"/>
            </a:pPr>
            <a:endParaRPr lang="en-US"/>
          </a:p>
        </c:txPr>
        <c:crossAx val="271631872"/>
        <c:crosses val="autoZero"/>
        <c:auto val="1"/>
        <c:lblOffset val="100"/>
        <c:baseTimeUnit val="months"/>
        <c:majorUnit val="12"/>
        <c:majorTimeUnit val="months"/>
      </c:dateAx>
      <c:valAx>
        <c:axId val="271631872"/>
        <c:scaling>
          <c:orientation val="minMax"/>
        </c:scaling>
        <c:delete val="0"/>
        <c:axPos val="l"/>
        <c:majorGridlines>
          <c:spPr>
            <a:ln w="3175">
              <a:solidFill>
                <a:srgbClr val="D2D2D2"/>
              </a:solidFill>
              <a:prstDash val="solid"/>
            </a:ln>
          </c:spPr>
        </c:majorGridlines>
        <c:numFmt formatCode="#,##0" sourceLinked="0"/>
        <c:majorTickMark val="out"/>
        <c:minorTickMark val="none"/>
        <c:tickLblPos val="nextTo"/>
        <c:spPr>
          <a:ln w="3175">
            <a:noFill/>
          </a:ln>
        </c:spPr>
        <c:txPr>
          <a:bodyPr/>
          <a:lstStyle/>
          <a:p>
            <a:pPr>
              <a:defRPr sz="1200"/>
            </a:pPr>
            <a:endParaRPr lang="en-US"/>
          </a:p>
        </c:txPr>
        <c:crossAx val="271630336"/>
        <c:crosses val="autoZero"/>
        <c:crossBetween val="between"/>
        <c:majorUnit val="250"/>
      </c:valAx>
    </c:plotArea>
    <c:plotVisOnly val="1"/>
    <c:dispBlanksAs val="gap"/>
    <c:showDLblsOverMax val="0"/>
  </c:chart>
  <c:spPr>
    <a:ln>
      <a:noFill/>
    </a:ln>
  </c:spPr>
  <c:txPr>
    <a:bodyPr/>
    <a:lstStyle/>
    <a:p>
      <a:pPr>
        <a:defRPr sz="1050">
          <a:latin typeface="Arial" pitchFamily="34" charset="0"/>
          <a:cs typeface="Arial" pitchFamily="34" charset="0"/>
        </a:defRPr>
      </a:pPr>
      <a:endParaRPr lang="en-US"/>
    </a:p>
  </c:txPr>
  <c:printSettings>
    <c:headerFooter/>
    <c:pageMargins b="0.74803149606299502" l="0.70866141732283794" r="0.70866141732283794" t="0.74803149606299502" header="0.31496062992126261" footer="0.31496062992126261"/>
    <c:pageSetup paperSize="9" orientation="landscape" blackAndWhite="1"/>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lgn="l">
              <a:defRPr sz="12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sz="1200">
                <a:solidFill>
                  <a:sysClr val="windowText" lastClr="000000"/>
                </a:solidFill>
              </a:rPr>
              <a:t>Thousands of employees</a:t>
            </a:r>
          </a:p>
        </c:rich>
      </c:tx>
      <c:layout>
        <c:manualLayout>
          <c:xMode val="edge"/>
          <c:yMode val="edge"/>
          <c:x val="1.7826334208223972E-2"/>
          <c:y val="3.7037037037037035E-2"/>
        </c:manualLayout>
      </c:layout>
      <c:overlay val="0"/>
      <c:spPr>
        <a:noFill/>
        <a:ln>
          <a:noFill/>
        </a:ln>
        <a:effectLst/>
      </c:spPr>
    </c:title>
    <c:autoTitleDeleted val="0"/>
    <c:plotArea>
      <c:layout>
        <c:manualLayout>
          <c:layoutTarget val="inner"/>
          <c:xMode val="edge"/>
          <c:yMode val="edge"/>
          <c:x val="9.5167104111986006E-2"/>
          <c:y val="0.14000706893385101"/>
          <c:w val="0.77436299725651581"/>
          <c:h val="0.71658780854508097"/>
        </c:manualLayout>
      </c:layout>
      <c:barChart>
        <c:barDir val="col"/>
        <c:grouping val="clustered"/>
        <c:varyColors val="0"/>
        <c:ser>
          <c:idx val="0"/>
          <c:order val="0"/>
          <c:spPr>
            <a:solidFill>
              <a:schemeClr val="accent1"/>
            </a:solidFill>
            <a:ln>
              <a:noFill/>
            </a:ln>
            <a:effectLst/>
          </c:spPr>
          <c:invertIfNegative val="0"/>
          <c:cat>
            <c:numRef>
              <c:f>ChartExamples!$B$29:$B$35</c:f>
              <c:numCache>
                <c:formatCode>0</c:formatCode>
                <c:ptCount val="7"/>
                <c:pt idx="0">
                  <c:v>2010</c:v>
                </c:pt>
                <c:pt idx="1">
                  <c:v>2011</c:v>
                </c:pt>
                <c:pt idx="2">
                  <c:v>2012</c:v>
                </c:pt>
                <c:pt idx="3">
                  <c:v>2013</c:v>
                </c:pt>
                <c:pt idx="4">
                  <c:v>2014</c:v>
                </c:pt>
                <c:pt idx="5">
                  <c:v>2015</c:v>
                </c:pt>
                <c:pt idx="6" formatCode="General">
                  <c:v>2016</c:v>
                </c:pt>
              </c:numCache>
            </c:numRef>
          </c:cat>
          <c:val>
            <c:numRef>
              <c:f>ChartExamples!$C$29:$C$35</c:f>
              <c:numCache>
                <c:formatCode>General</c:formatCode>
                <c:ptCount val="7"/>
                <c:pt idx="0">
                  <c:v>84.3</c:v>
                </c:pt>
                <c:pt idx="1">
                  <c:v>89.5</c:v>
                </c:pt>
                <c:pt idx="2">
                  <c:v>78.8</c:v>
                </c:pt>
                <c:pt idx="3">
                  <c:v>76.900000000000006</c:v>
                </c:pt>
                <c:pt idx="4">
                  <c:v>70.099999999999994</c:v>
                </c:pt>
                <c:pt idx="5">
                  <c:v>57.6</c:v>
                </c:pt>
                <c:pt idx="6">
                  <c:v>50.2</c:v>
                </c:pt>
              </c:numCache>
            </c:numRef>
          </c:val>
          <c:extLst>
            <c:ext xmlns:c16="http://schemas.microsoft.com/office/drawing/2014/chart" uri="{C3380CC4-5D6E-409C-BE32-E72D297353CC}">
              <c16:uniqueId val="{00000000-98CE-45EC-BF17-50C843B6BBB4}"/>
            </c:ext>
          </c:extLst>
        </c:ser>
        <c:dLbls>
          <c:showLegendKey val="0"/>
          <c:showVal val="0"/>
          <c:showCatName val="0"/>
          <c:showSerName val="0"/>
          <c:showPercent val="0"/>
          <c:showBubbleSize val="0"/>
        </c:dLbls>
        <c:gapWidth val="50"/>
        <c:axId val="271757312"/>
        <c:axId val="271758848"/>
      </c:barChart>
      <c:lineChart>
        <c:grouping val="standard"/>
        <c:varyColors val="0"/>
        <c:ser>
          <c:idx val="1"/>
          <c:order val="1"/>
          <c:spPr>
            <a:ln w="28575" cap="rnd">
              <a:solidFill>
                <a:schemeClr val="accent2"/>
              </a:solidFill>
              <a:round/>
            </a:ln>
            <a:effectLst/>
          </c:spPr>
          <c:marker>
            <c:symbol val="none"/>
          </c:marker>
          <c:val>
            <c:numRef>
              <c:f>ChartExamples!$D$29:$D$35</c:f>
              <c:numCache>
                <c:formatCode>_(* #,##0_);_(* \(#,##0\);_(* "-"??_);_(@_)</c:formatCode>
                <c:ptCount val="7"/>
                <c:pt idx="0">
                  <c:v>1084.368148</c:v>
                </c:pt>
                <c:pt idx="1">
                  <c:v>1095.627536</c:v>
                </c:pt>
                <c:pt idx="2">
                  <c:v>1016.4584180000001</c:v>
                </c:pt>
                <c:pt idx="3">
                  <c:v>984.84177899999997</c:v>
                </c:pt>
                <c:pt idx="4">
                  <c:v>1000.048758</c:v>
                </c:pt>
                <c:pt idx="5">
                  <c:v>896.940563</c:v>
                </c:pt>
                <c:pt idx="6" formatCode="General">
                  <c:v>739</c:v>
                </c:pt>
              </c:numCache>
            </c:numRef>
          </c:val>
          <c:smooth val="0"/>
          <c:extLst>
            <c:ext xmlns:c16="http://schemas.microsoft.com/office/drawing/2014/chart" uri="{C3380CC4-5D6E-409C-BE32-E72D297353CC}">
              <c16:uniqueId val="{00000001-98CE-45EC-BF17-50C843B6BBB4}"/>
            </c:ext>
          </c:extLst>
        </c:ser>
        <c:dLbls>
          <c:showLegendKey val="0"/>
          <c:showVal val="0"/>
          <c:showCatName val="0"/>
          <c:showSerName val="0"/>
          <c:showPercent val="0"/>
          <c:showBubbleSize val="0"/>
        </c:dLbls>
        <c:marker val="1"/>
        <c:smooth val="0"/>
        <c:axId val="271762176"/>
        <c:axId val="271760384"/>
      </c:lineChart>
      <c:catAx>
        <c:axId val="271757312"/>
        <c:scaling>
          <c:orientation val="minMax"/>
        </c:scaling>
        <c:delete val="0"/>
        <c:axPos val="b"/>
        <c:numFmt formatCode="0" sourceLinked="1"/>
        <c:majorTickMark val="out"/>
        <c:minorTickMark val="none"/>
        <c:tickLblPos val="nextTo"/>
        <c:spPr>
          <a:noFill/>
          <a:ln w="9525" cap="flat" cmpd="sng" algn="ctr">
            <a:solidFill>
              <a:srgbClr val="B3B3B3"/>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71758848"/>
        <c:crosses val="autoZero"/>
        <c:auto val="1"/>
        <c:lblAlgn val="ctr"/>
        <c:lblOffset val="100"/>
        <c:noMultiLvlLbl val="0"/>
      </c:catAx>
      <c:valAx>
        <c:axId val="271758848"/>
        <c:scaling>
          <c:orientation val="minMax"/>
          <c:max val="120"/>
        </c:scaling>
        <c:delete val="0"/>
        <c:axPos val="l"/>
        <c:majorGridlines>
          <c:spPr>
            <a:ln w="9525" cap="flat" cmpd="sng" algn="ctr">
              <a:solidFill>
                <a:srgbClr val="D2D2D2"/>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71757312"/>
        <c:crosses val="autoZero"/>
        <c:crossBetween val="between"/>
      </c:valAx>
      <c:valAx>
        <c:axId val="271760384"/>
        <c:scaling>
          <c:orientation val="minMax"/>
        </c:scaling>
        <c:delete val="0"/>
        <c:axPos val="r"/>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accent2"/>
                </a:solidFill>
                <a:latin typeface="Arial" panose="020B0604020202020204" pitchFamily="34" charset="0"/>
                <a:ea typeface="+mn-ea"/>
                <a:cs typeface="Arial" panose="020B0604020202020204" pitchFamily="34" charset="0"/>
              </a:defRPr>
            </a:pPr>
            <a:endParaRPr lang="en-US"/>
          </a:p>
        </c:txPr>
        <c:crossAx val="271762176"/>
        <c:crosses val="max"/>
        <c:crossBetween val="between"/>
      </c:valAx>
      <c:catAx>
        <c:axId val="271762176"/>
        <c:scaling>
          <c:orientation val="minMax"/>
        </c:scaling>
        <c:delete val="1"/>
        <c:axPos val="b"/>
        <c:majorTickMark val="out"/>
        <c:minorTickMark val="none"/>
        <c:tickLblPos val="nextTo"/>
        <c:crossAx val="271760384"/>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05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2"/>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areaChart>
        <c:grouping val="stacked"/>
        <c:varyColors val="0"/>
        <c:ser>
          <c:idx val="0"/>
          <c:order val="0"/>
          <c:tx>
            <c:strRef>
              <c:f>AddInExamples!$B$80</c:f>
              <c:strCache>
                <c:ptCount val="1"/>
                <c:pt idx="0">
                  <c:v>Coal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cat>
            <c:numRef>
              <c:f>AddInExamples!$C$79:$F$79</c:f>
              <c:numCache>
                <c:formatCode>General</c:formatCode>
                <c:ptCount val="4"/>
                <c:pt idx="0">
                  <c:v>2013</c:v>
                </c:pt>
                <c:pt idx="1">
                  <c:v>2014</c:v>
                </c:pt>
                <c:pt idx="2">
                  <c:v>2015</c:v>
                </c:pt>
                <c:pt idx="3">
                  <c:v>2016</c:v>
                </c:pt>
              </c:numCache>
            </c:numRef>
          </c:cat>
          <c:val>
            <c:numRef>
              <c:f>AddInExamples!$C$80:$F$80</c:f>
              <c:numCache>
                <c:formatCode>General</c:formatCode>
                <c:ptCount val="4"/>
                <c:pt idx="0">
                  <c:v>10</c:v>
                </c:pt>
                <c:pt idx="1">
                  <c:v>20</c:v>
                </c:pt>
                <c:pt idx="2">
                  <c:v>40</c:v>
                </c:pt>
                <c:pt idx="3">
                  <c:v>80</c:v>
                </c:pt>
              </c:numCache>
            </c:numRef>
          </c:val>
          <c:extLst>
            <c:ext xmlns:c16="http://schemas.microsoft.com/office/drawing/2014/chart" uri="{C3380CC4-5D6E-409C-BE32-E72D297353CC}">
              <c16:uniqueId val="{00000000-F84D-4E65-8918-4F972D598EE9}"/>
            </c:ext>
          </c:extLst>
        </c:ser>
        <c:ser>
          <c:idx val="1"/>
          <c:order val="1"/>
          <c:tx>
            <c:strRef>
              <c:f>AddInExamples!$B$81</c:f>
              <c:strCache>
                <c:ptCount val="1"/>
                <c:pt idx="0">
                  <c:v>Gas</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cat>
            <c:numRef>
              <c:f>AddInExamples!$C$79:$F$79</c:f>
              <c:numCache>
                <c:formatCode>General</c:formatCode>
                <c:ptCount val="4"/>
                <c:pt idx="0">
                  <c:v>2013</c:v>
                </c:pt>
                <c:pt idx="1">
                  <c:v>2014</c:v>
                </c:pt>
                <c:pt idx="2">
                  <c:v>2015</c:v>
                </c:pt>
                <c:pt idx="3">
                  <c:v>2016</c:v>
                </c:pt>
              </c:numCache>
            </c:numRef>
          </c:cat>
          <c:val>
            <c:numRef>
              <c:f>AddInExamples!$C$81:$F$81</c:f>
              <c:numCache>
                <c:formatCode>General</c:formatCode>
                <c:ptCount val="4"/>
                <c:pt idx="0">
                  <c:v>10</c:v>
                </c:pt>
                <c:pt idx="1">
                  <c:v>20</c:v>
                </c:pt>
                <c:pt idx="2">
                  <c:v>40</c:v>
                </c:pt>
                <c:pt idx="3">
                  <c:v>80</c:v>
                </c:pt>
              </c:numCache>
            </c:numRef>
          </c:val>
          <c:extLst>
            <c:ext xmlns:c16="http://schemas.microsoft.com/office/drawing/2014/chart" uri="{C3380CC4-5D6E-409C-BE32-E72D297353CC}">
              <c16:uniqueId val="{00000001-F84D-4E65-8918-4F972D598EE9}"/>
            </c:ext>
          </c:extLst>
        </c:ser>
        <c:ser>
          <c:idx val="2"/>
          <c:order val="2"/>
          <c:tx>
            <c:strRef>
              <c:f>AddInExamples!$B$82</c:f>
              <c:strCache>
                <c:ptCount val="1"/>
                <c:pt idx="0">
                  <c:v>Nuclear</c:v>
                </c:pt>
              </c:strCache>
            </c:strRef>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cat>
            <c:numRef>
              <c:f>AddInExamples!$C$79:$F$79</c:f>
              <c:numCache>
                <c:formatCode>General</c:formatCode>
                <c:ptCount val="4"/>
                <c:pt idx="0">
                  <c:v>2013</c:v>
                </c:pt>
                <c:pt idx="1">
                  <c:v>2014</c:v>
                </c:pt>
                <c:pt idx="2">
                  <c:v>2015</c:v>
                </c:pt>
                <c:pt idx="3">
                  <c:v>2016</c:v>
                </c:pt>
              </c:numCache>
            </c:numRef>
          </c:cat>
          <c:val>
            <c:numRef>
              <c:f>AddInExamples!$C$82:$F$82</c:f>
              <c:numCache>
                <c:formatCode>General</c:formatCode>
                <c:ptCount val="4"/>
                <c:pt idx="0">
                  <c:v>5</c:v>
                </c:pt>
                <c:pt idx="1">
                  <c:v>10</c:v>
                </c:pt>
                <c:pt idx="2">
                  <c:v>20</c:v>
                </c:pt>
                <c:pt idx="3">
                  <c:v>40</c:v>
                </c:pt>
              </c:numCache>
            </c:numRef>
          </c:val>
          <c:extLst>
            <c:ext xmlns:c16="http://schemas.microsoft.com/office/drawing/2014/chart" uri="{C3380CC4-5D6E-409C-BE32-E72D297353CC}">
              <c16:uniqueId val="{00000002-F84D-4E65-8918-4F972D598EE9}"/>
            </c:ext>
          </c:extLst>
        </c:ser>
        <c:ser>
          <c:idx val="3"/>
          <c:order val="3"/>
          <c:tx>
            <c:strRef>
              <c:f>AddInExamples!$B$83</c:f>
              <c:strCache>
                <c:ptCount val="1"/>
                <c:pt idx="0">
                  <c:v>Biomass</c:v>
                </c:pt>
              </c:strCache>
            </c:strRef>
          </c:tx>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cat>
            <c:numRef>
              <c:f>AddInExamples!$C$79:$F$79</c:f>
              <c:numCache>
                <c:formatCode>General</c:formatCode>
                <c:ptCount val="4"/>
                <c:pt idx="0">
                  <c:v>2013</c:v>
                </c:pt>
                <c:pt idx="1">
                  <c:v>2014</c:v>
                </c:pt>
                <c:pt idx="2">
                  <c:v>2015</c:v>
                </c:pt>
                <c:pt idx="3">
                  <c:v>2016</c:v>
                </c:pt>
              </c:numCache>
            </c:numRef>
          </c:cat>
          <c:val>
            <c:numRef>
              <c:f>AddInExamples!$C$83:$F$83</c:f>
              <c:numCache>
                <c:formatCode>General</c:formatCode>
                <c:ptCount val="4"/>
                <c:pt idx="0">
                  <c:v>2</c:v>
                </c:pt>
                <c:pt idx="1">
                  <c:v>4</c:v>
                </c:pt>
                <c:pt idx="2">
                  <c:v>8</c:v>
                </c:pt>
                <c:pt idx="3">
                  <c:v>16</c:v>
                </c:pt>
              </c:numCache>
            </c:numRef>
          </c:val>
          <c:extLst>
            <c:ext xmlns:c16="http://schemas.microsoft.com/office/drawing/2014/chart" uri="{C3380CC4-5D6E-409C-BE32-E72D297353CC}">
              <c16:uniqueId val="{00000003-F84D-4E65-8918-4F972D598EE9}"/>
            </c:ext>
          </c:extLst>
        </c:ser>
        <c:ser>
          <c:idx val="4"/>
          <c:order val="4"/>
          <c:tx>
            <c:strRef>
              <c:f>AddInExamples!$B$84</c:f>
              <c:strCache>
                <c:ptCount val="1"/>
                <c:pt idx="0">
                  <c:v>Wind</c:v>
                </c:pt>
              </c:strCache>
            </c:strRef>
          </c:tx>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cat>
            <c:numRef>
              <c:f>AddInExamples!$C$79:$F$79</c:f>
              <c:numCache>
                <c:formatCode>General</c:formatCode>
                <c:ptCount val="4"/>
                <c:pt idx="0">
                  <c:v>2013</c:v>
                </c:pt>
                <c:pt idx="1">
                  <c:v>2014</c:v>
                </c:pt>
                <c:pt idx="2">
                  <c:v>2015</c:v>
                </c:pt>
                <c:pt idx="3">
                  <c:v>2016</c:v>
                </c:pt>
              </c:numCache>
            </c:numRef>
          </c:cat>
          <c:val>
            <c:numRef>
              <c:f>AddInExamples!$C$84:$F$84</c:f>
              <c:numCache>
                <c:formatCode>General</c:formatCode>
                <c:ptCount val="4"/>
                <c:pt idx="0">
                  <c:v>5</c:v>
                </c:pt>
                <c:pt idx="1">
                  <c:v>10</c:v>
                </c:pt>
                <c:pt idx="2">
                  <c:v>20</c:v>
                </c:pt>
                <c:pt idx="3">
                  <c:v>40</c:v>
                </c:pt>
              </c:numCache>
            </c:numRef>
          </c:val>
          <c:extLst>
            <c:ext xmlns:c16="http://schemas.microsoft.com/office/drawing/2014/chart" uri="{C3380CC4-5D6E-409C-BE32-E72D297353CC}">
              <c16:uniqueId val="{00000004-F84D-4E65-8918-4F972D598EE9}"/>
            </c:ext>
          </c:extLst>
        </c:ser>
        <c:ser>
          <c:idx val="5"/>
          <c:order val="5"/>
          <c:tx>
            <c:strRef>
              <c:f>AddInExamples!$B$85</c:f>
              <c:strCache>
                <c:ptCount val="1"/>
                <c:pt idx="0">
                  <c:v>Solar</c:v>
                </c:pt>
              </c:strCache>
            </c:strRef>
          </c:tx>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cat>
            <c:numRef>
              <c:f>AddInExamples!$C$79:$F$79</c:f>
              <c:numCache>
                <c:formatCode>General</c:formatCode>
                <c:ptCount val="4"/>
                <c:pt idx="0">
                  <c:v>2013</c:v>
                </c:pt>
                <c:pt idx="1">
                  <c:v>2014</c:v>
                </c:pt>
                <c:pt idx="2">
                  <c:v>2015</c:v>
                </c:pt>
                <c:pt idx="3">
                  <c:v>2016</c:v>
                </c:pt>
              </c:numCache>
            </c:numRef>
          </c:cat>
          <c:val>
            <c:numRef>
              <c:f>AddInExamples!$C$85:$F$85</c:f>
              <c:numCache>
                <c:formatCode>General</c:formatCode>
                <c:ptCount val="4"/>
                <c:pt idx="0">
                  <c:v>4</c:v>
                </c:pt>
                <c:pt idx="1">
                  <c:v>8</c:v>
                </c:pt>
                <c:pt idx="2">
                  <c:v>16</c:v>
                </c:pt>
                <c:pt idx="3">
                  <c:v>32</c:v>
                </c:pt>
              </c:numCache>
            </c:numRef>
          </c:val>
          <c:extLst>
            <c:ext xmlns:c16="http://schemas.microsoft.com/office/drawing/2014/chart" uri="{C3380CC4-5D6E-409C-BE32-E72D297353CC}">
              <c16:uniqueId val="{00000005-F84D-4E65-8918-4F972D598EE9}"/>
            </c:ext>
          </c:extLst>
        </c:ser>
        <c:dLbls>
          <c:showLegendKey val="0"/>
          <c:showVal val="0"/>
          <c:showCatName val="0"/>
          <c:showSerName val="0"/>
          <c:showPercent val="0"/>
          <c:showBubbleSize val="0"/>
        </c:dLbls>
        <c:axId val="271841152"/>
        <c:axId val="271842688"/>
      </c:areaChart>
      <c:catAx>
        <c:axId val="271841152"/>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71842688"/>
        <c:crosses val="autoZero"/>
        <c:auto val="1"/>
        <c:lblAlgn val="ctr"/>
        <c:lblOffset val="100"/>
        <c:noMultiLvlLbl val="0"/>
      </c:catAx>
      <c:valAx>
        <c:axId val="27184268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718411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9.9145210154515814E-2"/>
          <c:y val="3.2433371201734201E-2"/>
          <c:w val="0.65223268440100668"/>
          <c:h val="0.86762721823951305"/>
        </c:manualLayout>
      </c:layout>
      <c:areaChart>
        <c:grouping val="stacked"/>
        <c:varyColors val="0"/>
        <c:ser>
          <c:idx val="0"/>
          <c:order val="0"/>
          <c:tx>
            <c:v>Coal</c:v>
          </c:tx>
          <c:spPr>
            <a:solidFill>
              <a:srgbClr val="44AE7E"/>
            </a:solidFill>
            <a:ln w="12700">
              <a:solidFill>
                <a:srgbClr val="B2B2B2"/>
              </a:solidFill>
            </a:ln>
          </c:spPr>
          <c:cat>
            <c:numLit>
              <c:formatCode>General</c:formatCode>
              <c:ptCount val="4"/>
              <c:pt idx="0">
                <c:v>2013</c:v>
              </c:pt>
              <c:pt idx="1">
                <c:v>2014</c:v>
              </c:pt>
              <c:pt idx="2">
                <c:v>2015</c:v>
              </c:pt>
              <c:pt idx="3">
                <c:v>2016</c:v>
              </c:pt>
            </c:numLit>
          </c:cat>
          <c:val>
            <c:numLit>
              <c:formatCode>General</c:formatCode>
              <c:ptCount val="4"/>
              <c:pt idx="0">
                <c:v>10</c:v>
              </c:pt>
              <c:pt idx="1">
                <c:v>20</c:v>
              </c:pt>
              <c:pt idx="2">
                <c:v>40</c:v>
              </c:pt>
              <c:pt idx="3">
                <c:v>80</c:v>
              </c:pt>
            </c:numLit>
          </c:val>
          <c:extLst>
            <c:ext xmlns:c16="http://schemas.microsoft.com/office/drawing/2014/chart" uri="{C3380CC4-5D6E-409C-BE32-E72D297353CC}">
              <c16:uniqueId val="{00000000-D049-4B00-BF00-EDF92E264B97}"/>
            </c:ext>
          </c:extLst>
        </c:ser>
        <c:ser>
          <c:idx val="1"/>
          <c:order val="1"/>
          <c:tx>
            <c:v>Gas</c:v>
          </c:tx>
          <c:spPr>
            <a:solidFill>
              <a:srgbClr val="BFBDBE"/>
            </a:solidFill>
            <a:ln w="12700">
              <a:solidFill>
                <a:srgbClr val="B2B2B2"/>
              </a:solidFill>
            </a:ln>
          </c:spPr>
          <c:cat>
            <c:numLit>
              <c:formatCode>General</c:formatCode>
              <c:ptCount val="4"/>
              <c:pt idx="0">
                <c:v>2013</c:v>
              </c:pt>
              <c:pt idx="1">
                <c:v>2014</c:v>
              </c:pt>
              <c:pt idx="2">
                <c:v>2015</c:v>
              </c:pt>
              <c:pt idx="3">
                <c:v>2016</c:v>
              </c:pt>
            </c:numLit>
          </c:cat>
          <c:val>
            <c:numLit>
              <c:formatCode>General</c:formatCode>
              <c:ptCount val="4"/>
              <c:pt idx="0">
                <c:v>10</c:v>
              </c:pt>
              <c:pt idx="1">
                <c:v>20</c:v>
              </c:pt>
              <c:pt idx="2">
                <c:v>40</c:v>
              </c:pt>
              <c:pt idx="3">
                <c:v>80</c:v>
              </c:pt>
            </c:numLit>
          </c:val>
          <c:extLst>
            <c:ext xmlns:c16="http://schemas.microsoft.com/office/drawing/2014/chart" uri="{C3380CC4-5D6E-409C-BE32-E72D297353CC}">
              <c16:uniqueId val="{00000001-D049-4B00-BF00-EDF92E264B97}"/>
            </c:ext>
          </c:extLst>
        </c:ser>
        <c:ser>
          <c:idx val="2"/>
          <c:order val="2"/>
          <c:tx>
            <c:v>Nuclear</c:v>
          </c:tx>
          <c:spPr>
            <a:solidFill>
              <a:srgbClr val="49C0E6"/>
            </a:solidFill>
            <a:ln w="12700">
              <a:solidFill>
                <a:srgbClr val="B2B2B2"/>
              </a:solidFill>
            </a:ln>
          </c:spPr>
          <c:cat>
            <c:numLit>
              <c:formatCode>General</c:formatCode>
              <c:ptCount val="4"/>
              <c:pt idx="0">
                <c:v>2013</c:v>
              </c:pt>
              <c:pt idx="1">
                <c:v>2014</c:v>
              </c:pt>
              <c:pt idx="2">
                <c:v>2015</c:v>
              </c:pt>
              <c:pt idx="3">
                <c:v>2016</c:v>
              </c:pt>
            </c:numLit>
          </c:cat>
          <c:val>
            <c:numLit>
              <c:formatCode>General</c:formatCode>
              <c:ptCount val="4"/>
              <c:pt idx="0">
                <c:v>5</c:v>
              </c:pt>
              <c:pt idx="1">
                <c:v>10</c:v>
              </c:pt>
              <c:pt idx="2">
                <c:v>20</c:v>
              </c:pt>
              <c:pt idx="3">
                <c:v>40</c:v>
              </c:pt>
            </c:numLit>
          </c:val>
          <c:extLst>
            <c:ext xmlns:c16="http://schemas.microsoft.com/office/drawing/2014/chart" uri="{C3380CC4-5D6E-409C-BE32-E72D297353CC}">
              <c16:uniqueId val="{00000002-D049-4B00-BF00-EDF92E264B97}"/>
            </c:ext>
          </c:extLst>
        </c:ser>
        <c:ser>
          <c:idx val="3"/>
          <c:order val="3"/>
          <c:tx>
            <c:v>Biomass</c:v>
          </c:tx>
          <c:spPr>
            <a:solidFill>
              <a:srgbClr val="312F2F"/>
            </a:solidFill>
            <a:ln w="12700">
              <a:solidFill>
                <a:srgbClr val="B2B2B2"/>
              </a:solidFill>
            </a:ln>
          </c:spPr>
          <c:cat>
            <c:numLit>
              <c:formatCode>General</c:formatCode>
              <c:ptCount val="4"/>
              <c:pt idx="0">
                <c:v>2013</c:v>
              </c:pt>
              <c:pt idx="1">
                <c:v>2014</c:v>
              </c:pt>
              <c:pt idx="2">
                <c:v>2015</c:v>
              </c:pt>
              <c:pt idx="3">
                <c:v>2016</c:v>
              </c:pt>
            </c:numLit>
          </c:cat>
          <c:val>
            <c:numLit>
              <c:formatCode>General</c:formatCode>
              <c:ptCount val="4"/>
              <c:pt idx="0">
                <c:v>2</c:v>
              </c:pt>
              <c:pt idx="1">
                <c:v>4</c:v>
              </c:pt>
              <c:pt idx="2">
                <c:v>8</c:v>
              </c:pt>
              <c:pt idx="3">
                <c:v>16</c:v>
              </c:pt>
            </c:numLit>
          </c:val>
          <c:extLst>
            <c:ext xmlns:c16="http://schemas.microsoft.com/office/drawing/2014/chart" uri="{C3380CC4-5D6E-409C-BE32-E72D297353CC}">
              <c16:uniqueId val="{00000003-D049-4B00-BF00-EDF92E264B97}"/>
            </c:ext>
          </c:extLst>
        </c:ser>
        <c:ser>
          <c:idx val="4"/>
          <c:order val="4"/>
          <c:tx>
            <c:v>Wind</c:v>
          </c:tx>
          <c:spPr>
            <a:solidFill>
              <a:srgbClr val="8CCEAD"/>
            </a:solidFill>
            <a:ln w="12700">
              <a:solidFill>
                <a:srgbClr val="B2B2B2"/>
              </a:solidFill>
            </a:ln>
          </c:spPr>
          <c:cat>
            <c:numLit>
              <c:formatCode>General</c:formatCode>
              <c:ptCount val="4"/>
              <c:pt idx="0">
                <c:v>2013</c:v>
              </c:pt>
              <c:pt idx="1">
                <c:v>2014</c:v>
              </c:pt>
              <c:pt idx="2">
                <c:v>2015</c:v>
              </c:pt>
              <c:pt idx="3">
                <c:v>2016</c:v>
              </c:pt>
            </c:numLit>
          </c:cat>
          <c:val>
            <c:numLit>
              <c:formatCode>General</c:formatCode>
              <c:ptCount val="4"/>
              <c:pt idx="0">
                <c:v>5</c:v>
              </c:pt>
              <c:pt idx="1">
                <c:v>10</c:v>
              </c:pt>
              <c:pt idx="2">
                <c:v>20</c:v>
              </c:pt>
              <c:pt idx="3">
                <c:v>40</c:v>
              </c:pt>
            </c:numLit>
          </c:val>
          <c:extLst>
            <c:ext xmlns:c16="http://schemas.microsoft.com/office/drawing/2014/chart" uri="{C3380CC4-5D6E-409C-BE32-E72D297353CC}">
              <c16:uniqueId val="{00000004-D049-4B00-BF00-EDF92E264B97}"/>
            </c:ext>
          </c:extLst>
        </c:ser>
        <c:ser>
          <c:idx val="5"/>
          <c:order val="5"/>
          <c:tx>
            <c:v>Solar</c:v>
          </c:tx>
          <c:spPr>
            <a:solidFill>
              <a:srgbClr val="666769"/>
            </a:solidFill>
            <a:ln w="12700">
              <a:solidFill>
                <a:srgbClr val="B2B2B2"/>
              </a:solidFill>
            </a:ln>
          </c:spPr>
          <c:cat>
            <c:numLit>
              <c:formatCode>General</c:formatCode>
              <c:ptCount val="4"/>
              <c:pt idx="0">
                <c:v>2013</c:v>
              </c:pt>
              <c:pt idx="1">
                <c:v>2014</c:v>
              </c:pt>
              <c:pt idx="2">
                <c:v>2015</c:v>
              </c:pt>
              <c:pt idx="3">
                <c:v>2016</c:v>
              </c:pt>
            </c:numLit>
          </c:cat>
          <c:val>
            <c:numLit>
              <c:formatCode>General</c:formatCode>
              <c:ptCount val="4"/>
              <c:pt idx="0">
                <c:v>4</c:v>
              </c:pt>
              <c:pt idx="1">
                <c:v>8</c:v>
              </c:pt>
              <c:pt idx="2">
                <c:v>16</c:v>
              </c:pt>
              <c:pt idx="3">
                <c:v>32</c:v>
              </c:pt>
            </c:numLit>
          </c:val>
          <c:extLst>
            <c:ext xmlns:c16="http://schemas.microsoft.com/office/drawing/2014/chart" uri="{C3380CC4-5D6E-409C-BE32-E72D297353CC}">
              <c16:uniqueId val="{00000005-D049-4B00-BF00-EDF92E264B97}"/>
            </c:ext>
          </c:extLst>
        </c:ser>
        <c:dLbls>
          <c:showLegendKey val="0"/>
          <c:showVal val="0"/>
          <c:showCatName val="0"/>
          <c:showSerName val="0"/>
          <c:showPercent val="0"/>
          <c:showBubbleSize val="0"/>
        </c:dLbls>
        <c:axId val="272041856"/>
        <c:axId val="272043392"/>
      </c:areaChart>
      <c:catAx>
        <c:axId val="272041856"/>
        <c:scaling>
          <c:orientation val="minMax"/>
        </c:scaling>
        <c:delete val="0"/>
        <c:axPos val="b"/>
        <c:numFmt formatCode="General" sourceLinked="1"/>
        <c:majorTickMark val="out"/>
        <c:minorTickMark val="none"/>
        <c:tickLblPos val="nextTo"/>
        <c:spPr>
          <a:ln w="3175">
            <a:solidFill>
              <a:srgbClr val="808080"/>
            </a:solidFill>
          </a:ln>
        </c:spPr>
        <c:crossAx val="272043392"/>
        <c:crosses val="autoZero"/>
        <c:auto val="1"/>
        <c:lblAlgn val="ctr"/>
        <c:lblOffset val="100"/>
        <c:noMultiLvlLbl val="0"/>
      </c:catAx>
      <c:valAx>
        <c:axId val="272043392"/>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808080"/>
            </a:solidFill>
          </a:ln>
        </c:spPr>
        <c:crossAx val="272041856"/>
        <c:crosses val="autoZero"/>
        <c:crossBetween val="midCat"/>
      </c:valAx>
    </c:plotArea>
    <c:legend>
      <c:legendPos val="r"/>
      <c:layout>
        <c:manualLayout>
          <c:xMode val="edge"/>
          <c:yMode val="edge"/>
          <c:x val="0.77480280841365634"/>
          <c:y val="1.2288786482334869E-2"/>
          <c:w val="0.22166049740958038"/>
          <c:h val="0.86424229229410843"/>
        </c:manualLayout>
      </c:layout>
      <c:overlay val="0"/>
    </c:legend>
    <c:plotVisOnly val="1"/>
    <c:dispBlanksAs val="zero"/>
    <c:showDLblsOverMax val="0"/>
  </c:chart>
  <c:spPr>
    <a:ln>
      <a:noFill/>
    </a:ln>
  </c:spPr>
  <c:txPr>
    <a:bodyPr/>
    <a:lstStyle/>
    <a:p>
      <a:pPr>
        <a:defRPr sz="1200">
          <a:solidFill>
            <a:sysClr val="windowText" lastClr="000000"/>
          </a:solidFill>
          <a:latin typeface="Arial" pitchFamily="34" charset="0"/>
          <a:cs typeface="Arial" pitchFamily="34" charset="0"/>
        </a:defRPr>
      </a:pPr>
      <a:endParaRPr lang="en-US"/>
    </a:p>
  </c:txPr>
  <c:printSettings>
    <c:headerFooter/>
    <c:pageMargins b="0.75000000000000211" l="0.70000000000000062" r="0.70000000000000062" t="0.7500000000000021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900" b="0" i="0" u="none" strike="noStrike" kern="1200" baseline="0">
                <a:solidFill>
                  <a:sysClr val="windowText" lastClr="000000"/>
                </a:solidFill>
                <a:latin typeface="Arial" pitchFamily="34" charset="0"/>
                <a:ea typeface="+mn-ea"/>
                <a:cs typeface="Arial" pitchFamily="34" charset="0"/>
              </a:defRPr>
            </a:pPr>
            <a:r>
              <a:rPr lang="en-US"/>
              <a:t>Thousands of employees</a:t>
            </a:r>
          </a:p>
        </c:rich>
      </c:tx>
      <c:layout>
        <c:manualLayout>
          <c:xMode val="edge"/>
          <c:yMode val="edge"/>
          <c:x val="1.1228425244116534E-2"/>
          <c:y val="1.1759259259259259E-2"/>
        </c:manualLayout>
      </c:layout>
      <c:overlay val="0"/>
      <c:spPr>
        <a:noFill/>
        <a:ln>
          <a:noFill/>
        </a:ln>
        <a:effectLst/>
      </c:spPr>
    </c:title>
    <c:autoTitleDeleted val="0"/>
    <c:plotArea>
      <c:layout>
        <c:manualLayout>
          <c:layoutTarget val="inner"/>
          <c:xMode val="edge"/>
          <c:yMode val="edge"/>
          <c:x val="9.8581604642886095E-2"/>
          <c:y val="9.7239654371488418E-2"/>
          <c:w val="0.76870618403937474"/>
          <c:h val="0.81163365653053321"/>
        </c:manualLayout>
      </c:layout>
      <c:barChart>
        <c:barDir val="col"/>
        <c:grouping val="clustered"/>
        <c:varyColors val="0"/>
        <c:ser>
          <c:idx val="0"/>
          <c:order val="0"/>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00-6DC2-434A-A6FC-95804F821B9F}"/>
              </c:ext>
            </c:extLst>
          </c:dPt>
          <c:cat>
            <c:numRef>
              <c:f>ChartTemplates!$A$6:$A$12</c:f>
              <c:numCache>
                <c:formatCode>0</c:formatCode>
                <c:ptCount val="7"/>
                <c:pt idx="0">
                  <c:v>2010</c:v>
                </c:pt>
                <c:pt idx="1">
                  <c:v>2011</c:v>
                </c:pt>
                <c:pt idx="2">
                  <c:v>2012</c:v>
                </c:pt>
                <c:pt idx="3">
                  <c:v>2013</c:v>
                </c:pt>
                <c:pt idx="4">
                  <c:v>2014</c:v>
                </c:pt>
                <c:pt idx="5">
                  <c:v>2015</c:v>
                </c:pt>
                <c:pt idx="6">
                  <c:v>2016</c:v>
                </c:pt>
              </c:numCache>
            </c:numRef>
          </c:cat>
          <c:val>
            <c:numRef>
              <c:f>ChartTemplates!$B$6:$B$12</c:f>
              <c:numCache>
                <c:formatCode>General</c:formatCode>
                <c:ptCount val="7"/>
                <c:pt idx="0">
                  <c:v>84.3</c:v>
                </c:pt>
                <c:pt idx="1">
                  <c:v>89.5</c:v>
                </c:pt>
                <c:pt idx="2">
                  <c:v>78.8</c:v>
                </c:pt>
                <c:pt idx="3">
                  <c:v>76.900000000000006</c:v>
                </c:pt>
                <c:pt idx="4">
                  <c:v>70.099999999999994</c:v>
                </c:pt>
                <c:pt idx="5">
                  <c:v>57.6</c:v>
                </c:pt>
                <c:pt idx="6">
                  <c:v>50.2</c:v>
                </c:pt>
              </c:numCache>
            </c:numRef>
          </c:val>
          <c:extLst>
            <c:ext xmlns:c16="http://schemas.microsoft.com/office/drawing/2014/chart" uri="{C3380CC4-5D6E-409C-BE32-E72D297353CC}">
              <c16:uniqueId val="{00000001-6DC2-434A-A6FC-95804F821B9F}"/>
            </c:ext>
          </c:extLst>
        </c:ser>
        <c:dLbls>
          <c:showLegendKey val="0"/>
          <c:showVal val="0"/>
          <c:showCatName val="0"/>
          <c:showSerName val="0"/>
          <c:showPercent val="0"/>
          <c:showBubbleSize val="0"/>
        </c:dLbls>
        <c:gapWidth val="50"/>
        <c:axId val="272139776"/>
        <c:axId val="272141312"/>
      </c:barChart>
      <c:catAx>
        <c:axId val="272139776"/>
        <c:scaling>
          <c:orientation val="minMax"/>
        </c:scaling>
        <c:delete val="0"/>
        <c:axPos val="b"/>
        <c:numFmt formatCode="0" sourceLinked="1"/>
        <c:majorTickMark val="out"/>
        <c:minorTickMark val="none"/>
        <c:tickLblPos val="nextTo"/>
        <c:spPr>
          <a:noFill/>
          <a:ln w="3175" cap="flat" cmpd="sng" algn="ctr">
            <a:solidFill>
              <a:srgbClr val="808080"/>
            </a:solidFill>
            <a:prstDash val="solid"/>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Arial" pitchFamily="34" charset="0"/>
                <a:ea typeface="+mn-ea"/>
                <a:cs typeface="Arial" pitchFamily="34" charset="0"/>
              </a:defRPr>
            </a:pPr>
            <a:endParaRPr lang="en-US"/>
          </a:p>
        </c:txPr>
        <c:crossAx val="272141312"/>
        <c:crosses val="autoZero"/>
        <c:auto val="1"/>
        <c:lblAlgn val="ctr"/>
        <c:lblOffset val="100"/>
        <c:noMultiLvlLbl val="0"/>
      </c:catAx>
      <c:valAx>
        <c:axId val="272141312"/>
        <c:scaling>
          <c:orientation val="minMax"/>
        </c:scaling>
        <c:delete val="0"/>
        <c:axPos val="l"/>
        <c:majorGridlines>
          <c:spPr>
            <a:ln w="3175" cap="flat" cmpd="sng" algn="ctr">
              <a:solidFill>
                <a:srgbClr val="C0C0C0"/>
              </a:solidFill>
              <a:prstDash val="sysDash"/>
              <a:round/>
            </a:ln>
            <a:effectLst/>
          </c:spPr>
        </c:majorGridlines>
        <c:numFmt formatCode="#,##0" sourceLinked="0"/>
        <c:majorTickMark val="out"/>
        <c:minorTickMark val="none"/>
        <c:tickLblPos val="nextTo"/>
        <c:spPr>
          <a:noFill/>
          <a:ln w="3175" cap="flat" cmpd="sng" algn="ctr">
            <a:noFill/>
            <a:prstDash val="solid"/>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Arial" pitchFamily="34" charset="0"/>
                <a:ea typeface="+mn-ea"/>
                <a:cs typeface="Arial" pitchFamily="34" charset="0"/>
              </a:defRPr>
            </a:pPr>
            <a:endParaRPr lang="en-US"/>
          </a:p>
        </c:txPr>
        <c:crossAx val="272139776"/>
        <c:crosses val="autoZero"/>
        <c:crossBetween val="between"/>
      </c:valAx>
      <c:spPr>
        <a:solidFill>
          <a:schemeClr val="bg1"/>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Arial" pitchFamily="34" charset="0"/>
              <a:ea typeface="+mn-ea"/>
              <a:cs typeface="Arial" pitchFamily="34" charset="0"/>
            </a:defRPr>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sz="900">
          <a:solidFill>
            <a:sysClr val="windowText" lastClr="000000"/>
          </a:solidFill>
          <a:latin typeface="Arial" pitchFamily="34" charset="0"/>
          <a:cs typeface="Arial" pitchFamily="34" charset="0"/>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900" b="0" i="0" u="none" strike="noStrike" kern="1200" baseline="0">
                <a:solidFill>
                  <a:sysClr val="windowText" lastClr="000000"/>
                </a:solidFill>
                <a:latin typeface="Arial" pitchFamily="34" charset="0"/>
                <a:ea typeface="+mn-ea"/>
                <a:cs typeface="Arial" pitchFamily="34" charset="0"/>
              </a:defRPr>
            </a:pPr>
            <a:r>
              <a:rPr lang="en-US"/>
              <a:t>Coal power generation capacity additions, 2015 - 2040 (GW)</a:t>
            </a:r>
          </a:p>
        </c:rich>
      </c:tx>
      <c:layout>
        <c:manualLayout>
          <c:xMode val="edge"/>
          <c:yMode val="edge"/>
          <c:x val="8.2536085812908268E-4"/>
          <c:y val="0"/>
        </c:manualLayout>
      </c:layout>
      <c:overlay val="0"/>
      <c:spPr>
        <a:noFill/>
        <a:ln>
          <a:noFill/>
        </a:ln>
        <a:effectLst/>
      </c:spPr>
    </c:title>
    <c:autoTitleDeleted val="0"/>
    <c:plotArea>
      <c:layout>
        <c:manualLayout>
          <c:layoutTarget val="inner"/>
          <c:xMode val="edge"/>
          <c:yMode val="edge"/>
          <c:x val="0.29728003671462261"/>
          <c:y val="7.0587499999999984E-2"/>
          <c:w val="0.67883288810811804"/>
          <c:h val="0.8816383333333333"/>
        </c:manualLayout>
      </c:layout>
      <c:barChart>
        <c:barDir val="bar"/>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Arial" pitchFamily="34" charset="0"/>
                    <a:ea typeface="+mn-ea"/>
                    <a:cs typeface="Arial"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ChartTemplates!$A$53:$A$59</c:f>
              <c:strCache>
                <c:ptCount val="7"/>
                <c:pt idx="0">
                  <c:v>India</c:v>
                </c:pt>
                <c:pt idx="1">
                  <c:v>China</c:v>
                </c:pt>
                <c:pt idx="2">
                  <c:v>Southeast Asia</c:v>
                </c:pt>
                <c:pt idx="3">
                  <c:v>Middle East and Africa</c:v>
                </c:pt>
                <c:pt idx="4">
                  <c:v>Japan</c:v>
                </c:pt>
                <c:pt idx="6">
                  <c:v>Rest of world</c:v>
                </c:pt>
              </c:strCache>
            </c:strRef>
          </c:cat>
          <c:val>
            <c:numRef>
              <c:f>ChartTemplates!$B$53:$B$59</c:f>
              <c:numCache>
                <c:formatCode>General</c:formatCode>
                <c:ptCount val="7"/>
                <c:pt idx="0">
                  <c:v>258</c:v>
                </c:pt>
                <c:pt idx="1">
                  <c:v>188</c:v>
                </c:pt>
                <c:pt idx="2">
                  <c:v>73</c:v>
                </c:pt>
                <c:pt idx="3">
                  <c:v>67</c:v>
                </c:pt>
                <c:pt idx="4">
                  <c:v>17</c:v>
                </c:pt>
                <c:pt idx="6">
                  <c:v>354</c:v>
                </c:pt>
              </c:numCache>
            </c:numRef>
          </c:val>
          <c:extLst>
            <c:ext xmlns:c16="http://schemas.microsoft.com/office/drawing/2014/chart" uri="{C3380CC4-5D6E-409C-BE32-E72D297353CC}">
              <c16:uniqueId val="{00000000-D0CF-4B1F-9310-1F6987650A51}"/>
            </c:ext>
          </c:extLst>
        </c:ser>
        <c:dLbls>
          <c:showLegendKey val="0"/>
          <c:showVal val="0"/>
          <c:showCatName val="0"/>
          <c:showSerName val="0"/>
          <c:showPercent val="0"/>
          <c:showBubbleSize val="0"/>
        </c:dLbls>
        <c:gapWidth val="50"/>
        <c:axId val="271478784"/>
        <c:axId val="271480320"/>
      </c:barChart>
      <c:catAx>
        <c:axId val="271478784"/>
        <c:scaling>
          <c:orientation val="maxMin"/>
        </c:scaling>
        <c:delete val="0"/>
        <c:axPos val="l"/>
        <c:numFmt formatCode="General" sourceLinked="1"/>
        <c:majorTickMark val="none"/>
        <c:minorTickMark val="none"/>
        <c:tickLblPos val="nextTo"/>
        <c:spPr>
          <a:noFill/>
          <a:ln w="3175" cap="flat" cmpd="sng" algn="ctr">
            <a:solidFill>
              <a:srgbClr val="808080"/>
            </a:solidFill>
            <a:prstDash val="solid"/>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Arial" pitchFamily="34" charset="0"/>
                <a:ea typeface="+mn-ea"/>
                <a:cs typeface="Arial" pitchFamily="34" charset="0"/>
              </a:defRPr>
            </a:pPr>
            <a:endParaRPr lang="en-US"/>
          </a:p>
        </c:txPr>
        <c:crossAx val="271480320"/>
        <c:crosses val="autoZero"/>
        <c:auto val="1"/>
        <c:lblAlgn val="ctr"/>
        <c:lblOffset val="100"/>
        <c:noMultiLvlLbl val="0"/>
      </c:catAx>
      <c:valAx>
        <c:axId val="271480320"/>
        <c:scaling>
          <c:orientation val="minMax"/>
        </c:scaling>
        <c:delete val="1"/>
        <c:axPos val="t"/>
        <c:numFmt formatCode="#,##0" sourceLinked="0"/>
        <c:majorTickMark val="out"/>
        <c:minorTickMark val="none"/>
        <c:tickLblPos val="nextTo"/>
        <c:crossAx val="271478784"/>
        <c:crosses val="autoZero"/>
        <c:crossBetween val="between"/>
      </c:valAx>
      <c:spPr>
        <a:solidFill>
          <a:schemeClr val="bg1"/>
        </a:solidFill>
        <a:ln>
          <a:noFill/>
        </a:ln>
        <a:effectLst/>
      </c:spPr>
    </c:plotArea>
    <c:plotVisOnly val="1"/>
    <c:dispBlanksAs val="gap"/>
    <c:showDLblsOverMax val="0"/>
  </c:chart>
  <c:spPr>
    <a:solidFill>
      <a:srgbClr val="FFFFFF"/>
    </a:solidFill>
    <a:ln w="9525" cap="flat" cmpd="sng" algn="ctr">
      <a:noFill/>
      <a:prstDash val="solid"/>
      <a:round/>
    </a:ln>
    <a:effectLst/>
  </c:spPr>
  <c:txPr>
    <a:bodyPr/>
    <a:lstStyle/>
    <a:p>
      <a:pPr>
        <a:defRPr sz="900">
          <a:solidFill>
            <a:sysClr val="windowText" lastClr="000000"/>
          </a:solidFill>
          <a:latin typeface="Arial" pitchFamily="34" charset="0"/>
          <a:cs typeface="Arial" pitchFamily="34" charset="0"/>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0"/>
            </a:pPr>
            <a:r>
              <a:rPr lang="en-US"/>
              <a:t>U.S. monthly light truck sales (thousands)</a:t>
            </a:r>
          </a:p>
        </c:rich>
      </c:tx>
      <c:layout>
        <c:manualLayout>
          <c:xMode val="edge"/>
          <c:yMode val="edge"/>
          <c:x val="1.9409530330447694E-3"/>
          <c:y val="0"/>
        </c:manualLayout>
      </c:layout>
      <c:overlay val="0"/>
    </c:title>
    <c:autoTitleDeleted val="0"/>
    <c:plotArea>
      <c:layout>
        <c:manualLayout>
          <c:layoutTarget val="inner"/>
          <c:xMode val="edge"/>
          <c:yMode val="edge"/>
          <c:x val="7.2926798976626767E-2"/>
          <c:y val="7.9773200586968504E-2"/>
          <c:w val="0.89473137985935725"/>
          <c:h val="0.79745678946640386"/>
        </c:manualLayout>
      </c:layout>
      <c:lineChart>
        <c:grouping val="standard"/>
        <c:varyColors val="0"/>
        <c:ser>
          <c:idx val="0"/>
          <c:order val="0"/>
          <c:spPr>
            <a:ln w="38100">
              <a:solidFill>
                <a:srgbClr val="00AEE5"/>
              </a:solidFill>
            </a:ln>
          </c:spPr>
          <c:marker>
            <c:symbol val="none"/>
          </c:marker>
          <c:cat>
            <c:numRef>
              <c:f>ChartTemplates!$A$72:$A$276</c:f>
              <c:numCache>
                <c:formatCode>m/d/yyyy</c:formatCode>
                <c:ptCount val="205"/>
                <c:pt idx="0">
                  <c:v>36556</c:v>
                </c:pt>
                <c:pt idx="1">
                  <c:v>36585</c:v>
                </c:pt>
                <c:pt idx="2">
                  <c:v>36616</c:v>
                </c:pt>
                <c:pt idx="3">
                  <c:v>36646</c:v>
                </c:pt>
                <c:pt idx="4">
                  <c:v>36677</c:v>
                </c:pt>
                <c:pt idx="5">
                  <c:v>36707</c:v>
                </c:pt>
                <c:pt idx="6">
                  <c:v>36738</c:v>
                </c:pt>
                <c:pt idx="7">
                  <c:v>36769</c:v>
                </c:pt>
                <c:pt idx="8">
                  <c:v>36799</c:v>
                </c:pt>
                <c:pt idx="9">
                  <c:v>36830</c:v>
                </c:pt>
                <c:pt idx="10">
                  <c:v>36860</c:v>
                </c:pt>
                <c:pt idx="11">
                  <c:v>36891</c:v>
                </c:pt>
                <c:pt idx="12">
                  <c:v>36922</c:v>
                </c:pt>
                <c:pt idx="13">
                  <c:v>36950</c:v>
                </c:pt>
                <c:pt idx="14">
                  <c:v>36981</c:v>
                </c:pt>
                <c:pt idx="15">
                  <c:v>37011</c:v>
                </c:pt>
                <c:pt idx="16">
                  <c:v>37042</c:v>
                </c:pt>
                <c:pt idx="17">
                  <c:v>37072</c:v>
                </c:pt>
                <c:pt idx="18">
                  <c:v>37103</c:v>
                </c:pt>
                <c:pt idx="19">
                  <c:v>37134</c:v>
                </c:pt>
                <c:pt idx="20">
                  <c:v>37164</c:v>
                </c:pt>
                <c:pt idx="21">
                  <c:v>37195</c:v>
                </c:pt>
                <c:pt idx="22">
                  <c:v>37225</c:v>
                </c:pt>
                <c:pt idx="23">
                  <c:v>37256</c:v>
                </c:pt>
                <c:pt idx="24">
                  <c:v>37287</c:v>
                </c:pt>
                <c:pt idx="25">
                  <c:v>37315</c:v>
                </c:pt>
                <c:pt idx="26">
                  <c:v>37346</c:v>
                </c:pt>
                <c:pt idx="27">
                  <c:v>37376</c:v>
                </c:pt>
                <c:pt idx="28">
                  <c:v>37407</c:v>
                </c:pt>
                <c:pt idx="29">
                  <c:v>37437</c:v>
                </c:pt>
                <c:pt idx="30">
                  <c:v>37468</c:v>
                </c:pt>
                <c:pt idx="31">
                  <c:v>37499</c:v>
                </c:pt>
                <c:pt idx="32">
                  <c:v>37529</c:v>
                </c:pt>
                <c:pt idx="33">
                  <c:v>37560</c:v>
                </c:pt>
                <c:pt idx="34">
                  <c:v>37590</c:v>
                </c:pt>
                <c:pt idx="35">
                  <c:v>37621</c:v>
                </c:pt>
                <c:pt idx="36">
                  <c:v>37652</c:v>
                </c:pt>
                <c:pt idx="37">
                  <c:v>37680</c:v>
                </c:pt>
                <c:pt idx="38">
                  <c:v>37711</c:v>
                </c:pt>
                <c:pt idx="39">
                  <c:v>37741</c:v>
                </c:pt>
                <c:pt idx="40">
                  <c:v>37772</c:v>
                </c:pt>
                <c:pt idx="41">
                  <c:v>37802</c:v>
                </c:pt>
                <c:pt idx="42">
                  <c:v>37833</c:v>
                </c:pt>
                <c:pt idx="43">
                  <c:v>37864</c:v>
                </c:pt>
                <c:pt idx="44">
                  <c:v>37894</c:v>
                </c:pt>
                <c:pt idx="45">
                  <c:v>37925</c:v>
                </c:pt>
                <c:pt idx="46">
                  <c:v>37955</c:v>
                </c:pt>
                <c:pt idx="47">
                  <c:v>37986</c:v>
                </c:pt>
                <c:pt idx="48">
                  <c:v>38017</c:v>
                </c:pt>
                <c:pt idx="49">
                  <c:v>38046</c:v>
                </c:pt>
                <c:pt idx="50">
                  <c:v>38077</c:v>
                </c:pt>
                <c:pt idx="51">
                  <c:v>38107</c:v>
                </c:pt>
                <c:pt idx="52">
                  <c:v>38138</c:v>
                </c:pt>
                <c:pt idx="53">
                  <c:v>38168</c:v>
                </c:pt>
                <c:pt idx="54">
                  <c:v>38199</c:v>
                </c:pt>
                <c:pt idx="55">
                  <c:v>38230</c:v>
                </c:pt>
                <c:pt idx="56">
                  <c:v>38260</c:v>
                </c:pt>
                <c:pt idx="57">
                  <c:v>38291</c:v>
                </c:pt>
                <c:pt idx="58">
                  <c:v>38321</c:v>
                </c:pt>
                <c:pt idx="59">
                  <c:v>38352</c:v>
                </c:pt>
                <c:pt idx="60">
                  <c:v>38383</c:v>
                </c:pt>
                <c:pt idx="61">
                  <c:v>38411</c:v>
                </c:pt>
                <c:pt idx="62">
                  <c:v>38442</c:v>
                </c:pt>
                <c:pt idx="63">
                  <c:v>38472</c:v>
                </c:pt>
                <c:pt idx="64">
                  <c:v>38503</c:v>
                </c:pt>
                <c:pt idx="65">
                  <c:v>38533</c:v>
                </c:pt>
                <c:pt idx="66">
                  <c:v>38564</c:v>
                </c:pt>
                <c:pt idx="67">
                  <c:v>38595</c:v>
                </c:pt>
                <c:pt idx="68">
                  <c:v>38625</c:v>
                </c:pt>
                <c:pt idx="69">
                  <c:v>38656</c:v>
                </c:pt>
                <c:pt idx="70">
                  <c:v>38686</c:v>
                </c:pt>
                <c:pt idx="71">
                  <c:v>38717</c:v>
                </c:pt>
                <c:pt idx="72">
                  <c:v>38748</c:v>
                </c:pt>
                <c:pt idx="73">
                  <c:v>38776</c:v>
                </c:pt>
                <c:pt idx="74">
                  <c:v>38807</c:v>
                </c:pt>
                <c:pt idx="75">
                  <c:v>38837</c:v>
                </c:pt>
                <c:pt idx="76">
                  <c:v>38868</c:v>
                </c:pt>
                <c:pt idx="77">
                  <c:v>38898</c:v>
                </c:pt>
                <c:pt idx="78">
                  <c:v>38929</c:v>
                </c:pt>
                <c:pt idx="79">
                  <c:v>38960</c:v>
                </c:pt>
                <c:pt idx="80">
                  <c:v>38990</c:v>
                </c:pt>
                <c:pt idx="81">
                  <c:v>39021</c:v>
                </c:pt>
                <c:pt idx="82">
                  <c:v>39051</c:v>
                </c:pt>
                <c:pt idx="83">
                  <c:v>39082</c:v>
                </c:pt>
                <c:pt idx="84">
                  <c:v>39113</c:v>
                </c:pt>
                <c:pt idx="85">
                  <c:v>39141</c:v>
                </c:pt>
                <c:pt idx="86">
                  <c:v>39172</c:v>
                </c:pt>
                <c:pt idx="87">
                  <c:v>39202</c:v>
                </c:pt>
                <c:pt idx="88">
                  <c:v>39233</c:v>
                </c:pt>
                <c:pt idx="89">
                  <c:v>39263</c:v>
                </c:pt>
                <c:pt idx="90">
                  <c:v>39294</c:v>
                </c:pt>
                <c:pt idx="91">
                  <c:v>39325</c:v>
                </c:pt>
                <c:pt idx="92">
                  <c:v>39355</c:v>
                </c:pt>
                <c:pt idx="93">
                  <c:v>39386</c:v>
                </c:pt>
                <c:pt idx="94">
                  <c:v>39416</c:v>
                </c:pt>
                <c:pt idx="95">
                  <c:v>39447</c:v>
                </c:pt>
                <c:pt idx="96">
                  <c:v>39478</c:v>
                </c:pt>
                <c:pt idx="97">
                  <c:v>39507</c:v>
                </c:pt>
                <c:pt idx="98">
                  <c:v>39538</c:v>
                </c:pt>
                <c:pt idx="99">
                  <c:v>39568</c:v>
                </c:pt>
                <c:pt idx="100">
                  <c:v>39599</c:v>
                </c:pt>
                <c:pt idx="101">
                  <c:v>39629</c:v>
                </c:pt>
                <c:pt idx="102">
                  <c:v>39660</c:v>
                </c:pt>
                <c:pt idx="103">
                  <c:v>39691</c:v>
                </c:pt>
                <c:pt idx="104">
                  <c:v>39721</c:v>
                </c:pt>
                <c:pt idx="105">
                  <c:v>39752</c:v>
                </c:pt>
                <c:pt idx="106">
                  <c:v>39782</c:v>
                </c:pt>
                <c:pt idx="107">
                  <c:v>39813</c:v>
                </c:pt>
                <c:pt idx="108">
                  <c:v>39844</c:v>
                </c:pt>
                <c:pt idx="109">
                  <c:v>39872</c:v>
                </c:pt>
                <c:pt idx="110">
                  <c:v>39903</c:v>
                </c:pt>
                <c:pt idx="111">
                  <c:v>39933</c:v>
                </c:pt>
                <c:pt idx="112">
                  <c:v>39964</c:v>
                </c:pt>
                <c:pt idx="113">
                  <c:v>39994</c:v>
                </c:pt>
                <c:pt idx="114">
                  <c:v>40025</c:v>
                </c:pt>
                <c:pt idx="115">
                  <c:v>40056</c:v>
                </c:pt>
                <c:pt idx="116">
                  <c:v>40086</c:v>
                </c:pt>
                <c:pt idx="117">
                  <c:v>40117</c:v>
                </c:pt>
                <c:pt idx="118">
                  <c:v>40147</c:v>
                </c:pt>
                <c:pt idx="119">
                  <c:v>40178</c:v>
                </c:pt>
                <c:pt idx="120">
                  <c:v>40209</c:v>
                </c:pt>
                <c:pt idx="121">
                  <c:v>40237</c:v>
                </c:pt>
                <c:pt idx="122">
                  <c:v>40268</c:v>
                </c:pt>
                <c:pt idx="123">
                  <c:v>40298</c:v>
                </c:pt>
                <c:pt idx="124">
                  <c:v>40329</c:v>
                </c:pt>
                <c:pt idx="125">
                  <c:v>40359</c:v>
                </c:pt>
                <c:pt idx="126">
                  <c:v>40390</c:v>
                </c:pt>
                <c:pt idx="127">
                  <c:v>40421</c:v>
                </c:pt>
                <c:pt idx="128">
                  <c:v>40451</c:v>
                </c:pt>
                <c:pt idx="129">
                  <c:v>40482</c:v>
                </c:pt>
                <c:pt idx="130">
                  <c:v>40512</c:v>
                </c:pt>
                <c:pt idx="131">
                  <c:v>40543</c:v>
                </c:pt>
                <c:pt idx="132">
                  <c:v>40574</c:v>
                </c:pt>
                <c:pt idx="133">
                  <c:v>40602</c:v>
                </c:pt>
                <c:pt idx="134">
                  <c:v>40633</c:v>
                </c:pt>
                <c:pt idx="135">
                  <c:v>40663</c:v>
                </c:pt>
                <c:pt idx="136">
                  <c:v>40694</c:v>
                </c:pt>
                <c:pt idx="137">
                  <c:v>40724</c:v>
                </c:pt>
                <c:pt idx="138">
                  <c:v>40755</c:v>
                </c:pt>
                <c:pt idx="139">
                  <c:v>40786</c:v>
                </c:pt>
                <c:pt idx="140">
                  <c:v>40816</c:v>
                </c:pt>
                <c:pt idx="141">
                  <c:v>40847</c:v>
                </c:pt>
                <c:pt idx="142">
                  <c:v>40877</c:v>
                </c:pt>
                <c:pt idx="143">
                  <c:v>40908</c:v>
                </c:pt>
                <c:pt idx="144">
                  <c:v>40939</c:v>
                </c:pt>
                <c:pt idx="145">
                  <c:v>40968</c:v>
                </c:pt>
                <c:pt idx="146">
                  <c:v>40999</c:v>
                </c:pt>
                <c:pt idx="147">
                  <c:v>41029</c:v>
                </c:pt>
                <c:pt idx="148">
                  <c:v>41060</c:v>
                </c:pt>
                <c:pt idx="149">
                  <c:v>41090</c:v>
                </c:pt>
                <c:pt idx="150">
                  <c:v>41121</c:v>
                </c:pt>
                <c:pt idx="151">
                  <c:v>41152</c:v>
                </c:pt>
                <c:pt idx="152">
                  <c:v>41182</c:v>
                </c:pt>
                <c:pt idx="153">
                  <c:v>41213</c:v>
                </c:pt>
                <c:pt idx="154">
                  <c:v>41243</c:v>
                </c:pt>
                <c:pt idx="155">
                  <c:v>41274</c:v>
                </c:pt>
                <c:pt idx="156">
                  <c:v>41305</c:v>
                </c:pt>
                <c:pt idx="157">
                  <c:v>41333</c:v>
                </c:pt>
                <c:pt idx="158">
                  <c:v>41364</c:v>
                </c:pt>
                <c:pt idx="159">
                  <c:v>41394</c:v>
                </c:pt>
                <c:pt idx="160">
                  <c:v>41425</c:v>
                </c:pt>
                <c:pt idx="161">
                  <c:v>41455</c:v>
                </c:pt>
                <c:pt idx="162">
                  <c:v>41486</c:v>
                </c:pt>
                <c:pt idx="163">
                  <c:v>41517</c:v>
                </c:pt>
                <c:pt idx="164">
                  <c:v>41547</c:v>
                </c:pt>
                <c:pt idx="165">
                  <c:v>41578</c:v>
                </c:pt>
                <c:pt idx="166">
                  <c:v>41608</c:v>
                </c:pt>
                <c:pt idx="167">
                  <c:v>41639</c:v>
                </c:pt>
                <c:pt idx="168">
                  <c:v>41670</c:v>
                </c:pt>
                <c:pt idx="169">
                  <c:v>41698</c:v>
                </c:pt>
                <c:pt idx="170">
                  <c:v>41729</c:v>
                </c:pt>
                <c:pt idx="171">
                  <c:v>41759</c:v>
                </c:pt>
                <c:pt idx="172">
                  <c:v>41790</c:v>
                </c:pt>
                <c:pt idx="173">
                  <c:v>41820</c:v>
                </c:pt>
                <c:pt idx="174">
                  <c:v>41851</c:v>
                </c:pt>
                <c:pt idx="175">
                  <c:v>41882</c:v>
                </c:pt>
                <c:pt idx="176">
                  <c:v>41912</c:v>
                </c:pt>
                <c:pt idx="177">
                  <c:v>41943</c:v>
                </c:pt>
                <c:pt idx="178">
                  <c:v>41973</c:v>
                </c:pt>
                <c:pt idx="179">
                  <c:v>42004</c:v>
                </c:pt>
                <c:pt idx="180">
                  <c:v>42035</c:v>
                </c:pt>
                <c:pt idx="181">
                  <c:v>42063</c:v>
                </c:pt>
                <c:pt idx="182">
                  <c:v>42094</c:v>
                </c:pt>
                <c:pt idx="183">
                  <c:v>42124</c:v>
                </c:pt>
                <c:pt idx="184">
                  <c:v>42155</c:v>
                </c:pt>
                <c:pt idx="185">
                  <c:v>42185</c:v>
                </c:pt>
                <c:pt idx="186">
                  <c:v>42216</c:v>
                </c:pt>
                <c:pt idx="187">
                  <c:v>42247</c:v>
                </c:pt>
                <c:pt idx="188">
                  <c:v>42277</c:v>
                </c:pt>
                <c:pt idx="189">
                  <c:v>42308</c:v>
                </c:pt>
                <c:pt idx="190">
                  <c:v>42338</c:v>
                </c:pt>
                <c:pt idx="191">
                  <c:v>42369</c:v>
                </c:pt>
                <c:pt idx="192">
                  <c:v>42400</c:v>
                </c:pt>
                <c:pt idx="193">
                  <c:v>42429</c:v>
                </c:pt>
                <c:pt idx="194">
                  <c:v>42460</c:v>
                </c:pt>
                <c:pt idx="195">
                  <c:v>42490</c:v>
                </c:pt>
                <c:pt idx="196">
                  <c:v>42521</c:v>
                </c:pt>
                <c:pt idx="197">
                  <c:v>42551</c:v>
                </c:pt>
                <c:pt idx="198">
                  <c:v>42582</c:v>
                </c:pt>
                <c:pt idx="199">
                  <c:v>42613</c:v>
                </c:pt>
                <c:pt idx="200">
                  <c:v>42643</c:v>
                </c:pt>
                <c:pt idx="201">
                  <c:v>42674</c:v>
                </c:pt>
                <c:pt idx="202">
                  <c:v>42704</c:v>
                </c:pt>
                <c:pt idx="203">
                  <c:v>42735</c:v>
                </c:pt>
                <c:pt idx="204">
                  <c:v>42766</c:v>
                </c:pt>
              </c:numCache>
            </c:numRef>
          </c:cat>
          <c:val>
            <c:numRef>
              <c:f>ChartTemplates!$C$72:$C$276</c:f>
              <c:numCache>
                <c:formatCode>_(* #,##0_);_(* \(#,##0\);_(* "-"??_);_(@_)</c:formatCode>
                <c:ptCount val="205"/>
                <c:pt idx="0">
                  <c:v>583.08199999999999</c:v>
                </c:pt>
                <c:pt idx="1">
                  <c:v>731.34900000000005</c:v>
                </c:pt>
                <c:pt idx="2">
                  <c:v>834.06</c:v>
                </c:pt>
                <c:pt idx="3">
                  <c:v>727.07899999999995</c:v>
                </c:pt>
                <c:pt idx="4">
                  <c:v>791.61900000000003</c:v>
                </c:pt>
                <c:pt idx="5">
                  <c:v>780.13300000000004</c:v>
                </c:pt>
                <c:pt idx="6">
                  <c:v>692.48599999999999</c:v>
                </c:pt>
                <c:pt idx="7">
                  <c:v>740.25300000000004</c:v>
                </c:pt>
                <c:pt idx="8">
                  <c:v>728.54600000000005</c:v>
                </c:pt>
                <c:pt idx="9">
                  <c:v>658.81500000000005</c:v>
                </c:pt>
                <c:pt idx="10">
                  <c:v>630.48800000000006</c:v>
                </c:pt>
                <c:pt idx="11">
                  <c:v>627.21500000000003</c:v>
                </c:pt>
                <c:pt idx="12">
                  <c:v>573.87800000000004</c:v>
                </c:pt>
                <c:pt idx="13">
                  <c:v>655.10400000000004</c:v>
                </c:pt>
                <c:pt idx="14">
                  <c:v>808.024</c:v>
                </c:pt>
                <c:pt idx="15">
                  <c:v>659.60400000000004</c:v>
                </c:pt>
                <c:pt idx="16">
                  <c:v>788.154</c:v>
                </c:pt>
                <c:pt idx="17">
                  <c:v>809.22500000000002</c:v>
                </c:pt>
                <c:pt idx="18">
                  <c:v>681.03300000000002</c:v>
                </c:pt>
                <c:pt idx="19">
                  <c:v>708.68799999999999</c:v>
                </c:pt>
                <c:pt idx="20">
                  <c:v>649.22900000000004</c:v>
                </c:pt>
                <c:pt idx="21">
                  <c:v>909.75599999999997</c:v>
                </c:pt>
                <c:pt idx="22">
                  <c:v>722.76900000000001</c:v>
                </c:pt>
                <c:pt idx="23">
                  <c:v>736.423</c:v>
                </c:pt>
                <c:pt idx="24">
                  <c:v>582.91600000000005</c:v>
                </c:pt>
                <c:pt idx="25">
                  <c:v>683.57600000000002</c:v>
                </c:pt>
                <c:pt idx="26">
                  <c:v>773.50900000000001</c:v>
                </c:pt>
                <c:pt idx="27">
                  <c:v>726.23599999999999</c:v>
                </c:pt>
                <c:pt idx="28">
                  <c:v>746.43799999999999</c:v>
                </c:pt>
                <c:pt idx="29">
                  <c:v>775.20500000000004</c:v>
                </c:pt>
                <c:pt idx="30">
                  <c:v>783.62400000000002</c:v>
                </c:pt>
                <c:pt idx="31">
                  <c:v>875.79</c:v>
                </c:pt>
                <c:pt idx="32">
                  <c:v>622.18700000000001</c:v>
                </c:pt>
                <c:pt idx="33">
                  <c:v>695.16700000000003</c:v>
                </c:pt>
                <c:pt idx="34">
                  <c:v>629.60699999999997</c:v>
                </c:pt>
                <c:pt idx="35">
                  <c:v>815.15800000000002</c:v>
                </c:pt>
                <c:pt idx="36">
                  <c:v>544.61800000000005</c:v>
                </c:pt>
                <c:pt idx="37">
                  <c:v>637.58399999999995</c:v>
                </c:pt>
                <c:pt idx="38">
                  <c:v>757.51599999999996</c:v>
                </c:pt>
                <c:pt idx="39">
                  <c:v>754.86099999999999</c:v>
                </c:pt>
                <c:pt idx="40">
                  <c:v>845.96600000000001</c:v>
                </c:pt>
                <c:pt idx="41">
                  <c:v>785.91</c:v>
                </c:pt>
                <c:pt idx="42">
                  <c:v>830.23099999999999</c:v>
                </c:pt>
                <c:pt idx="43">
                  <c:v>890.39599999999996</c:v>
                </c:pt>
                <c:pt idx="44">
                  <c:v>705.19600000000003</c:v>
                </c:pt>
                <c:pt idx="45">
                  <c:v>729.46400000000006</c:v>
                </c:pt>
                <c:pt idx="46">
                  <c:v>700.49099999999999</c:v>
                </c:pt>
                <c:pt idx="47">
                  <c:v>847.75699999999995</c:v>
                </c:pt>
                <c:pt idx="48">
                  <c:v>627.41800000000001</c:v>
                </c:pt>
                <c:pt idx="49">
                  <c:v>692.74300000000005</c:v>
                </c:pt>
                <c:pt idx="50">
                  <c:v>811.52499999999998</c:v>
                </c:pt>
                <c:pt idx="51">
                  <c:v>776.47900000000004</c:v>
                </c:pt>
                <c:pt idx="52">
                  <c:v>884.30499999999995</c:v>
                </c:pt>
                <c:pt idx="53">
                  <c:v>774.82399999999996</c:v>
                </c:pt>
                <c:pt idx="54">
                  <c:v>870.74400000000003</c:v>
                </c:pt>
                <c:pt idx="55">
                  <c:v>789.90200000000004</c:v>
                </c:pt>
                <c:pt idx="56">
                  <c:v>829.44600000000003</c:v>
                </c:pt>
                <c:pt idx="57">
                  <c:v>748.49099999999999</c:v>
                </c:pt>
                <c:pt idx="58">
                  <c:v>680.01599999999996</c:v>
                </c:pt>
                <c:pt idx="59">
                  <c:v>888.07600000000002</c:v>
                </c:pt>
                <c:pt idx="60">
                  <c:v>575.21500000000003</c:v>
                </c:pt>
                <c:pt idx="61">
                  <c:v>681.24300000000005</c:v>
                </c:pt>
                <c:pt idx="62">
                  <c:v>856.30600000000004</c:v>
                </c:pt>
                <c:pt idx="63">
                  <c:v>787.74599999999998</c:v>
                </c:pt>
                <c:pt idx="64">
                  <c:v>808.08799999999997</c:v>
                </c:pt>
                <c:pt idx="65">
                  <c:v>969.62800000000004</c:v>
                </c:pt>
                <c:pt idx="66">
                  <c:v>1094.126</c:v>
                </c:pt>
                <c:pt idx="67">
                  <c:v>783.40700000000004</c:v>
                </c:pt>
                <c:pt idx="68">
                  <c:v>681.34400000000005</c:v>
                </c:pt>
                <c:pt idx="69">
                  <c:v>583.46799999999996</c:v>
                </c:pt>
                <c:pt idx="70">
                  <c:v>622.09299999999996</c:v>
                </c:pt>
                <c:pt idx="71">
                  <c:v>859.94</c:v>
                </c:pt>
                <c:pt idx="72">
                  <c:v>582.61300000000006</c:v>
                </c:pt>
                <c:pt idx="73">
                  <c:v>687.57100000000003</c:v>
                </c:pt>
                <c:pt idx="74">
                  <c:v>835.21600000000001</c:v>
                </c:pt>
                <c:pt idx="75">
                  <c:v>734.75800000000004</c:v>
                </c:pt>
                <c:pt idx="76">
                  <c:v>755.59699999999998</c:v>
                </c:pt>
                <c:pt idx="77">
                  <c:v>781.9</c:v>
                </c:pt>
                <c:pt idx="78">
                  <c:v>775.37300000000005</c:v>
                </c:pt>
                <c:pt idx="79">
                  <c:v>766.61099999999999</c:v>
                </c:pt>
                <c:pt idx="80">
                  <c:v>717.92200000000003</c:v>
                </c:pt>
                <c:pt idx="81">
                  <c:v>669.74800000000005</c:v>
                </c:pt>
                <c:pt idx="82">
                  <c:v>660.82299999999998</c:v>
                </c:pt>
                <c:pt idx="83">
                  <c:v>781.74199999999996</c:v>
                </c:pt>
                <c:pt idx="84">
                  <c:v>581.00199999999995</c:v>
                </c:pt>
                <c:pt idx="85">
                  <c:v>690.50199999999995</c:v>
                </c:pt>
                <c:pt idx="86">
                  <c:v>817.83299999999997</c:v>
                </c:pt>
                <c:pt idx="87">
                  <c:v>710.68200000000002</c:v>
                </c:pt>
                <c:pt idx="88">
                  <c:v>780.81100000000004</c:v>
                </c:pt>
                <c:pt idx="89">
                  <c:v>729.46699999999998</c:v>
                </c:pt>
                <c:pt idx="90">
                  <c:v>683.69899999999996</c:v>
                </c:pt>
                <c:pt idx="91">
                  <c:v>790.08299999999997</c:v>
                </c:pt>
                <c:pt idx="92">
                  <c:v>697.1</c:v>
                </c:pt>
                <c:pt idx="93">
                  <c:v>665.34</c:v>
                </c:pt>
                <c:pt idx="94">
                  <c:v>607.81799999999998</c:v>
                </c:pt>
                <c:pt idx="95">
                  <c:v>752.07399999999996</c:v>
                </c:pt>
                <c:pt idx="96">
                  <c:v>539.19200000000001</c:v>
                </c:pt>
                <c:pt idx="97">
                  <c:v>610.97500000000002</c:v>
                </c:pt>
                <c:pt idx="98">
                  <c:v>666.86699999999996</c:v>
                </c:pt>
                <c:pt idx="99">
                  <c:v>582.05499999999995</c:v>
                </c:pt>
                <c:pt idx="100">
                  <c:v>593.75800000000004</c:v>
                </c:pt>
                <c:pt idx="101">
                  <c:v>520.63499999999999</c:v>
                </c:pt>
                <c:pt idx="102">
                  <c:v>512.84100000000001</c:v>
                </c:pt>
                <c:pt idx="103">
                  <c:v>616.08900000000006</c:v>
                </c:pt>
                <c:pt idx="104">
                  <c:v>486.89699999999999</c:v>
                </c:pt>
                <c:pt idx="105">
                  <c:v>408.62700000000001</c:v>
                </c:pt>
                <c:pt idx="106">
                  <c:v>387.62299999999999</c:v>
                </c:pt>
                <c:pt idx="107">
                  <c:v>471.26799999999997</c:v>
                </c:pt>
                <c:pt idx="108">
                  <c:v>341.24700000000001</c:v>
                </c:pt>
                <c:pt idx="109">
                  <c:v>345.68</c:v>
                </c:pt>
                <c:pt idx="110">
                  <c:v>410.262</c:v>
                </c:pt>
                <c:pt idx="111">
                  <c:v>390.37099999999998</c:v>
                </c:pt>
                <c:pt idx="112">
                  <c:v>442.709</c:v>
                </c:pt>
                <c:pt idx="113">
                  <c:v>404.03899999999999</c:v>
                </c:pt>
                <c:pt idx="114">
                  <c:v>449.21499999999997</c:v>
                </c:pt>
                <c:pt idx="115">
                  <c:v>541.31500000000005</c:v>
                </c:pt>
                <c:pt idx="116">
                  <c:v>348.637</c:v>
                </c:pt>
                <c:pt idx="117">
                  <c:v>413.11200000000002</c:v>
                </c:pt>
                <c:pt idx="118">
                  <c:v>375.61799999999999</c:v>
                </c:pt>
                <c:pt idx="119">
                  <c:v>520.72199999999998</c:v>
                </c:pt>
                <c:pt idx="120">
                  <c:v>339.24099999999999</c:v>
                </c:pt>
                <c:pt idx="121">
                  <c:v>382.53300000000002</c:v>
                </c:pt>
                <c:pt idx="122">
                  <c:v>530.64599999999996</c:v>
                </c:pt>
                <c:pt idx="123">
                  <c:v>486.9</c:v>
                </c:pt>
                <c:pt idx="124">
                  <c:v>547.38900000000001</c:v>
                </c:pt>
                <c:pt idx="125">
                  <c:v>491.59899999999999</c:v>
                </c:pt>
                <c:pt idx="126">
                  <c:v>537.39200000000005</c:v>
                </c:pt>
                <c:pt idx="127">
                  <c:v>498.92500000000001</c:v>
                </c:pt>
                <c:pt idx="128">
                  <c:v>485.80500000000001</c:v>
                </c:pt>
                <c:pt idx="129">
                  <c:v>508.57</c:v>
                </c:pt>
                <c:pt idx="130">
                  <c:v>472.98099999999999</c:v>
                </c:pt>
                <c:pt idx="131">
                  <c:v>629.89200000000005</c:v>
                </c:pt>
                <c:pt idx="132">
                  <c:v>436.54199999999997</c:v>
                </c:pt>
                <c:pt idx="133">
                  <c:v>507.26799999999997</c:v>
                </c:pt>
                <c:pt idx="134">
                  <c:v>599.60400000000004</c:v>
                </c:pt>
                <c:pt idx="135">
                  <c:v>555.66499999999996</c:v>
                </c:pt>
                <c:pt idx="136">
                  <c:v>522.75099999999998</c:v>
                </c:pt>
                <c:pt idx="137">
                  <c:v>532.63199999999995</c:v>
                </c:pt>
                <c:pt idx="138">
                  <c:v>560.30200000000002</c:v>
                </c:pt>
                <c:pt idx="139">
                  <c:v>571.13699999999994</c:v>
                </c:pt>
                <c:pt idx="140">
                  <c:v>574.23500000000001</c:v>
                </c:pt>
                <c:pt idx="141">
                  <c:v>548.79899999999998</c:v>
                </c:pt>
                <c:pt idx="142">
                  <c:v>539.18100000000004</c:v>
                </c:pt>
                <c:pt idx="143">
                  <c:v>695.26800000000003</c:v>
                </c:pt>
                <c:pt idx="144">
                  <c:v>452.56400000000002</c:v>
                </c:pt>
                <c:pt idx="145">
                  <c:v>546.18499999999995</c:v>
                </c:pt>
                <c:pt idx="146">
                  <c:v>652.77499999999998</c:v>
                </c:pt>
                <c:pt idx="147">
                  <c:v>561.64400000000001</c:v>
                </c:pt>
                <c:pt idx="148">
                  <c:v>657.53499999999997</c:v>
                </c:pt>
                <c:pt idx="149">
                  <c:v>636.27300000000002</c:v>
                </c:pt>
                <c:pt idx="150">
                  <c:v>580.46</c:v>
                </c:pt>
                <c:pt idx="151">
                  <c:v>646.33199999999999</c:v>
                </c:pt>
                <c:pt idx="152">
                  <c:v>598.83600000000001</c:v>
                </c:pt>
                <c:pt idx="153">
                  <c:v>557.57600000000002</c:v>
                </c:pt>
                <c:pt idx="154">
                  <c:v>588.96400000000006</c:v>
                </c:pt>
                <c:pt idx="155">
                  <c:v>719.53300000000002</c:v>
                </c:pt>
                <c:pt idx="156">
                  <c:v>517.94899999999996</c:v>
                </c:pt>
                <c:pt idx="157">
                  <c:v>588.70600000000002</c:v>
                </c:pt>
                <c:pt idx="158">
                  <c:v>710.30200000000002</c:v>
                </c:pt>
                <c:pt idx="159">
                  <c:v>642.923</c:v>
                </c:pt>
                <c:pt idx="160">
                  <c:v>730.58600000000001</c:v>
                </c:pt>
                <c:pt idx="161">
                  <c:v>709.36900000000003</c:v>
                </c:pt>
                <c:pt idx="162">
                  <c:v>669.19</c:v>
                </c:pt>
                <c:pt idx="163">
                  <c:v>763.48599999999999</c:v>
                </c:pt>
                <c:pt idx="164">
                  <c:v>580.63400000000001</c:v>
                </c:pt>
                <c:pt idx="165">
                  <c:v>637.68200000000002</c:v>
                </c:pt>
                <c:pt idx="166">
                  <c:v>656.74300000000005</c:v>
                </c:pt>
                <c:pt idx="167">
                  <c:v>738.77700000000004</c:v>
                </c:pt>
                <c:pt idx="168">
                  <c:v>530.995</c:v>
                </c:pt>
                <c:pt idx="169">
                  <c:v>623.88</c:v>
                </c:pt>
                <c:pt idx="170">
                  <c:v>790.16</c:v>
                </c:pt>
                <c:pt idx="171">
                  <c:v>725.94299999999998</c:v>
                </c:pt>
                <c:pt idx="172">
                  <c:v>826.52800000000002</c:v>
                </c:pt>
                <c:pt idx="173">
                  <c:v>730.32899999999995</c:v>
                </c:pt>
                <c:pt idx="174">
                  <c:v>758.00099999999998</c:v>
                </c:pt>
                <c:pt idx="175">
                  <c:v>831.02800000000002</c:v>
                </c:pt>
                <c:pt idx="176">
                  <c:v>676.42700000000002</c:v>
                </c:pt>
                <c:pt idx="177">
                  <c:v>695.63</c:v>
                </c:pt>
                <c:pt idx="178">
                  <c:v>717.13499999999999</c:v>
                </c:pt>
                <c:pt idx="179">
                  <c:v>841.76400000000001</c:v>
                </c:pt>
                <c:pt idx="180">
                  <c:v>631.50900000000001</c:v>
                </c:pt>
                <c:pt idx="181">
                  <c:v>694.69</c:v>
                </c:pt>
                <c:pt idx="182">
                  <c:v>826.45600000000002</c:v>
                </c:pt>
                <c:pt idx="183">
                  <c:v>800.09199999999998</c:v>
                </c:pt>
                <c:pt idx="184">
                  <c:v>881.74199999999996</c:v>
                </c:pt>
                <c:pt idx="185">
                  <c:v>810.99099999999999</c:v>
                </c:pt>
                <c:pt idx="186">
                  <c:v>859.65</c:v>
                </c:pt>
                <c:pt idx="187">
                  <c:v>898.625</c:v>
                </c:pt>
                <c:pt idx="188">
                  <c:v>836.38099999999997</c:v>
                </c:pt>
                <c:pt idx="189">
                  <c:v>845.24800000000005</c:v>
                </c:pt>
                <c:pt idx="190">
                  <c:v>783.70899999999995</c:v>
                </c:pt>
                <c:pt idx="191">
                  <c:v>999.91800000000001</c:v>
                </c:pt>
                <c:pt idx="192">
                  <c:v>670.34500000000003</c:v>
                </c:pt>
                <c:pt idx="193">
                  <c:v>779.54700000000003</c:v>
                </c:pt>
                <c:pt idx="194">
                  <c:v>918.43499999999995</c:v>
                </c:pt>
                <c:pt idx="195">
                  <c:v>887.31500000000005</c:v>
                </c:pt>
                <c:pt idx="196">
                  <c:v>899.721</c:v>
                </c:pt>
                <c:pt idx="197">
                  <c:v>902.79200000000003</c:v>
                </c:pt>
                <c:pt idx="198">
                  <c:v>925.09699999999998</c:v>
                </c:pt>
                <c:pt idx="199">
                  <c:v>926.56700000000001</c:v>
                </c:pt>
                <c:pt idx="200">
                  <c:v>873.649</c:v>
                </c:pt>
                <c:pt idx="201">
                  <c:v>859.65899999999999</c:v>
                </c:pt>
                <c:pt idx="202">
                  <c:v>863.41499999999996</c:v>
                </c:pt>
                <c:pt idx="203">
                  <c:v>1080.0630000000001</c:v>
                </c:pt>
                <c:pt idx="204">
                  <c:v>726.29300000000001</c:v>
                </c:pt>
              </c:numCache>
            </c:numRef>
          </c:val>
          <c:smooth val="0"/>
          <c:extLst>
            <c:ext xmlns:c16="http://schemas.microsoft.com/office/drawing/2014/chart" uri="{C3380CC4-5D6E-409C-BE32-E72D297353CC}">
              <c16:uniqueId val="{00000000-4E22-45E5-BB8E-E5E764C7D647}"/>
            </c:ext>
          </c:extLst>
        </c:ser>
        <c:dLbls>
          <c:showLegendKey val="0"/>
          <c:showVal val="0"/>
          <c:showCatName val="0"/>
          <c:showSerName val="0"/>
          <c:showPercent val="0"/>
          <c:showBubbleSize val="0"/>
        </c:dLbls>
        <c:smooth val="0"/>
        <c:axId val="271521280"/>
        <c:axId val="271522816"/>
      </c:lineChart>
      <c:dateAx>
        <c:axId val="271521280"/>
        <c:scaling>
          <c:orientation val="minMax"/>
        </c:scaling>
        <c:delete val="0"/>
        <c:axPos val="b"/>
        <c:numFmt formatCode="yyyy" sourceLinked="0"/>
        <c:majorTickMark val="out"/>
        <c:minorTickMark val="none"/>
        <c:tickLblPos val="nextTo"/>
        <c:spPr>
          <a:ln w="3175">
            <a:solidFill>
              <a:srgbClr val="808080"/>
            </a:solidFill>
          </a:ln>
        </c:spPr>
        <c:txPr>
          <a:bodyPr rot="-5400000" vert="horz"/>
          <a:lstStyle/>
          <a:p>
            <a:pPr>
              <a:defRPr/>
            </a:pPr>
            <a:endParaRPr lang="en-US"/>
          </a:p>
        </c:txPr>
        <c:crossAx val="271522816"/>
        <c:crosses val="autoZero"/>
        <c:auto val="1"/>
        <c:lblOffset val="100"/>
        <c:baseTimeUnit val="months"/>
        <c:majorUnit val="12"/>
        <c:majorTimeUnit val="months"/>
      </c:dateAx>
      <c:valAx>
        <c:axId val="271522816"/>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noFill/>
          </a:ln>
        </c:spPr>
        <c:crossAx val="271521280"/>
        <c:crosses val="autoZero"/>
        <c:crossBetween val="between"/>
        <c:majorUnit val="250"/>
      </c:valAx>
    </c:plotArea>
    <c:plotVisOnly val="1"/>
    <c:dispBlanksAs val="gap"/>
    <c:showDLblsOverMax val="0"/>
  </c:chart>
  <c:spPr>
    <a:ln>
      <a:noFill/>
    </a:ln>
  </c:spPr>
  <c:txPr>
    <a:bodyPr/>
    <a:lstStyle/>
    <a:p>
      <a:pPr>
        <a:defRPr sz="900">
          <a:latin typeface="Arial" pitchFamily="34" charset="0"/>
          <a:cs typeface="Arial" pitchFamily="34" charset="0"/>
        </a:defRPr>
      </a:pPr>
      <a:endParaRPr lang="en-US"/>
    </a:p>
  </c:txPr>
  <c:printSettings>
    <c:headerFooter/>
    <c:pageMargins b="0.74803149606299502" l="0.70866141732283794" r="0.70866141732283794" t="0.74803149606299502" header="0.31496062992126261" footer="0.31496062992126261"/>
    <c:pageSetup paperSize="9" orientation="landscape" blackAndWhite="1"/>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900" b="0" i="0" u="none" strike="noStrike" kern="1200" baseline="0">
                <a:solidFill>
                  <a:sysClr val="windowText" lastClr="000000"/>
                </a:solidFill>
                <a:latin typeface="Arial" pitchFamily="34" charset="0"/>
                <a:ea typeface="+mn-ea"/>
                <a:cs typeface="Arial" pitchFamily="34" charset="0"/>
              </a:defRPr>
            </a:pPr>
            <a:r>
              <a:rPr lang="en-US"/>
              <a:t>Axis Title</a:t>
            </a:r>
          </a:p>
        </c:rich>
      </c:tx>
      <c:layout>
        <c:manualLayout>
          <c:xMode val="edge"/>
          <c:yMode val="edge"/>
          <c:x val="1.1228425244116534E-2"/>
          <c:y val="1.1759259259259259E-2"/>
        </c:manualLayout>
      </c:layout>
      <c:overlay val="0"/>
      <c:spPr>
        <a:noFill/>
        <a:ln>
          <a:noFill/>
        </a:ln>
        <a:effectLst/>
      </c:spPr>
    </c:title>
    <c:autoTitleDeleted val="0"/>
    <c:plotArea>
      <c:layout>
        <c:manualLayout>
          <c:layoutTarget val="inner"/>
          <c:xMode val="edge"/>
          <c:yMode val="edge"/>
          <c:x val="9.8581604642886095E-2"/>
          <c:y val="9.7239654371488418E-2"/>
          <c:w val="0.76870618403937474"/>
          <c:h val="0.81163365653053321"/>
        </c:manualLayout>
      </c:layout>
      <c:barChart>
        <c:barDir val="col"/>
        <c:grouping val="clustered"/>
        <c:varyColors val="0"/>
        <c:ser>
          <c:idx val="0"/>
          <c:order val="0"/>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00-0598-4534-8ACD-423A563622AA}"/>
              </c:ext>
            </c:extLst>
          </c:dPt>
          <c:cat>
            <c:numLit>
              <c:formatCode>General</c:formatCode>
              <c:ptCount val="7"/>
              <c:pt idx="0">
                <c:v>2010</c:v>
              </c:pt>
              <c:pt idx="1">
                <c:v>2011</c:v>
              </c:pt>
              <c:pt idx="2">
                <c:v>2012</c:v>
              </c:pt>
              <c:pt idx="3">
                <c:v>2013</c:v>
              </c:pt>
              <c:pt idx="4">
                <c:v>2014</c:v>
              </c:pt>
              <c:pt idx="5">
                <c:v>2015</c:v>
              </c:pt>
              <c:pt idx="6">
                <c:v>2016</c:v>
              </c:pt>
            </c:numLit>
          </c:cat>
          <c:val>
            <c:numLit>
              <c:formatCode>General</c:formatCode>
              <c:ptCount val="7"/>
              <c:pt idx="0">
                <c:v>84.3</c:v>
              </c:pt>
              <c:pt idx="1">
                <c:v>89.5</c:v>
              </c:pt>
              <c:pt idx="2">
                <c:v>78.8</c:v>
              </c:pt>
              <c:pt idx="3">
                <c:v>76.900000000000006</c:v>
              </c:pt>
              <c:pt idx="4">
                <c:v>70.099999999999795</c:v>
              </c:pt>
              <c:pt idx="5">
                <c:v>57.6</c:v>
              </c:pt>
              <c:pt idx="6">
                <c:v>50.2</c:v>
              </c:pt>
            </c:numLit>
          </c:val>
          <c:extLst>
            <c:ext xmlns:c16="http://schemas.microsoft.com/office/drawing/2014/chart" uri="{C3380CC4-5D6E-409C-BE32-E72D297353CC}">
              <c16:uniqueId val="{00000001-0598-4534-8ACD-423A563622AA}"/>
            </c:ext>
          </c:extLst>
        </c:ser>
        <c:ser>
          <c:idx val="1"/>
          <c:order val="1"/>
          <c:spPr>
            <a:solidFill>
              <a:srgbClr val="7654A3"/>
            </a:solidFill>
            <a:ln>
              <a:noFill/>
            </a:ln>
            <a:effectLst/>
          </c:spPr>
          <c:invertIfNegative val="0"/>
          <c:cat>
            <c:numLit>
              <c:formatCode>General</c:formatCode>
              <c:ptCount val="7"/>
              <c:pt idx="0">
                <c:v>2010</c:v>
              </c:pt>
              <c:pt idx="1">
                <c:v>2011</c:v>
              </c:pt>
              <c:pt idx="2">
                <c:v>2012</c:v>
              </c:pt>
              <c:pt idx="3">
                <c:v>2013</c:v>
              </c:pt>
              <c:pt idx="4">
                <c:v>2014</c:v>
              </c:pt>
              <c:pt idx="5">
                <c:v>2015</c:v>
              </c:pt>
              <c:pt idx="6">
                <c:v>2016</c:v>
              </c:pt>
            </c:numLit>
          </c:cat>
          <c:val>
            <c:numLit>
              <c:formatCode>General</c:formatCode>
              <c:ptCount val="7"/>
              <c:pt idx="0">
                <c:v>92.73</c:v>
              </c:pt>
              <c:pt idx="1">
                <c:v>98.45</c:v>
              </c:pt>
              <c:pt idx="2">
                <c:v>86.68</c:v>
              </c:pt>
              <c:pt idx="3">
                <c:v>84.59</c:v>
              </c:pt>
              <c:pt idx="4">
                <c:v>77.11</c:v>
              </c:pt>
              <c:pt idx="5">
                <c:v>63.36</c:v>
              </c:pt>
              <c:pt idx="6">
                <c:v>55.22</c:v>
              </c:pt>
            </c:numLit>
          </c:val>
          <c:extLst>
            <c:ext xmlns:c16="http://schemas.microsoft.com/office/drawing/2014/chart" uri="{C3380CC4-5D6E-409C-BE32-E72D297353CC}">
              <c16:uniqueId val="{00000002-0598-4534-8ACD-423A563622AA}"/>
            </c:ext>
          </c:extLst>
        </c:ser>
        <c:ser>
          <c:idx val="2"/>
          <c:order val="2"/>
          <c:spPr>
            <a:solidFill>
              <a:schemeClr val="accent3"/>
            </a:solidFill>
            <a:ln>
              <a:noFill/>
            </a:ln>
            <a:effectLst/>
          </c:spPr>
          <c:invertIfNegative val="0"/>
          <c:cat>
            <c:numLit>
              <c:formatCode>General</c:formatCode>
              <c:ptCount val="7"/>
              <c:pt idx="0">
                <c:v>2010</c:v>
              </c:pt>
              <c:pt idx="1">
                <c:v>2011</c:v>
              </c:pt>
              <c:pt idx="2">
                <c:v>2012</c:v>
              </c:pt>
              <c:pt idx="3">
                <c:v>2013</c:v>
              </c:pt>
              <c:pt idx="4">
                <c:v>2014</c:v>
              </c:pt>
              <c:pt idx="5">
                <c:v>2015</c:v>
              </c:pt>
              <c:pt idx="6">
                <c:v>2016</c:v>
              </c:pt>
            </c:numLit>
          </c:cat>
          <c:val>
            <c:numLit>
              <c:formatCode>General</c:formatCode>
              <c:ptCount val="7"/>
              <c:pt idx="0">
                <c:v>76.636363636363498</c:v>
              </c:pt>
              <c:pt idx="1">
                <c:v>81.363636363636303</c:v>
              </c:pt>
              <c:pt idx="2">
                <c:v>71.636363636363498</c:v>
              </c:pt>
              <c:pt idx="3">
                <c:v>69.909090909090907</c:v>
              </c:pt>
              <c:pt idx="4">
                <c:v>63.727272727272599</c:v>
              </c:pt>
              <c:pt idx="5">
                <c:v>52.363636363636303</c:v>
              </c:pt>
              <c:pt idx="6">
                <c:v>45.636363636363498</c:v>
              </c:pt>
            </c:numLit>
          </c:val>
          <c:extLst>
            <c:ext xmlns:c16="http://schemas.microsoft.com/office/drawing/2014/chart" uri="{C3380CC4-5D6E-409C-BE32-E72D297353CC}">
              <c16:uniqueId val="{00000003-0598-4534-8ACD-423A563622AA}"/>
            </c:ext>
          </c:extLst>
        </c:ser>
        <c:ser>
          <c:idx val="3"/>
          <c:order val="3"/>
          <c:spPr>
            <a:solidFill>
              <a:schemeClr val="accent4"/>
            </a:solidFill>
            <a:ln>
              <a:noFill/>
            </a:ln>
            <a:effectLst/>
          </c:spPr>
          <c:invertIfNegative val="0"/>
          <c:cat>
            <c:numLit>
              <c:formatCode>General</c:formatCode>
              <c:ptCount val="7"/>
              <c:pt idx="0">
                <c:v>2010</c:v>
              </c:pt>
              <c:pt idx="1">
                <c:v>2011</c:v>
              </c:pt>
              <c:pt idx="2">
                <c:v>2012</c:v>
              </c:pt>
              <c:pt idx="3">
                <c:v>2013</c:v>
              </c:pt>
              <c:pt idx="4">
                <c:v>2014</c:v>
              </c:pt>
              <c:pt idx="5">
                <c:v>2015</c:v>
              </c:pt>
              <c:pt idx="6">
                <c:v>2016</c:v>
              </c:pt>
            </c:numLit>
          </c:cat>
          <c:val>
            <c:numLit>
              <c:formatCode>General</c:formatCode>
              <c:ptCount val="7"/>
              <c:pt idx="0">
                <c:v>84.3</c:v>
              </c:pt>
              <c:pt idx="1">
                <c:v>89.5</c:v>
              </c:pt>
              <c:pt idx="2">
                <c:v>78.8</c:v>
              </c:pt>
              <c:pt idx="3">
                <c:v>76.900000000000006</c:v>
              </c:pt>
              <c:pt idx="4">
                <c:v>70.099999999999795</c:v>
              </c:pt>
              <c:pt idx="5">
                <c:v>57.6</c:v>
              </c:pt>
              <c:pt idx="6">
                <c:v>50.2</c:v>
              </c:pt>
            </c:numLit>
          </c:val>
          <c:extLst>
            <c:ext xmlns:c16="http://schemas.microsoft.com/office/drawing/2014/chart" uri="{C3380CC4-5D6E-409C-BE32-E72D297353CC}">
              <c16:uniqueId val="{00000004-0598-4534-8ACD-423A563622AA}"/>
            </c:ext>
          </c:extLst>
        </c:ser>
        <c:ser>
          <c:idx val="4"/>
          <c:order val="4"/>
          <c:spPr>
            <a:solidFill>
              <a:schemeClr val="accent5"/>
            </a:solidFill>
            <a:ln>
              <a:noFill/>
            </a:ln>
            <a:effectLst/>
          </c:spPr>
          <c:invertIfNegative val="0"/>
          <c:cat>
            <c:numLit>
              <c:formatCode>General</c:formatCode>
              <c:ptCount val="7"/>
              <c:pt idx="0">
                <c:v>2010</c:v>
              </c:pt>
              <c:pt idx="1">
                <c:v>2011</c:v>
              </c:pt>
              <c:pt idx="2">
                <c:v>2012</c:v>
              </c:pt>
              <c:pt idx="3">
                <c:v>2013</c:v>
              </c:pt>
              <c:pt idx="4">
                <c:v>2014</c:v>
              </c:pt>
              <c:pt idx="5">
                <c:v>2015</c:v>
              </c:pt>
              <c:pt idx="6">
                <c:v>2016</c:v>
              </c:pt>
            </c:numLit>
          </c:cat>
          <c:val>
            <c:numLit>
              <c:formatCode>General</c:formatCode>
              <c:ptCount val="7"/>
              <c:pt idx="0">
                <c:v>69.669421487603202</c:v>
              </c:pt>
              <c:pt idx="1">
                <c:v>73.966942148760197</c:v>
              </c:pt>
              <c:pt idx="2">
                <c:v>65.123966942148598</c:v>
              </c:pt>
              <c:pt idx="3">
                <c:v>63.553719008264402</c:v>
              </c:pt>
              <c:pt idx="4">
                <c:v>57.9338842975205</c:v>
              </c:pt>
              <c:pt idx="5">
                <c:v>47.603305785123901</c:v>
              </c:pt>
              <c:pt idx="6">
                <c:v>41.4876033057851</c:v>
              </c:pt>
            </c:numLit>
          </c:val>
          <c:extLst>
            <c:ext xmlns:c16="http://schemas.microsoft.com/office/drawing/2014/chart" uri="{C3380CC4-5D6E-409C-BE32-E72D297353CC}">
              <c16:uniqueId val="{00000005-0598-4534-8ACD-423A563622AA}"/>
            </c:ext>
          </c:extLst>
        </c:ser>
        <c:ser>
          <c:idx val="5"/>
          <c:order val="5"/>
          <c:spPr>
            <a:solidFill>
              <a:schemeClr val="accent6"/>
            </a:solidFill>
            <a:ln>
              <a:noFill/>
            </a:ln>
            <a:effectLst/>
          </c:spPr>
          <c:invertIfNegative val="0"/>
          <c:cat>
            <c:numLit>
              <c:formatCode>General</c:formatCode>
              <c:ptCount val="7"/>
              <c:pt idx="0">
                <c:v>2010</c:v>
              </c:pt>
              <c:pt idx="1">
                <c:v>2011</c:v>
              </c:pt>
              <c:pt idx="2">
                <c:v>2012</c:v>
              </c:pt>
              <c:pt idx="3">
                <c:v>2013</c:v>
              </c:pt>
              <c:pt idx="4">
                <c:v>2014</c:v>
              </c:pt>
              <c:pt idx="5">
                <c:v>2015</c:v>
              </c:pt>
              <c:pt idx="6">
                <c:v>2016</c:v>
              </c:pt>
            </c:numLit>
          </c:cat>
          <c:val>
            <c:numLit>
              <c:formatCode>General</c:formatCode>
              <c:ptCount val="7"/>
              <c:pt idx="0">
                <c:v>76.636363636363498</c:v>
              </c:pt>
              <c:pt idx="1">
                <c:v>81.363636363636303</c:v>
              </c:pt>
              <c:pt idx="2">
                <c:v>71.636363636363498</c:v>
              </c:pt>
              <c:pt idx="3">
                <c:v>69.909090909090907</c:v>
              </c:pt>
              <c:pt idx="4">
                <c:v>63.727272727272599</c:v>
              </c:pt>
              <c:pt idx="5">
                <c:v>52.363636363636303</c:v>
              </c:pt>
              <c:pt idx="6">
                <c:v>45.636363636363498</c:v>
              </c:pt>
            </c:numLit>
          </c:val>
          <c:extLst>
            <c:ext xmlns:c16="http://schemas.microsoft.com/office/drawing/2014/chart" uri="{C3380CC4-5D6E-409C-BE32-E72D297353CC}">
              <c16:uniqueId val="{00000006-0598-4534-8ACD-423A563622AA}"/>
            </c:ext>
          </c:extLst>
        </c:ser>
        <c:ser>
          <c:idx val="6"/>
          <c:order val="6"/>
          <c:spPr>
            <a:solidFill>
              <a:srgbClr val="BD5CA3"/>
            </a:solidFill>
            <a:ln>
              <a:noFill/>
            </a:ln>
            <a:effectLst/>
          </c:spPr>
          <c:invertIfNegative val="0"/>
          <c:cat>
            <c:numLit>
              <c:formatCode>General</c:formatCode>
              <c:ptCount val="7"/>
              <c:pt idx="0">
                <c:v>2010</c:v>
              </c:pt>
              <c:pt idx="1">
                <c:v>2011</c:v>
              </c:pt>
              <c:pt idx="2">
                <c:v>2012</c:v>
              </c:pt>
              <c:pt idx="3">
                <c:v>2013</c:v>
              </c:pt>
              <c:pt idx="4">
                <c:v>2014</c:v>
              </c:pt>
              <c:pt idx="5">
                <c:v>2015</c:v>
              </c:pt>
              <c:pt idx="6">
                <c:v>2016</c:v>
              </c:pt>
            </c:numLit>
          </c:cat>
          <c:val>
            <c:numLit>
              <c:formatCode>General</c:formatCode>
              <c:ptCount val="7"/>
              <c:pt idx="0">
                <c:v>63.3358377160028</c:v>
              </c:pt>
              <c:pt idx="1">
                <c:v>67.242674680690996</c:v>
              </c:pt>
              <c:pt idx="2">
                <c:v>59.203606311044197</c:v>
              </c:pt>
              <c:pt idx="3">
                <c:v>57.776108189331303</c:v>
              </c:pt>
              <c:pt idx="4">
                <c:v>52.667167543200399</c:v>
              </c:pt>
              <c:pt idx="5">
                <c:v>43.2757325319307</c:v>
              </c:pt>
              <c:pt idx="6">
                <c:v>37.716003005258997</c:v>
              </c:pt>
            </c:numLit>
          </c:val>
          <c:extLst>
            <c:ext xmlns:c16="http://schemas.microsoft.com/office/drawing/2014/chart" uri="{C3380CC4-5D6E-409C-BE32-E72D297353CC}">
              <c16:uniqueId val="{00000007-0598-4534-8ACD-423A563622AA}"/>
            </c:ext>
          </c:extLst>
        </c:ser>
        <c:ser>
          <c:idx val="7"/>
          <c:order val="7"/>
          <c:spPr>
            <a:solidFill>
              <a:srgbClr val="414141"/>
            </a:solidFill>
            <a:ln>
              <a:noFill/>
            </a:ln>
            <a:effectLst/>
          </c:spPr>
          <c:invertIfNegative val="0"/>
          <c:cat>
            <c:numLit>
              <c:formatCode>General</c:formatCode>
              <c:ptCount val="7"/>
              <c:pt idx="0">
                <c:v>2010</c:v>
              </c:pt>
              <c:pt idx="1">
                <c:v>2011</c:v>
              </c:pt>
              <c:pt idx="2">
                <c:v>2012</c:v>
              </c:pt>
              <c:pt idx="3">
                <c:v>2013</c:v>
              </c:pt>
              <c:pt idx="4">
                <c:v>2014</c:v>
              </c:pt>
              <c:pt idx="5">
                <c:v>2015</c:v>
              </c:pt>
              <c:pt idx="6">
                <c:v>2016</c:v>
              </c:pt>
            </c:numLit>
          </c:cat>
          <c:val>
            <c:numLit>
              <c:formatCode>General</c:formatCode>
              <c:ptCount val="7"/>
              <c:pt idx="0">
                <c:v>69.669421487603202</c:v>
              </c:pt>
              <c:pt idx="1">
                <c:v>73.966942148760197</c:v>
              </c:pt>
              <c:pt idx="2">
                <c:v>65.123966942148598</c:v>
              </c:pt>
              <c:pt idx="3">
                <c:v>63.553719008264402</c:v>
              </c:pt>
              <c:pt idx="4">
                <c:v>57.9338842975205</c:v>
              </c:pt>
              <c:pt idx="5">
                <c:v>47.603305785123901</c:v>
              </c:pt>
              <c:pt idx="6">
                <c:v>41.4876033057851</c:v>
              </c:pt>
            </c:numLit>
          </c:val>
          <c:extLst>
            <c:ext xmlns:c16="http://schemas.microsoft.com/office/drawing/2014/chart" uri="{C3380CC4-5D6E-409C-BE32-E72D297353CC}">
              <c16:uniqueId val="{00000008-0598-4534-8ACD-423A563622AA}"/>
            </c:ext>
          </c:extLst>
        </c:ser>
        <c:ser>
          <c:idx val="8"/>
          <c:order val="8"/>
          <c:spPr>
            <a:solidFill>
              <a:srgbClr val="D2D2D2"/>
            </a:solidFill>
            <a:ln>
              <a:noFill/>
            </a:ln>
            <a:effectLst/>
          </c:spPr>
          <c:invertIfNegative val="0"/>
          <c:dPt>
            <c:idx val="0"/>
            <c:invertIfNegative val="0"/>
            <c:bubble3D val="0"/>
            <c:spPr>
              <a:solidFill>
                <a:srgbClr val="FFC91D"/>
              </a:solidFill>
              <a:ln>
                <a:noFill/>
              </a:ln>
              <a:effectLst/>
            </c:spPr>
            <c:extLst>
              <c:ext xmlns:c16="http://schemas.microsoft.com/office/drawing/2014/chart" uri="{C3380CC4-5D6E-409C-BE32-E72D297353CC}">
                <c16:uniqueId val="{0000000A-0598-4534-8ACD-423A563622AA}"/>
              </c:ext>
            </c:extLst>
          </c:dPt>
          <c:val>
            <c:numLit>
              <c:formatCode>General</c:formatCode>
              <c:ptCount val="7"/>
              <c:pt idx="0">
                <c:v>57.578034287275401</c:v>
              </c:pt>
              <c:pt idx="1">
                <c:v>61.129704255173699</c:v>
              </c:pt>
              <c:pt idx="2">
                <c:v>53.821460282767397</c:v>
              </c:pt>
              <c:pt idx="3">
                <c:v>52.523734717573902</c:v>
              </c:pt>
              <c:pt idx="4">
                <c:v>47.8792432210914</c:v>
              </c:pt>
              <c:pt idx="5">
                <c:v>39.341575029028</c:v>
              </c:pt>
              <c:pt idx="6">
                <c:v>34.287275459326501</c:v>
              </c:pt>
            </c:numLit>
          </c:val>
          <c:extLst>
            <c:ext xmlns:c16="http://schemas.microsoft.com/office/drawing/2014/chart" uri="{C3380CC4-5D6E-409C-BE32-E72D297353CC}">
              <c16:uniqueId val="{0000000B-0598-4534-8ACD-423A563622AA}"/>
            </c:ext>
          </c:extLst>
        </c:ser>
        <c:ser>
          <c:idx val="9"/>
          <c:order val="9"/>
          <c:spPr>
            <a:solidFill>
              <a:srgbClr val="D2D2D2"/>
            </a:solidFill>
            <a:ln>
              <a:noFill/>
            </a:ln>
            <a:effectLst/>
          </c:spPr>
          <c:invertIfNegative val="0"/>
          <c:val>
            <c:numLit>
              <c:formatCode>General</c:formatCode>
              <c:ptCount val="7"/>
              <c:pt idx="0">
                <c:v>63.3358377160028</c:v>
              </c:pt>
              <c:pt idx="1">
                <c:v>67.242674680690996</c:v>
              </c:pt>
              <c:pt idx="2">
                <c:v>59.203606311044197</c:v>
              </c:pt>
              <c:pt idx="3">
                <c:v>57.776108189331303</c:v>
              </c:pt>
              <c:pt idx="4">
                <c:v>52.667167543200399</c:v>
              </c:pt>
              <c:pt idx="5">
                <c:v>43.2757325319307</c:v>
              </c:pt>
              <c:pt idx="6">
                <c:v>37.716003005258997</c:v>
              </c:pt>
            </c:numLit>
          </c:val>
          <c:extLst>
            <c:ext xmlns:c16="http://schemas.microsoft.com/office/drawing/2014/chart" uri="{C3380CC4-5D6E-409C-BE32-E72D297353CC}">
              <c16:uniqueId val="{0000000C-0598-4534-8ACD-423A563622AA}"/>
            </c:ext>
          </c:extLst>
        </c:ser>
        <c:dLbls>
          <c:showLegendKey val="0"/>
          <c:showVal val="0"/>
          <c:showCatName val="0"/>
          <c:showSerName val="0"/>
          <c:showPercent val="0"/>
          <c:showBubbleSize val="0"/>
        </c:dLbls>
        <c:gapWidth val="50"/>
        <c:axId val="272714752"/>
        <c:axId val="272732928"/>
      </c:barChart>
      <c:catAx>
        <c:axId val="272714752"/>
        <c:scaling>
          <c:orientation val="minMax"/>
        </c:scaling>
        <c:delete val="0"/>
        <c:axPos val="b"/>
        <c:numFmt formatCode="General" sourceLinked="1"/>
        <c:majorTickMark val="out"/>
        <c:minorTickMark val="none"/>
        <c:tickLblPos val="nextTo"/>
        <c:spPr>
          <a:noFill/>
          <a:ln w="3175" cap="flat" cmpd="sng" algn="ctr">
            <a:solidFill>
              <a:srgbClr val="B3B3B3"/>
            </a:solidFill>
            <a:prstDash val="solid"/>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Arial" pitchFamily="34" charset="0"/>
                <a:ea typeface="+mn-ea"/>
                <a:cs typeface="Arial" pitchFamily="34" charset="0"/>
              </a:defRPr>
            </a:pPr>
            <a:endParaRPr lang="en-US"/>
          </a:p>
        </c:txPr>
        <c:crossAx val="272732928"/>
        <c:crosses val="autoZero"/>
        <c:auto val="1"/>
        <c:lblAlgn val="ctr"/>
        <c:lblOffset val="100"/>
        <c:noMultiLvlLbl val="0"/>
      </c:catAx>
      <c:valAx>
        <c:axId val="272732928"/>
        <c:scaling>
          <c:orientation val="minMax"/>
        </c:scaling>
        <c:delete val="0"/>
        <c:axPos val="l"/>
        <c:majorGridlines>
          <c:spPr>
            <a:ln w="3175" cap="flat" cmpd="sng" algn="ctr">
              <a:solidFill>
                <a:srgbClr val="D2D2D2"/>
              </a:solidFill>
              <a:prstDash val="solid"/>
              <a:round/>
            </a:ln>
            <a:effectLst/>
          </c:spPr>
        </c:majorGridlines>
        <c:numFmt formatCode="#,##0" sourceLinked="0"/>
        <c:majorTickMark val="out"/>
        <c:minorTickMark val="none"/>
        <c:tickLblPos val="nextTo"/>
        <c:spPr>
          <a:noFill/>
          <a:ln w="3175" cap="flat" cmpd="sng" algn="ctr">
            <a:noFill/>
            <a:prstDash val="solid"/>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Arial" pitchFamily="34" charset="0"/>
                <a:ea typeface="+mn-ea"/>
                <a:cs typeface="Arial" pitchFamily="34" charset="0"/>
              </a:defRPr>
            </a:pPr>
            <a:endParaRPr lang="en-US"/>
          </a:p>
        </c:txPr>
        <c:crossAx val="272714752"/>
        <c:crosses val="autoZero"/>
        <c:crossBetween val="between"/>
      </c:valAx>
      <c:spPr>
        <a:solidFill>
          <a:schemeClr val="bg1"/>
        </a:solidFill>
        <a:ln>
          <a:noFill/>
        </a:ln>
        <a:effectLst/>
      </c:spPr>
    </c:plotArea>
    <c:legend>
      <c:legendPos val="r"/>
      <c:layout>
        <c:manualLayout>
          <c:xMode val="edge"/>
          <c:yMode val="edge"/>
          <c:x val="0.90290100353175551"/>
          <c:y val="0.28297035754721628"/>
          <c:w val="9.7099065086171846E-2"/>
          <c:h val="0.5016273148148148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Arial" pitchFamily="34" charset="0"/>
              <a:ea typeface="+mn-ea"/>
              <a:cs typeface="Arial" pitchFamily="34" charset="0"/>
            </a:defRPr>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sz="900">
          <a:solidFill>
            <a:sysClr val="windowText" lastClr="000000"/>
          </a:solidFill>
          <a:latin typeface="Arial" pitchFamily="34" charset="0"/>
          <a:cs typeface="Arial" pitchFamily="34" charset="0"/>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0"/>
            </a:pPr>
            <a:r>
              <a:rPr lang="en-US" sz="900" b="0"/>
              <a:t>Axis Title</a:t>
            </a:r>
          </a:p>
        </c:rich>
      </c:tx>
      <c:layout>
        <c:manualLayout>
          <c:xMode val="edge"/>
          <c:yMode val="edge"/>
          <c:x val="1.8246885002286217E-2"/>
          <c:y val="2.0578703703703703E-2"/>
        </c:manualLayout>
      </c:layout>
      <c:overlay val="0"/>
    </c:title>
    <c:autoTitleDeleted val="0"/>
    <c:plotArea>
      <c:layout>
        <c:manualLayout>
          <c:layoutTarget val="inner"/>
          <c:xMode val="edge"/>
          <c:yMode val="edge"/>
          <c:x val="0.1080358367626886"/>
          <c:y val="0.1131441382327209"/>
          <c:w val="0.74522147919524462"/>
          <c:h val="0.78429389034703978"/>
        </c:manualLayout>
      </c:layout>
      <c:barChart>
        <c:barDir val="col"/>
        <c:grouping val="stacked"/>
        <c:varyColors val="0"/>
        <c:ser>
          <c:idx val="0"/>
          <c:order val="0"/>
          <c:spPr>
            <a:solidFill>
              <a:srgbClr val="00AEE5"/>
            </a:solidFill>
            <a:ln w="12700">
              <a:noFill/>
            </a:ln>
          </c:spPr>
          <c:invertIfNegative val="0"/>
          <c:cat>
            <c:numLit>
              <c:formatCode>0</c:formatCode>
              <c:ptCount val="7"/>
              <c:pt idx="0">
                <c:v>2010</c:v>
              </c:pt>
              <c:pt idx="1">
                <c:v>2011</c:v>
              </c:pt>
              <c:pt idx="2">
                <c:v>2012</c:v>
              </c:pt>
              <c:pt idx="3">
                <c:v>2013</c:v>
              </c:pt>
              <c:pt idx="4">
                <c:v>2014</c:v>
              </c:pt>
              <c:pt idx="5">
                <c:v>2015</c:v>
              </c:pt>
              <c:pt idx="6">
                <c:v>2016</c:v>
              </c:pt>
            </c:numLit>
          </c:cat>
          <c:val>
            <c:numLit>
              <c:formatCode>General</c:formatCode>
              <c:ptCount val="7"/>
              <c:pt idx="0">
                <c:v>84.3</c:v>
              </c:pt>
              <c:pt idx="1">
                <c:v>89.5</c:v>
              </c:pt>
              <c:pt idx="2">
                <c:v>78.8</c:v>
              </c:pt>
              <c:pt idx="3">
                <c:v>76.900000000000006</c:v>
              </c:pt>
              <c:pt idx="4">
                <c:v>70.099999999999994</c:v>
              </c:pt>
              <c:pt idx="5">
                <c:v>57.6</c:v>
              </c:pt>
              <c:pt idx="6">
                <c:v>50.2</c:v>
              </c:pt>
            </c:numLit>
          </c:val>
          <c:extLst>
            <c:ext xmlns:c16="http://schemas.microsoft.com/office/drawing/2014/chart" uri="{C3380CC4-5D6E-409C-BE32-E72D297353CC}">
              <c16:uniqueId val="{00000000-0AD4-4BF6-8962-09E4BDC1CA14}"/>
            </c:ext>
          </c:extLst>
        </c:ser>
        <c:ser>
          <c:idx val="1"/>
          <c:order val="1"/>
          <c:spPr>
            <a:solidFill>
              <a:srgbClr val="7654A3"/>
            </a:solidFill>
            <a:ln w="12700">
              <a:noFill/>
            </a:ln>
          </c:spPr>
          <c:invertIfNegative val="0"/>
          <c:cat>
            <c:numLit>
              <c:formatCode>0</c:formatCode>
              <c:ptCount val="7"/>
              <c:pt idx="0">
                <c:v>2010</c:v>
              </c:pt>
              <c:pt idx="1">
                <c:v>2011</c:v>
              </c:pt>
              <c:pt idx="2">
                <c:v>2012</c:v>
              </c:pt>
              <c:pt idx="3">
                <c:v>2013</c:v>
              </c:pt>
              <c:pt idx="4">
                <c:v>2014</c:v>
              </c:pt>
              <c:pt idx="5">
                <c:v>2015</c:v>
              </c:pt>
              <c:pt idx="6">
                <c:v>2016</c:v>
              </c:pt>
            </c:numLit>
          </c:cat>
          <c:val>
            <c:numLit>
              <c:formatCode>General</c:formatCode>
              <c:ptCount val="7"/>
              <c:pt idx="0">
                <c:v>92.73</c:v>
              </c:pt>
              <c:pt idx="1">
                <c:v>98.45</c:v>
              </c:pt>
              <c:pt idx="2">
                <c:v>86.68</c:v>
              </c:pt>
              <c:pt idx="3">
                <c:v>84.590000000000018</c:v>
              </c:pt>
              <c:pt idx="4">
                <c:v>77.11</c:v>
              </c:pt>
              <c:pt idx="5">
                <c:v>63.360000000000007</c:v>
              </c:pt>
              <c:pt idx="6">
                <c:v>55.220000000000006</c:v>
              </c:pt>
            </c:numLit>
          </c:val>
          <c:extLst>
            <c:ext xmlns:c16="http://schemas.microsoft.com/office/drawing/2014/chart" uri="{C3380CC4-5D6E-409C-BE32-E72D297353CC}">
              <c16:uniqueId val="{00000001-0AD4-4BF6-8962-09E4BDC1CA14}"/>
            </c:ext>
          </c:extLst>
        </c:ser>
        <c:ser>
          <c:idx val="2"/>
          <c:order val="2"/>
          <c:spPr>
            <a:solidFill>
              <a:srgbClr val="43BEAD"/>
            </a:solidFill>
            <a:ln w="12700">
              <a:noFill/>
            </a:ln>
          </c:spPr>
          <c:invertIfNegative val="0"/>
          <c:cat>
            <c:numLit>
              <c:formatCode>0</c:formatCode>
              <c:ptCount val="7"/>
              <c:pt idx="0">
                <c:v>2010</c:v>
              </c:pt>
              <c:pt idx="1">
                <c:v>2011</c:v>
              </c:pt>
              <c:pt idx="2">
                <c:v>2012</c:v>
              </c:pt>
              <c:pt idx="3">
                <c:v>2013</c:v>
              </c:pt>
              <c:pt idx="4">
                <c:v>2014</c:v>
              </c:pt>
              <c:pt idx="5">
                <c:v>2015</c:v>
              </c:pt>
              <c:pt idx="6">
                <c:v>2016</c:v>
              </c:pt>
            </c:numLit>
          </c:cat>
          <c:val>
            <c:numLit>
              <c:formatCode>General</c:formatCode>
              <c:ptCount val="7"/>
              <c:pt idx="0">
                <c:v>76.636363636363626</c:v>
              </c:pt>
              <c:pt idx="1">
                <c:v>81.36363636363636</c:v>
              </c:pt>
              <c:pt idx="2">
                <c:v>71.636363636363626</c:v>
              </c:pt>
              <c:pt idx="3">
                <c:v>69.909090909090907</c:v>
              </c:pt>
              <c:pt idx="4">
                <c:v>63.72727272727272</c:v>
              </c:pt>
              <c:pt idx="5">
                <c:v>52.36363636363636</c:v>
              </c:pt>
              <c:pt idx="6">
                <c:v>45.636363636363633</c:v>
              </c:pt>
            </c:numLit>
          </c:val>
          <c:extLst>
            <c:ext xmlns:c16="http://schemas.microsoft.com/office/drawing/2014/chart" uri="{C3380CC4-5D6E-409C-BE32-E72D297353CC}">
              <c16:uniqueId val="{00000002-0AD4-4BF6-8962-09E4BDC1CA14}"/>
            </c:ext>
          </c:extLst>
        </c:ser>
        <c:ser>
          <c:idx val="3"/>
          <c:order val="3"/>
          <c:spPr>
            <a:solidFill>
              <a:srgbClr val="FFE838"/>
            </a:solidFill>
            <a:ln w="12700">
              <a:noFill/>
            </a:ln>
          </c:spPr>
          <c:invertIfNegative val="0"/>
          <c:cat>
            <c:numLit>
              <c:formatCode>0</c:formatCode>
              <c:ptCount val="7"/>
              <c:pt idx="0">
                <c:v>2010</c:v>
              </c:pt>
              <c:pt idx="1">
                <c:v>2011</c:v>
              </c:pt>
              <c:pt idx="2">
                <c:v>2012</c:v>
              </c:pt>
              <c:pt idx="3">
                <c:v>2013</c:v>
              </c:pt>
              <c:pt idx="4">
                <c:v>2014</c:v>
              </c:pt>
              <c:pt idx="5">
                <c:v>2015</c:v>
              </c:pt>
              <c:pt idx="6">
                <c:v>2016</c:v>
              </c:pt>
            </c:numLit>
          </c:cat>
          <c:val>
            <c:numLit>
              <c:formatCode>General</c:formatCode>
              <c:ptCount val="7"/>
              <c:pt idx="0">
                <c:v>84.3</c:v>
              </c:pt>
              <c:pt idx="1">
                <c:v>89.5</c:v>
              </c:pt>
              <c:pt idx="2">
                <c:v>78.8</c:v>
              </c:pt>
              <c:pt idx="3">
                <c:v>76.900000000000006</c:v>
              </c:pt>
              <c:pt idx="4">
                <c:v>70.099999999999994</c:v>
              </c:pt>
              <c:pt idx="5">
                <c:v>57.6</c:v>
              </c:pt>
              <c:pt idx="6">
                <c:v>50.2</c:v>
              </c:pt>
            </c:numLit>
          </c:val>
          <c:extLst>
            <c:ext xmlns:c16="http://schemas.microsoft.com/office/drawing/2014/chart" uri="{C3380CC4-5D6E-409C-BE32-E72D297353CC}">
              <c16:uniqueId val="{00000003-0AD4-4BF6-8962-09E4BDC1CA14}"/>
            </c:ext>
          </c:extLst>
        </c:ser>
        <c:ser>
          <c:idx val="4"/>
          <c:order val="4"/>
          <c:spPr>
            <a:solidFill>
              <a:srgbClr val="ED3124"/>
            </a:solidFill>
            <a:ln w="12700">
              <a:noFill/>
            </a:ln>
          </c:spPr>
          <c:invertIfNegative val="0"/>
          <c:cat>
            <c:numLit>
              <c:formatCode>0</c:formatCode>
              <c:ptCount val="7"/>
              <c:pt idx="0">
                <c:v>2010</c:v>
              </c:pt>
              <c:pt idx="1">
                <c:v>2011</c:v>
              </c:pt>
              <c:pt idx="2">
                <c:v>2012</c:v>
              </c:pt>
              <c:pt idx="3">
                <c:v>2013</c:v>
              </c:pt>
              <c:pt idx="4">
                <c:v>2014</c:v>
              </c:pt>
              <c:pt idx="5">
                <c:v>2015</c:v>
              </c:pt>
              <c:pt idx="6">
                <c:v>2016</c:v>
              </c:pt>
            </c:numLit>
          </c:cat>
          <c:val>
            <c:numLit>
              <c:formatCode>General</c:formatCode>
              <c:ptCount val="7"/>
              <c:pt idx="0">
                <c:v>69.669421487603287</c:v>
              </c:pt>
              <c:pt idx="1">
                <c:v>73.966942148760324</c:v>
              </c:pt>
              <c:pt idx="2">
                <c:v>65.123966942148741</c:v>
              </c:pt>
              <c:pt idx="3">
                <c:v>63.553719008264459</c:v>
              </c:pt>
              <c:pt idx="4">
                <c:v>57.933884297520649</c:v>
              </c:pt>
              <c:pt idx="5">
                <c:v>47.603305785123958</c:v>
              </c:pt>
              <c:pt idx="6">
                <c:v>41.487603305785115</c:v>
              </c:pt>
            </c:numLit>
          </c:val>
          <c:extLst>
            <c:ext xmlns:c16="http://schemas.microsoft.com/office/drawing/2014/chart" uri="{C3380CC4-5D6E-409C-BE32-E72D297353CC}">
              <c16:uniqueId val="{00000004-0AD4-4BF6-8962-09E4BDC1CA14}"/>
            </c:ext>
          </c:extLst>
        </c:ser>
        <c:ser>
          <c:idx val="5"/>
          <c:order val="5"/>
          <c:spPr>
            <a:solidFill>
              <a:srgbClr val="19B24E"/>
            </a:solidFill>
            <a:ln w="12700">
              <a:noFill/>
            </a:ln>
          </c:spPr>
          <c:invertIfNegative val="0"/>
          <c:cat>
            <c:numLit>
              <c:formatCode>0</c:formatCode>
              <c:ptCount val="7"/>
              <c:pt idx="0">
                <c:v>2010</c:v>
              </c:pt>
              <c:pt idx="1">
                <c:v>2011</c:v>
              </c:pt>
              <c:pt idx="2">
                <c:v>2012</c:v>
              </c:pt>
              <c:pt idx="3">
                <c:v>2013</c:v>
              </c:pt>
              <c:pt idx="4">
                <c:v>2014</c:v>
              </c:pt>
              <c:pt idx="5">
                <c:v>2015</c:v>
              </c:pt>
              <c:pt idx="6">
                <c:v>2016</c:v>
              </c:pt>
            </c:numLit>
          </c:cat>
          <c:val>
            <c:numLit>
              <c:formatCode>General</c:formatCode>
              <c:ptCount val="7"/>
              <c:pt idx="0">
                <c:v>76.636363636363626</c:v>
              </c:pt>
              <c:pt idx="1">
                <c:v>81.36363636363636</c:v>
              </c:pt>
              <c:pt idx="2">
                <c:v>71.636363636363626</c:v>
              </c:pt>
              <c:pt idx="3">
                <c:v>69.909090909090907</c:v>
              </c:pt>
              <c:pt idx="4">
                <c:v>63.72727272727272</c:v>
              </c:pt>
              <c:pt idx="5">
                <c:v>52.36363636363636</c:v>
              </c:pt>
              <c:pt idx="6">
                <c:v>45.636363636363633</c:v>
              </c:pt>
            </c:numLit>
          </c:val>
          <c:extLst>
            <c:ext xmlns:c16="http://schemas.microsoft.com/office/drawing/2014/chart" uri="{C3380CC4-5D6E-409C-BE32-E72D297353CC}">
              <c16:uniqueId val="{00000005-0AD4-4BF6-8962-09E4BDC1CA14}"/>
            </c:ext>
          </c:extLst>
        </c:ser>
        <c:ser>
          <c:idx val="6"/>
          <c:order val="6"/>
          <c:spPr>
            <a:solidFill>
              <a:srgbClr val="BD5CA3"/>
            </a:solidFill>
            <a:ln w="12700">
              <a:noFill/>
            </a:ln>
          </c:spPr>
          <c:invertIfNegative val="0"/>
          <c:cat>
            <c:numLit>
              <c:formatCode>0</c:formatCode>
              <c:ptCount val="7"/>
              <c:pt idx="0">
                <c:v>2010</c:v>
              </c:pt>
              <c:pt idx="1">
                <c:v>2011</c:v>
              </c:pt>
              <c:pt idx="2">
                <c:v>2012</c:v>
              </c:pt>
              <c:pt idx="3">
                <c:v>2013</c:v>
              </c:pt>
              <c:pt idx="4">
                <c:v>2014</c:v>
              </c:pt>
              <c:pt idx="5">
                <c:v>2015</c:v>
              </c:pt>
              <c:pt idx="6">
                <c:v>2016</c:v>
              </c:pt>
            </c:numLit>
          </c:cat>
          <c:val>
            <c:numLit>
              <c:formatCode>General</c:formatCode>
              <c:ptCount val="7"/>
              <c:pt idx="0">
                <c:v>63.335837716002985</c:v>
              </c:pt>
              <c:pt idx="1">
                <c:v>67.242674680691195</c:v>
              </c:pt>
              <c:pt idx="2">
                <c:v>59.203606311044304</c:v>
              </c:pt>
              <c:pt idx="3">
                <c:v>57.776108189331325</c:v>
              </c:pt>
              <c:pt idx="4">
                <c:v>52.667167543200584</c:v>
              </c:pt>
              <c:pt idx="5">
                <c:v>43.275732531930871</c:v>
              </c:pt>
              <c:pt idx="6">
                <c:v>37.716003005259189</c:v>
              </c:pt>
            </c:numLit>
          </c:val>
          <c:extLst>
            <c:ext xmlns:c16="http://schemas.microsoft.com/office/drawing/2014/chart" uri="{C3380CC4-5D6E-409C-BE32-E72D297353CC}">
              <c16:uniqueId val="{00000006-0AD4-4BF6-8962-09E4BDC1CA14}"/>
            </c:ext>
          </c:extLst>
        </c:ser>
        <c:ser>
          <c:idx val="7"/>
          <c:order val="7"/>
          <c:spPr>
            <a:solidFill>
              <a:srgbClr val="414141"/>
            </a:solidFill>
            <a:ln w="12700">
              <a:noFill/>
            </a:ln>
          </c:spPr>
          <c:invertIfNegative val="0"/>
          <c:cat>
            <c:numLit>
              <c:formatCode>0</c:formatCode>
              <c:ptCount val="7"/>
              <c:pt idx="0">
                <c:v>2010</c:v>
              </c:pt>
              <c:pt idx="1">
                <c:v>2011</c:v>
              </c:pt>
              <c:pt idx="2">
                <c:v>2012</c:v>
              </c:pt>
              <c:pt idx="3">
                <c:v>2013</c:v>
              </c:pt>
              <c:pt idx="4">
                <c:v>2014</c:v>
              </c:pt>
              <c:pt idx="5">
                <c:v>2015</c:v>
              </c:pt>
              <c:pt idx="6">
                <c:v>2016</c:v>
              </c:pt>
            </c:numLit>
          </c:cat>
          <c:val>
            <c:numLit>
              <c:formatCode>General</c:formatCode>
              <c:ptCount val="7"/>
              <c:pt idx="0">
                <c:v>69.669421487603287</c:v>
              </c:pt>
              <c:pt idx="1">
                <c:v>73.966942148760324</c:v>
              </c:pt>
              <c:pt idx="2">
                <c:v>65.123966942148741</c:v>
              </c:pt>
              <c:pt idx="3">
                <c:v>63.553719008264459</c:v>
              </c:pt>
              <c:pt idx="4">
                <c:v>57.933884297520649</c:v>
              </c:pt>
              <c:pt idx="5">
                <c:v>47.603305785123958</c:v>
              </c:pt>
              <c:pt idx="6">
                <c:v>41.487603305785115</c:v>
              </c:pt>
            </c:numLit>
          </c:val>
          <c:extLst>
            <c:ext xmlns:c16="http://schemas.microsoft.com/office/drawing/2014/chart" uri="{C3380CC4-5D6E-409C-BE32-E72D297353CC}">
              <c16:uniqueId val="{00000007-0AD4-4BF6-8962-09E4BDC1CA14}"/>
            </c:ext>
          </c:extLst>
        </c:ser>
        <c:ser>
          <c:idx val="8"/>
          <c:order val="8"/>
          <c:spPr>
            <a:solidFill>
              <a:srgbClr val="FFC91D"/>
            </a:solidFill>
            <a:ln w="12700">
              <a:noFill/>
            </a:ln>
          </c:spPr>
          <c:invertIfNegative val="0"/>
          <c:cat>
            <c:numLit>
              <c:formatCode>0</c:formatCode>
              <c:ptCount val="7"/>
              <c:pt idx="0">
                <c:v>2010</c:v>
              </c:pt>
              <c:pt idx="1">
                <c:v>2011</c:v>
              </c:pt>
              <c:pt idx="2">
                <c:v>2012</c:v>
              </c:pt>
              <c:pt idx="3">
                <c:v>2013</c:v>
              </c:pt>
              <c:pt idx="4">
                <c:v>2014</c:v>
              </c:pt>
              <c:pt idx="5">
                <c:v>2015</c:v>
              </c:pt>
              <c:pt idx="6">
                <c:v>2016</c:v>
              </c:pt>
            </c:numLit>
          </c:cat>
          <c:val>
            <c:numLit>
              <c:formatCode>General</c:formatCode>
              <c:ptCount val="7"/>
              <c:pt idx="0">
                <c:v>57.578034287275436</c:v>
              </c:pt>
              <c:pt idx="1">
                <c:v>61.129704255173806</c:v>
              </c:pt>
              <c:pt idx="2">
                <c:v>53.821460282767546</c:v>
              </c:pt>
              <c:pt idx="3">
                <c:v>52.52373471757393</c:v>
              </c:pt>
              <c:pt idx="4">
                <c:v>47.879243221091436</c:v>
              </c:pt>
              <c:pt idx="5">
                <c:v>39.341575029028064</c:v>
              </c:pt>
              <c:pt idx="6">
                <c:v>34.28727545932653</c:v>
              </c:pt>
            </c:numLit>
          </c:val>
          <c:extLst>
            <c:ext xmlns:c16="http://schemas.microsoft.com/office/drawing/2014/chart" uri="{C3380CC4-5D6E-409C-BE32-E72D297353CC}">
              <c16:uniqueId val="{00000008-0AD4-4BF6-8962-09E4BDC1CA14}"/>
            </c:ext>
          </c:extLst>
        </c:ser>
        <c:ser>
          <c:idx val="9"/>
          <c:order val="9"/>
          <c:spPr>
            <a:solidFill>
              <a:srgbClr val="D2D2D2"/>
            </a:solidFill>
            <a:ln w="12700">
              <a:noFill/>
            </a:ln>
          </c:spPr>
          <c:invertIfNegative val="0"/>
          <c:cat>
            <c:numLit>
              <c:formatCode>0</c:formatCode>
              <c:ptCount val="7"/>
              <c:pt idx="0">
                <c:v>2010</c:v>
              </c:pt>
              <c:pt idx="1">
                <c:v>2011</c:v>
              </c:pt>
              <c:pt idx="2">
                <c:v>2012</c:v>
              </c:pt>
              <c:pt idx="3">
                <c:v>2013</c:v>
              </c:pt>
              <c:pt idx="4">
                <c:v>2014</c:v>
              </c:pt>
              <c:pt idx="5">
                <c:v>2015</c:v>
              </c:pt>
              <c:pt idx="6">
                <c:v>2016</c:v>
              </c:pt>
            </c:numLit>
          </c:cat>
          <c:val>
            <c:numLit>
              <c:formatCode>General</c:formatCode>
              <c:ptCount val="7"/>
              <c:pt idx="0">
                <c:v>63.335837716002985</c:v>
              </c:pt>
              <c:pt idx="1">
                <c:v>67.242674680691195</c:v>
              </c:pt>
              <c:pt idx="2">
                <c:v>59.203606311044304</c:v>
              </c:pt>
              <c:pt idx="3">
                <c:v>57.776108189331325</c:v>
              </c:pt>
              <c:pt idx="4">
                <c:v>52.667167543200584</c:v>
              </c:pt>
              <c:pt idx="5">
                <c:v>43.275732531930871</c:v>
              </c:pt>
              <c:pt idx="6">
                <c:v>37.716003005259189</c:v>
              </c:pt>
            </c:numLit>
          </c:val>
          <c:extLst>
            <c:ext xmlns:c16="http://schemas.microsoft.com/office/drawing/2014/chart" uri="{C3380CC4-5D6E-409C-BE32-E72D297353CC}">
              <c16:uniqueId val="{00000009-0AD4-4BF6-8962-09E4BDC1CA14}"/>
            </c:ext>
          </c:extLst>
        </c:ser>
        <c:dLbls>
          <c:showLegendKey val="0"/>
          <c:showVal val="0"/>
          <c:showCatName val="0"/>
          <c:showSerName val="0"/>
          <c:showPercent val="0"/>
          <c:showBubbleSize val="0"/>
        </c:dLbls>
        <c:gapWidth val="29"/>
        <c:overlap val="100"/>
        <c:axId val="272789504"/>
        <c:axId val="272791040"/>
      </c:barChart>
      <c:catAx>
        <c:axId val="272789504"/>
        <c:scaling>
          <c:orientation val="minMax"/>
        </c:scaling>
        <c:delete val="0"/>
        <c:axPos val="b"/>
        <c:numFmt formatCode="0" sourceLinked="1"/>
        <c:majorTickMark val="out"/>
        <c:minorTickMark val="none"/>
        <c:tickLblPos val="nextTo"/>
        <c:spPr>
          <a:ln w="3175">
            <a:solidFill>
              <a:srgbClr val="B3B3B3"/>
            </a:solidFill>
          </a:ln>
        </c:spPr>
        <c:crossAx val="272791040"/>
        <c:crosses val="autoZero"/>
        <c:auto val="1"/>
        <c:lblAlgn val="ctr"/>
        <c:lblOffset val="100"/>
        <c:noMultiLvlLbl val="0"/>
      </c:catAx>
      <c:valAx>
        <c:axId val="272791040"/>
        <c:scaling>
          <c:orientation val="minMax"/>
        </c:scaling>
        <c:delete val="0"/>
        <c:axPos val="l"/>
        <c:majorGridlines>
          <c:spPr>
            <a:ln w="3175">
              <a:solidFill>
                <a:srgbClr val="D2D2D2"/>
              </a:solidFill>
              <a:prstDash val="solid"/>
            </a:ln>
          </c:spPr>
        </c:majorGridlines>
        <c:numFmt formatCode="#,##0" sourceLinked="0"/>
        <c:majorTickMark val="out"/>
        <c:minorTickMark val="none"/>
        <c:tickLblPos val="nextTo"/>
        <c:spPr>
          <a:ln w="3175">
            <a:noFill/>
          </a:ln>
        </c:spPr>
        <c:txPr>
          <a:bodyPr/>
          <a:lstStyle/>
          <a:p>
            <a:pPr>
              <a:defRPr>
                <a:solidFill>
                  <a:sysClr val="windowText" lastClr="000000"/>
                </a:solidFill>
              </a:defRPr>
            </a:pPr>
            <a:endParaRPr lang="en-US"/>
          </a:p>
        </c:txPr>
        <c:crossAx val="272789504"/>
        <c:crosses val="autoZero"/>
        <c:crossBetween val="between"/>
      </c:valAx>
    </c:plotArea>
    <c:legend>
      <c:legendPos val="r"/>
      <c:overlay val="0"/>
    </c:legend>
    <c:plotVisOnly val="1"/>
    <c:dispBlanksAs val="gap"/>
    <c:showDLblsOverMax val="0"/>
  </c:chart>
  <c:spPr>
    <a:ln>
      <a:noFill/>
    </a:ln>
  </c:spPr>
  <c:txPr>
    <a:bodyPr/>
    <a:lstStyle/>
    <a:p>
      <a:pPr>
        <a:defRPr sz="900">
          <a:solidFill>
            <a:sysClr val="windowText" lastClr="000000"/>
          </a:solidFill>
          <a:latin typeface="Arial" pitchFamily="34" charset="0"/>
          <a:cs typeface="Arial" pitchFamily="34" charset="0"/>
        </a:defRPr>
      </a:pPr>
      <a:endParaRPr lang="en-US"/>
    </a:p>
  </c:txPr>
  <c:printSettings>
    <c:headerFooter/>
    <c:pageMargins b="0.75000000000000233" l="0.70000000000000062" r="0.70000000000000062" t="0.75000000000000233"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0"/>
            </a:pPr>
            <a:r>
              <a:rPr lang="en-US" sz="900" b="0"/>
              <a:t>Axis Title</a:t>
            </a:r>
          </a:p>
        </c:rich>
      </c:tx>
      <c:layout>
        <c:manualLayout>
          <c:xMode val="edge"/>
          <c:yMode val="edge"/>
          <c:x val="1.9898262459990834E-2"/>
          <c:y val="2.3518518518518518E-2"/>
        </c:manualLayout>
      </c:layout>
      <c:overlay val="0"/>
    </c:title>
    <c:autoTitleDeleted val="0"/>
    <c:plotArea>
      <c:layout>
        <c:manualLayout>
          <c:layoutTarget val="inner"/>
          <c:xMode val="edge"/>
          <c:yMode val="edge"/>
          <c:x val="9.5667024908794543E-2"/>
          <c:y val="0.11700393518518518"/>
          <c:w val="0.71183617672790889"/>
          <c:h val="0.7420444444444444"/>
        </c:manualLayout>
      </c:layout>
      <c:scatterChart>
        <c:scatterStyle val="lineMarker"/>
        <c:varyColors val="0"/>
        <c:ser>
          <c:idx val="8"/>
          <c:order val="0"/>
          <c:spPr>
            <a:ln w="28575">
              <a:noFill/>
            </a:ln>
          </c:spPr>
          <c:marker>
            <c:symbol val="diamond"/>
            <c:size val="10"/>
            <c:spPr>
              <a:solidFill>
                <a:srgbClr val="45B49F"/>
              </a:solidFill>
              <a:ln w="12700">
                <a:solidFill>
                  <a:srgbClr val="D2D2D2"/>
                </a:solidFill>
                <a:prstDash val="solid"/>
              </a:ln>
            </c:spPr>
          </c:marker>
          <c:xVal>
            <c:numLit>
              <c:formatCode>0</c:formatCode>
              <c:ptCount val="7"/>
              <c:pt idx="0">
                <c:v>2010</c:v>
              </c:pt>
              <c:pt idx="1">
                <c:v>2011</c:v>
              </c:pt>
              <c:pt idx="2">
                <c:v>2012</c:v>
              </c:pt>
              <c:pt idx="3">
                <c:v>2013</c:v>
              </c:pt>
              <c:pt idx="4">
                <c:v>2014</c:v>
              </c:pt>
              <c:pt idx="5">
                <c:v>2015</c:v>
              </c:pt>
              <c:pt idx="6">
                <c:v>2016</c:v>
              </c:pt>
            </c:numLit>
          </c:xVal>
          <c:yVal>
            <c:numLit>
              <c:formatCode>General</c:formatCode>
              <c:ptCount val="7"/>
              <c:pt idx="0">
                <c:v>84.3</c:v>
              </c:pt>
              <c:pt idx="1">
                <c:v>89.5</c:v>
              </c:pt>
              <c:pt idx="2">
                <c:v>78.8</c:v>
              </c:pt>
              <c:pt idx="3">
                <c:v>76.900000000000006</c:v>
              </c:pt>
              <c:pt idx="4">
                <c:v>70.099999999999994</c:v>
              </c:pt>
              <c:pt idx="5">
                <c:v>57.6</c:v>
              </c:pt>
              <c:pt idx="6">
                <c:v>50.2</c:v>
              </c:pt>
            </c:numLit>
          </c:yVal>
          <c:smooth val="0"/>
          <c:extLst>
            <c:ext xmlns:c16="http://schemas.microsoft.com/office/drawing/2014/chart" uri="{C3380CC4-5D6E-409C-BE32-E72D297353CC}">
              <c16:uniqueId val="{00000000-6509-4C52-83E2-7C0B14B4768A}"/>
            </c:ext>
          </c:extLst>
        </c:ser>
        <c:ser>
          <c:idx val="6"/>
          <c:order val="1"/>
          <c:spPr>
            <a:ln w="28575">
              <a:noFill/>
            </a:ln>
          </c:spPr>
          <c:marker>
            <c:symbol val="circle"/>
            <c:size val="10"/>
            <c:spPr>
              <a:solidFill>
                <a:srgbClr val="FFC91D"/>
              </a:solidFill>
              <a:ln w="12700">
                <a:solidFill>
                  <a:srgbClr val="D2D2D2"/>
                </a:solidFill>
                <a:prstDash val="solid"/>
              </a:ln>
            </c:spPr>
          </c:marker>
          <c:xVal>
            <c:numLit>
              <c:formatCode>0</c:formatCode>
              <c:ptCount val="7"/>
              <c:pt idx="0">
                <c:v>2010</c:v>
              </c:pt>
              <c:pt idx="1">
                <c:v>2011</c:v>
              </c:pt>
              <c:pt idx="2">
                <c:v>2012</c:v>
              </c:pt>
              <c:pt idx="3">
                <c:v>2013</c:v>
              </c:pt>
              <c:pt idx="4">
                <c:v>2014</c:v>
              </c:pt>
              <c:pt idx="5">
                <c:v>2015</c:v>
              </c:pt>
              <c:pt idx="6">
                <c:v>2016</c:v>
              </c:pt>
            </c:numLit>
          </c:xVal>
          <c:yVal>
            <c:numLit>
              <c:formatCode>General</c:formatCode>
              <c:ptCount val="7"/>
              <c:pt idx="0">
                <c:v>92.73</c:v>
              </c:pt>
              <c:pt idx="1">
                <c:v>98.45</c:v>
              </c:pt>
              <c:pt idx="2">
                <c:v>86.68</c:v>
              </c:pt>
              <c:pt idx="3">
                <c:v>84.590000000000018</c:v>
              </c:pt>
              <c:pt idx="4">
                <c:v>77.11</c:v>
              </c:pt>
              <c:pt idx="5">
                <c:v>63.360000000000007</c:v>
              </c:pt>
              <c:pt idx="6">
                <c:v>55.220000000000006</c:v>
              </c:pt>
            </c:numLit>
          </c:yVal>
          <c:smooth val="0"/>
          <c:extLst>
            <c:ext xmlns:c16="http://schemas.microsoft.com/office/drawing/2014/chart" uri="{C3380CC4-5D6E-409C-BE32-E72D297353CC}">
              <c16:uniqueId val="{00000001-6509-4C52-83E2-7C0B14B4768A}"/>
            </c:ext>
          </c:extLst>
        </c:ser>
        <c:ser>
          <c:idx val="4"/>
          <c:order val="2"/>
          <c:spPr>
            <a:ln w="28575">
              <a:noFill/>
            </a:ln>
          </c:spPr>
          <c:marker>
            <c:symbol val="triangle"/>
            <c:size val="10"/>
            <c:spPr>
              <a:solidFill>
                <a:srgbClr val="8A5DB5"/>
              </a:solidFill>
              <a:ln w="12700">
                <a:solidFill>
                  <a:srgbClr val="D2D2D2"/>
                </a:solidFill>
                <a:prstDash val="solid"/>
              </a:ln>
            </c:spPr>
          </c:marker>
          <c:dPt>
            <c:idx val="2"/>
            <c:bubble3D val="0"/>
            <c:extLst>
              <c:ext xmlns:c16="http://schemas.microsoft.com/office/drawing/2014/chart" uri="{C3380CC4-5D6E-409C-BE32-E72D297353CC}">
                <c16:uniqueId val="{00000002-6509-4C52-83E2-7C0B14B4768A}"/>
              </c:ext>
            </c:extLst>
          </c:dPt>
          <c:xVal>
            <c:numLit>
              <c:formatCode>0</c:formatCode>
              <c:ptCount val="7"/>
              <c:pt idx="0">
                <c:v>2010</c:v>
              </c:pt>
              <c:pt idx="1">
                <c:v>2011</c:v>
              </c:pt>
              <c:pt idx="2">
                <c:v>2012</c:v>
              </c:pt>
              <c:pt idx="3">
                <c:v>2013</c:v>
              </c:pt>
              <c:pt idx="4">
                <c:v>2014</c:v>
              </c:pt>
              <c:pt idx="5">
                <c:v>2015</c:v>
              </c:pt>
              <c:pt idx="6">
                <c:v>2016</c:v>
              </c:pt>
            </c:numLit>
          </c:xVal>
          <c:yVal>
            <c:numLit>
              <c:formatCode>General</c:formatCode>
              <c:ptCount val="7"/>
              <c:pt idx="0">
                <c:v>76.636363636363626</c:v>
              </c:pt>
              <c:pt idx="1">
                <c:v>81.36363636363636</c:v>
              </c:pt>
              <c:pt idx="2">
                <c:v>71.636363636363626</c:v>
              </c:pt>
              <c:pt idx="3">
                <c:v>69.909090909090907</c:v>
              </c:pt>
              <c:pt idx="4">
                <c:v>63.72727272727272</c:v>
              </c:pt>
              <c:pt idx="5">
                <c:v>52.36363636363636</c:v>
              </c:pt>
              <c:pt idx="6">
                <c:v>45.636363636363633</c:v>
              </c:pt>
            </c:numLit>
          </c:yVal>
          <c:smooth val="0"/>
          <c:extLst>
            <c:ext xmlns:c16="http://schemas.microsoft.com/office/drawing/2014/chart" uri="{C3380CC4-5D6E-409C-BE32-E72D297353CC}">
              <c16:uniqueId val="{00000003-6509-4C52-83E2-7C0B14B4768A}"/>
            </c:ext>
          </c:extLst>
        </c:ser>
        <c:ser>
          <c:idx val="0"/>
          <c:order val="3"/>
          <c:spPr>
            <a:ln w="28575">
              <a:noFill/>
            </a:ln>
          </c:spPr>
          <c:marker>
            <c:spPr>
              <a:solidFill>
                <a:srgbClr val="ED4436"/>
              </a:solidFill>
              <a:ln w="12700">
                <a:solidFill>
                  <a:srgbClr val="D2D2D2"/>
                </a:solidFill>
              </a:ln>
            </c:spPr>
          </c:marker>
          <c:xVal>
            <c:numLit>
              <c:formatCode>0</c:formatCode>
              <c:ptCount val="7"/>
              <c:pt idx="0">
                <c:v>2010</c:v>
              </c:pt>
              <c:pt idx="1">
                <c:v>2011</c:v>
              </c:pt>
              <c:pt idx="2">
                <c:v>2012</c:v>
              </c:pt>
              <c:pt idx="3">
                <c:v>2013</c:v>
              </c:pt>
              <c:pt idx="4">
                <c:v>2014</c:v>
              </c:pt>
              <c:pt idx="5">
                <c:v>2015</c:v>
              </c:pt>
              <c:pt idx="6">
                <c:v>2016</c:v>
              </c:pt>
            </c:numLit>
          </c:xVal>
          <c:yVal>
            <c:numLit>
              <c:formatCode>General</c:formatCode>
              <c:ptCount val="7"/>
              <c:pt idx="0">
                <c:v>84.3</c:v>
              </c:pt>
              <c:pt idx="1">
                <c:v>89.5</c:v>
              </c:pt>
              <c:pt idx="2">
                <c:v>78.8</c:v>
              </c:pt>
              <c:pt idx="3">
                <c:v>76.900000000000006</c:v>
              </c:pt>
              <c:pt idx="4">
                <c:v>70.099999999999994</c:v>
              </c:pt>
              <c:pt idx="5">
                <c:v>57.6</c:v>
              </c:pt>
              <c:pt idx="6">
                <c:v>50.2</c:v>
              </c:pt>
            </c:numLit>
          </c:yVal>
          <c:smooth val="0"/>
          <c:extLst>
            <c:ext xmlns:c16="http://schemas.microsoft.com/office/drawing/2014/chart" uri="{C3380CC4-5D6E-409C-BE32-E72D297353CC}">
              <c16:uniqueId val="{00000004-6509-4C52-83E2-7C0B14B4768A}"/>
            </c:ext>
          </c:extLst>
        </c:ser>
        <c:ser>
          <c:idx val="1"/>
          <c:order val="4"/>
          <c:spPr>
            <a:ln w="28575">
              <a:noFill/>
            </a:ln>
          </c:spPr>
          <c:marker>
            <c:spPr>
              <a:solidFill>
                <a:srgbClr val="4DAA50"/>
              </a:solidFill>
              <a:ln w="12700">
                <a:solidFill>
                  <a:srgbClr val="D2D2D2"/>
                </a:solidFill>
              </a:ln>
            </c:spPr>
          </c:marker>
          <c:xVal>
            <c:numLit>
              <c:formatCode>0</c:formatCode>
              <c:ptCount val="7"/>
              <c:pt idx="0">
                <c:v>2010</c:v>
              </c:pt>
              <c:pt idx="1">
                <c:v>2011</c:v>
              </c:pt>
              <c:pt idx="2">
                <c:v>2012</c:v>
              </c:pt>
              <c:pt idx="3">
                <c:v>2013</c:v>
              </c:pt>
              <c:pt idx="4">
                <c:v>2014</c:v>
              </c:pt>
              <c:pt idx="5">
                <c:v>2015</c:v>
              </c:pt>
              <c:pt idx="6">
                <c:v>2016</c:v>
              </c:pt>
            </c:numLit>
          </c:xVal>
          <c:yVal>
            <c:numLit>
              <c:formatCode>General</c:formatCode>
              <c:ptCount val="7"/>
              <c:pt idx="0">
                <c:v>69.669421487603287</c:v>
              </c:pt>
              <c:pt idx="1">
                <c:v>73.966942148760324</c:v>
              </c:pt>
              <c:pt idx="2">
                <c:v>65.123966942148741</c:v>
              </c:pt>
              <c:pt idx="3">
                <c:v>63.553719008264459</c:v>
              </c:pt>
              <c:pt idx="4">
                <c:v>57.933884297520649</c:v>
              </c:pt>
              <c:pt idx="5">
                <c:v>47.603305785123958</c:v>
              </c:pt>
              <c:pt idx="6">
                <c:v>41.487603305785115</c:v>
              </c:pt>
            </c:numLit>
          </c:yVal>
          <c:smooth val="0"/>
          <c:extLst>
            <c:ext xmlns:c16="http://schemas.microsoft.com/office/drawing/2014/chart" uri="{C3380CC4-5D6E-409C-BE32-E72D297353CC}">
              <c16:uniqueId val="{00000005-6509-4C52-83E2-7C0B14B4768A}"/>
            </c:ext>
          </c:extLst>
        </c:ser>
        <c:ser>
          <c:idx val="2"/>
          <c:order val="5"/>
          <c:spPr>
            <a:ln w="28575">
              <a:noFill/>
            </a:ln>
          </c:spPr>
          <c:marker>
            <c:spPr>
              <a:solidFill>
                <a:srgbClr val="343534"/>
              </a:solidFill>
              <a:ln w="12700">
                <a:solidFill>
                  <a:srgbClr val="D2D2D2"/>
                </a:solidFill>
              </a:ln>
            </c:spPr>
          </c:marker>
          <c:xVal>
            <c:numLit>
              <c:formatCode>0</c:formatCode>
              <c:ptCount val="7"/>
              <c:pt idx="0">
                <c:v>2010</c:v>
              </c:pt>
              <c:pt idx="1">
                <c:v>2011</c:v>
              </c:pt>
              <c:pt idx="2">
                <c:v>2012</c:v>
              </c:pt>
              <c:pt idx="3">
                <c:v>2013</c:v>
              </c:pt>
              <c:pt idx="4">
                <c:v>2014</c:v>
              </c:pt>
              <c:pt idx="5">
                <c:v>2015</c:v>
              </c:pt>
              <c:pt idx="6">
                <c:v>2016</c:v>
              </c:pt>
            </c:numLit>
          </c:xVal>
          <c:yVal>
            <c:numLit>
              <c:formatCode>General</c:formatCode>
              <c:ptCount val="7"/>
              <c:pt idx="0">
                <c:v>76.636363636363626</c:v>
              </c:pt>
              <c:pt idx="1">
                <c:v>81.36363636363636</c:v>
              </c:pt>
              <c:pt idx="2">
                <c:v>71.636363636363626</c:v>
              </c:pt>
              <c:pt idx="3">
                <c:v>69.909090909090907</c:v>
              </c:pt>
              <c:pt idx="4">
                <c:v>63.72727272727272</c:v>
              </c:pt>
              <c:pt idx="5">
                <c:v>52.36363636363636</c:v>
              </c:pt>
              <c:pt idx="6">
                <c:v>45.636363636363633</c:v>
              </c:pt>
            </c:numLit>
          </c:yVal>
          <c:smooth val="0"/>
          <c:extLst>
            <c:ext xmlns:c16="http://schemas.microsoft.com/office/drawing/2014/chart" uri="{C3380CC4-5D6E-409C-BE32-E72D297353CC}">
              <c16:uniqueId val="{00000006-6509-4C52-83E2-7C0B14B4768A}"/>
            </c:ext>
          </c:extLst>
        </c:ser>
        <c:ser>
          <c:idx val="3"/>
          <c:order val="6"/>
          <c:spPr>
            <a:ln w="28575">
              <a:noFill/>
            </a:ln>
          </c:spPr>
          <c:marker>
            <c:spPr>
              <a:solidFill>
                <a:srgbClr val="BD52A3"/>
              </a:solidFill>
              <a:ln w="12700">
                <a:solidFill>
                  <a:srgbClr val="D2D2D2"/>
                </a:solidFill>
              </a:ln>
            </c:spPr>
          </c:marker>
          <c:xVal>
            <c:numLit>
              <c:formatCode>0</c:formatCode>
              <c:ptCount val="7"/>
              <c:pt idx="0">
                <c:v>2010</c:v>
              </c:pt>
              <c:pt idx="1">
                <c:v>2011</c:v>
              </c:pt>
              <c:pt idx="2">
                <c:v>2012</c:v>
              </c:pt>
              <c:pt idx="3">
                <c:v>2013</c:v>
              </c:pt>
              <c:pt idx="4">
                <c:v>2014</c:v>
              </c:pt>
              <c:pt idx="5">
                <c:v>2015</c:v>
              </c:pt>
              <c:pt idx="6">
                <c:v>2016</c:v>
              </c:pt>
            </c:numLit>
          </c:xVal>
          <c:yVal>
            <c:numLit>
              <c:formatCode>General</c:formatCode>
              <c:ptCount val="7"/>
              <c:pt idx="0">
                <c:v>63.335837716002985</c:v>
              </c:pt>
              <c:pt idx="1">
                <c:v>67.242674680691195</c:v>
              </c:pt>
              <c:pt idx="2">
                <c:v>59.203606311044304</c:v>
              </c:pt>
              <c:pt idx="3">
                <c:v>57.776108189331325</c:v>
              </c:pt>
              <c:pt idx="4">
                <c:v>52.667167543200584</c:v>
              </c:pt>
              <c:pt idx="5">
                <c:v>43.275732531930871</c:v>
              </c:pt>
              <c:pt idx="6">
                <c:v>37.716003005259189</c:v>
              </c:pt>
            </c:numLit>
          </c:yVal>
          <c:smooth val="0"/>
          <c:extLst>
            <c:ext xmlns:c16="http://schemas.microsoft.com/office/drawing/2014/chart" uri="{C3380CC4-5D6E-409C-BE32-E72D297353CC}">
              <c16:uniqueId val="{00000007-6509-4C52-83E2-7C0B14B4768A}"/>
            </c:ext>
          </c:extLst>
        </c:ser>
        <c:ser>
          <c:idx val="5"/>
          <c:order val="7"/>
          <c:spPr>
            <a:ln w="28575">
              <a:noFill/>
            </a:ln>
          </c:spPr>
          <c:marker>
            <c:spPr>
              <a:solidFill>
                <a:srgbClr val="0D9DDB"/>
              </a:solidFill>
              <a:ln w="12700">
                <a:solidFill>
                  <a:srgbClr val="D2D2D2"/>
                </a:solidFill>
              </a:ln>
            </c:spPr>
          </c:marker>
          <c:xVal>
            <c:numLit>
              <c:formatCode>0</c:formatCode>
              <c:ptCount val="7"/>
              <c:pt idx="0">
                <c:v>2010</c:v>
              </c:pt>
              <c:pt idx="1">
                <c:v>2011</c:v>
              </c:pt>
              <c:pt idx="2">
                <c:v>2012</c:v>
              </c:pt>
              <c:pt idx="3">
                <c:v>2013</c:v>
              </c:pt>
              <c:pt idx="4">
                <c:v>2014</c:v>
              </c:pt>
              <c:pt idx="5">
                <c:v>2015</c:v>
              </c:pt>
              <c:pt idx="6">
                <c:v>2016</c:v>
              </c:pt>
            </c:numLit>
          </c:xVal>
          <c:yVal>
            <c:numLit>
              <c:formatCode>General</c:formatCode>
              <c:ptCount val="7"/>
              <c:pt idx="0">
                <c:v>69.669421487603287</c:v>
              </c:pt>
              <c:pt idx="1">
                <c:v>73.966942148760324</c:v>
              </c:pt>
              <c:pt idx="2">
                <c:v>65.123966942148741</c:v>
              </c:pt>
              <c:pt idx="3">
                <c:v>63.553719008264459</c:v>
              </c:pt>
              <c:pt idx="4">
                <c:v>57.933884297520649</c:v>
              </c:pt>
              <c:pt idx="5">
                <c:v>47.603305785123958</c:v>
              </c:pt>
              <c:pt idx="6">
                <c:v>41.487603305785115</c:v>
              </c:pt>
            </c:numLit>
          </c:yVal>
          <c:smooth val="0"/>
          <c:extLst>
            <c:ext xmlns:c16="http://schemas.microsoft.com/office/drawing/2014/chart" uri="{C3380CC4-5D6E-409C-BE32-E72D297353CC}">
              <c16:uniqueId val="{00000008-6509-4C52-83E2-7C0B14B4768A}"/>
            </c:ext>
          </c:extLst>
        </c:ser>
        <c:ser>
          <c:idx val="7"/>
          <c:order val="8"/>
          <c:spPr>
            <a:ln w="28575">
              <a:noFill/>
            </a:ln>
          </c:spPr>
          <c:marker>
            <c:spPr>
              <a:solidFill>
                <a:srgbClr val="D2D2D2"/>
              </a:solidFill>
              <a:ln w="12700">
                <a:solidFill>
                  <a:srgbClr val="D2D2D2"/>
                </a:solidFill>
              </a:ln>
            </c:spPr>
          </c:marker>
          <c:xVal>
            <c:numLit>
              <c:formatCode>0</c:formatCode>
              <c:ptCount val="7"/>
              <c:pt idx="0">
                <c:v>2010</c:v>
              </c:pt>
              <c:pt idx="1">
                <c:v>2011</c:v>
              </c:pt>
              <c:pt idx="2">
                <c:v>2012</c:v>
              </c:pt>
              <c:pt idx="3">
                <c:v>2013</c:v>
              </c:pt>
              <c:pt idx="4">
                <c:v>2014</c:v>
              </c:pt>
              <c:pt idx="5">
                <c:v>2015</c:v>
              </c:pt>
              <c:pt idx="6">
                <c:v>2016</c:v>
              </c:pt>
            </c:numLit>
          </c:xVal>
          <c:yVal>
            <c:numLit>
              <c:formatCode>General</c:formatCode>
              <c:ptCount val="7"/>
              <c:pt idx="0">
                <c:v>57.578034287275436</c:v>
              </c:pt>
              <c:pt idx="1">
                <c:v>61.129704255173806</c:v>
              </c:pt>
              <c:pt idx="2">
                <c:v>53.821460282767546</c:v>
              </c:pt>
              <c:pt idx="3">
                <c:v>52.52373471757393</c:v>
              </c:pt>
              <c:pt idx="4">
                <c:v>47.879243221091436</c:v>
              </c:pt>
              <c:pt idx="5">
                <c:v>39.341575029028064</c:v>
              </c:pt>
              <c:pt idx="6">
                <c:v>34.28727545932653</c:v>
              </c:pt>
            </c:numLit>
          </c:yVal>
          <c:smooth val="0"/>
          <c:extLst>
            <c:ext xmlns:c16="http://schemas.microsoft.com/office/drawing/2014/chart" uri="{C3380CC4-5D6E-409C-BE32-E72D297353CC}">
              <c16:uniqueId val="{00000009-6509-4C52-83E2-7C0B14B4768A}"/>
            </c:ext>
          </c:extLst>
        </c:ser>
        <c:ser>
          <c:idx val="9"/>
          <c:order val="9"/>
          <c:spPr>
            <a:ln w="28575">
              <a:noFill/>
            </a:ln>
          </c:spPr>
          <c:marker>
            <c:spPr>
              <a:solidFill>
                <a:srgbClr val="FFE743"/>
              </a:solidFill>
              <a:ln w="12700">
                <a:solidFill>
                  <a:srgbClr val="D2D2D2"/>
                </a:solidFill>
              </a:ln>
            </c:spPr>
          </c:marker>
          <c:xVal>
            <c:numLit>
              <c:formatCode>0</c:formatCode>
              <c:ptCount val="7"/>
              <c:pt idx="0">
                <c:v>2010</c:v>
              </c:pt>
              <c:pt idx="1">
                <c:v>2011</c:v>
              </c:pt>
              <c:pt idx="2">
                <c:v>2012</c:v>
              </c:pt>
              <c:pt idx="3">
                <c:v>2013</c:v>
              </c:pt>
              <c:pt idx="4">
                <c:v>2014</c:v>
              </c:pt>
              <c:pt idx="5">
                <c:v>2015</c:v>
              </c:pt>
              <c:pt idx="6">
                <c:v>2016</c:v>
              </c:pt>
            </c:numLit>
          </c:xVal>
          <c:yVal>
            <c:numLit>
              <c:formatCode>General</c:formatCode>
              <c:ptCount val="7"/>
              <c:pt idx="0">
                <c:v>63.335837716002985</c:v>
              </c:pt>
              <c:pt idx="1">
                <c:v>67.242674680691195</c:v>
              </c:pt>
              <c:pt idx="2">
                <c:v>59.203606311044304</c:v>
              </c:pt>
              <c:pt idx="3">
                <c:v>57.776108189331325</c:v>
              </c:pt>
              <c:pt idx="4">
                <c:v>52.667167543200584</c:v>
              </c:pt>
              <c:pt idx="5">
                <c:v>43.275732531930871</c:v>
              </c:pt>
              <c:pt idx="6">
                <c:v>37.716003005259189</c:v>
              </c:pt>
            </c:numLit>
          </c:yVal>
          <c:smooth val="0"/>
          <c:extLst>
            <c:ext xmlns:c16="http://schemas.microsoft.com/office/drawing/2014/chart" uri="{C3380CC4-5D6E-409C-BE32-E72D297353CC}">
              <c16:uniqueId val="{0000000A-6509-4C52-83E2-7C0B14B4768A}"/>
            </c:ext>
          </c:extLst>
        </c:ser>
        <c:ser>
          <c:idx val="10"/>
          <c:order val="10"/>
          <c:spPr>
            <a:ln w="28575">
              <a:noFill/>
            </a:ln>
          </c:spPr>
          <c:xVal>
            <c:numLit>
              <c:formatCode>0</c:formatCode>
              <c:ptCount val="7"/>
              <c:pt idx="0">
                <c:v>2010</c:v>
              </c:pt>
              <c:pt idx="1">
                <c:v>2011</c:v>
              </c:pt>
              <c:pt idx="2">
                <c:v>2012</c:v>
              </c:pt>
              <c:pt idx="3">
                <c:v>2013</c:v>
              </c:pt>
              <c:pt idx="4">
                <c:v>2014</c:v>
              </c:pt>
              <c:pt idx="5">
                <c:v>2015</c:v>
              </c:pt>
              <c:pt idx="6">
                <c:v>2016</c:v>
              </c:pt>
            </c:numLit>
          </c:xVal>
          <c:yVal>
            <c:numLit>
              <c:formatCode>General</c:formatCode>
              <c:ptCount val="7"/>
            </c:numLit>
          </c:yVal>
          <c:smooth val="0"/>
          <c:extLst>
            <c:ext xmlns:c16="http://schemas.microsoft.com/office/drawing/2014/chart" uri="{C3380CC4-5D6E-409C-BE32-E72D297353CC}">
              <c16:uniqueId val="{0000000B-6509-4C52-83E2-7C0B14B4768A}"/>
            </c:ext>
          </c:extLst>
        </c:ser>
        <c:ser>
          <c:idx val="11"/>
          <c:order val="11"/>
          <c:spPr>
            <a:ln w="28575">
              <a:noFill/>
            </a:ln>
          </c:spPr>
          <c:xVal>
            <c:numLit>
              <c:formatCode>0</c:formatCode>
              <c:ptCount val="7"/>
              <c:pt idx="0">
                <c:v>2010</c:v>
              </c:pt>
              <c:pt idx="1">
                <c:v>2011</c:v>
              </c:pt>
              <c:pt idx="2">
                <c:v>2012</c:v>
              </c:pt>
              <c:pt idx="3">
                <c:v>2013</c:v>
              </c:pt>
              <c:pt idx="4">
                <c:v>2014</c:v>
              </c:pt>
              <c:pt idx="5">
                <c:v>2015</c:v>
              </c:pt>
              <c:pt idx="6">
                <c:v>2016</c:v>
              </c:pt>
            </c:numLit>
          </c:xVal>
          <c:yVal>
            <c:numLit>
              <c:formatCode>General</c:formatCode>
              <c:ptCount val="7"/>
            </c:numLit>
          </c:yVal>
          <c:smooth val="0"/>
          <c:extLst>
            <c:ext xmlns:c16="http://schemas.microsoft.com/office/drawing/2014/chart" uri="{C3380CC4-5D6E-409C-BE32-E72D297353CC}">
              <c16:uniqueId val="{0000000C-6509-4C52-83E2-7C0B14B4768A}"/>
            </c:ext>
          </c:extLst>
        </c:ser>
        <c:ser>
          <c:idx val="12"/>
          <c:order val="12"/>
          <c:spPr>
            <a:ln w="28575">
              <a:noFill/>
            </a:ln>
          </c:spPr>
          <c:xVal>
            <c:numLit>
              <c:formatCode>0</c:formatCode>
              <c:ptCount val="7"/>
              <c:pt idx="0">
                <c:v>2010</c:v>
              </c:pt>
              <c:pt idx="1">
                <c:v>2011</c:v>
              </c:pt>
              <c:pt idx="2">
                <c:v>2012</c:v>
              </c:pt>
              <c:pt idx="3">
                <c:v>2013</c:v>
              </c:pt>
              <c:pt idx="4">
                <c:v>2014</c:v>
              </c:pt>
              <c:pt idx="5">
                <c:v>2015</c:v>
              </c:pt>
              <c:pt idx="6">
                <c:v>2016</c:v>
              </c:pt>
            </c:numLit>
          </c:xVal>
          <c:yVal>
            <c:numLit>
              <c:formatCode>General</c:formatCode>
              <c:ptCount val="7"/>
            </c:numLit>
          </c:yVal>
          <c:smooth val="0"/>
          <c:extLst>
            <c:ext xmlns:c16="http://schemas.microsoft.com/office/drawing/2014/chart" uri="{C3380CC4-5D6E-409C-BE32-E72D297353CC}">
              <c16:uniqueId val="{0000000D-6509-4C52-83E2-7C0B14B4768A}"/>
            </c:ext>
          </c:extLst>
        </c:ser>
        <c:ser>
          <c:idx val="13"/>
          <c:order val="13"/>
          <c:spPr>
            <a:ln w="28575">
              <a:noFill/>
            </a:ln>
          </c:spPr>
          <c:xVal>
            <c:numLit>
              <c:formatCode>0</c:formatCode>
              <c:ptCount val="7"/>
              <c:pt idx="0">
                <c:v>2010</c:v>
              </c:pt>
              <c:pt idx="1">
                <c:v>2011</c:v>
              </c:pt>
              <c:pt idx="2">
                <c:v>2012</c:v>
              </c:pt>
              <c:pt idx="3">
                <c:v>2013</c:v>
              </c:pt>
              <c:pt idx="4">
                <c:v>2014</c:v>
              </c:pt>
              <c:pt idx="5">
                <c:v>2015</c:v>
              </c:pt>
              <c:pt idx="6">
                <c:v>2016</c:v>
              </c:pt>
            </c:numLit>
          </c:xVal>
          <c:yVal>
            <c:numLit>
              <c:formatCode>General</c:formatCode>
              <c:ptCount val="7"/>
            </c:numLit>
          </c:yVal>
          <c:smooth val="0"/>
          <c:extLst>
            <c:ext xmlns:c16="http://schemas.microsoft.com/office/drawing/2014/chart" uri="{C3380CC4-5D6E-409C-BE32-E72D297353CC}">
              <c16:uniqueId val="{0000000E-6509-4C52-83E2-7C0B14B4768A}"/>
            </c:ext>
          </c:extLst>
        </c:ser>
        <c:ser>
          <c:idx val="14"/>
          <c:order val="14"/>
          <c:spPr>
            <a:ln w="28575">
              <a:noFill/>
            </a:ln>
          </c:spPr>
          <c:xVal>
            <c:numLit>
              <c:formatCode>0</c:formatCode>
              <c:ptCount val="7"/>
              <c:pt idx="0">
                <c:v>2010</c:v>
              </c:pt>
              <c:pt idx="1">
                <c:v>2011</c:v>
              </c:pt>
              <c:pt idx="2">
                <c:v>2012</c:v>
              </c:pt>
              <c:pt idx="3">
                <c:v>2013</c:v>
              </c:pt>
              <c:pt idx="4">
                <c:v>2014</c:v>
              </c:pt>
              <c:pt idx="5">
                <c:v>2015</c:v>
              </c:pt>
              <c:pt idx="6">
                <c:v>2016</c:v>
              </c:pt>
            </c:numLit>
          </c:xVal>
          <c:yVal>
            <c:numLit>
              <c:formatCode>General</c:formatCode>
              <c:ptCount val="7"/>
            </c:numLit>
          </c:yVal>
          <c:smooth val="0"/>
          <c:extLst>
            <c:ext xmlns:c16="http://schemas.microsoft.com/office/drawing/2014/chart" uri="{C3380CC4-5D6E-409C-BE32-E72D297353CC}">
              <c16:uniqueId val="{0000000F-6509-4C52-83E2-7C0B14B4768A}"/>
            </c:ext>
          </c:extLst>
        </c:ser>
        <c:dLbls>
          <c:showLegendKey val="0"/>
          <c:showVal val="0"/>
          <c:showCatName val="0"/>
          <c:showSerName val="0"/>
          <c:showPercent val="0"/>
          <c:showBubbleSize val="0"/>
        </c:dLbls>
        <c:axId val="273009664"/>
        <c:axId val="272892672"/>
      </c:scatterChart>
      <c:valAx>
        <c:axId val="273009664"/>
        <c:scaling>
          <c:orientation val="minMax"/>
          <c:max val="2018"/>
          <c:min val="2008"/>
        </c:scaling>
        <c:delete val="0"/>
        <c:axPos val="b"/>
        <c:majorGridlines>
          <c:spPr>
            <a:ln w="3175">
              <a:solidFill>
                <a:srgbClr val="C0C0C0"/>
              </a:solidFill>
              <a:prstDash val="solid"/>
            </a:ln>
          </c:spPr>
        </c:majorGridlines>
        <c:numFmt formatCode="0" sourceLinked="1"/>
        <c:majorTickMark val="out"/>
        <c:minorTickMark val="none"/>
        <c:tickLblPos val="nextTo"/>
        <c:spPr>
          <a:ln w="3175">
            <a:solidFill>
              <a:srgbClr val="B3B3B3"/>
            </a:solidFill>
            <a:prstDash val="solid"/>
          </a:ln>
        </c:spPr>
        <c:txPr>
          <a:bodyPr rot="0" vert="horz"/>
          <a:lstStyle/>
          <a:p>
            <a:pPr>
              <a:defRPr/>
            </a:pPr>
            <a:endParaRPr lang="en-US"/>
          </a:p>
        </c:txPr>
        <c:crossAx val="272892672"/>
        <c:crosses val="autoZero"/>
        <c:crossBetween val="midCat"/>
      </c:valAx>
      <c:valAx>
        <c:axId val="272892672"/>
        <c:scaling>
          <c:orientation val="minMax"/>
        </c:scaling>
        <c:delete val="0"/>
        <c:axPos val="l"/>
        <c:majorGridlines>
          <c:spPr>
            <a:ln w="3175">
              <a:solidFill>
                <a:srgbClr val="D2D2D2"/>
              </a:solidFill>
              <a:prstDash val="solid"/>
            </a:ln>
          </c:spPr>
        </c:majorGridlines>
        <c:numFmt formatCode="#,##0" sourceLinked="0"/>
        <c:majorTickMark val="out"/>
        <c:minorTickMark val="none"/>
        <c:tickLblPos val="nextTo"/>
        <c:spPr>
          <a:ln w="3175">
            <a:noFill/>
            <a:prstDash val="solid"/>
          </a:ln>
        </c:spPr>
        <c:txPr>
          <a:bodyPr rot="0" vert="horz"/>
          <a:lstStyle/>
          <a:p>
            <a:pPr>
              <a:defRPr/>
            </a:pPr>
            <a:endParaRPr lang="en-US"/>
          </a:p>
        </c:txPr>
        <c:crossAx val="273009664"/>
        <c:crosses val="autoZero"/>
        <c:crossBetween val="midCat"/>
      </c:valAx>
      <c:spPr>
        <a:noFill/>
        <a:ln w="25400">
          <a:noFill/>
        </a:ln>
      </c:spPr>
    </c:plotArea>
    <c:legend>
      <c:legendPos val="r"/>
      <c:layout>
        <c:manualLayout>
          <c:xMode val="edge"/>
          <c:yMode val="edge"/>
          <c:x val="0.86864123878665633"/>
          <c:y val="4.3154761904761904E-2"/>
          <c:w val="0.11874371284865114"/>
          <c:h val="0.85001388888888885"/>
        </c:manualLayout>
      </c:layout>
      <c:overlay val="0"/>
      <c:spPr>
        <a:noFill/>
        <a:ln w="25400">
          <a:noFill/>
        </a:ln>
      </c:spPr>
    </c:legend>
    <c:plotVisOnly val="1"/>
    <c:dispBlanksAs val="gap"/>
    <c:showDLblsOverMax val="0"/>
  </c:chart>
  <c:spPr>
    <a:noFill/>
    <a:ln w="9525">
      <a:noFill/>
    </a:ln>
  </c:spPr>
  <c:txPr>
    <a:bodyPr/>
    <a:lstStyle/>
    <a:p>
      <a:pPr>
        <a:defRPr sz="900" b="0" i="0" u="none" strike="noStrike" baseline="0">
          <a:solidFill>
            <a:sysClr val="windowText" lastClr="000000"/>
          </a:solidFill>
          <a:latin typeface="Arial"/>
          <a:ea typeface="Arial"/>
          <a:cs typeface="Arial"/>
        </a:defRPr>
      </a:pPr>
      <a:endParaRPr lang="en-US"/>
    </a:p>
  </c:txPr>
  <c:printSettings>
    <c:headerFooter alignWithMargins="0"/>
    <c:pageMargins b="1" l="0.75000000000000255" r="0.7500000000000025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21111111111111136"/>
          <c:y val="0"/>
          <c:w val="0.58333333333333337"/>
          <c:h val="0.97222222222222221"/>
        </c:manualLayout>
      </c:layout>
      <c:pieChart>
        <c:varyColors val="1"/>
        <c:ser>
          <c:idx val="1"/>
          <c:order val="0"/>
          <c:spPr>
            <a:ln w="12700">
              <a:solidFill>
                <a:srgbClr val="B2B2B2"/>
              </a:solidFill>
            </a:ln>
          </c:spPr>
          <c:dPt>
            <c:idx val="0"/>
            <c:bubble3D val="0"/>
            <c:spPr>
              <a:solidFill>
                <a:srgbClr val="00AEE5"/>
              </a:solidFill>
              <a:ln w="12700">
                <a:solidFill>
                  <a:srgbClr val="B2B2B2"/>
                </a:solidFill>
              </a:ln>
            </c:spPr>
            <c:extLst>
              <c:ext xmlns:c16="http://schemas.microsoft.com/office/drawing/2014/chart" uri="{C3380CC4-5D6E-409C-BE32-E72D297353CC}">
                <c16:uniqueId val="{00000001-26AF-4650-AA38-390EB16E4032}"/>
              </c:ext>
            </c:extLst>
          </c:dPt>
          <c:dPt>
            <c:idx val="1"/>
            <c:bubble3D val="0"/>
            <c:spPr>
              <a:solidFill>
                <a:srgbClr val="7654A3"/>
              </a:solidFill>
              <a:ln w="12700">
                <a:solidFill>
                  <a:srgbClr val="B2B2B2"/>
                </a:solidFill>
              </a:ln>
            </c:spPr>
            <c:extLst>
              <c:ext xmlns:c16="http://schemas.microsoft.com/office/drawing/2014/chart" uri="{C3380CC4-5D6E-409C-BE32-E72D297353CC}">
                <c16:uniqueId val="{00000003-26AF-4650-AA38-390EB16E4032}"/>
              </c:ext>
            </c:extLst>
          </c:dPt>
          <c:dPt>
            <c:idx val="2"/>
            <c:bubble3D val="0"/>
            <c:spPr>
              <a:solidFill>
                <a:srgbClr val="43BEAD"/>
              </a:solidFill>
              <a:ln w="12700">
                <a:solidFill>
                  <a:srgbClr val="B2B2B2"/>
                </a:solidFill>
              </a:ln>
            </c:spPr>
            <c:extLst>
              <c:ext xmlns:c16="http://schemas.microsoft.com/office/drawing/2014/chart" uri="{C3380CC4-5D6E-409C-BE32-E72D297353CC}">
                <c16:uniqueId val="{00000005-26AF-4650-AA38-390EB16E4032}"/>
              </c:ext>
            </c:extLst>
          </c:dPt>
          <c:dPt>
            <c:idx val="3"/>
            <c:bubble3D val="0"/>
            <c:spPr>
              <a:solidFill>
                <a:srgbClr val="FFE838"/>
              </a:solidFill>
              <a:ln w="12700">
                <a:solidFill>
                  <a:srgbClr val="B2B2B2"/>
                </a:solidFill>
              </a:ln>
            </c:spPr>
            <c:extLst>
              <c:ext xmlns:c16="http://schemas.microsoft.com/office/drawing/2014/chart" uri="{C3380CC4-5D6E-409C-BE32-E72D297353CC}">
                <c16:uniqueId val="{00000007-26AF-4650-AA38-390EB16E4032}"/>
              </c:ext>
            </c:extLst>
          </c:dPt>
          <c:dPt>
            <c:idx val="4"/>
            <c:bubble3D val="0"/>
            <c:spPr>
              <a:solidFill>
                <a:srgbClr val="ED3124"/>
              </a:solidFill>
              <a:ln w="12700">
                <a:solidFill>
                  <a:srgbClr val="B2B2B2"/>
                </a:solidFill>
              </a:ln>
            </c:spPr>
            <c:extLst>
              <c:ext xmlns:c16="http://schemas.microsoft.com/office/drawing/2014/chart" uri="{C3380CC4-5D6E-409C-BE32-E72D297353CC}">
                <c16:uniqueId val="{00000009-26AF-4650-AA38-390EB16E4032}"/>
              </c:ext>
            </c:extLst>
          </c:dPt>
          <c:dPt>
            <c:idx val="5"/>
            <c:bubble3D val="0"/>
            <c:spPr>
              <a:solidFill>
                <a:srgbClr val="19B24E"/>
              </a:solidFill>
              <a:ln w="12700">
                <a:solidFill>
                  <a:srgbClr val="B2B2B2"/>
                </a:solidFill>
              </a:ln>
            </c:spPr>
            <c:extLst>
              <c:ext xmlns:c16="http://schemas.microsoft.com/office/drawing/2014/chart" uri="{C3380CC4-5D6E-409C-BE32-E72D297353CC}">
                <c16:uniqueId val="{0000000B-26AF-4650-AA38-390EB16E4032}"/>
              </c:ext>
            </c:extLst>
          </c:dPt>
          <c:dPt>
            <c:idx val="6"/>
            <c:bubble3D val="0"/>
            <c:spPr>
              <a:solidFill>
                <a:srgbClr val="BD5CA3"/>
              </a:solidFill>
              <a:ln w="12700">
                <a:solidFill>
                  <a:srgbClr val="B2B2B2"/>
                </a:solidFill>
              </a:ln>
            </c:spPr>
            <c:extLst>
              <c:ext xmlns:c16="http://schemas.microsoft.com/office/drawing/2014/chart" uri="{C3380CC4-5D6E-409C-BE32-E72D297353CC}">
                <c16:uniqueId val="{0000000D-26AF-4650-AA38-390EB16E4032}"/>
              </c:ext>
            </c:extLst>
          </c:dPt>
          <c:dPt>
            <c:idx val="7"/>
            <c:bubble3D val="0"/>
            <c:spPr>
              <a:solidFill>
                <a:srgbClr val="414141"/>
              </a:solidFill>
              <a:ln w="12700">
                <a:solidFill>
                  <a:srgbClr val="B2B2B2"/>
                </a:solidFill>
              </a:ln>
            </c:spPr>
            <c:extLst>
              <c:ext xmlns:c16="http://schemas.microsoft.com/office/drawing/2014/chart" uri="{C3380CC4-5D6E-409C-BE32-E72D297353CC}">
                <c16:uniqueId val="{0000000F-26AF-4650-AA38-390EB16E4032}"/>
              </c:ext>
            </c:extLst>
          </c:dPt>
          <c:dPt>
            <c:idx val="8"/>
            <c:bubble3D val="0"/>
            <c:spPr>
              <a:solidFill>
                <a:srgbClr val="FFC91D"/>
              </a:solidFill>
              <a:ln w="12700">
                <a:solidFill>
                  <a:srgbClr val="B2B2B2"/>
                </a:solidFill>
              </a:ln>
            </c:spPr>
            <c:extLst>
              <c:ext xmlns:c16="http://schemas.microsoft.com/office/drawing/2014/chart" uri="{C3380CC4-5D6E-409C-BE32-E72D297353CC}">
                <c16:uniqueId val="{00000011-26AF-4650-AA38-390EB16E4032}"/>
              </c:ext>
            </c:extLst>
          </c:dPt>
          <c:dPt>
            <c:idx val="9"/>
            <c:bubble3D val="0"/>
            <c:spPr>
              <a:solidFill>
                <a:srgbClr val="D2D2D2"/>
              </a:solidFill>
              <a:ln w="12700">
                <a:solidFill>
                  <a:srgbClr val="B2B2B2"/>
                </a:solidFill>
              </a:ln>
            </c:spPr>
            <c:extLst>
              <c:ext xmlns:c16="http://schemas.microsoft.com/office/drawing/2014/chart" uri="{C3380CC4-5D6E-409C-BE32-E72D297353CC}">
                <c16:uniqueId val="{00000013-26AF-4650-AA38-390EB16E4032}"/>
              </c:ext>
            </c:extLst>
          </c:dPt>
          <c:dPt>
            <c:idx val="10"/>
            <c:bubble3D val="0"/>
            <c:spPr>
              <a:solidFill>
                <a:srgbClr val="FF6D22"/>
              </a:solidFill>
              <a:ln w="12700">
                <a:solidFill>
                  <a:srgbClr val="B2B2B2"/>
                </a:solidFill>
              </a:ln>
            </c:spPr>
            <c:extLst>
              <c:ext xmlns:c16="http://schemas.microsoft.com/office/drawing/2014/chart" uri="{C3380CC4-5D6E-409C-BE32-E72D297353CC}">
                <c16:uniqueId val="{00000015-26AF-4650-AA38-390EB16E4032}"/>
              </c:ext>
            </c:extLst>
          </c:dPt>
          <c:dLbls>
            <c:dLbl>
              <c:idx val="1"/>
              <c:spPr/>
              <c:txPr>
                <a:bodyPr vertOverflow="clip" horzOverflow="clip"/>
                <a:lstStyle/>
                <a:p>
                  <a:pPr>
                    <a:defRPr sz="900">
                      <a:solidFill>
                        <a:sysClr val="windowText" lastClr="000000"/>
                      </a:solidFill>
                      <a:latin typeface="Arial" pitchFamily="34" charset="0"/>
                      <a:cs typeface="Arial" pitchFamily="34" charset="0"/>
                    </a:defRPr>
                  </a:pPr>
                  <a:endParaRPr lang="en-US"/>
                </a:p>
              </c:txPr>
              <c:dLblPos val="inEnd"/>
              <c:showLegendKey val="0"/>
              <c:showVal val="0"/>
              <c:showCatName val="1"/>
              <c:showSerName val="0"/>
              <c:showPercent val="1"/>
              <c:showBubbleSize val="0"/>
              <c:extLst>
                <c:ext xmlns:c16="http://schemas.microsoft.com/office/drawing/2014/chart" uri="{C3380CC4-5D6E-409C-BE32-E72D297353CC}">
                  <c16:uniqueId val="{00000003-26AF-4650-AA38-390EB16E4032}"/>
                </c:ext>
              </c:extLst>
            </c:dLbl>
            <c:dLbl>
              <c:idx val="3"/>
              <c:spPr/>
              <c:txPr>
                <a:bodyPr vertOverflow="clip" horzOverflow="clip"/>
                <a:lstStyle/>
                <a:p>
                  <a:pPr>
                    <a:defRPr sz="900">
                      <a:solidFill>
                        <a:schemeClr val="bg1"/>
                      </a:solidFill>
                      <a:latin typeface="Arial" pitchFamily="34" charset="0"/>
                      <a:cs typeface="Arial" pitchFamily="34" charset="0"/>
                    </a:defRPr>
                  </a:pPr>
                  <a:endParaRPr lang="en-US"/>
                </a:p>
              </c:txPr>
              <c:dLblPos val="inEnd"/>
              <c:showLegendKey val="0"/>
              <c:showVal val="0"/>
              <c:showCatName val="1"/>
              <c:showSerName val="0"/>
              <c:showPercent val="1"/>
              <c:showBubbleSize val="0"/>
              <c:extLst>
                <c:ext xmlns:c16="http://schemas.microsoft.com/office/drawing/2014/chart" uri="{C3380CC4-5D6E-409C-BE32-E72D297353CC}">
                  <c16:uniqueId val="{00000007-26AF-4650-AA38-390EB16E4032}"/>
                </c:ext>
              </c:extLst>
            </c:dLbl>
            <c:dLbl>
              <c:idx val="4"/>
              <c:spPr>
                <a:noFill/>
                <a:ln>
                  <a:noFill/>
                </a:ln>
                <a:effectLst/>
              </c:spPr>
              <c:txPr>
                <a:bodyPr vertOverflow="clip" horzOverflow="clip"/>
                <a:lstStyle/>
                <a:p>
                  <a:pPr>
                    <a:defRPr sz="900">
                      <a:solidFill>
                        <a:sysClr val="windowText" lastClr="000000"/>
                      </a:solidFill>
                      <a:latin typeface="Arial" pitchFamily="34" charset="0"/>
                      <a:cs typeface="Arial" pitchFamily="34" charset="0"/>
                    </a:defRPr>
                  </a:pPr>
                  <a:endParaRPr lang="en-US"/>
                </a:p>
              </c:txPr>
              <c:dLblPos val="inEnd"/>
              <c:showLegendKey val="0"/>
              <c:showVal val="0"/>
              <c:showCatName val="1"/>
              <c:showSerName val="0"/>
              <c:showPercent val="1"/>
              <c:showBubbleSize val="0"/>
              <c:extLst>
                <c:ext xmlns:c16="http://schemas.microsoft.com/office/drawing/2014/chart" uri="{C3380CC4-5D6E-409C-BE32-E72D297353CC}">
                  <c16:uniqueId val="{00000009-26AF-4650-AA38-390EB16E4032}"/>
                </c:ext>
              </c:extLst>
            </c:dLbl>
            <c:dLbl>
              <c:idx val="5"/>
              <c:layout>
                <c:manualLayout>
                  <c:x val="0.11477580927384078"/>
                  <c:y val="-0.13537401574803148"/>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26AF-4650-AA38-390EB16E4032}"/>
                </c:ext>
              </c:extLst>
            </c:dLbl>
            <c:dLbl>
              <c:idx val="6"/>
              <c:spPr>
                <a:noFill/>
                <a:ln>
                  <a:noFill/>
                </a:ln>
                <a:effectLst/>
              </c:spPr>
              <c:txPr>
                <a:bodyPr vertOverflow="clip" horzOverflow="clip"/>
                <a:lstStyle/>
                <a:p>
                  <a:pPr>
                    <a:defRPr sz="900">
                      <a:solidFill>
                        <a:sysClr val="windowText" lastClr="000000"/>
                      </a:solidFill>
                      <a:latin typeface="Arial" pitchFamily="34" charset="0"/>
                      <a:cs typeface="Arial" pitchFamily="34" charset="0"/>
                    </a:defRPr>
                  </a:pPr>
                  <a:endParaRPr lang="en-US"/>
                </a:p>
              </c:txPr>
              <c:dLblPos val="inEnd"/>
              <c:showLegendKey val="0"/>
              <c:showVal val="0"/>
              <c:showCatName val="1"/>
              <c:showSerName val="0"/>
              <c:showPercent val="1"/>
              <c:showBubbleSize val="0"/>
              <c:extLst>
                <c:ext xmlns:c16="http://schemas.microsoft.com/office/drawing/2014/chart" uri="{C3380CC4-5D6E-409C-BE32-E72D297353CC}">
                  <c16:uniqueId val="{0000000D-26AF-4650-AA38-390EB16E4032}"/>
                </c:ext>
              </c:extLst>
            </c:dLbl>
            <c:dLbl>
              <c:idx val="7"/>
              <c:layout>
                <c:manualLayout>
                  <c:x val="0.10688063830003142"/>
                  <c:y val="8.4514462664867701E-2"/>
                </c:manualLayout>
              </c:layout>
              <c:spPr/>
              <c:txPr>
                <a:bodyPr vertOverflow="clip" horzOverflow="clip"/>
                <a:lstStyle/>
                <a:p>
                  <a:pPr>
                    <a:defRPr sz="900">
                      <a:solidFill>
                        <a:schemeClr val="bg1"/>
                      </a:solidFill>
                      <a:latin typeface="Arial" pitchFamily="34" charset="0"/>
                      <a:cs typeface="Arial" pitchFamily="34" charset="0"/>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F-26AF-4650-AA38-390EB16E4032}"/>
                </c:ext>
              </c:extLst>
            </c:dLbl>
            <c:dLbl>
              <c:idx val="11"/>
              <c:spPr/>
              <c:txPr>
                <a:bodyPr vertOverflow="clip" horzOverflow="clip"/>
                <a:lstStyle/>
                <a:p>
                  <a:pPr>
                    <a:defRPr sz="900">
                      <a:solidFill>
                        <a:sysClr val="windowText" lastClr="000000"/>
                      </a:solidFill>
                      <a:latin typeface="Arial" pitchFamily="34" charset="0"/>
                      <a:cs typeface="Arial" pitchFamily="34" charset="0"/>
                    </a:defRPr>
                  </a:pPr>
                  <a:endParaRPr lang="en-US"/>
                </a:p>
              </c:txPr>
              <c:dLblPos val="inEnd"/>
              <c:showLegendKey val="0"/>
              <c:showVal val="0"/>
              <c:showCatName val="1"/>
              <c:showSerName val="0"/>
              <c:showPercent val="1"/>
              <c:showBubbleSize val="0"/>
              <c:extLst>
                <c:ext xmlns:c16="http://schemas.microsoft.com/office/drawing/2014/chart" uri="{C3380CC4-5D6E-409C-BE32-E72D297353CC}">
                  <c16:uniqueId val="{00000016-B1F9-4388-AD19-F1302E232CF8}"/>
                </c:ext>
              </c:extLst>
            </c:dLbl>
            <c:spPr>
              <a:noFill/>
              <a:ln>
                <a:noFill/>
              </a:ln>
              <a:effectLst/>
            </c:spPr>
            <c:txPr>
              <a:bodyPr vertOverflow="clip" horzOverflow="clip"/>
              <a:lstStyle/>
              <a:p>
                <a:pPr>
                  <a:defRPr sz="900">
                    <a:solidFill>
                      <a:schemeClr val="bg1"/>
                    </a:solidFill>
                    <a:latin typeface="Arial" pitchFamily="34" charset="0"/>
                    <a:cs typeface="Arial" pitchFamily="34" charset="0"/>
                  </a:defRPr>
                </a:pPr>
                <a:endParaRPr lang="en-US"/>
              </a:p>
            </c:txPr>
            <c:dLblPos val="inEnd"/>
            <c:showLegendKey val="0"/>
            <c:showVal val="0"/>
            <c:showCatName val="1"/>
            <c:showSerName val="0"/>
            <c:showPercent val="1"/>
            <c:showBubbleSize val="0"/>
            <c:showLeaderLines val="1"/>
            <c:extLst>
              <c:ext xmlns:c15="http://schemas.microsoft.com/office/drawing/2012/chart" uri="{CE6537A1-D6FC-4f65-9D91-7224C49458BB}"/>
            </c:extLst>
          </c:dLbls>
          <c:val>
            <c:numLit>
              <c:formatCode>General</c:formatCode>
              <c:ptCount val="11"/>
              <c:pt idx="0">
                <c:v>84.3</c:v>
              </c:pt>
              <c:pt idx="1">
                <c:v>89.5</c:v>
              </c:pt>
              <c:pt idx="2">
                <c:v>78.8</c:v>
              </c:pt>
              <c:pt idx="3">
                <c:v>76.900000000000006</c:v>
              </c:pt>
              <c:pt idx="4">
                <c:v>70.099999999999994</c:v>
              </c:pt>
              <c:pt idx="5">
                <c:v>57.6</c:v>
              </c:pt>
              <c:pt idx="6">
                <c:v>50.2</c:v>
              </c:pt>
              <c:pt idx="7">
                <c:v>50</c:v>
              </c:pt>
              <c:pt idx="8">
                <c:v>50</c:v>
              </c:pt>
              <c:pt idx="9">
                <c:v>50</c:v>
              </c:pt>
            </c:numLit>
          </c:val>
          <c:extLst>
            <c:ext xmlns:c16="http://schemas.microsoft.com/office/drawing/2014/chart" uri="{C3380CC4-5D6E-409C-BE32-E72D297353CC}">
              <c16:uniqueId val="{00000017-26AF-4650-AA38-390EB16E4032}"/>
            </c:ext>
          </c:extLst>
        </c:ser>
        <c:dLbls>
          <c:showLegendKey val="0"/>
          <c:showVal val="1"/>
          <c:showCatName val="0"/>
          <c:showSerName val="0"/>
          <c:showPercent val="0"/>
          <c:showBubbleSize val="0"/>
          <c:showLeaderLines val="1"/>
        </c:dLbls>
        <c:firstSliceAng val="0"/>
      </c:pieChart>
      <c:spPr>
        <a:noFill/>
      </c:spPr>
    </c:plotArea>
    <c:plotVisOnly val="1"/>
    <c:dispBlanksAs val="gap"/>
    <c:showDLblsOverMax val="0"/>
  </c:chart>
  <c:spPr>
    <a:noFill/>
    <a:ln>
      <a:noFill/>
    </a:ln>
  </c:spPr>
  <c:printSettings>
    <c:headerFooter/>
    <c:pageMargins b="0.74803149606299468" l="0.70866141732283761" r="0.70866141732283761" t="0.74803149606299468" header="0.31496062992126223" footer="0.31496062992126223"/>
    <c:pageSetup paperSize="9" orientation="landscape" blackAndWhite="1"/>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0" i="0" u="none" strike="noStrike" kern="1200" baseline="0">
                <a:solidFill>
                  <a:sysClr val="windowText" lastClr="000000"/>
                </a:solidFill>
                <a:latin typeface="Arial" pitchFamily="34" charset="0"/>
                <a:ea typeface="+mn-ea"/>
                <a:cs typeface="Arial" pitchFamily="34" charset="0"/>
              </a:defRPr>
            </a:pPr>
            <a:r>
              <a:rPr lang="en-US" sz="900" b="0"/>
              <a:t>Axis title over line</a:t>
            </a:r>
          </a:p>
        </c:rich>
      </c:tx>
      <c:layout>
        <c:manualLayout>
          <c:xMode val="edge"/>
          <c:yMode val="edge"/>
          <c:x val="0.1162403978052126"/>
          <c:y val="1.7638888888888888E-2"/>
        </c:manualLayout>
      </c:layout>
      <c:overlay val="0"/>
      <c:spPr>
        <a:noFill/>
        <a:ln>
          <a:noFill/>
        </a:ln>
        <a:effectLst/>
      </c:spPr>
    </c:title>
    <c:autoTitleDeleted val="0"/>
    <c:plotArea>
      <c:layout>
        <c:manualLayout>
          <c:layoutTarget val="inner"/>
          <c:xMode val="edge"/>
          <c:yMode val="edge"/>
          <c:x val="0.29728003671462261"/>
          <c:y val="7.0587499999999984E-2"/>
          <c:w val="0.67883288810811804"/>
          <c:h val="0.8816383333333333"/>
        </c:manualLayout>
      </c:layout>
      <c:barChart>
        <c:barDir val="bar"/>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Arial" pitchFamily="34" charset="0"/>
                    <a:ea typeface="+mn-ea"/>
                    <a:cs typeface="Arial"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ChartTemplates!$A$53:$A$59</c:f>
              <c:strCache>
                <c:ptCount val="7"/>
                <c:pt idx="0">
                  <c:v>India</c:v>
                </c:pt>
                <c:pt idx="1">
                  <c:v>China</c:v>
                </c:pt>
                <c:pt idx="2">
                  <c:v>Southeast Asia</c:v>
                </c:pt>
                <c:pt idx="3">
                  <c:v>Middle East and Africa</c:v>
                </c:pt>
                <c:pt idx="4">
                  <c:v>Japan</c:v>
                </c:pt>
                <c:pt idx="6">
                  <c:v>Rest of world</c:v>
                </c:pt>
              </c:strCache>
            </c:strRef>
          </c:cat>
          <c:val>
            <c:numRef>
              <c:f>ChartTemplates!$B$53:$B$59</c:f>
              <c:numCache>
                <c:formatCode>General</c:formatCode>
                <c:ptCount val="7"/>
                <c:pt idx="0">
                  <c:v>258</c:v>
                </c:pt>
                <c:pt idx="1">
                  <c:v>188</c:v>
                </c:pt>
                <c:pt idx="2">
                  <c:v>73</c:v>
                </c:pt>
                <c:pt idx="3">
                  <c:v>67</c:v>
                </c:pt>
                <c:pt idx="4">
                  <c:v>17</c:v>
                </c:pt>
                <c:pt idx="6">
                  <c:v>354</c:v>
                </c:pt>
              </c:numCache>
            </c:numRef>
          </c:val>
          <c:extLst>
            <c:ext xmlns:c16="http://schemas.microsoft.com/office/drawing/2014/chart" uri="{C3380CC4-5D6E-409C-BE32-E72D297353CC}">
              <c16:uniqueId val="{00000000-FBCF-4BBC-8812-56F035810846}"/>
            </c:ext>
          </c:extLst>
        </c:ser>
        <c:dLbls>
          <c:showLegendKey val="0"/>
          <c:showVal val="0"/>
          <c:showCatName val="0"/>
          <c:showSerName val="0"/>
          <c:showPercent val="0"/>
          <c:showBubbleSize val="0"/>
        </c:dLbls>
        <c:gapWidth val="50"/>
        <c:axId val="273044224"/>
        <c:axId val="273045760"/>
      </c:barChart>
      <c:catAx>
        <c:axId val="273044224"/>
        <c:scaling>
          <c:orientation val="maxMin"/>
        </c:scaling>
        <c:delete val="0"/>
        <c:axPos val="l"/>
        <c:numFmt formatCode="General" sourceLinked="1"/>
        <c:majorTickMark val="none"/>
        <c:minorTickMark val="none"/>
        <c:tickLblPos val="nextTo"/>
        <c:spPr>
          <a:noFill/>
          <a:ln w="3175" cap="flat" cmpd="sng" algn="ctr">
            <a:solidFill>
              <a:srgbClr val="B3B3B3"/>
            </a:solidFill>
            <a:prstDash val="solid"/>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Arial" pitchFamily="34" charset="0"/>
                <a:ea typeface="+mn-ea"/>
                <a:cs typeface="Arial" pitchFamily="34" charset="0"/>
              </a:defRPr>
            </a:pPr>
            <a:endParaRPr lang="en-US"/>
          </a:p>
        </c:txPr>
        <c:crossAx val="273045760"/>
        <c:crosses val="autoZero"/>
        <c:auto val="1"/>
        <c:lblAlgn val="ctr"/>
        <c:lblOffset val="100"/>
        <c:noMultiLvlLbl val="0"/>
      </c:catAx>
      <c:valAx>
        <c:axId val="273045760"/>
        <c:scaling>
          <c:orientation val="minMax"/>
        </c:scaling>
        <c:delete val="1"/>
        <c:axPos val="t"/>
        <c:numFmt formatCode="#,##0" sourceLinked="0"/>
        <c:majorTickMark val="out"/>
        <c:minorTickMark val="none"/>
        <c:tickLblPos val="nextTo"/>
        <c:crossAx val="273044224"/>
        <c:crosses val="autoZero"/>
        <c:crossBetween val="between"/>
      </c:valAx>
      <c:spPr>
        <a:solidFill>
          <a:schemeClr val="bg1"/>
        </a:solidFill>
        <a:ln>
          <a:noFill/>
        </a:ln>
        <a:effectLst/>
      </c:spPr>
    </c:plotArea>
    <c:plotVisOnly val="1"/>
    <c:dispBlanksAs val="gap"/>
    <c:showDLblsOverMax val="0"/>
  </c:chart>
  <c:spPr>
    <a:solidFill>
      <a:srgbClr val="FFFFFF"/>
    </a:solidFill>
    <a:ln w="9525" cap="flat" cmpd="sng" algn="ctr">
      <a:noFill/>
      <a:prstDash val="solid"/>
      <a:round/>
    </a:ln>
    <a:effectLst/>
  </c:spPr>
  <c:txPr>
    <a:bodyPr/>
    <a:lstStyle/>
    <a:p>
      <a:pPr>
        <a:defRPr sz="900">
          <a:solidFill>
            <a:sysClr val="windowText" lastClr="000000"/>
          </a:solidFill>
          <a:latin typeface="Arial" pitchFamily="34" charset="0"/>
          <a:cs typeface="Arial" pitchFamily="34" charset="0"/>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baseline="0">
                <a:solidFill>
                  <a:sysClr val="windowText" lastClr="000000"/>
                </a:solidFill>
                <a:latin typeface="Arial" pitchFamily="34" charset="0"/>
                <a:ea typeface="+mn-ea"/>
                <a:cs typeface="Arial" pitchFamily="34" charset="0"/>
              </a:defRPr>
            </a:pPr>
            <a:r>
              <a:rPr lang="en-US" sz="1200"/>
              <a:t>Coal</a:t>
            </a:r>
            <a:r>
              <a:rPr lang="en-US" sz="1200" baseline="0"/>
              <a:t> power generation capacity additions, 2015 - 2040 (GW)</a:t>
            </a:r>
            <a:endParaRPr lang="en-US" sz="1200"/>
          </a:p>
        </c:rich>
      </c:tx>
      <c:layout>
        <c:manualLayout>
          <c:xMode val="edge"/>
          <c:yMode val="edge"/>
          <c:x val="8.2536085812908268E-4"/>
          <c:y val="0"/>
        </c:manualLayout>
      </c:layout>
      <c:overlay val="0"/>
      <c:spPr>
        <a:noFill/>
        <a:ln>
          <a:noFill/>
        </a:ln>
        <a:effectLst/>
      </c:spPr>
    </c:title>
    <c:autoTitleDeleted val="0"/>
    <c:plotArea>
      <c:layout>
        <c:manualLayout>
          <c:layoutTarget val="inner"/>
          <c:xMode val="edge"/>
          <c:yMode val="edge"/>
          <c:x val="0.29728003671462261"/>
          <c:y val="0.11292073832790445"/>
          <c:w val="0.67883288810811804"/>
          <c:h val="0.8393051031487514"/>
        </c:manualLayout>
      </c:layout>
      <c:barChart>
        <c:barDir val="bar"/>
        <c:grouping val="stack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Arial" pitchFamily="34" charset="0"/>
                    <a:ea typeface="+mn-ea"/>
                    <a:cs typeface="Arial"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ChartTemplates!$A$53:$A$59</c:f>
              <c:strCache>
                <c:ptCount val="7"/>
                <c:pt idx="0">
                  <c:v>India</c:v>
                </c:pt>
                <c:pt idx="1">
                  <c:v>China</c:v>
                </c:pt>
                <c:pt idx="2">
                  <c:v>Southeast Asia</c:v>
                </c:pt>
                <c:pt idx="3">
                  <c:v>Middle East and Africa</c:v>
                </c:pt>
                <c:pt idx="4">
                  <c:v>Japan</c:v>
                </c:pt>
                <c:pt idx="6">
                  <c:v>Rest of world</c:v>
                </c:pt>
              </c:strCache>
            </c:strRef>
          </c:cat>
          <c:val>
            <c:numRef>
              <c:f>ChartTemplates!$B$53:$B$59</c:f>
              <c:numCache>
                <c:formatCode>General</c:formatCode>
                <c:ptCount val="7"/>
                <c:pt idx="0">
                  <c:v>258</c:v>
                </c:pt>
                <c:pt idx="1">
                  <c:v>188</c:v>
                </c:pt>
                <c:pt idx="2">
                  <c:v>73</c:v>
                </c:pt>
                <c:pt idx="3">
                  <c:v>67</c:v>
                </c:pt>
                <c:pt idx="4">
                  <c:v>17</c:v>
                </c:pt>
                <c:pt idx="6">
                  <c:v>354</c:v>
                </c:pt>
              </c:numCache>
            </c:numRef>
          </c:val>
          <c:extLst>
            <c:ext xmlns:c16="http://schemas.microsoft.com/office/drawing/2014/chart" uri="{C3380CC4-5D6E-409C-BE32-E72D297353CC}">
              <c16:uniqueId val="{00000000-9870-443C-95B1-17B97E617CAD}"/>
            </c:ext>
          </c:extLst>
        </c:ser>
        <c:ser>
          <c:idx val="1"/>
          <c:order val="1"/>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Arial" pitchFamily="34" charset="0"/>
                    <a:ea typeface="+mn-ea"/>
                    <a:cs typeface="Arial"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ChartTemplates!$A$53:$A$59</c:f>
              <c:strCache>
                <c:ptCount val="7"/>
                <c:pt idx="0">
                  <c:v>India</c:v>
                </c:pt>
                <c:pt idx="1">
                  <c:v>China</c:v>
                </c:pt>
                <c:pt idx="2">
                  <c:v>Southeast Asia</c:v>
                </c:pt>
                <c:pt idx="3">
                  <c:v>Middle East and Africa</c:v>
                </c:pt>
                <c:pt idx="4">
                  <c:v>Japan</c:v>
                </c:pt>
                <c:pt idx="6">
                  <c:v>Rest of world</c:v>
                </c:pt>
              </c:strCache>
            </c:strRef>
          </c:cat>
          <c:val>
            <c:numRef>
              <c:f>ChartTemplates!$C$53:$C$59</c:f>
              <c:numCache>
                <c:formatCode>General</c:formatCode>
                <c:ptCount val="7"/>
                <c:pt idx="0">
                  <c:v>516</c:v>
                </c:pt>
                <c:pt idx="1">
                  <c:v>376</c:v>
                </c:pt>
                <c:pt idx="2">
                  <c:v>146</c:v>
                </c:pt>
                <c:pt idx="3">
                  <c:v>134</c:v>
                </c:pt>
                <c:pt idx="4">
                  <c:v>34</c:v>
                </c:pt>
                <c:pt idx="6">
                  <c:v>708</c:v>
                </c:pt>
              </c:numCache>
            </c:numRef>
          </c:val>
          <c:extLst>
            <c:ext xmlns:c16="http://schemas.microsoft.com/office/drawing/2014/chart" uri="{C3380CC4-5D6E-409C-BE32-E72D297353CC}">
              <c16:uniqueId val="{00000001-9870-443C-95B1-17B97E617CAD}"/>
            </c:ext>
          </c:extLst>
        </c:ser>
        <c:ser>
          <c:idx val="2"/>
          <c:order val="2"/>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Arial" pitchFamily="34" charset="0"/>
                    <a:ea typeface="+mn-ea"/>
                    <a:cs typeface="Arial"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ChartTemplates!$A$53:$A$59</c:f>
              <c:strCache>
                <c:ptCount val="7"/>
                <c:pt idx="0">
                  <c:v>India</c:v>
                </c:pt>
                <c:pt idx="1">
                  <c:v>China</c:v>
                </c:pt>
                <c:pt idx="2">
                  <c:v>Southeast Asia</c:v>
                </c:pt>
                <c:pt idx="3">
                  <c:v>Middle East and Africa</c:v>
                </c:pt>
                <c:pt idx="4">
                  <c:v>Japan</c:v>
                </c:pt>
                <c:pt idx="6">
                  <c:v>Rest of world</c:v>
                </c:pt>
              </c:strCache>
            </c:strRef>
          </c:cat>
          <c:val>
            <c:numRef>
              <c:f>ChartTemplates!$D$53:$D$59</c:f>
              <c:numCache>
                <c:formatCode>General</c:formatCode>
                <c:ptCount val="7"/>
                <c:pt idx="0">
                  <c:v>1032</c:v>
                </c:pt>
                <c:pt idx="1">
                  <c:v>752</c:v>
                </c:pt>
                <c:pt idx="2">
                  <c:v>292</c:v>
                </c:pt>
                <c:pt idx="3">
                  <c:v>268</c:v>
                </c:pt>
                <c:pt idx="4">
                  <c:v>68</c:v>
                </c:pt>
                <c:pt idx="6">
                  <c:v>1416</c:v>
                </c:pt>
              </c:numCache>
            </c:numRef>
          </c:val>
          <c:extLst>
            <c:ext xmlns:c16="http://schemas.microsoft.com/office/drawing/2014/chart" uri="{C3380CC4-5D6E-409C-BE32-E72D297353CC}">
              <c16:uniqueId val="{00000002-9870-443C-95B1-17B97E617CAD}"/>
            </c:ext>
          </c:extLst>
        </c:ser>
        <c:dLbls>
          <c:showLegendKey val="0"/>
          <c:showVal val="0"/>
          <c:showCatName val="0"/>
          <c:showSerName val="0"/>
          <c:showPercent val="0"/>
          <c:showBubbleSize val="0"/>
        </c:dLbls>
        <c:gapWidth val="50"/>
        <c:overlap val="100"/>
        <c:axId val="273098624"/>
        <c:axId val="273100160"/>
      </c:barChart>
      <c:catAx>
        <c:axId val="273098624"/>
        <c:scaling>
          <c:orientation val="maxMin"/>
        </c:scaling>
        <c:delete val="0"/>
        <c:axPos val="l"/>
        <c:numFmt formatCode="General" sourceLinked="1"/>
        <c:majorTickMark val="none"/>
        <c:minorTickMark val="none"/>
        <c:tickLblPos val="nextTo"/>
        <c:spPr>
          <a:noFill/>
          <a:ln w="3175" cap="flat" cmpd="sng" algn="ctr">
            <a:solidFill>
              <a:srgbClr val="808080"/>
            </a:solidFill>
            <a:prstDash val="solid"/>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Arial" pitchFamily="34" charset="0"/>
                <a:ea typeface="+mn-ea"/>
                <a:cs typeface="Arial" pitchFamily="34" charset="0"/>
              </a:defRPr>
            </a:pPr>
            <a:endParaRPr lang="en-US"/>
          </a:p>
        </c:txPr>
        <c:crossAx val="273100160"/>
        <c:crosses val="autoZero"/>
        <c:auto val="1"/>
        <c:lblAlgn val="ctr"/>
        <c:lblOffset val="100"/>
        <c:noMultiLvlLbl val="0"/>
      </c:catAx>
      <c:valAx>
        <c:axId val="273100160"/>
        <c:scaling>
          <c:orientation val="minMax"/>
        </c:scaling>
        <c:delete val="1"/>
        <c:axPos val="t"/>
        <c:numFmt formatCode="#,##0" sourceLinked="0"/>
        <c:majorTickMark val="out"/>
        <c:minorTickMark val="none"/>
        <c:tickLblPos val="nextTo"/>
        <c:crossAx val="273098624"/>
        <c:crosses val="autoZero"/>
        <c:crossBetween val="between"/>
      </c:valAx>
      <c:spPr>
        <a:solidFill>
          <a:schemeClr val="bg1"/>
        </a:solidFill>
        <a:ln>
          <a:noFill/>
        </a:ln>
        <a:effectLst/>
      </c:spPr>
    </c:plotArea>
    <c:plotVisOnly val="1"/>
    <c:dispBlanksAs val="gap"/>
    <c:showDLblsOverMax val="0"/>
  </c:chart>
  <c:spPr>
    <a:solidFill>
      <a:srgbClr val="FFFFFF"/>
    </a:solidFill>
    <a:ln w="9525" cap="flat" cmpd="sng" algn="ctr">
      <a:noFill/>
      <a:prstDash val="solid"/>
      <a:round/>
    </a:ln>
    <a:effectLst/>
  </c:spPr>
  <c:txPr>
    <a:bodyPr/>
    <a:lstStyle/>
    <a:p>
      <a:pPr>
        <a:defRPr>
          <a:solidFill>
            <a:sysClr val="windowText" lastClr="000000"/>
          </a:solidFill>
          <a:latin typeface="Arial" pitchFamily="34" charset="0"/>
          <a:cs typeface="Arial" pitchFamily="34" charset="0"/>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9.9145210154515814E-2"/>
          <c:y val="3.2433371201734215E-2"/>
          <c:w val="0.75278323680614412"/>
          <c:h val="0.86762721823951361"/>
        </c:manualLayout>
      </c:layout>
      <c:barChart>
        <c:barDir val="col"/>
        <c:grouping val="stacked"/>
        <c:varyColors val="0"/>
        <c:ser>
          <c:idx val="0"/>
          <c:order val="0"/>
          <c:spPr>
            <a:solidFill>
              <a:srgbClr val="00AEE5"/>
            </a:solidFill>
            <a:ln w="12700">
              <a:noFill/>
            </a:ln>
          </c:spPr>
          <c:invertIfNegative val="0"/>
          <c:val>
            <c:numRef>
              <c:f>ChartTemplates!$BH$20</c:f>
              <c:numCache>
                <c:formatCode>General</c:formatCode>
                <c:ptCount val="1"/>
                <c:pt idx="0">
                  <c:v>10</c:v>
                </c:pt>
              </c:numCache>
            </c:numRef>
          </c:val>
          <c:extLst>
            <c:ext xmlns:c16="http://schemas.microsoft.com/office/drawing/2014/chart" uri="{C3380CC4-5D6E-409C-BE32-E72D297353CC}">
              <c16:uniqueId val="{00000000-4C27-4488-8D7C-C5E14D26A4B2}"/>
            </c:ext>
          </c:extLst>
        </c:ser>
        <c:ser>
          <c:idx val="1"/>
          <c:order val="1"/>
          <c:spPr>
            <a:solidFill>
              <a:srgbClr val="B65CA3"/>
            </a:solidFill>
            <a:ln w="12700">
              <a:noFill/>
            </a:ln>
          </c:spPr>
          <c:invertIfNegative val="0"/>
          <c:val>
            <c:numRef>
              <c:f>ChartTemplates!$BH$21</c:f>
              <c:numCache>
                <c:formatCode>General</c:formatCode>
                <c:ptCount val="1"/>
                <c:pt idx="0">
                  <c:v>10</c:v>
                </c:pt>
              </c:numCache>
            </c:numRef>
          </c:val>
          <c:extLst>
            <c:ext xmlns:c16="http://schemas.microsoft.com/office/drawing/2014/chart" uri="{C3380CC4-5D6E-409C-BE32-E72D297353CC}">
              <c16:uniqueId val="{00000001-4C27-4488-8D7C-C5E14D26A4B2}"/>
            </c:ext>
          </c:extLst>
        </c:ser>
        <c:ser>
          <c:idx val="2"/>
          <c:order val="2"/>
          <c:spPr>
            <a:solidFill>
              <a:srgbClr val="43BEAD"/>
            </a:solidFill>
            <a:ln>
              <a:noFill/>
            </a:ln>
          </c:spPr>
          <c:invertIfNegative val="0"/>
          <c:val>
            <c:numRef>
              <c:f>ChartTemplates!$BH$22</c:f>
              <c:numCache>
                <c:formatCode>General</c:formatCode>
                <c:ptCount val="1"/>
                <c:pt idx="0">
                  <c:v>10</c:v>
                </c:pt>
              </c:numCache>
            </c:numRef>
          </c:val>
          <c:extLst>
            <c:ext xmlns:c16="http://schemas.microsoft.com/office/drawing/2014/chart" uri="{C3380CC4-5D6E-409C-BE32-E72D297353CC}">
              <c16:uniqueId val="{00000002-4C27-4488-8D7C-C5E14D26A4B2}"/>
            </c:ext>
          </c:extLst>
        </c:ser>
        <c:ser>
          <c:idx val="3"/>
          <c:order val="3"/>
          <c:spPr>
            <a:solidFill>
              <a:srgbClr val="FFE838"/>
            </a:solidFill>
            <a:ln>
              <a:noFill/>
            </a:ln>
          </c:spPr>
          <c:invertIfNegative val="0"/>
          <c:val>
            <c:numRef>
              <c:f>ChartTemplates!$BH$23</c:f>
              <c:numCache>
                <c:formatCode>General</c:formatCode>
                <c:ptCount val="1"/>
                <c:pt idx="0">
                  <c:v>10</c:v>
                </c:pt>
              </c:numCache>
            </c:numRef>
          </c:val>
          <c:extLst>
            <c:ext xmlns:c16="http://schemas.microsoft.com/office/drawing/2014/chart" uri="{C3380CC4-5D6E-409C-BE32-E72D297353CC}">
              <c16:uniqueId val="{00000003-4C27-4488-8D7C-C5E14D26A4B2}"/>
            </c:ext>
          </c:extLst>
        </c:ser>
        <c:ser>
          <c:idx val="4"/>
          <c:order val="4"/>
          <c:spPr>
            <a:solidFill>
              <a:srgbClr val="ED3124"/>
            </a:solidFill>
            <a:ln>
              <a:noFill/>
            </a:ln>
          </c:spPr>
          <c:invertIfNegative val="0"/>
          <c:val>
            <c:numRef>
              <c:f>ChartTemplates!$BH$24</c:f>
              <c:numCache>
                <c:formatCode>General</c:formatCode>
                <c:ptCount val="1"/>
                <c:pt idx="0">
                  <c:v>10</c:v>
                </c:pt>
              </c:numCache>
            </c:numRef>
          </c:val>
          <c:extLst>
            <c:ext xmlns:c16="http://schemas.microsoft.com/office/drawing/2014/chart" uri="{C3380CC4-5D6E-409C-BE32-E72D297353CC}">
              <c16:uniqueId val="{00000004-4C27-4488-8D7C-C5E14D26A4B2}"/>
            </c:ext>
          </c:extLst>
        </c:ser>
        <c:ser>
          <c:idx val="5"/>
          <c:order val="5"/>
          <c:spPr>
            <a:solidFill>
              <a:srgbClr val="19B24E"/>
            </a:solidFill>
            <a:ln>
              <a:noFill/>
            </a:ln>
          </c:spPr>
          <c:invertIfNegative val="0"/>
          <c:val>
            <c:numRef>
              <c:f>ChartTemplates!$BH$25</c:f>
              <c:numCache>
                <c:formatCode>General</c:formatCode>
                <c:ptCount val="1"/>
                <c:pt idx="0">
                  <c:v>10</c:v>
                </c:pt>
              </c:numCache>
            </c:numRef>
          </c:val>
          <c:extLst>
            <c:ext xmlns:c16="http://schemas.microsoft.com/office/drawing/2014/chart" uri="{C3380CC4-5D6E-409C-BE32-E72D297353CC}">
              <c16:uniqueId val="{00000005-4C27-4488-8D7C-C5E14D26A4B2}"/>
            </c:ext>
          </c:extLst>
        </c:ser>
        <c:ser>
          <c:idx val="6"/>
          <c:order val="6"/>
          <c:spPr>
            <a:solidFill>
              <a:srgbClr val="7654A3"/>
            </a:solidFill>
            <a:ln>
              <a:noFill/>
            </a:ln>
          </c:spPr>
          <c:invertIfNegative val="0"/>
          <c:val>
            <c:numRef>
              <c:f>ChartTemplates!$BH$26</c:f>
              <c:numCache>
                <c:formatCode>General</c:formatCode>
                <c:ptCount val="1"/>
                <c:pt idx="0">
                  <c:v>10</c:v>
                </c:pt>
              </c:numCache>
            </c:numRef>
          </c:val>
          <c:extLst>
            <c:ext xmlns:c16="http://schemas.microsoft.com/office/drawing/2014/chart" uri="{C3380CC4-5D6E-409C-BE32-E72D297353CC}">
              <c16:uniqueId val="{00000006-4C27-4488-8D7C-C5E14D26A4B2}"/>
            </c:ext>
          </c:extLst>
        </c:ser>
        <c:ser>
          <c:idx val="7"/>
          <c:order val="7"/>
          <c:spPr>
            <a:solidFill>
              <a:srgbClr val="D2D2D2"/>
            </a:solidFill>
            <a:ln>
              <a:noFill/>
            </a:ln>
          </c:spPr>
          <c:invertIfNegative val="0"/>
          <c:val>
            <c:numRef>
              <c:f>ChartTemplates!$BH$27</c:f>
              <c:numCache>
                <c:formatCode>General</c:formatCode>
                <c:ptCount val="1"/>
                <c:pt idx="0">
                  <c:v>10</c:v>
                </c:pt>
              </c:numCache>
            </c:numRef>
          </c:val>
          <c:extLst>
            <c:ext xmlns:c16="http://schemas.microsoft.com/office/drawing/2014/chart" uri="{C3380CC4-5D6E-409C-BE32-E72D297353CC}">
              <c16:uniqueId val="{00000007-4C27-4488-8D7C-C5E14D26A4B2}"/>
            </c:ext>
          </c:extLst>
        </c:ser>
        <c:ser>
          <c:idx val="8"/>
          <c:order val="8"/>
          <c:spPr>
            <a:solidFill>
              <a:srgbClr val="FFC91D"/>
            </a:solidFill>
            <a:ln>
              <a:noFill/>
            </a:ln>
          </c:spPr>
          <c:invertIfNegative val="0"/>
          <c:val>
            <c:numRef>
              <c:f>ChartTemplates!$BH$28</c:f>
              <c:numCache>
                <c:formatCode>General</c:formatCode>
                <c:ptCount val="1"/>
                <c:pt idx="0">
                  <c:v>10</c:v>
                </c:pt>
              </c:numCache>
            </c:numRef>
          </c:val>
          <c:extLst>
            <c:ext xmlns:c16="http://schemas.microsoft.com/office/drawing/2014/chart" uri="{C3380CC4-5D6E-409C-BE32-E72D297353CC}">
              <c16:uniqueId val="{00000008-4C27-4488-8D7C-C5E14D26A4B2}"/>
            </c:ext>
          </c:extLst>
        </c:ser>
        <c:ser>
          <c:idx val="9"/>
          <c:order val="9"/>
          <c:spPr>
            <a:solidFill>
              <a:srgbClr val="FFE743"/>
            </a:solidFill>
            <a:ln>
              <a:noFill/>
            </a:ln>
          </c:spPr>
          <c:invertIfNegative val="0"/>
          <c:val>
            <c:numRef>
              <c:f>ChartTemplates!$BH$29</c:f>
              <c:numCache>
                <c:formatCode>General</c:formatCode>
                <c:ptCount val="1"/>
                <c:pt idx="0">
                  <c:v>10</c:v>
                </c:pt>
              </c:numCache>
            </c:numRef>
          </c:val>
          <c:extLst>
            <c:ext xmlns:c16="http://schemas.microsoft.com/office/drawing/2014/chart" uri="{C3380CC4-5D6E-409C-BE32-E72D297353CC}">
              <c16:uniqueId val="{00000009-4C27-4488-8D7C-C5E14D26A4B2}"/>
            </c:ext>
          </c:extLst>
        </c:ser>
        <c:ser>
          <c:idx val="10"/>
          <c:order val="10"/>
          <c:spPr>
            <a:ln>
              <a:noFill/>
            </a:ln>
          </c:spPr>
          <c:invertIfNegative val="0"/>
          <c:val>
            <c:numRef>
              <c:f>ChartTemplates!$BH$30</c:f>
              <c:numCache>
                <c:formatCode>General</c:formatCode>
                <c:ptCount val="1"/>
                <c:pt idx="0">
                  <c:v>10</c:v>
                </c:pt>
              </c:numCache>
            </c:numRef>
          </c:val>
          <c:extLst>
            <c:ext xmlns:c16="http://schemas.microsoft.com/office/drawing/2014/chart" uri="{C3380CC4-5D6E-409C-BE32-E72D297353CC}">
              <c16:uniqueId val="{0000000A-4C27-4488-8D7C-C5E14D26A4B2}"/>
            </c:ext>
          </c:extLst>
        </c:ser>
        <c:ser>
          <c:idx val="11"/>
          <c:order val="11"/>
          <c:spPr>
            <a:ln>
              <a:noFill/>
            </a:ln>
          </c:spPr>
          <c:invertIfNegative val="0"/>
          <c:val>
            <c:numRef>
              <c:f>ChartTemplates!$BH$31</c:f>
              <c:numCache>
                <c:formatCode>General</c:formatCode>
                <c:ptCount val="1"/>
                <c:pt idx="0">
                  <c:v>10</c:v>
                </c:pt>
              </c:numCache>
            </c:numRef>
          </c:val>
          <c:extLst>
            <c:ext xmlns:c16="http://schemas.microsoft.com/office/drawing/2014/chart" uri="{C3380CC4-5D6E-409C-BE32-E72D297353CC}">
              <c16:uniqueId val="{0000000B-4C27-4488-8D7C-C5E14D26A4B2}"/>
            </c:ext>
          </c:extLst>
        </c:ser>
        <c:ser>
          <c:idx val="12"/>
          <c:order val="12"/>
          <c:spPr>
            <a:ln>
              <a:noFill/>
            </a:ln>
          </c:spPr>
          <c:invertIfNegative val="0"/>
          <c:val>
            <c:numRef>
              <c:f>ChartTemplates!$BH$32</c:f>
              <c:numCache>
                <c:formatCode>General</c:formatCode>
                <c:ptCount val="1"/>
                <c:pt idx="0">
                  <c:v>10</c:v>
                </c:pt>
              </c:numCache>
            </c:numRef>
          </c:val>
          <c:extLst>
            <c:ext xmlns:c16="http://schemas.microsoft.com/office/drawing/2014/chart" uri="{C3380CC4-5D6E-409C-BE32-E72D297353CC}">
              <c16:uniqueId val="{0000000C-4C27-4488-8D7C-C5E14D26A4B2}"/>
            </c:ext>
          </c:extLst>
        </c:ser>
        <c:ser>
          <c:idx val="13"/>
          <c:order val="13"/>
          <c:spPr>
            <a:ln>
              <a:noFill/>
            </a:ln>
          </c:spPr>
          <c:invertIfNegative val="0"/>
          <c:val>
            <c:numRef>
              <c:f>ChartTemplates!$BH$33</c:f>
              <c:numCache>
                <c:formatCode>General</c:formatCode>
                <c:ptCount val="1"/>
                <c:pt idx="0">
                  <c:v>10</c:v>
                </c:pt>
              </c:numCache>
            </c:numRef>
          </c:val>
          <c:extLst>
            <c:ext xmlns:c16="http://schemas.microsoft.com/office/drawing/2014/chart" uri="{C3380CC4-5D6E-409C-BE32-E72D297353CC}">
              <c16:uniqueId val="{0000000D-4C27-4488-8D7C-C5E14D26A4B2}"/>
            </c:ext>
          </c:extLst>
        </c:ser>
        <c:ser>
          <c:idx val="14"/>
          <c:order val="14"/>
          <c:spPr>
            <a:ln>
              <a:noFill/>
            </a:ln>
          </c:spPr>
          <c:invertIfNegative val="0"/>
          <c:val>
            <c:numRef>
              <c:f>ChartTemplates!$BH$34</c:f>
              <c:numCache>
                <c:formatCode>General</c:formatCode>
                <c:ptCount val="1"/>
                <c:pt idx="0">
                  <c:v>10</c:v>
                </c:pt>
              </c:numCache>
            </c:numRef>
          </c:val>
          <c:extLst>
            <c:ext xmlns:c16="http://schemas.microsoft.com/office/drawing/2014/chart" uri="{C3380CC4-5D6E-409C-BE32-E72D297353CC}">
              <c16:uniqueId val="{0000000E-4C27-4488-8D7C-C5E14D26A4B2}"/>
            </c:ext>
          </c:extLst>
        </c:ser>
        <c:ser>
          <c:idx val="15"/>
          <c:order val="15"/>
          <c:spPr>
            <a:ln>
              <a:noFill/>
            </a:ln>
          </c:spPr>
          <c:invertIfNegative val="0"/>
          <c:val>
            <c:numRef>
              <c:f>ChartTemplates!$BH$35</c:f>
              <c:numCache>
                <c:formatCode>General</c:formatCode>
                <c:ptCount val="1"/>
                <c:pt idx="0">
                  <c:v>10</c:v>
                </c:pt>
              </c:numCache>
            </c:numRef>
          </c:val>
          <c:extLst>
            <c:ext xmlns:c16="http://schemas.microsoft.com/office/drawing/2014/chart" uri="{C3380CC4-5D6E-409C-BE32-E72D297353CC}">
              <c16:uniqueId val="{0000000F-4C27-4488-8D7C-C5E14D26A4B2}"/>
            </c:ext>
          </c:extLst>
        </c:ser>
        <c:ser>
          <c:idx val="16"/>
          <c:order val="16"/>
          <c:spPr>
            <a:ln>
              <a:noFill/>
            </a:ln>
          </c:spPr>
          <c:invertIfNegative val="0"/>
          <c:val>
            <c:numRef>
              <c:f>ChartTemplates!$BH$36</c:f>
              <c:numCache>
                <c:formatCode>General</c:formatCode>
                <c:ptCount val="1"/>
                <c:pt idx="0">
                  <c:v>10</c:v>
                </c:pt>
              </c:numCache>
            </c:numRef>
          </c:val>
          <c:extLst>
            <c:ext xmlns:c16="http://schemas.microsoft.com/office/drawing/2014/chart" uri="{C3380CC4-5D6E-409C-BE32-E72D297353CC}">
              <c16:uniqueId val="{00000010-4C27-4488-8D7C-C5E14D26A4B2}"/>
            </c:ext>
          </c:extLst>
        </c:ser>
        <c:ser>
          <c:idx val="17"/>
          <c:order val="17"/>
          <c:spPr>
            <a:ln>
              <a:noFill/>
            </a:ln>
          </c:spPr>
          <c:invertIfNegative val="0"/>
          <c:val>
            <c:numRef>
              <c:f>ChartTemplates!$BH$37</c:f>
              <c:numCache>
                <c:formatCode>General</c:formatCode>
                <c:ptCount val="1"/>
                <c:pt idx="0">
                  <c:v>10</c:v>
                </c:pt>
              </c:numCache>
            </c:numRef>
          </c:val>
          <c:extLst>
            <c:ext xmlns:c16="http://schemas.microsoft.com/office/drawing/2014/chart" uri="{C3380CC4-5D6E-409C-BE32-E72D297353CC}">
              <c16:uniqueId val="{00000011-4C27-4488-8D7C-C5E14D26A4B2}"/>
            </c:ext>
          </c:extLst>
        </c:ser>
        <c:ser>
          <c:idx val="18"/>
          <c:order val="18"/>
          <c:spPr>
            <a:ln>
              <a:noFill/>
            </a:ln>
          </c:spPr>
          <c:invertIfNegative val="0"/>
          <c:val>
            <c:numRef>
              <c:f>ChartTemplates!$BH$38</c:f>
              <c:numCache>
                <c:formatCode>General</c:formatCode>
                <c:ptCount val="1"/>
                <c:pt idx="0">
                  <c:v>10</c:v>
                </c:pt>
              </c:numCache>
            </c:numRef>
          </c:val>
          <c:extLst>
            <c:ext xmlns:c16="http://schemas.microsoft.com/office/drawing/2014/chart" uri="{C3380CC4-5D6E-409C-BE32-E72D297353CC}">
              <c16:uniqueId val="{00000012-4C27-4488-8D7C-C5E14D26A4B2}"/>
            </c:ext>
          </c:extLst>
        </c:ser>
        <c:ser>
          <c:idx val="19"/>
          <c:order val="19"/>
          <c:spPr>
            <a:ln>
              <a:noFill/>
            </a:ln>
          </c:spPr>
          <c:invertIfNegative val="0"/>
          <c:val>
            <c:numRef>
              <c:f>ChartTemplates!$BH$39</c:f>
              <c:numCache>
                <c:formatCode>General</c:formatCode>
                <c:ptCount val="1"/>
                <c:pt idx="0">
                  <c:v>10</c:v>
                </c:pt>
              </c:numCache>
            </c:numRef>
          </c:val>
          <c:extLst>
            <c:ext xmlns:c16="http://schemas.microsoft.com/office/drawing/2014/chart" uri="{C3380CC4-5D6E-409C-BE32-E72D297353CC}">
              <c16:uniqueId val="{00000013-4C27-4488-8D7C-C5E14D26A4B2}"/>
            </c:ext>
          </c:extLst>
        </c:ser>
        <c:ser>
          <c:idx val="20"/>
          <c:order val="20"/>
          <c:spPr>
            <a:ln>
              <a:noFill/>
            </a:ln>
          </c:spPr>
          <c:invertIfNegative val="0"/>
          <c:val>
            <c:numRef>
              <c:f>ChartTemplates!$BH$40</c:f>
              <c:numCache>
                <c:formatCode>General</c:formatCode>
                <c:ptCount val="1"/>
                <c:pt idx="0">
                  <c:v>10</c:v>
                </c:pt>
              </c:numCache>
            </c:numRef>
          </c:val>
          <c:extLst>
            <c:ext xmlns:c16="http://schemas.microsoft.com/office/drawing/2014/chart" uri="{C3380CC4-5D6E-409C-BE32-E72D297353CC}">
              <c16:uniqueId val="{00000014-4C27-4488-8D7C-C5E14D26A4B2}"/>
            </c:ext>
          </c:extLst>
        </c:ser>
        <c:ser>
          <c:idx val="21"/>
          <c:order val="21"/>
          <c:spPr>
            <a:ln>
              <a:noFill/>
            </a:ln>
          </c:spPr>
          <c:invertIfNegative val="0"/>
          <c:val>
            <c:numRef>
              <c:f>ChartTemplates!$BH$41</c:f>
              <c:numCache>
                <c:formatCode>General</c:formatCode>
                <c:ptCount val="1"/>
                <c:pt idx="0">
                  <c:v>10</c:v>
                </c:pt>
              </c:numCache>
            </c:numRef>
          </c:val>
          <c:extLst>
            <c:ext xmlns:c16="http://schemas.microsoft.com/office/drawing/2014/chart" uri="{C3380CC4-5D6E-409C-BE32-E72D297353CC}">
              <c16:uniqueId val="{00000015-4C27-4488-8D7C-C5E14D26A4B2}"/>
            </c:ext>
          </c:extLst>
        </c:ser>
        <c:ser>
          <c:idx val="22"/>
          <c:order val="22"/>
          <c:spPr>
            <a:ln>
              <a:noFill/>
            </a:ln>
          </c:spPr>
          <c:invertIfNegative val="0"/>
          <c:val>
            <c:numRef>
              <c:f>ChartTemplates!$BH$42</c:f>
              <c:numCache>
                <c:formatCode>General</c:formatCode>
                <c:ptCount val="1"/>
                <c:pt idx="0">
                  <c:v>10</c:v>
                </c:pt>
              </c:numCache>
            </c:numRef>
          </c:val>
          <c:extLst>
            <c:ext xmlns:c16="http://schemas.microsoft.com/office/drawing/2014/chart" uri="{C3380CC4-5D6E-409C-BE32-E72D297353CC}">
              <c16:uniqueId val="{00000016-4C27-4488-8D7C-C5E14D26A4B2}"/>
            </c:ext>
          </c:extLst>
        </c:ser>
        <c:dLbls>
          <c:showLegendKey val="0"/>
          <c:showVal val="0"/>
          <c:showCatName val="0"/>
          <c:showSerName val="0"/>
          <c:showPercent val="0"/>
          <c:showBubbleSize val="0"/>
        </c:dLbls>
        <c:gapWidth val="29"/>
        <c:overlap val="100"/>
        <c:axId val="273747328"/>
        <c:axId val="273757312"/>
      </c:barChart>
      <c:catAx>
        <c:axId val="273747328"/>
        <c:scaling>
          <c:orientation val="minMax"/>
        </c:scaling>
        <c:delete val="1"/>
        <c:axPos val="b"/>
        <c:numFmt formatCode="General" sourceLinked="1"/>
        <c:majorTickMark val="out"/>
        <c:minorTickMark val="none"/>
        <c:tickLblPos val="nextTo"/>
        <c:crossAx val="273757312"/>
        <c:crosses val="autoZero"/>
        <c:auto val="1"/>
        <c:lblAlgn val="ctr"/>
        <c:lblOffset val="100"/>
        <c:noMultiLvlLbl val="0"/>
      </c:catAx>
      <c:valAx>
        <c:axId val="273757312"/>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noFill/>
          </a:ln>
        </c:spPr>
        <c:crossAx val="273747328"/>
        <c:crosses val="autoZero"/>
        <c:crossBetween val="between"/>
      </c:valAx>
    </c:plotArea>
    <c:legend>
      <c:legendPos val="r"/>
      <c:layout>
        <c:manualLayout>
          <c:xMode val="edge"/>
          <c:yMode val="edge"/>
          <c:x val="0.80157130358705164"/>
          <c:y val="6.6705494100521692E-2"/>
          <c:w val="0.18176202974628172"/>
          <c:h val="0.91627825259406948"/>
        </c:manualLayout>
      </c:layout>
      <c:overlay val="0"/>
    </c:legend>
    <c:plotVisOnly val="1"/>
    <c:dispBlanksAs val="gap"/>
    <c:showDLblsOverMax val="0"/>
  </c:chart>
  <c:spPr>
    <a:ln>
      <a:noFill/>
    </a:ln>
  </c:spPr>
  <c:txPr>
    <a:bodyPr/>
    <a:lstStyle/>
    <a:p>
      <a:pPr>
        <a:defRPr sz="1200">
          <a:solidFill>
            <a:sysClr val="windowText" lastClr="000000"/>
          </a:solidFill>
          <a:latin typeface="Arial" pitchFamily="34" charset="0"/>
          <a:cs typeface="Arial" pitchFamily="34" charset="0"/>
        </a:defRPr>
      </a:pPr>
      <a:endParaRPr lang="en-US"/>
    </a:p>
  </c:txPr>
  <c:printSettings>
    <c:headerFooter/>
    <c:pageMargins b="0.75000000000000233" l="0.70000000000000062" r="0.70000000000000062" t="0.75000000000000233"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lgn="l">
              <a:defRPr sz="8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800"/>
              <a:t>Axis Title</a:t>
            </a:r>
          </a:p>
        </c:rich>
      </c:tx>
      <c:layout>
        <c:manualLayout>
          <c:xMode val="edge"/>
          <c:yMode val="edge"/>
          <c:x val="8.7623456790123459E-3"/>
          <c:y val="3.5277777777777776E-2"/>
        </c:manualLayout>
      </c:layout>
      <c:overlay val="0"/>
      <c:spPr>
        <a:noFill/>
        <a:ln>
          <a:noFill/>
        </a:ln>
        <a:effectLst/>
      </c:spPr>
    </c:title>
    <c:autoTitleDeleted val="0"/>
    <c:plotArea>
      <c:layout>
        <c:manualLayout>
          <c:layoutTarget val="inner"/>
          <c:xMode val="edge"/>
          <c:yMode val="edge"/>
          <c:x val="8.4605281207133065E-2"/>
          <c:y val="0.13084527777777777"/>
          <c:w val="0.76087517146776407"/>
          <c:h val="0.73131250000000003"/>
        </c:manualLayout>
      </c:layout>
      <c:areaChart>
        <c:grouping val="stacked"/>
        <c:varyColors val="0"/>
        <c:ser>
          <c:idx val="0"/>
          <c:order val="0"/>
          <c:spPr>
            <a:solidFill>
              <a:schemeClr val="accent1"/>
            </a:solidFill>
            <a:ln>
              <a:noFill/>
            </a:ln>
            <a:effectLst/>
          </c:spPr>
          <c:cat>
            <c:numRef>
              <c:f>ChartTemplates!$AG$32:$AG$38</c:f>
              <c:numCache>
                <c:formatCode>0</c:formatCode>
                <c:ptCount val="7"/>
                <c:pt idx="0">
                  <c:v>2010</c:v>
                </c:pt>
                <c:pt idx="1">
                  <c:v>2011</c:v>
                </c:pt>
                <c:pt idx="2">
                  <c:v>2012</c:v>
                </c:pt>
                <c:pt idx="3">
                  <c:v>2013</c:v>
                </c:pt>
                <c:pt idx="4">
                  <c:v>2014</c:v>
                </c:pt>
                <c:pt idx="5">
                  <c:v>2015</c:v>
                </c:pt>
                <c:pt idx="6">
                  <c:v>2016</c:v>
                </c:pt>
              </c:numCache>
            </c:numRef>
          </c:cat>
          <c:val>
            <c:numRef>
              <c:f>ChartTemplates!$AH$32:$AH$38</c:f>
              <c:numCache>
                <c:formatCode>General</c:formatCode>
                <c:ptCount val="7"/>
                <c:pt idx="0">
                  <c:v>84.3</c:v>
                </c:pt>
                <c:pt idx="1">
                  <c:v>89.5</c:v>
                </c:pt>
                <c:pt idx="2">
                  <c:v>78.8</c:v>
                </c:pt>
                <c:pt idx="3">
                  <c:v>76.900000000000006</c:v>
                </c:pt>
                <c:pt idx="4">
                  <c:v>70.099999999999994</c:v>
                </c:pt>
                <c:pt idx="5">
                  <c:v>57.6</c:v>
                </c:pt>
                <c:pt idx="6">
                  <c:v>50.2</c:v>
                </c:pt>
              </c:numCache>
            </c:numRef>
          </c:val>
          <c:extLst>
            <c:ext xmlns:c16="http://schemas.microsoft.com/office/drawing/2014/chart" uri="{C3380CC4-5D6E-409C-BE32-E72D297353CC}">
              <c16:uniqueId val="{00000000-6185-42BE-8BA8-68781B094C5A}"/>
            </c:ext>
          </c:extLst>
        </c:ser>
        <c:ser>
          <c:idx val="1"/>
          <c:order val="1"/>
          <c:spPr>
            <a:solidFill>
              <a:srgbClr val="7654A3"/>
            </a:solidFill>
            <a:ln>
              <a:noFill/>
            </a:ln>
            <a:effectLst/>
          </c:spPr>
          <c:cat>
            <c:numRef>
              <c:f>ChartTemplates!$AG$32:$AG$38</c:f>
              <c:numCache>
                <c:formatCode>0</c:formatCode>
                <c:ptCount val="7"/>
                <c:pt idx="0">
                  <c:v>2010</c:v>
                </c:pt>
                <c:pt idx="1">
                  <c:v>2011</c:v>
                </c:pt>
                <c:pt idx="2">
                  <c:v>2012</c:v>
                </c:pt>
                <c:pt idx="3">
                  <c:v>2013</c:v>
                </c:pt>
                <c:pt idx="4">
                  <c:v>2014</c:v>
                </c:pt>
                <c:pt idx="5">
                  <c:v>2015</c:v>
                </c:pt>
                <c:pt idx="6">
                  <c:v>2016</c:v>
                </c:pt>
              </c:numCache>
            </c:numRef>
          </c:cat>
          <c:val>
            <c:numRef>
              <c:f>ChartTemplates!$AI$32:$AI$38</c:f>
              <c:numCache>
                <c:formatCode>General</c:formatCode>
                <c:ptCount val="7"/>
                <c:pt idx="0">
                  <c:v>92.73</c:v>
                </c:pt>
                <c:pt idx="1">
                  <c:v>98.45</c:v>
                </c:pt>
                <c:pt idx="2">
                  <c:v>86.68</c:v>
                </c:pt>
                <c:pt idx="3">
                  <c:v>84.590000000000018</c:v>
                </c:pt>
                <c:pt idx="4">
                  <c:v>77.11</c:v>
                </c:pt>
                <c:pt idx="5">
                  <c:v>63.360000000000007</c:v>
                </c:pt>
                <c:pt idx="6">
                  <c:v>55.220000000000006</c:v>
                </c:pt>
              </c:numCache>
            </c:numRef>
          </c:val>
          <c:extLst>
            <c:ext xmlns:c16="http://schemas.microsoft.com/office/drawing/2014/chart" uri="{C3380CC4-5D6E-409C-BE32-E72D297353CC}">
              <c16:uniqueId val="{00000001-6185-42BE-8BA8-68781B094C5A}"/>
            </c:ext>
          </c:extLst>
        </c:ser>
        <c:ser>
          <c:idx val="2"/>
          <c:order val="2"/>
          <c:spPr>
            <a:solidFill>
              <a:schemeClr val="accent3"/>
            </a:solidFill>
            <a:ln>
              <a:noFill/>
            </a:ln>
            <a:effectLst/>
          </c:spPr>
          <c:cat>
            <c:numRef>
              <c:f>ChartTemplates!$AG$32:$AG$38</c:f>
              <c:numCache>
                <c:formatCode>0</c:formatCode>
                <c:ptCount val="7"/>
                <c:pt idx="0">
                  <c:v>2010</c:v>
                </c:pt>
                <c:pt idx="1">
                  <c:v>2011</c:v>
                </c:pt>
                <c:pt idx="2">
                  <c:v>2012</c:v>
                </c:pt>
                <c:pt idx="3">
                  <c:v>2013</c:v>
                </c:pt>
                <c:pt idx="4">
                  <c:v>2014</c:v>
                </c:pt>
                <c:pt idx="5">
                  <c:v>2015</c:v>
                </c:pt>
                <c:pt idx="6">
                  <c:v>2016</c:v>
                </c:pt>
              </c:numCache>
            </c:numRef>
          </c:cat>
          <c:val>
            <c:numRef>
              <c:f>ChartTemplates!$AJ$32:$AJ$38</c:f>
              <c:numCache>
                <c:formatCode>General</c:formatCode>
                <c:ptCount val="7"/>
                <c:pt idx="0">
                  <c:v>76.636363636363626</c:v>
                </c:pt>
                <c:pt idx="1">
                  <c:v>81.36363636363636</c:v>
                </c:pt>
                <c:pt idx="2">
                  <c:v>71.636363636363626</c:v>
                </c:pt>
                <c:pt idx="3">
                  <c:v>69.909090909090907</c:v>
                </c:pt>
                <c:pt idx="4">
                  <c:v>63.72727272727272</c:v>
                </c:pt>
                <c:pt idx="5">
                  <c:v>52.36363636363636</c:v>
                </c:pt>
                <c:pt idx="6">
                  <c:v>45.636363636363633</c:v>
                </c:pt>
              </c:numCache>
            </c:numRef>
          </c:val>
          <c:extLst>
            <c:ext xmlns:c16="http://schemas.microsoft.com/office/drawing/2014/chart" uri="{C3380CC4-5D6E-409C-BE32-E72D297353CC}">
              <c16:uniqueId val="{00000002-6185-42BE-8BA8-68781B094C5A}"/>
            </c:ext>
          </c:extLst>
        </c:ser>
        <c:ser>
          <c:idx val="3"/>
          <c:order val="3"/>
          <c:spPr>
            <a:solidFill>
              <a:schemeClr val="accent4"/>
            </a:solidFill>
            <a:ln>
              <a:noFill/>
            </a:ln>
            <a:effectLst/>
          </c:spPr>
          <c:cat>
            <c:numRef>
              <c:f>ChartTemplates!$AG$32:$AG$38</c:f>
              <c:numCache>
                <c:formatCode>0</c:formatCode>
                <c:ptCount val="7"/>
                <c:pt idx="0">
                  <c:v>2010</c:v>
                </c:pt>
                <c:pt idx="1">
                  <c:v>2011</c:v>
                </c:pt>
                <c:pt idx="2">
                  <c:v>2012</c:v>
                </c:pt>
                <c:pt idx="3">
                  <c:v>2013</c:v>
                </c:pt>
                <c:pt idx="4">
                  <c:v>2014</c:v>
                </c:pt>
                <c:pt idx="5">
                  <c:v>2015</c:v>
                </c:pt>
                <c:pt idx="6">
                  <c:v>2016</c:v>
                </c:pt>
              </c:numCache>
            </c:numRef>
          </c:cat>
          <c:val>
            <c:numRef>
              <c:f>ChartTemplates!$AK$32:$AK$38</c:f>
              <c:numCache>
                <c:formatCode>General</c:formatCode>
                <c:ptCount val="7"/>
                <c:pt idx="0">
                  <c:v>84.3</c:v>
                </c:pt>
                <c:pt idx="1">
                  <c:v>89.5</c:v>
                </c:pt>
                <c:pt idx="2">
                  <c:v>78.8</c:v>
                </c:pt>
                <c:pt idx="3">
                  <c:v>76.900000000000006</c:v>
                </c:pt>
                <c:pt idx="4">
                  <c:v>70.099999999999994</c:v>
                </c:pt>
                <c:pt idx="5">
                  <c:v>57.6</c:v>
                </c:pt>
                <c:pt idx="6">
                  <c:v>50.2</c:v>
                </c:pt>
              </c:numCache>
            </c:numRef>
          </c:val>
          <c:extLst>
            <c:ext xmlns:c16="http://schemas.microsoft.com/office/drawing/2014/chart" uri="{C3380CC4-5D6E-409C-BE32-E72D297353CC}">
              <c16:uniqueId val="{00000003-6185-42BE-8BA8-68781B094C5A}"/>
            </c:ext>
          </c:extLst>
        </c:ser>
        <c:ser>
          <c:idx val="4"/>
          <c:order val="4"/>
          <c:spPr>
            <a:solidFill>
              <a:schemeClr val="accent5"/>
            </a:solidFill>
            <a:ln>
              <a:noFill/>
            </a:ln>
            <a:effectLst/>
          </c:spPr>
          <c:cat>
            <c:numRef>
              <c:f>ChartTemplates!$AG$32:$AG$38</c:f>
              <c:numCache>
                <c:formatCode>0</c:formatCode>
                <c:ptCount val="7"/>
                <c:pt idx="0">
                  <c:v>2010</c:v>
                </c:pt>
                <c:pt idx="1">
                  <c:v>2011</c:v>
                </c:pt>
                <c:pt idx="2">
                  <c:v>2012</c:v>
                </c:pt>
                <c:pt idx="3">
                  <c:v>2013</c:v>
                </c:pt>
                <c:pt idx="4">
                  <c:v>2014</c:v>
                </c:pt>
                <c:pt idx="5">
                  <c:v>2015</c:v>
                </c:pt>
                <c:pt idx="6">
                  <c:v>2016</c:v>
                </c:pt>
              </c:numCache>
            </c:numRef>
          </c:cat>
          <c:val>
            <c:numRef>
              <c:f>ChartTemplates!$AL$32:$AL$38</c:f>
              <c:numCache>
                <c:formatCode>General</c:formatCode>
                <c:ptCount val="7"/>
                <c:pt idx="0">
                  <c:v>69.669421487603287</c:v>
                </c:pt>
                <c:pt idx="1">
                  <c:v>73.966942148760324</c:v>
                </c:pt>
                <c:pt idx="2">
                  <c:v>65.123966942148741</c:v>
                </c:pt>
                <c:pt idx="3">
                  <c:v>63.553719008264459</c:v>
                </c:pt>
                <c:pt idx="4">
                  <c:v>57.933884297520649</c:v>
                </c:pt>
                <c:pt idx="5">
                  <c:v>47.603305785123958</c:v>
                </c:pt>
                <c:pt idx="6">
                  <c:v>41.487603305785115</c:v>
                </c:pt>
              </c:numCache>
            </c:numRef>
          </c:val>
          <c:extLst>
            <c:ext xmlns:c16="http://schemas.microsoft.com/office/drawing/2014/chart" uri="{C3380CC4-5D6E-409C-BE32-E72D297353CC}">
              <c16:uniqueId val="{00000004-6185-42BE-8BA8-68781B094C5A}"/>
            </c:ext>
          </c:extLst>
        </c:ser>
        <c:ser>
          <c:idx val="5"/>
          <c:order val="5"/>
          <c:spPr>
            <a:solidFill>
              <a:schemeClr val="accent6"/>
            </a:solidFill>
            <a:ln>
              <a:noFill/>
            </a:ln>
            <a:effectLst/>
          </c:spPr>
          <c:cat>
            <c:numRef>
              <c:f>ChartTemplates!$AG$32:$AG$38</c:f>
              <c:numCache>
                <c:formatCode>0</c:formatCode>
                <c:ptCount val="7"/>
                <c:pt idx="0">
                  <c:v>2010</c:v>
                </c:pt>
                <c:pt idx="1">
                  <c:v>2011</c:v>
                </c:pt>
                <c:pt idx="2">
                  <c:v>2012</c:v>
                </c:pt>
                <c:pt idx="3">
                  <c:v>2013</c:v>
                </c:pt>
                <c:pt idx="4">
                  <c:v>2014</c:v>
                </c:pt>
                <c:pt idx="5">
                  <c:v>2015</c:v>
                </c:pt>
                <c:pt idx="6">
                  <c:v>2016</c:v>
                </c:pt>
              </c:numCache>
            </c:numRef>
          </c:cat>
          <c:val>
            <c:numRef>
              <c:f>ChartTemplates!$AM$32:$AM$38</c:f>
              <c:numCache>
                <c:formatCode>General</c:formatCode>
                <c:ptCount val="7"/>
                <c:pt idx="0">
                  <c:v>76.636363636363626</c:v>
                </c:pt>
                <c:pt idx="1">
                  <c:v>81.36363636363636</c:v>
                </c:pt>
                <c:pt idx="2">
                  <c:v>71.636363636363626</c:v>
                </c:pt>
                <c:pt idx="3">
                  <c:v>69.909090909090907</c:v>
                </c:pt>
                <c:pt idx="4">
                  <c:v>63.72727272727272</c:v>
                </c:pt>
                <c:pt idx="5">
                  <c:v>52.36363636363636</c:v>
                </c:pt>
                <c:pt idx="6">
                  <c:v>45.636363636363633</c:v>
                </c:pt>
              </c:numCache>
            </c:numRef>
          </c:val>
          <c:extLst>
            <c:ext xmlns:c16="http://schemas.microsoft.com/office/drawing/2014/chart" uri="{C3380CC4-5D6E-409C-BE32-E72D297353CC}">
              <c16:uniqueId val="{00000005-6185-42BE-8BA8-68781B094C5A}"/>
            </c:ext>
          </c:extLst>
        </c:ser>
        <c:ser>
          <c:idx val="6"/>
          <c:order val="6"/>
          <c:spPr>
            <a:solidFill>
              <a:srgbClr val="BD5CA3"/>
            </a:solidFill>
            <a:ln>
              <a:noFill/>
            </a:ln>
            <a:effectLst/>
          </c:spPr>
          <c:cat>
            <c:numRef>
              <c:f>ChartTemplates!$AG$32:$AG$38</c:f>
              <c:numCache>
                <c:formatCode>0</c:formatCode>
                <c:ptCount val="7"/>
                <c:pt idx="0">
                  <c:v>2010</c:v>
                </c:pt>
                <c:pt idx="1">
                  <c:v>2011</c:v>
                </c:pt>
                <c:pt idx="2">
                  <c:v>2012</c:v>
                </c:pt>
                <c:pt idx="3">
                  <c:v>2013</c:v>
                </c:pt>
                <c:pt idx="4">
                  <c:v>2014</c:v>
                </c:pt>
                <c:pt idx="5">
                  <c:v>2015</c:v>
                </c:pt>
                <c:pt idx="6">
                  <c:v>2016</c:v>
                </c:pt>
              </c:numCache>
            </c:numRef>
          </c:cat>
          <c:val>
            <c:numRef>
              <c:f>ChartTemplates!$AN$32:$AN$38</c:f>
              <c:numCache>
                <c:formatCode>General</c:formatCode>
                <c:ptCount val="7"/>
                <c:pt idx="0">
                  <c:v>63.335837716002985</c:v>
                </c:pt>
                <c:pt idx="1">
                  <c:v>67.242674680691195</c:v>
                </c:pt>
                <c:pt idx="2">
                  <c:v>59.203606311044304</c:v>
                </c:pt>
                <c:pt idx="3">
                  <c:v>57.776108189331325</c:v>
                </c:pt>
                <c:pt idx="4">
                  <c:v>52.667167543200584</c:v>
                </c:pt>
                <c:pt idx="5">
                  <c:v>43.275732531930871</c:v>
                </c:pt>
                <c:pt idx="6">
                  <c:v>37.716003005259189</c:v>
                </c:pt>
              </c:numCache>
            </c:numRef>
          </c:val>
          <c:extLst>
            <c:ext xmlns:c16="http://schemas.microsoft.com/office/drawing/2014/chart" uri="{C3380CC4-5D6E-409C-BE32-E72D297353CC}">
              <c16:uniqueId val="{00000006-6185-42BE-8BA8-68781B094C5A}"/>
            </c:ext>
          </c:extLst>
        </c:ser>
        <c:ser>
          <c:idx val="7"/>
          <c:order val="7"/>
          <c:spPr>
            <a:solidFill>
              <a:srgbClr val="414141"/>
            </a:solidFill>
            <a:ln w="25400">
              <a:noFill/>
            </a:ln>
            <a:effectLst/>
          </c:spPr>
          <c:cat>
            <c:numRef>
              <c:f>ChartTemplates!$AG$32:$AG$38</c:f>
              <c:numCache>
                <c:formatCode>0</c:formatCode>
                <c:ptCount val="7"/>
                <c:pt idx="0">
                  <c:v>2010</c:v>
                </c:pt>
                <c:pt idx="1">
                  <c:v>2011</c:v>
                </c:pt>
                <c:pt idx="2">
                  <c:v>2012</c:v>
                </c:pt>
                <c:pt idx="3">
                  <c:v>2013</c:v>
                </c:pt>
                <c:pt idx="4">
                  <c:v>2014</c:v>
                </c:pt>
                <c:pt idx="5">
                  <c:v>2015</c:v>
                </c:pt>
                <c:pt idx="6">
                  <c:v>2016</c:v>
                </c:pt>
              </c:numCache>
            </c:numRef>
          </c:cat>
          <c:val>
            <c:numRef>
              <c:f>ChartTemplates!$AO$32:$AO$38</c:f>
              <c:numCache>
                <c:formatCode>General</c:formatCode>
                <c:ptCount val="7"/>
                <c:pt idx="0">
                  <c:v>69.669421487603287</c:v>
                </c:pt>
                <c:pt idx="1">
                  <c:v>73.966942148760324</c:v>
                </c:pt>
                <c:pt idx="2">
                  <c:v>65.123966942148741</c:v>
                </c:pt>
                <c:pt idx="3">
                  <c:v>63.553719008264459</c:v>
                </c:pt>
                <c:pt idx="4">
                  <c:v>57.933884297520649</c:v>
                </c:pt>
                <c:pt idx="5">
                  <c:v>47.603305785123958</c:v>
                </c:pt>
                <c:pt idx="6">
                  <c:v>41.487603305785115</c:v>
                </c:pt>
              </c:numCache>
            </c:numRef>
          </c:val>
          <c:extLst>
            <c:ext xmlns:c16="http://schemas.microsoft.com/office/drawing/2014/chart" uri="{C3380CC4-5D6E-409C-BE32-E72D297353CC}">
              <c16:uniqueId val="{00000007-6185-42BE-8BA8-68781B094C5A}"/>
            </c:ext>
          </c:extLst>
        </c:ser>
        <c:ser>
          <c:idx val="8"/>
          <c:order val="8"/>
          <c:spPr>
            <a:solidFill>
              <a:srgbClr val="FFC000"/>
            </a:solidFill>
            <a:ln w="25400">
              <a:noFill/>
            </a:ln>
            <a:effectLst/>
          </c:spPr>
          <c:cat>
            <c:numRef>
              <c:f>ChartTemplates!$AG$32:$AG$38</c:f>
              <c:numCache>
                <c:formatCode>0</c:formatCode>
                <c:ptCount val="7"/>
                <c:pt idx="0">
                  <c:v>2010</c:v>
                </c:pt>
                <c:pt idx="1">
                  <c:v>2011</c:v>
                </c:pt>
                <c:pt idx="2">
                  <c:v>2012</c:v>
                </c:pt>
                <c:pt idx="3">
                  <c:v>2013</c:v>
                </c:pt>
                <c:pt idx="4">
                  <c:v>2014</c:v>
                </c:pt>
                <c:pt idx="5">
                  <c:v>2015</c:v>
                </c:pt>
                <c:pt idx="6">
                  <c:v>2016</c:v>
                </c:pt>
              </c:numCache>
            </c:numRef>
          </c:cat>
          <c:val>
            <c:numRef>
              <c:f>ChartTemplates!$AP$32:$AP$38</c:f>
              <c:numCache>
                <c:formatCode>General</c:formatCode>
                <c:ptCount val="7"/>
                <c:pt idx="0">
                  <c:v>57.578034287275436</c:v>
                </c:pt>
                <c:pt idx="1">
                  <c:v>61.129704255173806</c:v>
                </c:pt>
                <c:pt idx="2">
                  <c:v>53.821460282767546</c:v>
                </c:pt>
                <c:pt idx="3">
                  <c:v>52.52373471757393</c:v>
                </c:pt>
                <c:pt idx="4">
                  <c:v>47.879243221091436</c:v>
                </c:pt>
                <c:pt idx="5">
                  <c:v>39.341575029028064</c:v>
                </c:pt>
                <c:pt idx="6">
                  <c:v>34.28727545932653</c:v>
                </c:pt>
              </c:numCache>
            </c:numRef>
          </c:val>
          <c:extLst>
            <c:ext xmlns:c16="http://schemas.microsoft.com/office/drawing/2014/chart" uri="{C3380CC4-5D6E-409C-BE32-E72D297353CC}">
              <c16:uniqueId val="{00000008-6185-42BE-8BA8-68781B094C5A}"/>
            </c:ext>
          </c:extLst>
        </c:ser>
        <c:ser>
          <c:idx val="9"/>
          <c:order val="9"/>
          <c:spPr>
            <a:solidFill>
              <a:srgbClr val="D2D2D2"/>
            </a:solidFill>
            <a:ln w="25400">
              <a:noFill/>
            </a:ln>
            <a:effectLst/>
          </c:spPr>
          <c:cat>
            <c:numRef>
              <c:f>ChartTemplates!$AG$32:$AG$38</c:f>
              <c:numCache>
                <c:formatCode>0</c:formatCode>
                <c:ptCount val="7"/>
                <c:pt idx="0">
                  <c:v>2010</c:v>
                </c:pt>
                <c:pt idx="1">
                  <c:v>2011</c:v>
                </c:pt>
                <c:pt idx="2">
                  <c:v>2012</c:v>
                </c:pt>
                <c:pt idx="3">
                  <c:v>2013</c:v>
                </c:pt>
                <c:pt idx="4">
                  <c:v>2014</c:v>
                </c:pt>
                <c:pt idx="5">
                  <c:v>2015</c:v>
                </c:pt>
                <c:pt idx="6">
                  <c:v>2016</c:v>
                </c:pt>
              </c:numCache>
            </c:numRef>
          </c:cat>
          <c:val>
            <c:numRef>
              <c:f>ChartTemplates!$AQ$32:$AQ$38</c:f>
              <c:numCache>
                <c:formatCode>General</c:formatCode>
                <c:ptCount val="7"/>
                <c:pt idx="0">
                  <c:v>63.335837716002985</c:v>
                </c:pt>
                <c:pt idx="1">
                  <c:v>67.242674680691195</c:v>
                </c:pt>
                <c:pt idx="2">
                  <c:v>59.203606311044304</c:v>
                </c:pt>
                <c:pt idx="3">
                  <c:v>57.776108189331325</c:v>
                </c:pt>
                <c:pt idx="4">
                  <c:v>52.667167543200584</c:v>
                </c:pt>
                <c:pt idx="5">
                  <c:v>43.275732531930871</c:v>
                </c:pt>
                <c:pt idx="6">
                  <c:v>37.716003005259189</c:v>
                </c:pt>
              </c:numCache>
            </c:numRef>
          </c:val>
          <c:extLst>
            <c:ext xmlns:c16="http://schemas.microsoft.com/office/drawing/2014/chart" uri="{C3380CC4-5D6E-409C-BE32-E72D297353CC}">
              <c16:uniqueId val="{00000009-6185-42BE-8BA8-68781B094C5A}"/>
            </c:ext>
          </c:extLst>
        </c:ser>
        <c:dLbls>
          <c:showLegendKey val="0"/>
          <c:showVal val="0"/>
          <c:showCatName val="0"/>
          <c:showSerName val="0"/>
          <c:showPercent val="0"/>
          <c:showBubbleSize val="0"/>
        </c:dLbls>
        <c:axId val="273833984"/>
        <c:axId val="273835520"/>
      </c:areaChart>
      <c:catAx>
        <c:axId val="273833984"/>
        <c:scaling>
          <c:orientation val="minMax"/>
        </c:scaling>
        <c:delete val="0"/>
        <c:axPos val="b"/>
        <c:numFmt formatCode="0" sourceLinked="1"/>
        <c:majorTickMark val="out"/>
        <c:minorTickMark val="none"/>
        <c:tickLblPos val="nextTo"/>
        <c:spPr>
          <a:noFill/>
          <a:ln w="9525" cap="flat" cmpd="sng" algn="ctr">
            <a:solidFill>
              <a:srgbClr val="B3B3B3"/>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73835520"/>
        <c:crosses val="autoZero"/>
        <c:auto val="1"/>
        <c:lblAlgn val="ctr"/>
        <c:lblOffset val="100"/>
        <c:noMultiLvlLbl val="0"/>
      </c:catAx>
      <c:valAx>
        <c:axId val="273835520"/>
        <c:scaling>
          <c:orientation val="minMax"/>
        </c:scaling>
        <c:delete val="0"/>
        <c:axPos val="l"/>
        <c:majorGridlines>
          <c:spPr>
            <a:ln w="9525" cap="flat" cmpd="sng" algn="ctr">
              <a:solidFill>
                <a:srgbClr val="D2D2D2"/>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273833984"/>
        <c:crosses val="autoZero"/>
        <c:crossBetween val="midCat"/>
      </c:valAx>
      <c:spPr>
        <a:noFill/>
        <a:ln>
          <a:noFill/>
        </a:ln>
        <a:effectLst/>
      </c:spPr>
    </c:plotArea>
    <c:legend>
      <c:legendPos val="b"/>
      <c:layout>
        <c:manualLayout>
          <c:xMode val="edge"/>
          <c:yMode val="edge"/>
          <c:x val="0.87097050754458161"/>
          <c:y val="7.6162777777777774E-2"/>
          <c:w val="0.11387174211248285"/>
          <c:h val="0.853281666666666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zero"/>
    <c:showDLblsOverMax val="0"/>
  </c:chart>
  <c:spPr>
    <a:solidFill>
      <a:schemeClr val="bg1"/>
    </a:solidFill>
    <a:ln w="9525" cap="flat" cmpd="sng" algn="ctr">
      <a:noFill/>
      <a:round/>
    </a:ln>
    <a:effectLst/>
  </c:spPr>
  <c:txPr>
    <a:bodyPr/>
    <a:lstStyle/>
    <a:p>
      <a:pPr>
        <a:defRPr sz="9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9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sz="900">
                <a:solidFill>
                  <a:sysClr val="windowText" lastClr="000000"/>
                </a:solidFill>
              </a:rPr>
              <a:t>Axis title</a:t>
            </a:r>
          </a:p>
        </c:rich>
      </c:tx>
      <c:layout>
        <c:manualLayout>
          <c:xMode val="edge"/>
          <c:yMode val="edge"/>
          <c:x val="1.7826334208223972E-2"/>
          <c:y val="3.7037037037037035E-2"/>
        </c:manualLayout>
      </c:layout>
      <c:overlay val="0"/>
      <c:spPr>
        <a:noFill/>
        <a:ln>
          <a:noFill/>
        </a:ln>
        <a:effectLst/>
      </c:spPr>
    </c:title>
    <c:autoTitleDeleted val="0"/>
    <c:plotArea>
      <c:layout>
        <c:manualLayout>
          <c:layoutTarget val="inner"/>
          <c:xMode val="edge"/>
          <c:yMode val="edge"/>
          <c:x val="9.5167104111986006E-2"/>
          <c:y val="0.14000706893385101"/>
          <c:w val="0.77436299725651581"/>
          <c:h val="0.71658780854508097"/>
        </c:manualLayout>
      </c:layout>
      <c:barChart>
        <c:barDir val="col"/>
        <c:grouping val="clustered"/>
        <c:varyColors val="0"/>
        <c:ser>
          <c:idx val="0"/>
          <c:order val="0"/>
          <c:spPr>
            <a:solidFill>
              <a:schemeClr val="accent1"/>
            </a:solidFill>
            <a:ln>
              <a:noFill/>
            </a:ln>
            <a:effectLst/>
          </c:spPr>
          <c:invertIfNegative val="0"/>
          <c:cat>
            <c:numRef>
              <c:f>ChartTemplates!$A$30:$A$36</c:f>
              <c:numCache>
                <c:formatCode>0</c:formatCode>
                <c:ptCount val="7"/>
                <c:pt idx="0">
                  <c:v>2010</c:v>
                </c:pt>
                <c:pt idx="1">
                  <c:v>2011</c:v>
                </c:pt>
                <c:pt idx="2">
                  <c:v>2012</c:v>
                </c:pt>
                <c:pt idx="3">
                  <c:v>2013</c:v>
                </c:pt>
                <c:pt idx="4">
                  <c:v>2014</c:v>
                </c:pt>
                <c:pt idx="5">
                  <c:v>2015</c:v>
                </c:pt>
                <c:pt idx="6">
                  <c:v>2016</c:v>
                </c:pt>
              </c:numCache>
            </c:numRef>
          </c:cat>
          <c:val>
            <c:numRef>
              <c:f>ChartTemplates!$B$30:$B$36</c:f>
              <c:numCache>
                <c:formatCode>General</c:formatCode>
                <c:ptCount val="7"/>
                <c:pt idx="0">
                  <c:v>84.3</c:v>
                </c:pt>
                <c:pt idx="1">
                  <c:v>89.5</c:v>
                </c:pt>
                <c:pt idx="2">
                  <c:v>78.8</c:v>
                </c:pt>
                <c:pt idx="3">
                  <c:v>76.900000000000006</c:v>
                </c:pt>
                <c:pt idx="4">
                  <c:v>70.099999999999994</c:v>
                </c:pt>
                <c:pt idx="5">
                  <c:v>57.6</c:v>
                </c:pt>
                <c:pt idx="6">
                  <c:v>50.2</c:v>
                </c:pt>
              </c:numCache>
            </c:numRef>
          </c:val>
          <c:extLst>
            <c:ext xmlns:c16="http://schemas.microsoft.com/office/drawing/2014/chart" uri="{C3380CC4-5D6E-409C-BE32-E72D297353CC}">
              <c16:uniqueId val="{00000000-E010-488D-A29B-F58CF4A91C9E}"/>
            </c:ext>
          </c:extLst>
        </c:ser>
        <c:dLbls>
          <c:showLegendKey val="0"/>
          <c:showVal val="0"/>
          <c:showCatName val="0"/>
          <c:showSerName val="0"/>
          <c:showPercent val="0"/>
          <c:showBubbleSize val="0"/>
        </c:dLbls>
        <c:gapWidth val="50"/>
        <c:axId val="273867136"/>
        <c:axId val="273868672"/>
      </c:barChart>
      <c:lineChart>
        <c:grouping val="standard"/>
        <c:varyColors val="0"/>
        <c:ser>
          <c:idx val="1"/>
          <c:order val="1"/>
          <c:spPr>
            <a:ln w="28575" cap="rnd">
              <a:solidFill>
                <a:schemeClr val="accent2"/>
              </a:solidFill>
              <a:round/>
            </a:ln>
            <a:effectLst/>
          </c:spPr>
          <c:marker>
            <c:symbol val="none"/>
          </c:marker>
          <c:val>
            <c:numRef>
              <c:f>ChartTemplates!$C$30:$C$36</c:f>
              <c:numCache>
                <c:formatCode>_(* #,##0_);_(* \(#,##0\);_(* "-"??_);_(@_)</c:formatCode>
                <c:ptCount val="7"/>
                <c:pt idx="0">
                  <c:v>1084.368148</c:v>
                </c:pt>
                <c:pt idx="1">
                  <c:v>1095.627536</c:v>
                </c:pt>
                <c:pt idx="2">
                  <c:v>1016.4584180000001</c:v>
                </c:pt>
                <c:pt idx="3">
                  <c:v>984.84177899999997</c:v>
                </c:pt>
                <c:pt idx="4">
                  <c:v>1000.048758</c:v>
                </c:pt>
                <c:pt idx="5">
                  <c:v>896.940563</c:v>
                </c:pt>
                <c:pt idx="6">
                  <c:v>739</c:v>
                </c:pt>
              </c:numCache>
            </c:numRef>
          </c:val>
          <c:smooth val="0"/>
          <c:extLst>
            <c:ext xmlns:c16="http://schemas.microsoft.com/office/drawing/2014/chart" uri="{C3380CC4-5D6E-409C-BE32-E72D297353CC}">
              <c16:uniqueId val="{00000001-E010-488D-A29B-F58CF4A91C9E}"/>
            </c:ext>
          </c:extLst>
        </c:ser>
        <c:dLbls>
          <c:showLegendKey val="0"/>
          <c:showVal val="0"/>
          <c:showCatName val="0"/>
          <c:showSerName val="0"/>
          <c:showPercent val="0"/>
          <c:showBubbleSize val="0"/>
        </c:dLbls>
        <c:marker val="1"/>
        <c:smooth val="0"/>
        <c:axId val="273491072"/>
        <c:axId val="273870208"/>
      </c:lineChart>
      <c:catAx>
        <c:axId val="273867136"/>
        <c:scaling>
          <c:orientation val="minMax"/>
        </c:scaling>
        <c:delete val="0"/>
        <c:axPos val="b"/>
        <c:numFmt formatCode="0" sourceLinked="1"/>
        <c:majorTickMark val="out"/>
        <c:minorTickMark val="none"/>
        <c:tickLblPos val="nextTo"/>
        <c:spPr>
          <a:noFill/>
          <a:ln w="9525" cap="flat" cmpd="sng" algn="ctr">
            <a:solidFill>
              <a:srgbClr val="B3B3B3"/>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73868672"/>
        <c:crosses val="autoZero"/>
        <c:auto val="1"/>
        <c:lblAlgn val="ctr"/>
        <c:lblOffset val="100"/>
        <c:noMultiLvlLbl val="0"/>
      </c:catAx>
      <c:valAx>
        <c:axId val="273868672"/>
        <c:scaling>
          <c:orientation val="minMax"/>
        </c:scaling>
        <c:delete val="0"/>
        <c:axPos val="l"/>
        <c:majorGridlines>
          <c:spPr>
            <a:ln w="9525" cap="flat" cmpd="sng" algn="ctr">
              <a:solidFill>
                <a:srgbClr val="D2D2D2"/>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73867136"/>
        <c:crosses val="autoZero"/>
        <c:crossBetween val="between"/>
      </c:valAx>
      <c:valAx>
        <c:axId val="273870208"/>
        <c:scaling>
          <c:orientation val="minMax"/>
        </c:scaling>
        <c:delete val="0"/>
        <c:axPos val="r"/>
        <c:numFmt formatCode="_(* #,##0_);_(* \(#,##0\);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solidFill>
                <a:latin typeface="Arial" panose="020B0604020202020204" pitchFamily="34" charset="0"/>
                <a:ea typeface="+mn-ea"/>
                <a:cs typeface="Arial" panose="020B0604020202020204" pitchFamily="34" charset="0"/>
              </a:defRPr>
            </a:pPr>
            <a:endParaRPr lang="en-US"/>
          </a:p>
        </c:txPr>
        <c:crossAx val="273491072"/>
        <c:crosses val="max"/>
        <c:crossBetween val="between"/>
      </c:valAx>
      <c:catAx>
        <c:axId val="273491072"/>
        <c:scaling>
          <c:orientation val="minMax"/>
        </c:scaling>
        <c:delete val="1"/>
        <c:axPos val="b"/>
        <c:majorTickMark val="out"/>
        <c:minorTickMark val="none"/>
        <c:tickLblPos val="nextTo"/>
        <c:crossAx val="273870208"/>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9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1"/>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0"/>
            </a:pPr>
            <a:r>
              <a:rPr lang="en-US" sz="900" b="0"/>
              <a:t>U.S. monthly light truck sales (thousands)</a:t>
            </a:r>
          </a:p>
        </c:rich>
      </c:tx>
      <c:layout>
        <c:manualLayout>
          <c:xMode val="edge"/>
          <c:yMode val="edge"/>
          <c:x val="1.9409530330447694E-3"/>
          <c:y val="0"/>
        </c:manualLayout>
      </c:layout>
      <c:overlay val="0"/>
    </c:title>
    <c:autoTitleDeleted val="0"/>
    <c:plotArea>
      <c:layout>
        <c:manualLayout>
          <c:layoutTarget val="inner"/>
          <c:xMode val="edge"/>
          <c:yMode val="edge"/>
          <c:x val="7.2926798976626767E-2"/>
          <c:y val="7.9773200586968504E-2"/>
          <c:w val="0.75943587105624144"/>
          <c:h val="0.79745678946640386"/>
        </c:manualLayout>
      </c:layout>
      <c:lineChart>
        <c:grouping val="standard"/>
        <c:varyColors val="0"/>
        <c:ser>
          <c:idx val="0"/>
          <c:order val="0"/>
          <c:spPr>
            <a:ln w="38100">
              <a:solidFill>
                <a:srgbClr val="00AEE5"/>
              </a:solidFill>
            </a:ln>
          </c:spPr>
          <c:marker>
            <c:symbol val="none"/>
          </c:marker>
          <c:cat>
            <c:numRef>
              <c:f>ChartTemplates!$A$72:$A$276</c:f>
              <c:numCache>
                <c:formatCode>m/d/yyyy</c:formatCode>
                <c:ptCount val="205"/>
                <c:pt idx="0">
                  <c:v>36556</c:v>
                </c:pt>
                <c:pt idx="1">
                  <c:v>36585</c:v>
                </c:pt>
                <c:pt idx="2">
                  <c:v>36616</c:v>
                </c:pt>
                <c:pt idx="3">
                  <c:v>36646</c:v>
                </c:pt>
                <c:pt idx="4">
                  <c:v>36677</c:v>
                </c:pt>
                <c:pt idx="5">
                  <c:v>36707</c:v>
                </c:pt>
                <c:pt idx="6">
                  <c:v>36738</c:v>
                </c:pt>
                <c:pt idx="7">
                  <c:v>36769</c:v>
                </c:pt>
                <c:pt idx="8">
                  <c:v>36799</c:v>
                </c:pt>
                <c:pt idx="9">
                  <c:v>36830</c:v>
                </c:pt>
                <c:pt idx="10">
                  <c:v>36860</c:v>
                </c:pt>
                <c:pt idx="11">
                  <c:v>36891</c:v>
                </c:pt>
                <c:pt idx="12">
                  <c:v>36922</c:v>
                </c:pt>
                <c:pt idx="13">
                  <c:v>36950</c:v>
                </c:pt>
                <c:pt idx="14">
                  <c:v>36981</c:v>
                </c:pt>
                <c:pt idx="15">
                  <c:v>37011</c:v>
                </c:pt>
                <c:pt idx="16">
                  <c:v>37042</c:v>
                </c:pt>
                <c:pt idx="17">
                  <c:v>37072</c:v>
                </c:pt>
                <c:pt idx="18">
                  <c:v>37103</c:v>
                </c:pt>
                <c:pt idx="19">
                  <c:v>37134</c:v>
                </c:pt>
                <c:pt idx="20">
                  <c:v>37164</c:v>
                </c:pt>
                <c:pt idx="21">
                  <c:v>37195</c:v>
                </c:pt>
                <c:pt idx="22">
                  <c:v>37225</c:v>
                </c:pt>
                <c:pt idx="23">
                  <c:v>37256</c:v>
                </c:pt>
                <c:pt idx="24">
                  <c:v>37287</c:v>
                </c:pt>
                <c:pt idx="25">
                  <c:v>37315</c:v>
                </c:pt>
                <c:pt idx="26">
                  <c:v>37346</c:v>
                </c:pt>
                <c:pt idx="27">
                  <c:v>37376</c:v>
                </c:pt>
                <c:pt idx="28">
                  <c:v>37407</c:v>
                </c:pt>
                <c:pt idx="29">
                  <c:v>37437</c:v>
                </c:pt>
                <c:pt idx="30">
                  <c:v>37468</c:v>
                </c:pt>
                <c:pt idx="31">
                  <c:v>37499</c:v>
                </c:pt>
                <c:pt idx="32">
                  <c:v>37529</c:v>
                </c:pt>
                <c:pt idx="33">
                  <c:v>37560</c:v>
                </c:pt>
                <c:pt idx="34">
                  <c:v>37590</c:v>
                </c:pt>
                <c:pt idx="35">
                  <c:v>37621</c:v>
                </c:pt>
                <c:pt idx="36">
                  <c:v>37652</c:v>
                </c:pt>
                <c:pt idx="37">
                  <c:v>37680</c:v>
                </c:pt>
                <c:pt idx="38">
                  <c:v>37711</c:v>
                </c:pt>
                <c:pt idx="39">
                  <c:v>37741</c:v>
                </c:pt>
                <c:pt idx="40">
                  <c:v>37772</c:v>
                </c:pt>
                <c:pt idx="41">
                  <c:v>37802</c:v>
                </c:pt>
                <c:pt idx="42">
                  <c:v>37833</c:v>
                </c:pt>
                <c:pt idx="43">
                  <c:v>37864</c:v>
                </c:pt>
                <c:pt idx="44">
                  <c:v>37894</c:v>
                </c:pt>
                <c:pt idx="45">
                  <c:v>37925</c:v>
                </c:pt>
                <c:pt idx="46">
                  <c:v>37955</c:v>
                </c:pt>
                <c:pt idx="47">
                  <c:v>37986</c:v>
                </c:pt>
                <c:pt idx="48">
                  <c:v>38017</c:v>
                </c:pt>
                <c:pt idx="49">
                  <c:v>38046</c:v>
                </c:pt>
                <c:pt idx="50">
                  <c:v>38077</c:v>
                </c:pt>
                <c:pt idx="51">
                  <c:v>38107</c:v>
                </c:pt>
                <c:pt idx="52">
                  <c:v>38138</c:v>
                </c:pt>
                <c:pt idx="53">
                  <c:v>38168</c:v>
                </c:pt>
                <c:pt idx="54">
                  <c:v>38199</c:v>
                </c:pt>
                <c:pt idx="55">
                  <c:v>38230</c:v>
                </c:pt>
                <c:pt idx="56">
                  <c:v>38260</c:v>
                </c:pt>
                <c:pt idx="57">
                  <c:v>38291</c:v>
                </c:pt>
                <c:pt idx="58">
                  <c:v>38321</c:v>
                </c:pt>
                <c:pt idx="59">
                  <c:v>38352</c:v>
                </c:pt>
                <c:pt idx="60">
                  <c:v>38383</c:v>
                </c:pt>
                <c:pt idx="61">
                  <c:v>38411</c:v>
                </c:pt>
                <c:pt idx="62">
                  <c:v>38442</c:v>
                </c:pt>
                <c:pt idx="63">
                  <c:v>38472</c:v>
                </c:pt>
                <c:pt idx="64">
                  <c:v>38503</c:v>
                </c:pt>
                <c:pt idx="65">
                  <c:v>38533</c:v>
                </c:pt>
                <c:pt idx="66">
                  <c:v>38564</c:v>
                </c:pt>
                <c:pt idx="67">
                  <c:v>38595</c:v>
                </c:pt>
                <c:pt idx="68">
                  <c:v>38625</c:v>
                </c:pt>
                <c:pt idx="69">
                  <c:v>38656</c:v>
                </c:pt>
                <c:pt idx="70">
                  <c:v>38686</c:v>
                </c:pt>
                <c:pt idx="71">
                  <c:v>38717</c:v>
                </c:pt>
                <c:pt idx="72">
                  <c:v>38748</c:v>
                </c:pt>
                <c:pt idx="73">
                  <c:v>38776</c:v>
                </c:pt>
                <c:pt idx="74">
                  <c:v>38807</c:v>
                </c:pt>
                <c:pt idx="75">
                  <c:v>38837</c:v>
                </c:pt>
                <c:pt idx="76">
                  <c:v>38868</c:v>
                </c:pt>
                <c:pt idx="77">
                  <c:v>38898</c:v>
                </c:pt>
                <c:pt idx="78">
                  <c:v>38929</c:v>
                </c:pt>
                <c:pt idx="79">
                  <c:v>38960</c:v>
                </c:pt>
                <c:pt idx="80">
                  <c:v>38990</c:v>
                </c:pt>
                <c:pt idx="81">
                  <c:v>39021</c:v>
                </c:pt>
                <c:pt idx="82">
                  <c:v>39051</c:v>
                </c:pt>
                <c:pt idx="83">
                  <c:v>39082</c:v>
                </c:pt>
                <c:pt idx="84">
                  <c:v>39113</c:v>
                </c:pt>
                <c:pt idx="85">
                  <c:v>39141</c:v>
                </c:pt>
                <c:pt idx="86">
                  <c:v>39172</c:v>
                </c:pt>
                <c:pt idx="87">
                  <c:v>39202</c:v>
                </c:pt>
                <c:pt idx="88">
                  <c:v>39233</c:v>
                </c:pt>
                <c:pt idx="89">
                  <c:v>39263</c:v>
                </c:pt>
                <c:pt idx="90">
                  <c:v>39294</c:v>
                </c:pt>
                <c:pt idx="91">
                  <c:v>39325</c:v>
                </c:pt>
                <c:pt idx="92">
                  <c:v>39355</c:v>
                </c:pt>
                <c:pt idx="93">
                  <c:v>39386</c:v>
                </c:pt>
                <c:pt idx="94">
                  <c:v>39416</c:v>
                </c:pt>
                <c:pt idx="95">
                  <c:v>39447</c:v>
                </c:pt>
                <c:pt idx="96">
                  <c:v>39478</c:v>
                </c:pt>
                <c:pt idx="97">
                  <c:v>39507</c:v>
                </c:pt>
                <c:pt idx="98">
                  <c:v>39538</c:v>
                </c:pt>
                <c:pt idx="99">
                  <c:v>39568</c:v>
                </c:pt>
                <c:pt idx="100">
                  <c:v>39599</c:v>
                </c:pt>
                <c:pt idx="101">
                  <c:v>39629</c:v>
                </c:pt>
                <c:pt idx="102">
                  <c:v>39660</c:v>
                </c:pt>
                <c:pt idx="103">
                  <c:v>39691</c:v>
                </c:pt>
                <c:pt idx="104">
                  <c:v>39721</c:v>
                </c:pt>
                <c:pt idx="105">
                  <c:v>39752</c:v>
                </c:pt>
                <c:pt idx="106">
                  <c:v>39782</c:v>
                </c:pt>
                <c:pt idx="107">
                  <c:v>39813</c:v>
                </c:pt>
                <c:pt idx="108">
                  <c:v>39844</c:v>
                </c:pt>
                <c:pt idx="109">
                  <c:v>39872</c:v>
                </c:pt>
                <c:pt idx="110">
                  <c:v>39903</c:v>
                </c:pt>
                <c:pt idx="111">
                  <c:v>39933</c:v>
                </c:pt>
                <c:pt idx="112">
                  <c:v>39964</c:v>
                </c:pt>
                <c:pt idx="113">
                  <c:v>39994</c:v>
                </c:pt>
                <c:pt idx="114">
                  <c:v>40025</c:v>
                </c:pt>
                <c:pt idx="115">
                  <c:v>40056</c:v>
                </c:pt>
                <c:pt idx="116">
                  <c:v>40086</c:v>
                </c:pt>
                <c:pt idx="117">
                  <c:v>40117</c:v>
                </c:pt>
                <c:pt idx="118">
                  <c:v>40147</c:v>
                </c:pt>
                <c:pt idx="119">
                  <c:v>40178</c:v>
                </c:pt>
                <c:pt idx="120">
                  <c:v>40209</c:v>
                </c:pt>
                <c:pt idx="121">
                  <c:v>40237</c:v>
                </c:pt>
                <c:pt idx="122">
                  <c:v>40268</c:v>
                </c:pt>
                <c:pt idx="123">
                  <c:v>40298</c:v>
                </c:pt>
                <c:pt idx="124">
                  <c:v>40329</c:v>
                </c:pt>
                <c:pt idx="125">
                  <c:v>40359</c:v>
                </c:pt>
                <c:pt idx="126">
                  <c:v>40390</c:v>
                </c:pt>
                <c:pt idx="127">
                  <c:v>40421</c:v>
                </c:pt>
                <c:pt idx="128">
                  <c:v>40451</c:v>
                </c:pt>
                <c:pt idx="129">
                  <c:v>40482</c:v>
                </c:pt>
                <c:pt idx="130">
                  <c:v>40512</c:v>
                </c:pt>
                <c:pt idx="131">
                  <c:v>40543</c:v>
                </c:pt>
                <c:pt idx="132">
                  <c:v>40574</c:v>
                </c:pt>
                <c:pt idx="133">
                  <c:v>40602</c:v>
                </c:pt>
                <c:pt idx="134">
                  <c:v>40633</c:v>
                </c:pt>
                <c:pt idx="135">
                  <c:v>40663</c:v>
                </c:pt>
                <c:pt idx="136">
                  <c:v>40694</c:v>
                </c:pt>
                <c:pt idx="137">
                  <c:v>40724</c:v>
                </c:pt>
                <c:pt idx="138">
                  <c:v>40755</c:v>
                </c:pt>
                <c:pt idx="139">
                  <c:v>40786</c:v>
                </c:pt>
                <c:pt idx="140">
                  <c:v>40816</c:v>
                </c:pt>
                <c:pt idx="141">
                  <c:v>40847</c:v>
                </c:pt>
                <c:pt idx="142">
                  <c:v>40877</c:v>
                </c:pt>
                <c:pt idx="143">
                  <c:v>40908</c:v>
                </c:pt>
                <c:pt idx="144">
                  <c:v>40939</c:v>
                </c:pt>
                <c:pt idx="145">
                  <c:v>40968</c:v>
                </c:pt>
                <c:pt idx="146">
                  <c:v>40999</c:v>
                </c:pt>
                <c:pt idx="147">
                  <c:v>41029</c:v>
                </c:pt>
                <c:pt idx="148">
                  <c:v>41060</c:v>
                </c:pt>
                <c:pt idx="149">
                  <c:v>41090</c:v>
                </c:pt>
                <c:pt idx="150">
                  <c:v>41121</c:v>
                </c:pt>
                <c:pt idx="151">
                  <c:v>41152</c:v>
                </c:pt>
                <c:pt idx="152">
                  <c:v>41182</c:v>
                </c:pt>
                <c:pt idx="153">
                  <c:v>41213</c:v>
                </c:pt>
                <c:pt idx="154">
                  <c:v>41243</c:v>
                </c:pt>
                <c:pt idx="155">
                  <c:v>41274</c:v>
                </c:pt>
                <c:pt idx="156">
                  <c:v>41305</c:v>
                </c:pt>
                <c:pt idx="157">
                  <c:v>41333</c:v>
                </c:pt>
                <c:pt idx="158">
                  <c:v>41364</c:v>
                </c:pt>
                <c:pt idx="159">
                  <c:v>41394</c:v>
                </c:pt>
                <c:pt idx="160">
                  <c:v>41425</c:v>
                </c:pt>
                <c:pt idx="161">
                  <c:v>41455</c:v>
                </c:pt>
                <c:pt idx="162">
                  <c:v>41486</c:v>
                </c:pt>
                <c:pt idx="163">
                  <c:v>41517</c:v>
                </c:pt>
                <c:pt idx="164">
                  <c:v>41547</c:v>
                </c:pt>
                <c:pt idx="165">
                  <c:v>41578</c:v>
                </c:pt>
                <c:pt idx="166">
                  <c:v>41608</c:v>
                </c:pt>
                <c:pt idx="167">
                  <c:v>41639</c:v>
                </c:pt>
                <c:pt idx="168">
                  <c:v>41670</c:v>
                </c:pt>
                <c:pt idx="169">
                  <c:v>41698</c:v>
                </c:pt>
                <c:pt idx="170">
                  <c:v>41729</c:v>
                </c:pt>
                <c:pt idx="171">
                  <c:v>41759</c:v>
                </c:pt>
                <c:pt idx="172">
                  <c:v>41790</c:v>
                </c:pt>
                <c:pt idx="173">
                  <c:v>41820</c:v>
                </c:pt>
                <c:pt idx="174">
                  <c:v>41851</c:v>
                </c:pt>
                <c:pt idx="175">
                  <c:v>41882</c:v>
                </c:pt>
                <c:pt idx="176">
                  <c:v>41912</c:v>
                </c:pt>
                <c:pt idx="177">
                  <c:v>41943</c:v>
                </c:pt>
                <c:pt idx="178">
                  <c:v>41973</c:v>
                </c:pt>
                <c:pt idx="179">
                  <c:v>42004</c:v>
                </c:pt>
                <c:pt idx="180">
                  <c:v>42035</c:v>
                </c:pt>
                <c:pt idx="181">
                  <c:v>42063</c:v>
                </c:pt>
                <c:pt idx="182">
                  <c:v>42094</c:v>
                </c:pt>
                <c:pt idx="183">
                  <c:v>42124</c:v>
                </c:pt>
                <c:pt idx="184">
                  <c:v>42155</c:v>
                </c:pt>
                <c:pt idx="185">
                  <c:v>42185</c:v>
                </c:pt>
                <c:pt idx="186">
                  <c:v>42216</c:v>
                </c:pt>
                <c:pt idx="187">
                  <c:v>42247</c:v>
                </c:pt>
                <c:pt idx="188">
                  <c:v>42277</c:v>
                </c:pt>
                <c:pt idx="189">
                  <c:v>42308</c:v>
                </c:pt>
                <c:pt idx="190">
                  <c:v>42338</c:v>
                </c:pt>
                <c:pt idx="191">
                  <c:v>42369</c:v>
                </c:pt>
                <c:pt idx="192">
                  <c:v>42400</c:v>
                </c:pt>
                <c:pt idx="193">
                  <c:v>42429</c:v>
                </c:pt>
                <c:pt idx="194">
                  <c:v>42460</c:v>
                </c:pt>
                <c:pt idx="195">
                  <c:v>42490</c:v>
                </c:pt>
                <c:pt idx="196">
                  <c:v>42521</c:v>
                </c:pt>
                <c:pt idx="197">
                  <c:v>42551</c:v>
                </c:pt>
                <c:pt idx="198">
                  <c:v>42582</c:v>
                </c:pt>
                <c:pt idx="199">
                  <c:v>42613</c:v>
                </c:pt>
                <c:pt idx="200">
                  <c:v>42643</c:v>
                </c:pt>
                <c:pt idx="201">
                  <c:v>42674</c:v>
                </c:pt>
                <c:pt idx="202">
                  <c:v>42704</c:v>
                </c:pt>
                <c:pt idx="203">
                  <c:v>42735</c:v>
                </c:pt>
                <c:pt idx="204">
                  <c:v>42766</c:v>
                </c:pt>
              </c:numCache>
            </c:numRef>
          </c:cat>
          <c:val>
            <c:numRef>
              <c:f>ChartTemplates!$C$72:$C$276</c:f>
              <c:numCache>
                <c:formatCode>_(* #,##0_);_(* \(#,##0\);_(* "-"??_);_(@_)</c:formatCode>
                <c:ptCount val="205"/>
                <c:pt idx="0">
                  <c:v>583.08199999999999</c:v>
                </c:pt>
                <c:pt idx="1">
                  <c:v>731.34900000000005</c:v>
                </c:pt>
                <c:pt idx="2">
                  <c:v>834.06</c:v>
                </c:pt>
                <c:pt idx="3">
                  <c:v>727.07899999999995</c:v>
                </c:pt>
                <c:pt idx="4">
                  <c:v>791.61900000000003</c:v>
                </c:pt>
                <c:pt idx="5">
                  <c:v>780.13300000000004</c:v>
                </c:pt>
                <c:pt idx="6">
                  <c:v>692.48599999999999</c:v>
                </c:pt>
                <c:pt idx="7">
                  <c:v>740.25300000000004</c:v>
                </c:pt>
                <c:pt idx="8">
                  <c:v>728.54600000000005</c:v>
                </c:pt>
                <c:pt idx="9">
                  <c:v>658.81500000000005</c:v>
                </c:pt>
                <c:pt idx="10">
                  <c:v>630.48800000000006</c:v>
                </c:pt>
                <c:pt idx="11">
                  <c:v>627.21500000000003</c:v>
                </c:pt>
                <c:pt idx="12">
                  <c:v>573.87800000000004</c:v>
                </c:pt>
                <c:pt idx="13">
                  <c:v>655.10400000000004</c:v>
                </c:pt>
                <c:pt idx="14">
                  <c:v>808.024</c:v>
                </c:pt>
                <c:pt idx="15">
                  <c:v>659.60400000000004</c:v>
                </c:pt>
                <c:pt idx="16">
                  <c:v>788.154</c:v>
                </c:pt>
                <c:pt idx="17">
                  <c:v>809.22500000000002</c:v>
                </c:pt>
                <c:pt idx="18">
                  <c:v>681.03300000000002</c:v>
                </c:pt>
                <c:pt idx="19">
                  <c:v>708.68799999999999</c:v>
                </c:pt>
                <c:pt idx="20">
                  <c:v>649.22900000000004</c:v>
                </c:pt>
                <c:pt idx="21">
                  <c:v>909.75599999999997</c:v>
                </c:pt>
                <c:pt idx="22">
                  <c:v>722.76900000000001</c:v>
                </c:pt>
                <c:pt idx="23">
                  <c:v>736.423</c:v>
                </c:pt>
                <c:pt idx="24">
                  <c:v>582.91600000000005</c:v>
                </c:pt>
                <c:pt idx="25">
                  <c:v>683.57600000000002</c:v>
                </c:pt>
                <c:pt idx="26">
                  <c:v>773.50900000000001</c:v>
                </c:pt>
                <c:pt idx="27">
                  <c:v>726.23599999999999</c:v>
                </c:pt>
                <c:pt idx="28">
                  <c:v>746.43799999999999</c:v>
                </c:pt>
                <c:pt idx="29">
                  <c:v>775.20500000000004</c:v>
                </c:pt>
                <c:pt idx="30">
                  <c:v>783.62400000000002</c:v>
                </c:pt>
                <c:pt idx="31">
                  <c:v>875.79</c:v>
                </c:pt>
                <c:pt idx="32">
                  <c:v>622.18700000000001</c:v>
                </c:pt>
                <c:pt idx="33">
                  <c:v>695.16700000000003</c:v>
                </c:pt>
                <c:pt idx="34">
                  <c:v>629.60699999999997</c:v>
                </c:pt>
                <c:pt idx="35">
                  <c:v>815.15800000000002</c:v>
                </c:pt>
                <c:pt idx="36">
                  <c:v>544.61800000000005</c:v>
                </c:pt>
                <c:pt idx="37">
                  <c:v>637.58399999999995</c:v>
                </c:pt>
                <c:pt idx="38">
                  <c:v>757.51599999999996</c:v>
                </c:pt>
                <c:pt idx="39">
                  <c:v>754.86099999999999</c:v>
                </c:pt>
                <c:pt idx="40">
                  <c:v>845.96600000000001</c:v>
                </c:pt>
                <c:pt idx="41">
                  <c:v>785.91</c:v>
                </c:pt>
                <c:pt idx="42">
                  <c:v>830.23099999999999</c:v>
                </c:pt>
                <c:pt idx="43">
                  <c:v>890.39599999999996</c:v>
                </c:pt>
                <c:pt idx="44">
                  <c:v>705.19600000000003</c:v>
                </c:pt>
                <c:pt idx="45">
                  <c:v>729.46400000000006</c:v>
                </c:pt>
                <c:pt idx="46">
                  <c:v>700.49099999999999</c:v>
                </c:pt>
                <c:pt idx="47">
                  <c:v>847.75699999999995</c:v>
                </c:pt>
                <c:pt idx="48">
                  <c:v>627.41800000000001</c:v>
                </c:pt>
                <c:pt idx="49">
                  <c:v>692.74300000000005</c:v>
                </c:pt>
                <c:pt idx="50">
                  <c:v>811.52499999999998</c:v>
                </c:pt>
                <c:pt idx="51">
                  <c:v>776.47900000000004</c:v>
                </c:pt>
                <c:pt idx="52">
                  <c:v>884.30499999999995</c:v>
                </c:pt>
                <c:pt idx="53">
                  <c:v>774.82399999999996</c:v>
                </c:pt>
                <c:pt idx="54">
                  <c:v>870.74400000000003</c:v>
                </c:pt>
                <c:pt idx="55">
                  <c:v>789.90200000000004</c:v>
                </c:pt>
                <c:pt idx="56">
                  <c:v>829.44600000000003</c:v>
                </c:pt>
                <c:pt idx="57">
                  <c:v>748.49099999999999</c:v>
                </c:pt>
                <c:pt idx="58">
                  <c:v>680.01599999999996</c:v>
                </c:pt>
                <c:pt idx="59">
                  <c:v>888.07600000000002</c:v>
                </c:pt>
                <c:pt idx="60">
                  <c:v>575.21500000000003</c:v>
                </c:pt>
                <c:pt idx="61">
                  <c:v>681.24300000000005</c:v>
                </c:pt>
                <c:pt idx="62">
                  <c:v>856.30600000000004</c:v>
                </c:pt>
                <c:pt idx="63">
                  <c:v>787.74599999999998</c:v>
                </c:pt>
                <c:pt idx="64">
                  <c:v>808.08799999999997</c:v>
                </c:pt>
                <c:pt idx="65">
                  <c:v>969.62800000000004</c:v>
                </c:pt>
                <c:pt idx="66">
                  <c:v>1094.126</c:v>
                </c:pt>
                <c:pt idx="67">
                  <c:v>783.40700000000004</c:v>
                </c:pt>
                <c:pt idx="68">
                  <c:v>681.34400000000005</c:v>
                </c:pt>
                <c:pt idx="69">
                  <c:v>583.46799999999996</c:v>
                </c:pt>
                <c:pt idx="70">
                  <c:v>622.09299999999996</c:v>
                </c:pt>
                <c:pt idx="71">
                  <c:v>859.94</c:v>
                </c:pt>
                <c:pt idx="72">
                  <c:v>582.61300000000006</c:v>
                </c:pt>
                <c:pt idx="73">
                  <c:v>687.57100000000003</c:v>
                </c:pt>
                <c:pt idx="74">
                  <c:v>835.21600000000001</c:v>
                </c:pt>
                <c:pt idx="75">
                  <c:v>734.75800000000004</c:v>
                </c:pt>
                <c:pt idx="76">
                  <c:v>755.59699999999998</c:v>
                </c:pt>
                <c:pt idx="77">
                  <c:v>781.9</c:v>
                </c:pt>
                <c:pt idx="78">
                  <c:v>775.37300000000005</c:v>
                </c:pt>
                <c:pt idx="79">
                  <c:v>766.61099999999999</c:v>
                </c:pt>
                <c:pt idx="80">
                  <c:v>717.92200000000003</c:v>
                </c:pt>
                <c:pt idx="81">
                  <c:v>669.74800000000005</c:v>
                </c:pt>
                <c:pt idx="82">
                  <c:v>660.82299999999998</c:v>
                </c:pt>
                <c:pt idx="83">
                  <c:v>781.74199999999996</c:v>
                </c:pt>
                <c:pt idx="84">
                  <c:v>581.00199999999995</c:v>
                </c:pt>
                <c:pt idx="85">
                  <c:v>690.50199999999995</c:v>
                </c:pt>
                <c:pt idx="86">
                  <c:v>817.83299999999997</c:v>
                </c:pt>
                <c:pt idx="87">
                  <c:v>710.68200000000002</c:v>
                </c:pt>
                <c:pt idx="88">
                  <c:v>780.81100000000004</c:v>
                </c:pt>
                <c:pt idx="89">
                  <c:v>729.46699999999998</c:v>
                </c:pt>
                <c:pt idx="90">
                  <c:v>683.69899999999996</c:v>
                </c:pt>
                <c:pt idx="91">
                  <c:v>790.08299999999997</c:v>
                </c:pt>
                <c:pt idx="92">
                  <c:v>697.1</c:v>
                </c:pt>
                <c:pt idx="93">
                  <c:v>665.34</c:v>
                </c:pt>
                <c:pt idx="94">
                  <c:v>607.81799999999998</c:v>
                </c:pt>
                <c:pt idx="95">
                  <c:v>752.07399999999996</c:v>
                </c:pt>
                <c:pt idx="96">
                  <c:v>539.19200000000001</c:v>
                </c:pt>
                <c:pt idx="97">
                  <c:v>610.97500000000002</c:v>
                </c:pt>
                <c:pt idx="98">
                  <c:v>666.86699999999996</c:v>
                </c:pt>
                <c:pt idx="99">
                  <c:v>582.05499999999995</c:v>
                </c:pt>
                <c:pt idx="100">
                  <c:v>593.75800000000004</c:v>
                </c:pt>
                <c:pt idx="101">
                  <c:v>520.63499999999999</c:v>
                </c:pt>
                <c:pt idx="102">
                  <c:v>512.84100000000001</c:v>
                </c:pt>
                <c:pt idx="103">
                  <c:v>616.08900000000006</c:v>
                </c:pt>
                <c:pt idx="104">
                  <c:v>486.89699999999999</c:v>
                </c:pt>
                <c:pt idx="105">
                  <c:v>408.62700000000001</c:v>
                </c:pt>
                <c:pt idx="106">
                  <c:v>387.62299999999999</c:v>
                </c:pt>
                <c:pt idx="107">
                  <c:v>471.26799999999997</c:v>
                </c:pt>
                <c:pt idx="108">
                  <c:v>341.24700000000001</c:v>
                </c:pt>
                <c:pt idx="109">
                  <c:v>345.68</c:v>
                </c:pt>
                <c:pt idx="110">
                  <c:v>410.262</c:v>
                </c:pt>
                <c:pt idx="111">
                  <c:v>390.37099999999998</c:v>
                </c:pt>
                <c:pt idx="112">
                  <c:v>442.709</c:v>
                </c:pt>
                <c:pt idx="113">
                  <c:v>404.03899999999999</c:v>
                </c:pt>
                <c:pt idx="114">
                  <c:v>449.21499999999997</c:v>
                </c:pt>
                <c:pt idx="115">
                  <c:v>541.31500000000005</c:v>
                </c:pt>
                <c:pt idx="116">
                  <c:v>348.637</c:v>
                </c:pt>
                <c:pt idx="117">
                  <c:v>413.11200000000002</c:v>
                </c:pt>
                <c:pt idx="118">
                  <c:v>375.61799999999999</c:v>
                </c:pt>
                <c:pt idx="119">
                  <c:v>520.72199999999998</c:v>
                </c:pt>
                <c:pt idx="120">
                  <c:v>339.24099999999999</c:v>
                </c:pt>
                <c:pt idx="121">
                  <c:v>382.53300000000002</c:v>
                </c:pt>
                <c:pt idx="122">
                  <c:v>530.64599999999996</c:v>
                </c:pt>
                <c:pt idx="123">
                  <c:v>486.9</c:v>
                </c:pt>
                <c:pt idx="124">
                  <c:v>547.38900000000001</c:v>
                </c:pt>
                <c:pt idx="125">
                  <c:v>491.59899999999999</c:v>
                </c:pt>
                <c:pt idx="126">
                  <c:v>537.39200000000005</c:v>
                </c:pt>
                <c:pt idx="127">
                  <c:v>498.92500000000001</c:v>
                </c:pt>
                <c:pt idx="128">
                  <c:v>485.80500000000001</c:v>
                </c:pt>
                <c:pt idx="129">
                  <c:v>508.57</c:v>
                </c:pt>
                <c:pt idx="130">
                  <c:v>472.98099999999999</c:v>
                </c:pt>
                <c:pt idx="131">
                  <c:v>629.89200000000005</c:v>
                </c:pt>
                <c:pt idx="132">
                  <c:v>436.54199999999997</c:v>
                </c:pt>
                <c:pt idx="133">
                  <c:v>507.26799999999997</c:v>
                </c:pt>
                <c:pt idx="134">
                  <c:v>599.60400000000004</c:v>
                </c:pt>
                <c:pt idx="135">
                  <c:v>555.66499999999996</c:v>
                </c:pt>
                <c:pt idx="136">
                  <c:v>522.75099999999998</c:v>
                </c:pt>
                <c:pt idx="137">
                  <c:v>532.63199999999995</c:v>
                </c:pt>
                <c:pt idx="138">
                  <c:v>560.30200000000002</c:v>
                </c:pt>
                <c:pt idx="139">
                  <c:v>571.13699999999994</c:v>
                </c:pt>
                <c:pt idx="140">
                  <c:v>574.23500000000001</c:v>
                </c:pt>
                <c:pt idx="141">
                  <c:v>548.79899999999998</c:v>
                </c:pt>
                <c:pt idx="142">
                  <c:v>539.18100000000004</c:v>
                </c:pt>
                <c:pt idx="143">
                  <c:v>695.26800000000003</c:v>
                </c:pt>
                <c:pt idx="144">
                  <c:v>452.56400000000002</c:v>
                </c:pt>
                <c:pt idx="145">
                  <c:v>546.18499999999995</c:v>
                </c:pt>
                <c:pt idx="146">
                  <c:v>652.77499999999998</c:v>
                </c:pt>
                <c:pt idx="147">
                  <c:v>561.64400000000001</c:v>
                </c:pt>
                <c:pt idx="148">
                  <c:v>657.53499999999997</c:v>
                </c:pt>
                <c:pt idx="149">
                  <c:v>636.27300000000002</c:v>
                </c:pt>
                <c:pt idx="150">
                  <c:v>580.46</c:v>
                </c:pt>
                <c:pt idx="151">
                  <c:v>646.33199999999999</c:v>
                </c:pt>
                <c:pt idx="152">
                  <c:v>598.83600000000001</c:v>
                </c:pt>
                <c:pt idx="153">
                  <c:v>557.57600000000002</c:v>
                </c:pt>
                <c:pt idx="154">
                  <c:v>588.96400000000006</c:v>
                </c:pt>
                <c:pt idx="155">
                  <c:v>719.53300000000002</c:v>
                </c:pt>
                <c:pt idx="156">
                  <c:v>517.94899999999996</c:v>
                </c:pt>
                <c:pt idx="157">
                  <c:v>588.70600000000002</c:v>
                </c:pt>
                <c:pt idx="158">
                  <c:v>710.30200000000002</c:v>
                </c:pt>
                <c:pt idx="159">
                  <c:v>642.923</c:v>
                </c:pt>
                <c:pt idx="160">
                  <c:v>730.58600000000001</c:v>
                </c:pt>
                <c:pt idx="161">
                  <c:v>709.36900000000003</c:v>
                </c:pt>
                <c:pt idx="162">
                  <c:v>669.19</c:v>
                </c:pt>
                <c:pt idx="163">
                  <c:v>763.48599999999999</c:v>
                </c:pt>
                <c:pt idx="164">
                  <c:v>580.63400000000001</c:v>
                </c:pt>
                <c:pt idx="165">
                  <c:v>637.68200000000002</c:v>
                </c:pt>
                <c:pt idx="166">
                  <c:v>656.74300000000005</c:v>
                </c:pt>
                <c:pt idx="167">
                  <c:v>738.77700000000004</c:v>
                </c:pt>
                <c:pt idx="168">
                  <c:v>530.995</c:v>
                </c:pt>
                <c:pt idx="169">
                  <c:v>623.88</c:v>
                </c:pt>
                <c:pt idx="170">
                  <c:v>790.16</c:v>
                </c:pt>
                <c:pt idx="171">
                  <c:v>725.94299999999998</c:v>
                </c:pt>
                <c:pt idx="172">
                  <c:v>826.52800000000002</c:v>
                </c:pt>
                <c:pt idx="173">
                  <c:v>730.32899999999995</c:v>
                </c:pt>
                <c:pt idx="174">
                  <c:v>758.00099999999998</c:v>
                </c:pt>
                <c:pt idx="175">
                  <c:v>831.02800000000002</c:v>
                </c:pt>
                <c:pt idx="176">
                  <c:v>676.42700000000002</c:v>
                </c:pt>
                <c:pt idx="177">
                  <c:v>695.63</c:v>
                </c:pt>
                <c:pt idx="178">
                  <c:v>717.13499999999999</c:v>
                </c:pt>
                <c:pt idx="179">
                  <c:v>841.76400000000001</c:v>
                </c:pt>
                <c:pt idx="180">
                  <c:v>631.50900000000001</c:v>
                </c:pt>
                <c:pt idx="181">
                  <c:v>694.69</c:v>
                </c:pt>
                <c:pt idx="182">
                  <c:v>826.45600000000002</c:v>
                </c:pt>
                <c:pt idx="183">
                  <c:v>800.09199999999998</c:v>
                </c:pt>
                <c:pt idx="184">
                  <c:v>881.74199999999996</c:v>
                </c:pt>
                <c:pt idx="185">
                  <c:v>810.99099999999999</c:v>
                </c:pt>
                <c:pt idx="186">
                  <c:v>859.65</c:v>
                </c:pt>
                <c:pt idx="187">
                  <c:v>898.625</c:v>
                </c:pt>
                <c:pt idx="188">
                  <c:v>836.38099999999997</c:v>
                </c:pt>
                <c:pt idx="189">
                  <c:v>845.24800000000005</c:v>
                </c:pt>
                <c:pt idx="190">
                  <c:v>783.70899999999995</c:v>
                </c:pt>
                <c:pt idx="191">
                  <c:v>999.91800000000001</c:v>
                </c:pt>
                <c:pt idx="192">
                  <c:v>670.34500000000003</c:v>
                </c:pt>
                <c:pt idx="193">
                  <c:v>779.54700000000003</c:v>
                </c:pt>
                <c:pt idx="194">
                  <c:v>918.43499999999995</c:v>
                </c:pt>
                <c:pt idx="195">
                  <c:v>887.31500000000005</c:v>
                </c:pt>
                <c:pt idx="196">
                  <c:v>899.721</c:v>
                </c:pt>
                <c:pt idx="197">
                  <c:v>902.79200000000003</c:v>
                </c:pt>
                <c:pt idx="198">
                  <c:v>925.09699999999998</c:v>
                </c:pt>
                <c:pt idx="199">
                  <c:v>926.56700000000001</c:v>
                </c:pt>
                <c:pt idx="200">
                  <c:v>873.649</c:v>
                </c:pt>
                <c:pt idx="201">
                  <c:v>859.65899999999999</c:v>
                </c:pt>
                <c:pt idx="202">
                  <c:v>863.41499999999996</c:v>
                </c:pt>
                <c:pt idx="203">
                  <c:v>1080.0630000000001</c:v>
                </c:pt>
                <c:pt idx="204">
                  <c:v>726.29300000000001</c:v>
                </c:pt>
              </c:numCache>
            </c:numRef>
          </c:val>
          <c:smooth val="0"/>
          <c:extLst>
            <c:ext xmlns:c16="http://schemas.microsoft.com/office/drawing/2014/chart" uri="{C3380CC4-5D6E-409C-BE32-E72D297353CC}">
              <c16:uniqueId val="{00000000-368B-430B-9B50-F03BAAF66AE0}"/>
            </c:ext>
          </c:extLst>
        </c:ser>
        <c:ser>
          <c:idx val="1"/>
          <c:order val="1"/>
          <c:spPr>
            <a:ln>
              <a:solidFill>
                <a:srgbClr val="7654A3"/>
              </a:solidFill>
            </a:ln>
          </c:spPr>
          <c:marker>
            <c:symbol val="none"/>
          </c:marker>
          <c:val>
            <c:numRef>
              <c:f>ChartTemplates!$D$72:$D$276</c:f>
              <c:numCache>
                <c:formatCode>_-* #,##0.00_-;\-* #,##0.00_-;_-* "-"??_-;_-@_-</c:formatCode>
                <c:ptCount val="205"/>
                <c:pt idx="0">
                  <c:v>466.46559999999999</c:v>
                </c:pt>
                <c:pt idx="1">
                  <c:v>585.07920000000001</c:v>
                </c:pt>
                <c:pt idx="2">
                  <c:v>667.24800000000005</c:v>
                </c:pt>
                <c:pt idx="3">
                  <c:v>581.66319999999996</c:v>
                </c:pt>
                <c:pt idx="4">
                  <c:v>633.29520000000002</c:v>
                </c:pt>
                <c:pt idx="5">
                  <c:v>624.10640000000012</c:v>
                </c:pt>
                <c:pt idx="6">
                  <c:v>553.98879999999997</c:v>
                </c:pt>
                <c:pt idx="7">
                  <c:v>592.20240000000001</c:v>
                </c:pt>
                <c:pt idx="8">
                  <c:v>582.83680000000004</c:v>
                </c:pt>
                <c:pt idx="9">
                  <c:v>527.05200000000002</c:v>
                </c:pt>
                <c:pt idx="10">
                  <c:v>504.39040000000006</c:v>
                </c:pt>
                <c:pt idx="11">
                  <c:v>501.77200000000005</c:v>
                </c:pt>
                <c:pt idx="12">
                  <c:v>459.10240000000005</c:v>
                </c:pt>
                <c:pt idx="13">
                  <c:v>524.08320000000003</c:v>
                </c:pt>
                <c:pt idx="14">
                  <c:v>646.41920000000005</c:v>
                </c:pt>
                <c:pt idx="15">
                  <c:v>527.68320000000006</c:v>
                </c:pt>
                <c:pt idx="16">
                  <c:v>630.52320000000009</c:v>
                </c:pt>
                <c:pt idx="17">
                  <c:v>647.38000000000011</c:v>
                </c:pt>
                <c:pt idx="18">
                  <c:v>544.82640000000004</c:v>
                </c:pt>
                <c:pt idx="19">
                  <c:v>566.95040000000006</c:v>
                </c:pt>
                <c:pt idx="20">
                  <c:v>519.3832000000001</c:v>
                </c:pt>
                <c:pt idx="21">
                  <c:v>727.8048</c:v>
                </c:pt>
                <c:pt idx="22">
                  <c:v>578.21519999999998</c:v>
                </c:pt>
                <c:pt idx="23">
                  <c:v>589.13840000000005</c:v>
                </c:pt>
                <c:pt idx="24">
                  <c:v>466.33280000000008</c:v>
                </c:pt>
                <c:pt idx="25">
                  <c:v>546.86080000000004</c:v>
                </c:pt>
                <c:pt idx="26">
                  <c:v>618.80720000000008</c:v>
                </c:pt>
                <c:pt idx="27">
                  <c:v>580.98879999999997</c:v>
                </c:pt>
                <c:pt idx="28">
                  <c:v>597.15039999999999</c:v>
                </c:pt>
                <c:pt idx="29">
                  <c:v>620.1640000000001</c:v>
                </c:pt>
                <c:pt idx="30">
                  <c:v>626.89920000000006</c:v>
                </c:pt>
                <c:pt idx="31">
                  <c:v>700.63200000000006</c:v>
                </c:pt>
                <c:pt idx="32">
                  <c:v>497.74960000000004</c:v>
                </c:pt>
                <c:pt idx="33">
                  <c:v>556.1336</c:v>
                </c:pt>
                <c:pt idx="34">
                  <c:v>503.68560000000002</c:v>
                </c:pt>
                <c:pt idx="35">
                  <c:v>652.1264000000001</c:v>
                </c:pt>
                <c:pt idx="36">
                  <c:v>435.69440000000009</c:v>
                </c:pt>
                <c:pt idx="37">
                  <c:v>510.06719999999996</c:v>
                </c:pt>
                <c:pt idx="38">
                  <c:v>606.01279999999997</c:v>
                </c:pt>
                <c:pt idx="39">
                  <c:v>603.88880000000006</c:v>
                </c:pt>
                <c:pt idx="40">
                  <c:v>676.77280000000007</c:v>
                </c:pt>
                <c:pt idx="41">
                  <c:v>628.72800000000007</c:v>
                </c:pt>
                <c:pt idx="42">
                  <c:v>664.1848</c:v>
                </c:pt>
                <c:pt idx="43">
                  <c:v>712.31680000000006</c:v>
                </c:pt>
                <c:pt idx="44">
                  <c:v>564.15680000000009</c:v>
                </c:pt>
                <c:pt idx="45">
                  <c:v>583.57120000000009</c:v>
                </c:pt>
                <c:pt idx="46">
                  <c:v>560.39279999999997</c:v>
                </c:pt>
                <c:pt idx="47">
                  <c:v>678.2056</c:v>
                </c:pt>
                <c:pt idx="48">
                  <c:v>501.93440000000004</c:v>
                </c:pt>
                <c:pt idx="49">
                  <c:v>554.19440000000009</c:v>
                </c:pt>
                <c:pt idx="50">
                  <c:v>649.22</c:v>
                </c:pt>
                <c:pt idx="51">
                  <c:v>621.18320000000006</c:v>
                </c:pt>
                <c:pt idx="52">
                  <c:v>707.44399999999996</c:v>
                </c:pt>
                <c:pt idx="53">
                  <c:v>619.85919999999999</c:v>
                </c:pt>
                <c:pt idx="54">
                  <c:v>696.59520000000009</c:v>
                </c:pt>
                <c:pt idx="55">
                  <c:v>631.92160000000013</c:v>
                </c:pt>
                <c:pt idx="56">
                  <c:v>663.55680000000007</c:v>
                </c:pt>
                <c:pt idx="57">
                  <c:v>598.79280000000006</c:v>
                </c:pt>
                <c:pt idx="58">
                  <c:v>544.01279999999997</c:v>
                </c:pt>
                <c:pt idx="59">
                  <c:v>710.46080000000006</c:v>
                </c:pt>
                <c:pt idx="60">
                  <c:v>460.17200000000003</c:v>
                </c:pt>
                <c:pt idx="61">
                  <c:v>544.99440000000004</c:v>
                </c:pt>
                <c:pt idx="62">
                  <c:v>685.04480000000012</c:v>
                </c:pt>
                <c:pt idx="63">
                  <c:v>630.19680000000005</c:v>
                </c:pt>
                <c:pt idx="64">
                  <c:v>646.47040000000004</c:v>
                </c:pt>
                <c:pt idx="65">
                  <c:v>775.70240000000013</c:v>
                </c:pt>
                <c:pt idx="66">
                  <c:v>875.30079999999998</c:v>
                </c:pt>
                <c:pt idx="67">
                  <c:v>626.7256000000001</c:v>
                </c:pt>
                <c:pt idx="68">
                  <c:v>545.07520000000011</c:v>
                </c:pt>
                <c:pt idx="69">
                  <c:v>466.77440000000001</c:v>
                </c:pt>
                <c:pt idx="70">
                  <c:v>497.67439999999999</c:v>
                </c:pt>
                <c:pt idx="71">
                  <c:v>687.95200000000011</c:v>
                </c:pt>
                <c:pt idx="72">
                  <c:v>466.09040000000005</c:v>
                </c:pt>
                <c:pt idx="73">
                  <c:v>550.05680000000007</c:v>
                </c:pt>
                <c:pt idx="74">
                  <c:v>668.17280000000005</c:v>
                </c:pt>
                <c:pt idx="75">
                  <c:v>587.80640000000005</c:v>
                </c:pt>
                <c:pt idx="76">
                  <c:v>604.47760000000005</c:v>
                </c:pt>
                <c:pt idx="77">
                  <c:v>625.52</c:v>
                </c:pt>
                <c:pt idx="78">
                  <c:v>620.29840000000013</c:v>
                </c:pt>
                <c:pt idx="79">
                  <c:v>613.28880000000004</c:v>
                </c:pt>
                <c:pt idx="80">
                  <c:v>574.33760000000007</c:v>
                </c:pt>
                <c:pt idx="81">
                  <c:v>535.79840000000002</c:v>
                </c:pt>
                <c:pt idx="82">
                  <c:v>528.65840000000003</c:v>
                </c:pt>
                <c:pt idx="83">
                  <c:v>625.39359999999999</c:v>
                </c:pt>
                <c:pt idx="84">
                  <c:v>464.80160000000001</c:v>
                </c:pt>
                <c:pt idx="85">
                  <c:v>552.40160000000003</c:v>
                </c:pt>
                <c:pt idx="86">
                  <c:v>654.26639999999998</c:v>
                </c:pt>
                <c:pt idx="87">
                  <c:v>568.54560000000004</c:v>
                </c:pt>
                <c:pt idx="88">
                  <c:v>624.64880000000005</c:v>
                </c:pt>
                <c:pt idx="89">
                  <c:v>583.57360000000006</c:v>
                </c:pt>
                <c:pt idx="90">
                  <c:v>546.95920000000001</c:v>
                </c:pt>
                <c:pt idx="91">
                  <c:v>632.06640000000004</c:v>
                </c:pt>
                <c:pt idx="92">
                  <c:v>557.68000000000006</c:v>
                </c:pt>
                <c:pt idx="93">
                  <c:v>532.27200000000005</c:v>
                </c:pt>
                <c:pt idx="94">
                  <c:v>486.25440000000003</c:v>
                </c:pt>
                <c:pt idx="95">
                  <c:v>601.65919999999994</c:v>
                </c:pt>
                <c:pt idx="96">
                  <c:v>431.35360000000003</c:v>
                </c:pt>
                <c:pt idx="97">
                  <c:v>488.78000000000003</c:v>
                </c:pt>
                <c:pt idx="98">
                  <c:v>533.49360000000001</c:v>
                </c:pt>
                <c:pt idx="99">
                  <c:v>465.64400000000001</c:v>
                </c:pt>
                <c:pt idx="100">
                  <c:v>475.00640000000004</c:v>
                </c:pt>
                <c:pt idx="101">
                  <c:v>416.50800000000004</c:v>
                </c:pt>
                <c:pt idx="102">
                  <c:v>410.27280000000002</c:v>
                </c:pt>
                <c:pt idx="103">
                  <c:v>492.87120000000004</c:v>
                </c:pt>
                <c:pt idx="104">
                  <c:v>389.51760000000002</c:v>
                </c:pt>
                <c:pt idx="105">
                  <c:v>326.90160000000003</c:v>
                </c:pt>
                <c:pt idx="106">
                  <c:v>310.09840000000003</c:v>
                </c:pt>
                <c:pt idx="107">
                  <c:v>377.01440000000002</c:v>
                </c:pt>
                <c:pt idx="108">
                  <c:v>272.99760000000003</c:v>
                </c:pt>
                <c:pt idx="109">
                  <c:v>276.54400000000004</c:v>
                </c:pt>
                <c:pt idx="110">
                  <c:v>328.20960000000002</c:v>
                </c:pt>
                <c:pt idx="111">
                  <c:v>312.29680000000002</c:v>
                </c:pt>
                <c:pt idx="112">
                  <c:v>354.16720000000004</c:v>
                </c:pt>
                <c:pt idx="113">
                  <c:v>323.2312</c:v>
                </c:pt>
                <c:pt idx="114">
                  <c:v>359.37200000000001</c:v>
                </c:pt>
                <c:pt idx="115">
                  <c:v>433.05200000000008</c:v>
                </c:pt>
                <c:pt idx="116">
                  <c:v>278.90960000000001</c:v>
                </c:pt>
                <c:pt idx="117">
                  <c:v>330.48960000000005</c:v>
                </c:pt>
                <c:pt idx="118">
                  <c:v>300.49439999999998</c:v>
                </c:pt>
                <c:pt idx="119">
                  <c:v>416.57760000000002</c:v>
                </c:pt>
                <c:pt idx="120">
                  <c:v>271.39280000000002</c:v>
                </c:pt>
                <c:pt idx="121">
                  <c:v>306.02640000000002</c:v>
                </c:pt>
                <c:pt idx="122">
                  <c:v>424.51679999999999</c:v>
                </c:pt>
                <c:pt idx="123">
                  <c:v>389.52</c:v>
                </c:pt>
                <c:pt idx="124">
                  <c:v>437.91120000000001</c:v>
                </c:pt>
                <c:pt idx="125">
                  <c:v>393.2792</c:v>
                </c:pt>
                <c:pt idx="126">
                  <c:v>429.91360000000009</c:v>
                </c:pt>
                <c:pt idx="127">
                  <c:v>399.14000000000004</c:v>
                </c:pt>
                <c:pt idx="128">
                  <c:v>388.64400000000001</c:v>
                </c:pt>
                <c:pt idx="129">
                  <c:v>406.85599999999999</c:v>
                </c:pt>
                <c:pt idx="130">
                  <c:v>378.38480000000004</c:v>
                </c:pt>
                <c:pt idx="131">
                  <c:v>503.91360000000009</c:v>
                </c:pt>
                <c:pt idx="132">
                  <c:v>349.23360000000002</c:v>
                </c:pt>
                <c:pt idx="133">
                  <c:v>405.81439999999998</c:v>
                </c:pt>
                <c:pt idx="134">
                  <c:v>479.68320000000006</c:v>
                </c:pt>
                <c:pt idx="135">
                  <c:v>444.53199999999998</c:v>
                </c:pt>
                <c:pt idx="136">
                  <c:v>418.20080000000002</c:v>
                </c:pt>
                <c:pt idx="137">
                  <c:v>426.10559999999998</c:v>
                </c:pt>
                <c:pt idx="138">
                  <c:v>448.24160000000006</c:v>
                </c:pt>
                <c:pt idx="139">
                  <c:v>456.90959999999995</c:v>
                </c:pt>
                <c:pt idx="140">
                  <c:v>459.38800000000003</c:v>
                </c:pt>
                <c:pt idx="141">
                  <c:v>439.03919999999999</c:v>
                </c:pt>
                <c:pt idx="142">
                  <c:v>431.34480000000008</c:v>
                </c:pt>
                <c:pt idx="143">
                  <c:v>556.21440000000007</c:v>
                </c:pt>
                <c:pt idx="144">
                  <c:v>362.05120000000005</c:v>
                </c:pt>
                <c:pt idx="145">
                  <c:v>436.94799999999998</c:v>
                </c:pt>
                <c:pt idx="146">
                  <c:v>522.22</c:v>
                </c:pt>
                <c:pt idx="147">
                  <c:v>449.3152</c:v>
                </c:pt>
                <c:pt idx="148">
                  <c:v>526.02800000000002</c:v>
                </c:pt>
                <c:pt idx="149">
                  <c:v>509.01840000000004</c:v>
                </c:pt>
                <c:pt idx="150">
                  <c:v>464.36800000000005</c:v>
                </c:pt>
                <c:pt idx="151">
                  <c:v>517.06560000000002</c:v>
                </c:pt>
                <c:pt idx="152">
                  <c:v>479.06880000000001</c:v>
                </c:pt>
                <c:pt idx="153">
                  <c:v>446.06080000000003</c:v>
                </c:pt>
                <c:pt idx="154">
                  <c:v>471.17120000000006</c:v>
                </c:pt>
                <c:pt idx="155">
                  <c:v>575.62639999999999</c:v>
                </c:pt>
                <c:pt idx="156">
                  <c:v>414.35919999999999</c:v>
                </c:pt>
                <c:pt idx="157">
                  <c:v>470.96480000000003</c:v>
                </c:pt>
                <c:pt idx="158">
                  <c:v>568.24160000000006</c:v>
                </c:pt>
                <c:pt idx="159">
                  <c:v>514.33839999999998</c:v>
                </c:pt>
                <c:pt idx="160">
                  <c:v>584.46879999999999</c:v>
                </c:pt>
                <c:pt idx="161">
                  <c:v>567.49520000000007</c:v>
                </c:pt>
                <c:pt idx="162">
                  <c:v>535.35200000000009</c:v>
                </c:pt>
                <c:pt idx="163">
                  <c:v>610.78880000000004</c:v>
                </c:pt>
                <c:pt idx="164">
                  <c:v>464.50720000000001</c:v>
                </c:pt>
                <c:pt idx="165">
                  <c:v>510.14560000000006</c:v>
                </c:pt>
                <c:pt idx="166">
                  <c:v>525.39440000000002</c:v>
                </c:pt>
                <c:pt idx="167">
                  <c:v>591.02160000000003</c:v>
                </c:pt>
                <c:pt idx="168">
                  <c:v>424.79600000000005</c:v>
                </c:pt>
                <c:pt idx="169">
                  <c:v>499.10400000000004</c:v>
                </c:pt>
                <c:pt idx="170">
                  <c:v>632.12800000000004</c:v>
                </c:pt>
                <c:pt idx="171">
                  <c:v>580.75440000000003</c:v>
                </c:pt>
                <c:pt idx="172">
                  <c:v>661.22240000000011</c:v>
                </c:pt>
                <c:pt idx="173">
                  <c:v>584.26319999999998</c:v>
                </c:pt>
                <c:pt idx="174">
                  <c:v>606.4008</c:v>
                </c:pt>
                <c:pt idx="175">
                  <c:v>664.82240000000002</c:v>
                </c:pt>
                <c:pt idx="176">
                  <c:v>541.14160000000004</c:v>
                </c:pt>
                <c:pt idx="177">
                  <c:v>556.50400000000002</c:v>
                </c:pt>
                <c:pt idx="178">
                  <c:v>573.70799999999997</c:v>
                </c:pt>
                <c:pt idx="179">
                  <c:v>673.41120000000001</c:v>
                </c:pt>
                <c:pt idx="180">
                  <c:v>505.20720000000006</c:v>
                </c:pt>
                <c:pt idx="181">
                  <c:v>555.75200000000007</c:v>
                </c:pt>
                <c:pt idx="182">
                  <c:v>661.16480000000001</c:v>
                </c:pt>
                <c:pt idx="183">
                  <c:v>640.07360000000006</c:v>
                </c:pt>
                <c:pt idx="184">
                  <c:v>705.39359999999999</c:v>
                </c:pt>
                <c:pt idx="185">
                  <c:v>648.79280000000006</c:v>
                </c:pt>
                <c:pt idx="186">
                  <c:v>687.72</c:v>
                </c:pt>
                <c:pt idx="187">
                  <c:v>718.90000000000009</c:v>
                </c:pt>
                <c:pt idx="188">
                  <c:v>669.10480000000007</c:v>
                </c:pt>
                <c:pt idx="189">
                  <c:v>676.19840000000011</c:v>
                </c:pt>
                <c:pt idx="190">
                  <c:v>626.96720000000005</c:v>
                </c:pt>
                <c:pt idx="191">
                  <c:v>799.9344000000001</c:v>
                </c:pt>
                <c:pt idx="192">
                  <c:v>536.27600000000007</c:v>
                </c:pt>
                <c:pt idx="193">
                  <c:v>623.63760000000002</c:v>
                </c:pt>
                <c:pt idx="194">
                  <c:v>734.74800000000005</c:v>
                </c:pt>
                <c:pt idx="195">
                  <c:v>709.85200000000009</c:v>
                </c:pt>
                <c:pt idx="196">
                  <c:v>719.77680000000009</c:v>
                </c:pt>
                <c:pt idx="197">
                  <c:v>722.23360000000002</c:v>
                </c:pt>
                <c:pt idx="198">
                  <c:v>740.07760000000007</c:v>
                </c:pt>
                <c:pt idx="199">
                  <c:v>741.25360000000001</c:v>
                </c:pt>
                <c:pt idx="200">
                  <c:v>698.91920000000005</c:v>
                </c:pt>
                <c:pt idx="201">
                  <c:v>687.72720000000004</c:v>
                </c:pt>
                <c:pt idx="202">
                  <c:v>690.73199999999997</c:v>
                </c:pt>
                <c:pt idx="203">
                  <c:v>864.05040000000008</c:v>
                </c:pt>
                <c:pt idx="204">
                  <c:v>581.03440000000001</c:v>
                </c:pt>
              </c:numCache>
            </c:numRef>
          </c:val>
          <c:smooth val="0"/>
          <c:extLst>
            <c:ext xmlns:c16="http://schemas.microsoft.com/office/drawing/2014/chart" uri="{C3380CC4-5D6E-409C-BE32-E72D297353CC}">
              <c16:uniqueId val="{00000001-368B-430B-9B50-F03BAAF66AE0}"/>
            </c:ext>
          </c:extLst>
        </c:ser>
        <c:ser>
          <c:idx val="2"/>
          <c:order val="2"/>
          <c:spPr>
            <a:ln>
              <a:solidFill>
                <a:srgbClr val="43BEAD"/>
              </a:solidFill>
            </a:ln>
          </c:spPr>
          <c:marker>
            <c:symbol val="none"/>
          </c:marker>
          <c:val>
            <c:numRef>
              <c:f>ChartTemplates!$F$72:$F$276</c:f>
              <c:numCache>
                <c:formatCode>_-* #,##0.00_-;\-* #,##0.00_-;_-* "-"??_-;_-@_-</c:formatCode>
                <c:ptCount val="205"/>
                <c:pt idx="0">
                  <c:v>298.53798399999999</c:v>
                </c:pt>
                <c:pt idx="1">
                  <c:v>374.45068800000007</c:v>
                </c:pt>
                <c:pt idx="2">
                  <c:v>427.03872000000001</c:v>
                </c:pt>
                <c:pt idx="3">
                  <c:v>372.26444800000002</c:v>
                </c:pt>
                <c:pt idx="4">
                  <c:v>405.30892800000004</c:v>
                </c:pt>
                <c:pt idx="5">
                  <c:v>399.4280960000001</c:v>
                </c:pt>
                <c:pt idx="6">
                  <c:v>354.55283200000002</c:v>
                </c:pt>
                <c:pt idx="7">
                  <c:v>379.00953600000003</c:v>
                </c:pt>
                <c:pt idx="8">
                  <c:v>373.01555200000007</c:v>
                </c:pt>
                <c:pt idx="9">
                  <c:v>337.31328000000008</c:v>
                </c:pt>
                <c:pt idx="10">
                  <c:v>322.80985600000008</c:v>
                </c:pt>
                <c:pt idx="11">
                  <c:v>321.13408000000004</c:v>
                </c:pt>
                <c:pt idx="12">
                  <c:v>293.82553600000006</c:v>
                </c:pt>
                <c:pt idx="13">
                  <c:v>335.41324800000007</c:v>
                </c:pt>
                <c:pt idx="14">
                  <c:v>413.7082880000001</c:v>
                </c:pt>
                <c:pt idx="15">
                  <c:v>337.7172480000001</c:v>
                </c:pt>
                <c:pt idx="16">
                  <c:v>403.53484800000007</c:v>
                </c:pt>
                <c:pt idx="17">
                  <c:v>414.3232000000001</c:v>
                </c:pt>
                <c:pt idx="18">
                  <c:v>348.68889600000006</c:v>
                </c:pt>
                <c:pt idx="19">
                  <c:v>362.84825600000005</c:v>
                </c:pt>
                <c:pt idx="20">
                  <c:v>332.40524800000009</c:v>
                </c:pt>
                <c:pt idx="21">
                  <c:v>465.795072</c:v>
                </c:pt>
                <c:pt idx="22">
                  <c:v>370.057728</c:v>
                </c:pt>
                <c:pt idx="23">
                  <c:v>377.04857600000008</c:v>
                </c:pt>
                <c:pt idx="24">
                  <c:v>298.45299200000011</c:v>
                </c:pt>
                <c:pt idx="25">
                  <c:v>349.99091200000004</c:v>
                </c:pt>
                <c:pt idx="26">
                  <c:v>396.03660800000011</c:v>
                </c:pt>
                <c:pt idx="27">
                  <c:v>371.83283200000005</c:v>
                </c:pt>
                <c:pt idx="28">
                  <c:v>382.17625600000002</c:v>
                </c:pt>
                <c:pt idx="29">
                  <c:v>396.90496000000007</c:v>
                </c:pt>
                <c:pt idx="30">
                  <c:v>401.21548800000005</c:v>
                </c:pt>
                <c:pt idx="31">
                  <c:v>448.40448000000009</c:v>
                </c:pt>
                <c:pt idx="32">
                  <c:v>318.55974400000008</c:v>
                </c:pt>
                <c:pt idx="33">
                  <c:v>355.92550400000005</c:v>
                </c:pt>
                <c:pt idx="34">
                  <c:v>322.35878400000001</c:v>
                </c:pt>
                <c:pt idx="35">
                  <c:v>417.36089600000008</c:v>
                </c:pt>
                <c:pt idx="36">
                  <c:v>278.84441600000008</c:v>
                </c:pt>
                <c:pt idx="37">
                  <c:v>326.44300800000002</c:v>
                </c:pt>
                <c:pt idx="38">
                  <c:v>387.84819200000004</c:v>
                </c:pt>
                <c:pt idx="39">
                  <c:v>386.48883200000006</c:v>
                </c:pt>
                <c:pt idx="40">
                  <c:v>433.13459200000011</c:v>
                </c:pt>
                <c:pt idx="41">
                  <c:v>402.38592000000011</c:v>
                </c:pt>
                <c:pt idx="42">
                  <c:v>425.07827200000003</c:v>
                </c:pt>
                <c:pt idx="43">
                  <c:v>455.8827520000001</c:v>
                </c:pt>
                <c:pt idx="44">
                  <c:v>361.06035200000008</c:v>
                </c:pt>
                <c:pt idx="45">
                  <c:v>373.48556800000006</c:v>
                </c:pt>
                <c:pt idx="46">
                  <c:v>358.65139199999999</c:v>
                </c:pt>
                <c:pt idx="47">
                  <c:v>434.05158400000005</c:v>
                </c:pt>
                <c:pt idx="48">
                  <c:v>321.23801600000007</c:v>
                </c:pt>
                <c:pt idx="49">
                  <c:v>354.68441600000006</c:v>
                </c:pt>
                <c:pt idx="50">
                  <c:v>415.50080000000008</c:v>
                </c:pt>
                <c:pt idx="51">
                  <c:v>397.55724800000007</c:v>
                </c:pt>
                <c:pt idx="52">
                  <c:v>452.76416</c:v>
                </c:pt>
                <c:pt idx="53">
                  <c:v>396.70988800000003</c:v>
                </c:pt>
                <c:pt idx="54">
                  <c:v>445.82092800000009</c:v>
                </c:pt>
                <c:pt idx="55">
                  <c:v>404.42982400000011</c:v>
                </c:pt>
                <c:pt idx="56">
                  <c:v>424.67635200000007</c:v>
                </c:pt>
                <c:pt idx="57">
                  <c:v>383.22739200000007</c:v>
                </c:pt>
                <c:pt idx="58">
                  <c:v>348.16819200000003</c:v>
                </c:pt>
                <c:pt idx="59">
                  <c:v>454.69491200000004</c:v>
                </c:pt>
                <c:pt idx="60">
                  <c:v>294.51008000000002</c:v>
                </c:pt>
                <c:pt idx="61">
                  <c:v>348.79641600000008</c:v>
                </c:pt>
                <c:pt idx="62">
                  <c:v>438.42867200000012</c:v>
                </c:pt>
                <c:pt idx="63">
                  <c:v>403.32595200000009</c:v>
                </c:pt>
                <c:pt idx="64">
                  <c:v>413.74105600000007</c:v>
                </c:pt>
                <c:pt idx="65">
                  <c:v>496.44953600000008</c:v>
                </c:pt>
                <c:pt idx="66">
                  <c:v>560.19251199999997</c:v>
                </c:pt>
                <c:pt idx="67">
                  <c:v>401.1043840000001</c:v>
                </c:pt>
                <c:pt idx="68">
                  <c:v>348.84812800000009</c:v>
                </c:pt>
                <c:pt idx="69">
                  <c:v>298.73561600000005</c:v>
                </c:pt>
                <c:pt idx="70">
                  <c:v>318.511616</c:v>
                </c:pt>
                <c:pt idx="71">
                  <c:v>440.28928000000008</c:v>
                </c:pt>
                <c:pt idx="72">
                  <c:v>298.29785600000008</c:v>
                </c:pt>
                <c:pt idx="73">
                  <c:v>352.03635200000008</c:v>
                </c:pt>
                <c:pt idx="74">
                  <c:v>427.63059200000009</c:v>
                </c:pt>
                <c:pt idx="75">
                  <c:v>376.19609600000007</c:v>
                </c:pt>
                <c:pt idx="76">
                  <c:v>386.86566400000009</c:v>
                </c:pt>
                <c:pt idx="77">
                  <c:v>400.33280000000002</c:v>
                </c:pt>
                <c:pt idx="78">
                  <c:v>396.9909760000001</c:v>
                </c:pt>
                <c:pt idx="79">
                  <c:v>392.50483200000008</c:v>
                </c:pt>
                <c:pt idx="80">
                  <c:v>367.57606400000009</c:v>
                </c:pt>
                <c:pt idx="81">
                  <c:v>342.91097600000006</c:v>
                </c:pt>
                <c:pt idx="82">
                  <c:v>338.34137600000008</c:v>
                </c:pt>
                <c:pt idx="83">
                  <c:v>400.25190400000002</c:v>
                </c:pt>
                <c:pt idx="84">
                  <c:v>297.47302400000007</c:v>
                </c:pt>
                <c:pt idx="85">
                  <c:v>353.53702400000003</c:v>
                </c:pt>
                <c:pt idx="86">
                  <c:v>418.73049600000007</c:v>
                </c:pt>
                <c:pt idx="87">
                  <c:v>363.86918400000008</c:v>
                </c:pt>
                <c:pt idx="88">
                  <c:v>399.77523200000007</c:v>
                </c:pt>
                <c:pt idx="89">
                  <c:v>373.48710400000004</c:v>
                </c:pt>
                <c:pt idx="90">
                  <c:v>350.05388800000003</c:v>
                </c:pt>
                <c:pt idx="91">
                  <c:v>404.52249600000005</c:v>
                </c:pt>
                <c:pt idx="92">
                  <c:v>356.91520000000008</c:v>
                </c:pt>
                <c:pt idx="93">
                  <c:v>340.65408000000008</c:v>
                </c:pt>
                <c:pt idx="94">
                  <c:v>311.20281600000004</c:v>
                </c:pt>
                <c:pt idx="95">
                  <c:v>385.06188800000001</c:v>
                </c:pt>
                <c:pt idx="96">
                  <c:v>276.06630400000006</c:v>
                </c:pt>
                <c:pt idx="97">
                  <c:v>312.81920000000008</c:v>
                </c:pt>
                <c:pt idx="98">
                  <c:v>341.43590400000005</c:v>
                </c:pt>
                <c:pt idx="99">
                  <c:v>298.01216000000005</c:v>
                </c:pt>
                <c:pt idx="100">
                  <c:v>304.00409600000006</c:v>
                </c:pt>
                <c:pt idx="101">
                  <c:v>266.56512000000004</c:v>
                </c:pt>
                <c:pt idx="102">
                  <c:v>262.57459200000005</c:v>
                </c:pt>
                <c:pt idx="103">
                  <c:v>315.43756800000006</c:v>
                </c:pt>
                <c:pt idx="104">
                  <c:v>249.29126400000007</c:v>
                </c:pt>
                <c:pt idx="105">
                  <c:v>209.21702400000004</c:v>
                </c:pt>
                <c:pt idx="106">
                  <c:v>198.46297600000003</c:v>
                </c:pt>
                <c:pt idx="107">
                  <c:v>241.28921600000004</c:v>
                </c:pt>
                <c:pt idx="108">
                  <c:v>174.71846400000004</c:v>
                </c:pt>
                <c:pt idx="109">
                  <c:v>176.98816000000005</c:v>
                </c:pt>
                <c:pt idx="110">
                  <c:v>210.05414400000006</c:v>
                </c:pt>
                <c:pt idx="111">
                  <c:v>199.86995200000001</c:v>
                </c:pt>
                <c:pt idx="112">
                  <c:v>226.66700800000004</c:v>
                </c:pt>
                <c:pt idx="113">
                  <c:v>206.86796800000002</c:v>
                </c:pt>
                <c:pt idx="114">
                  <c:v>229.99808000000004</c:v>
                </c:pt>
                <c:pt idx="115">
                  <c:v>277.15328000000011</c:v>
                </c:pt>
                <c:pt idx="116">
                  <c:v>178.50214400000004</c:v>
                </c:pt>
                <c:pt idx="117">
                  <c:v>211.51334400000007</c:v>
                </c:pt>
                <c:pt idx="118">
                  <c:v>192.316416</c:v>
                </c:pt>
                <c:pt idx="119">
                  <c:v>266.60966400000001</c:v>
                </c:pt>
                <c:pt idx="120">
                  <c:v>173.69139200000004</c:v>
                </c:pt>
                <c:pt idx="121">
                  <c:v>195.85689600000003</c:v>
                </c:pt>
                <c:pt idx="122">
                  <c:v>271.69075200000003</c:v>
                </c:pt>
                <c:pt idx="123">
                  <c:v>249.2928</c:v>
                </c:pt>
                <c:pt idx="124">
                  <c:v>280.26316800000006</c:v>
                </c:pt>
                <c:pt idx="125">
                  <c:v>251.69868800000006</c:v>
                </c:pt>
                <c:pt idx="126">
                  <c:v>275.1447040000001</c:v>
                </c:pt>
                <c:pt idx="127">
                  <c:v>255.44960000000006</c:v>
                </c:pt>
                <c:pt idx="128">
                  <c:v>248.73216000000002</c:v>
                </c:pt>
                <c:pt idx="129">
                  <c:v>260.38784000000004</c:v>
                </c:pt>
                <c:pt idx="130">
                  <c:v>242.16627200000005</c:v>
                </c:pt>
                <c:pt idx="131">
                  <c:v>322.50470400000012</c:v>
                </c:pt>
                <c:pt idx="132">
                  <c:v>223.50950400000002</c:v>
                </c:pt>
                <c:pt idx="133">
                  <c:v>259.72121600000003</c:v>
                </c:pt>
                <c:pt idx="134">
                  <c:v>306.99724800000007</c:v>
                </c:pt>
                <c:pt idx="135">
                  <c:v>284.50048000000004</c:v>
                </c:pt>
                <c:pt idx="136">
                  <c:v>267.64851200000004</c:v>
                </c:pt>
                <c:pt idx="137">
                  <c:v>272.707584</c:v>
                </c:pt>
                <c:pt idx="138">
                  <c:v>286.87462400000004</c:v>
                </c:pt>
                <c:pt idx="139">
                  <c:v>292.422144</c:v>
                </c:pt>
                <c:pt idx="140">
                  <c:v>294.00832000000008</c:v>
                </c:pt>
                <c:pt idx="141">
                  <c:v>280.98508800000002</c:v>
                </c:pt>
                <c:pt idx="142">
                  <c:v>276.06067200000007</c:v>
                </c:pt>
                <c:pt idx="143">
                  <c:v>355.97721600000006</c:v>
                </c:pt>
                <c:pt idx="144">
                  <c:v>231.71276800000007</c:v>
                </c:pt>
                <c:pt idx="145">
                  <c:v>279.64672000000002</c:v>
                </c:pt>
                <c:pt idx="146">
                  <c:v>334.22080000000005</c:v>
                </c:pt>
                <c:pt idx="147">
                  <c:v>287.56172800000007</c:v>
                </c:pt>
                <c:pt idx="148">
                  <c:v>336.65792000000005</c:v>
                </c:pt>
                <c:pt idx="149">
                  <c:v>325.77177600000005</c:v>
                </c:pt>
                <c:pt idx="150">
                  <c:v>297.19552000000004</c:v>
                </c:pt>
                <c:pt idx="151">
                  <c:v>330.92198400000007</c:v>
                </c:pt>
                <c:pt idx="152">
                  <c:v>306.60403200000002</c:v>
                </c:pt>
                <c:pt idx="153">
                  <c:v>285.47891200000004</c:v>
                </c:pt>
                <c:pt idx="154">
                  <c:v>301.54956800000008</c:v>
                </c:pt>
                <c:pt idx="155">
                  <c:v>368.40089600000005</c:v>
                </c:pt>
                <c:pt idx="156">
                  <c:v>265.18988800000005</c:v>
                </c:pt>
                <c:pt idx="157">
                  <c:v>301.41747200000003</c:v>
                </c:pt>
                <c:pt idx="158">
                  <c:v>363.67462400000005</c:v>
                </c:pt>
                <c:pt idx="159">
                  <c:v>329.17657600000007</c:v>
                </c:pt>
                <c:pt idx="160">
                  <c:v>374.06003200000004</c:v>
                </c:pt>
                <c:pt idx="161">
                  <c:v>363.19692800000007</c:v>
                </c:pt>
                <c:pt idx="162">
                  <c:v>342.62528000000009</c:v>
                </c:pt>
                <c:pt idx="163">
                  <c:v>390.90483200000006</c:v>
                </c:pt>
                <c:pt idx="164">
                  <c:v>297.28460800000005</c:v>
                </c:pt>
                <c:pt idx="165">
                  <c:v>326.4931840000001</c:v>
                </c:pt>
                <c:pt idx="166">
                  <c:v>336.25241600000004</c:v>
                </c:pt>
                <c:pt idx="167">
                  <c:v>378.25382400000007</c:v>
                </c:pt>
                <c:pt idx="168">
                  <c:v>271.86944000000005</c:v>
                </c:pt>
                <c:pt idx="169">
                  <c:v>319.42656000000011</c:v>
                </c:pt>
                <c:pt idx="170">
                  <c:v>404.5619200000001</c:v>
                </c:pt>
                <c:pt idx="171">
                  <c:v>371.68281600000006</c:v>
                </c:pt>
                <c:pt idx="172">
                  <c:v>423.18233600000013</c:v>
                </c:pt>
                <c:pt idx="173">
                  <c:v>373.92844800000006</c:v>
                </c:pt>
                <c:pt idx="174">
                  <c:v>388.09651200000008</c:v>
                </c:pt>
                <c:pt idx="175">
                  <c:v>425.48633600000005</c:v>
                </c:pt>
                <c:pt idx="176">
                  <c:v>346.33062400000006</c:v>
                </c:pt>
                <c:pt idx="177">
                  <c:v>356.16256000000004</c:v>
                </c:pt>
                <c:pt idx="178">
                  <c:v>367.17312000000004</c:v>
                </c:pt>
                <c:pt idx="179">
                  <c:v>430.98316800000003</c:v>
                </c:pt>
                <c:pt idx="180">
                  <c:v>323.33260800000011</c:v>
                </c:pt>
                <c:pt idx="181">
                  <c:v>355.68128000000007</c:v>
                </c:pt>
                <c:pt idx="182">
                  <c:v>423.1454720000001</c:v>
                </c:pt>
                <c:pt idx="183">
                  <c:v>409.64710400000007</c:v>
                </c:pt>
                <c:pt idx="184">
                  <c:v>451.45190400000001</c:v>
                </c:pt>
                <c:pt idx="185">
                  <c:v>415.22739200000007</c:v>
                </c:pt>
                <c:pt idx="186">
                  <c:v>440.14080000000007</c:v>
                </c:pt>
                <c:pt idx="187">
                  <c:v>460.09600000000012</c:v>
                </c:pt>
                <c:pt idx="188">
                  <c:v>428.22707200000008</c:v>
                </c:pt>
                <c:pt idx="189">
                  <c:v>432.76697600000011</c:v>
                </c:pt>
                <c:pt idx="190">
                  <c:v>401.25900800000005</c:v>
                </c:pt>
                <c:pt idx="191">
                  <c:v>511.95801600000016</c:v>
                </c:pt>
                <c:pt idx="192">
                  <c:v>343.2166400000001</c:v>
                </c:pt>
                <c:pt idx="193">
                  <c:v>399.12806400000005</c:v>
                </c:pt>
                <c:pt idx="194">
                  <c:v>470.23872000000006</c:v>
                </c:pt>
                <c:pt idx="195">
                  <c:v>454.30528000000004</c:v>
                </c:pt>
                <c:pt idx="196">
                  <c:v>460.65715200000005</c:v>
                </c:pt>
                <c:pt idx="197">
                  <c:v>462.22950400000002</c:v>
                </c:pt>
                <c:pt idx="198">
                  <c:v>473.64966400000003</c:v>
                </c:pt>
                <c:pt idx="199">
                  <c:v>474.40230400000002</c:v>
                </c:pt>
                <c:pt idx="200">
                  <c:v>447.30828800000012</c:v>
                </c:pt>
                <c:pt idx="201">
                  <c:v>440.14540800000009</c:v>
                </c:pt>
                <c:pt idx="202">
                  <c:v>442.06848000000002</c:v>
                </c:pt>
                <c:pt idx="203">
                  <c:v>552.99225600000011</c:v>
                </c:pt>
                <c:pt idx="204">
                  <c:v>371.86201600000004</c:v>
                </c:pt>
              </c:numCache>
            </c:numRef>
          </c:val>
          <c:smooth val="0"/>
          <c:extLst>
            <c:ext xmlns:c16="http://schemas.microsoft.com/office/drawing/2014/chart" uri="{C3380CC4-5D6E-409C-BE32-E72D297353CC}">
              <c16:uniqueId val="{00000002-368B-430B-9B50-F03BAAF66AE0}"/>
            </c:ext>
          </c:extLst>
        </c:ser>
        <c:ser>
          <c:idx val="3"/>
          <c:order val="3"/>
          <c:spPr>
            <a:ln>
              <a:solidFill>
                <a:srgbClr val="FFE838"/>
              </a:solidFill>
            </a:ln>
          </c:spPr>
          <c:marker>
            <c:symbol val="none"/>
          </c:marker>
          <c:val>
            <c:numRef>
              <c:f>ChartTemplates!$G$72:$G$276</c:f>
              <c:numCache>
                <c:formatCode>_-* #,##0.00_-;\-* #,##0.00_-;_-* "-"??_-;_-@_-</c:formatCode>
                <c:ptCount val="205"/>
                <c:pt idx="0">
                  <c:v>238.83038720000002</c:v>
                </c:pt>
                <c:pt idx="1">
                  <c:v>299.56055040000007</c:v>
                </c:pt>
                <c:pt idx="2">
                  <c:v>341.63097600000003</c:v>
                </c:pt>
                <c:pt idx="3">
                  <c:v>297.81155840000002</c:v>
                </c:pt>
                <c:pt idx="4">
                  <c:v>324.24714240000003</c:v>
                </c:pt>
                <c:pt idx="5">
                  <c:v>319.54247680000009</c:v>
                </c:pt>
                <c:pt idx="6">
                  <c:v>283.64226560000003</c:v>
                </c:pt>
                <c:pt idx="7">
                  <c:v>303.20762880000001</c:v>
                </c:pt>
                <c:pt idx="8">
                  <c:v>298.41244160000008</c:v>
                </c:pt>
                <c:pt idx="9">
                  <c:v>269.8506240000001</c:v>
                </c:pt>
                <c:pt idx="10">
                  <c:v>258.24788480000007</c:v>
                </c:pt>
                <c:pt idx="11">
                  <c:v>256.90726400000005</c:v>
                </c:pt>
                <c:pt idx="12">
                  <c:v>235.06042880000007</c:v>
                </c:pt>
                <c:pt idx="13">
                  <c:v>268.33059840000004</c:v>
                </c:pt>
                <c:pt idx="14">
                  <c:v>330.9666304000001</c:v>
                </c:pt>
                <c:pt idx="15">
                  <c:v>270.17379840000007</c:v>
                </c:pt>
                <c:pt idx="16">
                  <c:v>322.82787840000009</c:v>
                </c:pt>
                <c:pt idx="17">
                  <c:v>331.45856000000009</c:v>
                </c:pt>
                <c:pt idx="18">
                  <c:v>278.95111680000008</c:v>
                </c:pt>
                <c:pt idx="19">
                  <c:v>290.27860480000004</c:v>
                </c:pt>
                <c:pt idx="20">
                  <c:v>265.92419840000008</c:v>
                </c:pt>
                <c:pt idx="21">
                  <c:v>372.63605760000002</c:v>
                </c:pt>
                <c:pt idx="22">
                  <c:v>296.04618240000002</c:v>
                </c:pt>
                <c:pt idx="23">
                  <c:v>301.63886080000009</c:v>
                </c:pt>
                <c:pt idx="24">
                  <c:v>238.76239360000011</c:v>
                </c:pt>
                <c:pt idx="25">
                  <c:v>279.99272960000002</c:v>
                </c:pt>
                <c:pt idx="26">
                  <c:v>316.82928640000011</c:v>
                </c:pt>
                <c:pt idx="27">
                  <c:v>297.46626560000004</c:v>
                </c:pt>
                <c:pt idx="28">
                  <c:v>305.74100480000004</c:v>
                </c:pt>
                <c:pt idx="29">
                  <c:v>317.52396800000008</c:v>
                </c:pt>
                <c:pt idx="30">
                  <c:v>320.97239040000005</c:v>
                </c:pt>
                <c:pt idx="31">
                  <c:v>358.72358400000007</c:v>
                </c:pt>
                <c:pt idx="32">
                  <c:v>254.84779520000006</c:v>
                </c:pt>
                <c:pt idx="33">
                  <c:v>284.74040320000006</c:v>
                </c:pt>
                <c:pt idx="34">
                  <c:v>257.88702720000003</c:v>
                </c:pt>
                <c:pt idx="35">
                  <c:v>333.88871680000011</c:v>
                </c:pt>
                <c:pt idx="36">
                  <c:v>223.07553280000008</c:v>
                </c:pt>
                <c:pt idx="37">
                  <c:v>261.15440640000003</c:v>
                </c:pt>
                <c:pt idx="38">
                  <c:v>310.27855360000007</c:v>
                </c:pt>
                <c:pt idx="39">
                  <c:v>309.19106560000006</c:v>
                </c:pt>
                <c:pt idx="40">
                  <c:v>346.50767360000009</c:v>
                </c:pt>
                <c:pt idx="41">
                  <c:v>321.90873600000009</c:v>
                </c:pt>
                <c:pt idx="42">
                  <c:v>340.06261760000007</c:v>
                </c:pt>
                <c:pt idx="43">
                  <c:v>364.7062016000001</c:v>
                </c:pt>
                <c:pt idx="44">
                  <c:v>288.84828160000006</c:v>
                </c:pt>
                <c:pt idx="45">
                  <c:v>298.78845440000003</c:v>
                </c:pt>
                <c:pt idx="46">
                  <c:v>286.92111360000001</c:v>
                </c:pt>
                <c:pt idx="47">
                  <c:v>347.24126720000004</c:v>
                </c:pt>
                <c:pt idx="48">
                  <c:v>256.99041280000006</c:v>
                </c:pt>
                <c:pt idx="49">
                  <c:v>283.74753280000004</c:v>
                </c:pt>
                <c:pt idx="50">
                  <c:v>332.40064000000007</c:v>
                </c:pt>
                <c:pt idx="51">
                  <c:v>318.04579840000008</c:v>
                </c:pt>
                <c:pt idx="52">
                  <c:v>362.21132800000004</c:v>
                </c:pt>
                <c:pt idx="53">
                  <c:v>317.36791040000003</c:v>
                </c:pt>
                <c:pt idx="54">
                  <c:v>356.6567424000001</c:v>
                </c:pt>
                <c:pt idx="55">
                  <c:v>323.5438592000001</c:v>
                </c:pt>
                <c:pt idx="56">
                  <c:v>339.74108160000009</c:v>
                </c:pt>
                <c:pt idx="57">
                  <c:v>306.58191360000006</c:v>
                </c:pt>
                <c:pt idx="58">
                  <c:v>278.53455360000004</c:v>
                </c:pt>
                <c:pt idx="59">
                  <c:v>363.75592960000006</c:v>
                </c:pt>
                <c:pt idx="60">
                  <c:v>235.60806400000001</c:v>
                </c:pt>
                <c:pt idx="61">
                  <c:v>279.03713280000005</c:v>
                </c:pt>
                <c:pt idx="62">
                  <c:v>350.74293760000012</c:v>
                </c:pt>
                <c:pt idx="63">
                  <c:v>322.66076160000011</c:v>
                </c:pt>
                <c:pt idx="64">
                  <c:v>330.99284480000006</c:v>
                </c:pt>
                <c:pt idx="65">
                  <c:v>397.15962880000006</c:v>
                </c:pt>
                <c:pt idx="66">
                  <c:v>448.15400959999999</c:v>
                </c:pt>
                <c:pt idx="67">
                  <c:v>320.88350720000011</c:v>
                </c:pt>
                <c:pt idx="68">
                  <c:v>279.0785024000001</c:v>
                </c:pt>
                <c:pt idx="69">
                  <c:v>238.98849280000005</c:v>
                </c:pt>
                <c:pt idx="70">
                  <c:v>254.80929280000001</c:v>
                </c:pt>
                <c:pt idx="71">
                  <c:v>352.23142400000006</c:v>
                </c:pt>
                <c:pt idx="72">
                  <c:v>238.63828480000006</c:v>
                </c:pt>
                <c:pt idx="73">
                  <c:v>281.62908160000006</c:v>
                </c:pt>
                <c:pt idx="74">
                  <c:v>342.10447360000012</c:v>
                </c:pt>
                <c:pt idx="75">
                  <c:v>300.95687680000009</c:v>
                </c:pt>
                <c:pt idx="76">
                  <c:v>309.49253120000009</c:v>
                </c:pt>
                <c:pt idx="77">
                  <c:v>320.26624000000004</c:v>
                </c:pt>
                <c:pt idx="78">
                  <c:v>317.59278080000013</c:v>
                </c:pt>
                <c:pt idx="79">
                  <c:v>314.0038656000001</c:v>
                </c:pt>
                <c:pt idx="80">
                  <c:v>294.06085120000006</c:v>
                </c:pt>
                <c:pt idx="81">
                  <c:v>274.32878080000006</c:v>
                </c:pt>
                <c:pt idx="82">
                  <c:v>270.6731008000001</c:v>
                </c:pt>
                <c:pt idx="83">
                  <c:v>320.20152320000005</c:v>
                </c:pt>
                <c:pt idx="84">
                  <c:v>237.97841920000008</c:v>
                </c:pt>
                <c:pt idx="85">
                  <c:v>282.82961920000002</c:v>
                </c:pt>
                <c:pt idx="86">
                  <c:v>334.98439680000007</c:v>
                </c:pt>
                <c:pt idx="87">
                  <c:v>291.09534720000005</c:v>
                </c:pt>
                <c:pt idx="88">
                  <c:v>319.82018560000006</c:v>
                </c:pt>
                <c:pt idx="89">
                  <c:v>298.78968320000007</c:v>
                </c:pt>
                <c:pt idx="90">
                  <c:v>280.04311040000005</c:v>
                </c:pt>
                <c:pt idx="91">
                  <c:v>323.61799680000007</c:v>
                </c:pt>
                <c:pt idx="92">
                  <c:v>285.53216000000009</c:v>
                </c:pt>
                <c:pt idx="93">
                  <c:v>272.5232640000001</c:v>
                </c:pt>
                <c:pt idx="94">
                  <c:v>248.96225280000004</c:v>
                </c:pt>
                <c:pt idx="95">
                  <c:v>308.04951040000003</c:v>
                </c:pt>
                <c:pt idx="96">
                  <c:v>220.85304320000006</c:v>
                </c:pt>
                <c:pt idx="97">
                  <c:v>250.25536000000008</c:v>
                </c:pt>
                <c:pt idx="98">
                  <c:v>273.14872320000006</c:v>
                </c:pt>
                <c:pt idx="99">
                  <c:v>238.40972800000006</c:v>
                </c:pt>
                <c:pt idx="100">
                  <c:v>243.20327680000005</c:v>
                </c:pt>
                <c:pt idx="101">
                  <c:v>213.25209600000005</c:v>
                </c:pt>
                <c:pt idx="102">
                  <c:v>210.05967360000005</c:v>
                </c:pt>
                <c:pt idx="103">
                  <c:v>252.35005440000006</c:v>
                </c:pt>
                <c:pt idx="104">
                  <c:v>199.43301120000007</c:v>
                </c:pt>
                <c:pt idx="105">
                  <c:v>167.37361920000004</c:v>
                </c:pt>
                <c:pt idx="106">
                  <c:v>158.77038080000003</c:v>
                </c:pt>
                <c:pt idx="107">
                  <c:v>193.03137280000004</c:v>
                </c:pt>
                <c:pt idx="108">
                  <c:v>139.77477120000003</c:v>
                </c:pt>
                <c:pt idx="109">
                  <c:v>141.59052800000003</c:v>
                </c:pt>
                <c:pt idx="110">
                  <c:v>168.04331520000005</c:v>
                </c:pt>
                <c:pt idx="111">
                  <c:v>159.89596160000002</c:v>
                </c:pt>
                <c:pt idx="112">
                  <c:v>181.33360640000004</c:v>
                </c:pt>
                <c:pt idx="113">
                  <c:v>165.49437440000003</c:v>
                </c:pt>
                <c:pt idx="114">
                  <c:v>183.99846400000004</c:v>
                </c:pt>
                <c:pt idx="115">
                  <c:v>221.72262400000011</c:v>
                </c:pt>
                <c:pt idx="116">
                  <c:v>142.80171520000005</c:v>
                </c:pt>
                <c:pt idx="117">
                  <c:v>169.21067520000008</c:v>
                </c:pt>
                <c:pt idx="118">
                  <c:v>153.85313280000003</c:v>
                </c:pt>
                <c:pt idx="119">
                  <c:v>213.28773120000002</c:v>
                </c:pt>
                <c:pt idx="120">
                  <c:v>138.95311360000002</c:v>
                </c:pt>
                <c:pt idx="121">
                  <c:v>156.68551680000004</c:v>
                </c:pt>
                <c:pt idx="122">
                  <c:v>217.35260160000004</c:v>
                </c:pt>
                <c:pt idx="123">
                  <c:v>199.43424000000002</c:v>
                </c:pt>
                <c:pt idx="124">
                  <c:v>224.21053440000006</c:v>
                </c:pt>
                <c:pt idx="125">
                  <c:v>201.35895040000005</c:v>
                </c:pt>
                <c:pt idx="126">
                  <c:v>220.11576320000009</c:v>
                </c:pt>
                <c:pt idx="127">
                  <c:v>204.35968000000005</c:v>
                </c:pt>
                <c:pt idx="128">
                  <c:v>198.98572800000002</c:v>
                </c:pt>
                <c:pt idx="129">
                  <c:v>208.31027200000005</c:v>
                </c:pt>
                <c:pt idx="130">
                  <c:v>193.73301760000004</c:v>
                </c:pt>
                <c:pt idx="131">
                  <c:v>258.00376320000009</c:v>
                </c:pt>
                <c:pt idx="132">
                  <c:v>178.80760320000002</c:v>
                </c:pt>
                <c:pt idx="133">
                  <c:v>207.77697280000004</c:v>
                </c:pt>
                <c:pt idx="134">
                  <c:v>245.59779840000007</c:v>
                </c:pt>
                <c:pt idx="135">
                  <c:v>227.60038400000005</c:v>
                </c:pt>
                <c:pt idx="136">
                  <c:v>214.11880960000005</c:v>
                </c:pt>
                <c:pt idx="137">
                  <c:v>218.16606720000001</c:v>
                </c:pt>
                <c:pt idx="138">
                  <c:v>229.49969920000004</c:v>
                </c:pt>
                <c:pt idx="139">
                  <c:v>233.93771520000001</c:v>
                </c:pt>
                <c:pt idx="140">
                  <c:v>235.20665600000007</c:v>
                </c:pt>
                <c:pt idx="141">
                  <c:v>224.78807040000004</c:v>
                </c:pt>
                <c:pt idx="142">
                  <c:v>220.84853760000007</c:v>
                </c:pt>
                <c:pt idx="143">
                  <c:v>284.78177280000006</c:v>
                </c:pt>
                <c:pt idx="144">
                  <c:v>185.37021440000007</c:v>
                </c:pt>
                <c:pt idx="145">
                  <c:v>223.71737600000003</c:v>
                </c:pt>
                <c:pt idx="146">
                  <c:v>267.37664000000007</c:v>
                </c:pt>
                <c:pt idx="147">
                  <c:v>230.04938240000007</c:v>
                </c:pt>
                <c:pt idx="148">
                  <c:v>269.32633600000003</c:v>
                </c:pt>
                <c:pt idx="149">
                  <c:v>260.61742080000005</c:v>
                </c:pt>
                <c:pt idx="150">
                  <c:v>237.75641600000006</c:v>
                </c:pt>
                <c:pt idx="151">
                  <c:v>264.73758720000006</c:v>
                </c:pt>
                <c:pt idx="152">
                  <c:v>245.28322560000004</c:v>
                </c:pt>
                <c:pt idx="153">
                  <c:v>228.38312960000005</c:v>
                </c:pt>
                <c:pt idx="154">
                  <c:v>241.23965440000006</c:v>
                </c:pt>
                <c:pt idx="155">
                  <c:v>294.72071680000005</c:v>
                </c:pt>
                <c:pt idx="156">
                  <c:v>212.15191040000005</c:v>
                </c:pt>
                <c:pt idx="157">
                  <c:v>241.13397760000004</c:v>
                </c:pt>
                <c:pt idx="158">
                  <c:v>290.93969920000006</c:v>
                </c:pt>
                <c:pt idx="159">
                  <c:v>263.34126080000004</c:v>
                </c:pt>
                <c:pt idx="160">
                  <c:v>299.24802560000006</c:v>
                </c:pt>
                <c:pt idx="161">
                  <c:v>290.55754240000005</c:v>
                </c:pt>
                <c:pt idx="162">
                  <c:v>274.10022400000008</c:v>
                </c:pt>
                <c:pt idx="163">
                  <c:v>312.72386560000007</c:v>
                </c:pt>
                <c:pt idx="164">
                  <c:v>237.82768640000006</c:v>
                </c:pt>
                <c:pt idx="165">
                  <c:v>261.1945472000001</c:v>
                </c:pt>
                <c:pt idx="166">
                  <c:v>269.00193280000002</c:v>
                </c:pt>
                <c:pt idx="167">
                  <c:v>302.60305920000008</c:v>
                </c:pt>
                <c:pt idx="168">
                  <c:v>217.49555200000006</c:v>
                </c:pt>
                <c:pt idx="169">
                  <c:v>255.54124800000011</c:v>
                </c:pt>
                <c:pt idx="170">
                  <c:v>323.64953600000013</c:v>
                </c:pt>
                <c:pt idx="171">
                  <c:v>297.34625280000006</c:v>
                </c:pt>
                <c:pt idx="172">
                  <c:v>338.54586880000011</c:v>
                </c:pt>
                <c:pt idx="173">
                  <c:v>299.14275840000005</c:v>
                </c:pt>
                <c:pt idx="174">
                  <c:v>310.47720960000009</c:v>
                </c:pt>
                <c:pt idx="175">
                  <c:v>340.38906880000008</c:v>
                </c:pt>
                <c:pt idx="176">
                  <c:v>277.06449920000006</c:v>
                </c:pt>
                <c:pt idx="177">
                  <c:v>284.93004800000006</c:v>
                </c:pt>
                <c:pt idx="178">
                  <c:v>293.73849600000005</c:v>
                </c:pt>
                <c:pt idx="179">
                  <c:v>344.78653440000005</c:v>
                </c:pt>
                <c:pt idx="180">
                  <c:v>258.6660864000001</c:v>
                </c:pt>
                <c:pt idx="181">
                  <c:v>284.54502400000007</c:v>
                </c:pt>
                <c:pt idx="182">
                  <c:v>338.51637760000011</c:v>
                </c:pt>
                <c:pt idx="183">
                  <c:v>327.71768320000007</c:v>
                </c:pt>
                <c:pt idx="184">
                  <c:v>361.16152320000003</c:v>
                </c:pt>
                <c:pt idx="185">
                  <c:v>332.18191360000009</c:v>
                </c:pt>
                <c:pt idx="186">
                  <c:v>352.11264000000006</c:v>
                </c:pt>
                <c:pt idx="187">
                  <c:v>368.07680000000011</c:v>
                </c:pt>
                <c:pt idx="188">
                  <c:v>342.58165760000009</c:v>
                </c:pt>
                <c:pt idx="189">
                  <c:v>346.2135808000001</c:v>
                </c:pt>
                <c:pt idx="190">
                  <c:v>321.00720640000009</c:v>
                </c:pt>
                <c:pt idx="191">
                  <c:v>409.56641280000014</c:v>
                </c:pt>
                <c:pt idx="192">
                  <c:v>274.5733120000001</c:v>
                </c:pt>
                <c:pt idx="193">
                  <c:v>319.30245120000006</c:v>
                </c:pt>
                <c:pt idx="194">
                  <c:v>376.19097600000009</c:v>
                </c:pt>
                <c:pt idx="195">
                  <c:v>363.44422400000008</c:v>
                </c:pt>
                <c:pt idx="196">
                  <c:v>368.52572160000005</c:v>
                </c:pt>
                <c:pt idx="197">
                  <c:v>369.78360320000002</c:v>
                </c:pt>
                <c:pt idx="198">
                  <c:v>378.91973120000006</c:v>
                </c:pt>
                <c:pt idx="199">
                  <c:v>379.52184320000003</c:v>
                </c:pt>
                <c:pt idx="200">
                  <c:v>357.84663040000009</c:v>
                </c:pt>
                <c:pt idx="201">
                  <c:v>352.1163264000001</c:v>
                </c:pt>
                <c:pt idx="202">
                  <c:v>353.65478400000006</c:v>
                </c:pt>
                <c:pt idx="203">
                  <c:v>442.39380480000011</c:v>
                </c:pt>
                <c:pt idx="204">
                  <c:v>297.48961280000003</c:v>
                </c:pt>
              </c:numCache>
            </c:numRef>
          </c:val>
          <c:smooth val="0"/>
          <c:extLst>
            <c:ext xmlns:c16="http://schemas.microsoft.com/office/drawing/2014/chart" uri="{C3380CC4-5D6E-409C-BE32-E72D297353CC}">
              <c16:uniqueId val="{00000003-368B-430B-9B50-F03BAAF66AE0}"/>
            </c:ext>
          </c:extLst>
        </c:ser>
        <c:ser>
          <c:idx val="4"/>
          <c:order val="4"/>
          <c:spPr>
            <a:ln>
              <a:solidFill>
                <a:srgbClr val="ED3124"/>
              </a:solidFill>
            </a:ln>
          </c:spPr>
          <c:marker>
            <c:symbol val="none"/>
          </c:marker>
          <c:val>
            <c:numRef>
              <c:f>ChartTemplates!$H$72:$H$276</c:f>
              <c:numCache>
                <c:formatCode>_-* #,##0.00_-;\-* #,##0.00_-;_-* "-"??_-;_-@_-</c:formatCode>
                <c:ptCount val="205"/>
                <c:pt idx="0">
                  <c:v>191.06430976000001</c:v>
                </c:pt>
                <c:pt idx="1">
                  <c:v>239.64844032000008</c:v>
                </c:pt>
                <c:pt idx="2">
                  <c:v>273.30478080000006</c:v>
                </c:pt>
                <c:pt idx="3">
                  <c:v>238.24924672000003</c:v>
                </c:pt>
                <c:pt idx="4">
                  <c:v>259.39771392000006</c:v>
                </c:pt>
                <c:pt idx="5">
                  <c:v>255.63398144000007</c:v>
                </c:pt>
                <c:pt idx="6">
                  <c:v>226.91381248000005</c:v>
                </c:pt>
                <c:pt idx="7">
                  <c:v>242.56610304000003</c:v>
                </c:pt>
                <c:pt idx="8">
                  <c:v>238.72995328000007</c:v>
                </c:pt>
                <c:pt idx="9">
                  <c:v>215.88049920000009</c:v>
                </c:pt>
                <c:pt idx="10">
                  <c:v>206.59830784000007</c:v>
                </c:pt>
                <c:pt idx="11">
                  <c:v>205.52581120000005</c:v>
                </c:pt>
                <c:pt idx="12">
                  <c:v>188.04834304000008</c:v>
                </c:pt>
                <c:pt idx="13">
                  <c:v>214.66447872000003</c:v>
                </c:pt>
                <c:pt idx="14">
                  <c:v>264.77330432000008</c:v>
                </c:pt>
                <c:pt idx="15">
                  <c:v>216.13903872000006</c:v>
                </c:pt>
                <c:pt idx="16">
                  <c:v>258.26230272000009</c:v>
                </c:pt>
                <c:pt idx="17">
                  <c:v>265.16684800000007</c:v>
                </c:pt>
                <c:pt idx="18">
                  <c:v>223.16089344000008</c:v>
                </c:pt>
                <c:pt idx="19">
                  <c:v>232.22288384000004</c:v>
                </c:pt>
                <c:pt idx="20">
                  <c:v>212.73935872000007</c:v>
                </c:pt>
                <c:pt idx="21">
                  <c:v>298.10884608000003</c:v>
                </c:pt>
                <c:pt idx="22">
                  <c:v>236.83694592000003</c:v>
                </c:pt>
                <c:pt idx="23">
                  <c:v>241.31108864000009</c:v>
                </c:pt>
                <c:pt idx="24">
                  <c:v>191.00991488000011</c:v>
                </c:pt>
                <c:pt idx="25">
                  <c:v>223.99418368000002</c:v>
                </c:pt>
                <c:pt idx="26">
                  <c:v>253.46342912000011</c:v>
                </c:pt>
                <c:pt idx="27">
                  <c:v>237.97301248000005</c:v>
                </c:pt>
                <c:pt idx="28">
                  <c:v>244.59280384000004</c:v>
                </c:pt>
                <c:pt idx="29">
                  <c:v>254.01917440000008</c:v>
                </c:pt>
                <c:pt idx="30">
                  <c:v>256.77791232000004</c:v>
                </c:pt>
                <c:pt idx="31">
                  <c:v>286.97886720000008</c:v>
                </c:pt>
                <c:pt idx="32">
                  <c:v>203.87823616000006</c:v>
                </c:pt>
                <c:pt idx="33">
                  <c:v>227.79232256000006</c:v>
                </c:pt>
                <c:pt idx="34">
                  <c:v>206.30962176000003</c:v>
                </c:pt>
                <c:pt idx="35">
                  <c:v>267.11097344000012</c:v>
                </c:pt>
                <c:pt idx="36">
                  <c:v>178.46042624000006</c:v>
                </c:pt>
                <c:pt idx="37">
                  <c:v>208.92352512000002</c:v>
                </c:pt>
                <c:pt idx="38">
                  <c:v>248.22284288000006</c:v>
                </c:pt>
                <c:pt idx="39">
                  <c:v>247.35285248000005</c:v>
                </c:pt>
                <c:pt idx="40">
                  <c:v>277.20613888000008</c:v>
                </c:pt>
                <c:pt idx="41">
                  <c:v>257.52698880000008</c:v>
                </c:pt>
                <c:pt idx="42">
                  <c:v>272.05009408000006</c:v>
                </c:pt>
                <c:pt idx="43">
                  <c:v>291.76496128000008</c:v>
                </c:pt>
                <c:pt idx="44">
                  <c:v>231.07862528000007</c:v>
                </c:pt>
                <c:pt idx="45">
                  <c:v>239.03076352000005</c:v>
                </c:pt>
                <c:pt idx="46">
                  <c:v>229.53689088000002</c:v>
                </c:pt>
                <c:pt idx="47">
                  <c:v>277.79301376000006</c:v>
                </c:pt>
                <c:pt idx="48">
                  <c:v>205.59233024000005</c:v>
                </c:pt>
                <c:pt idx="49">
                  <c:v>226.99802624000006</c:v>
                </c:pt>
                <c:pt idx="50">
                  <c:v>265.92051200000009</c:v>
                </c:pt>
                <c:pt idx="51">
                  <c:v>254.43663872000008</c:v>
                </c:pt>
                <c:pt idx="52">
                  <c:v>289.76906240000005</c:v>
                </c:pt>
                <c:pt idx="53">
                  <c:v>253.89432832000003</c:v>
                </c:pt>
                <c:pt idx="54">
                  <c:v>285.32539392000007</c:v>
                </c:pt>
                <c:pt idx="55">
                  <c:v>258.8350873600001</c:v>
                </c:pt>
                <c:pt idx="56">
                  <c:v>271.79286528000006</c:v>
                </c:pt>
                <c:pt idx="57">
                  <c:v>245.26553088000006</c:v>
                </c:pt>
                <c:pt idx="58">
                  <c:v>222.82764288000004</c:v>
                </c:pt>
                <c:pt idx="59">
                  <c:v>291.00474368000005</c:v>
                </c:pt>
                <c:pt idx="60">
                  <c:v>188.48645120000003</c:v>
                </c:pt>
                <c:pt idx="61">
                  <c:v>223.22970624000004</c:v>
                </c:pt>
                <c:pt idx="62">
                  <c:v>280.59435008000008</c:v>
                </c:pt>
                <c:pt idx="63">
                  <c:v>258.12860928000009</c:v>
                </c:pt>
                <c:pt idx="64">
                  <c:v>264.79427584000007</c:v>
                </c:pt>
                <c:pt idx="65">
                  <c:v>317.72770304000005</c:v>
                </c:pt>
                <c:pt idx="66">
                  <c:v>358.52320768000004</c:v>
                </c:pt>
                <c:pt idx="67">
                  <c:v>256.70680576000012</c:v>
                </c:pt>
                <c:pt idx="68">
                  <c:v>223.2628019200001</c:v>
                </c:pt>
                <c:pt idx="69">
                  <c:v>191.19079424000006</c:v>
                </c:pt>
                <c:pt idx="70">
                  <c:v>203.84743424000001</c:v>
                </c:pt>
                <c:pt idx="71">
                  <c:v>281.78513920000006</c:v>
                </c:pt>
                <c:pt idx="72">
                  <c:v>190.91062784000007</c:v>
                </c:pt>
                <c:pt idx="73">
                  <c:v>225.30326528000006</c:v>
                </c:pt>
                <c:pt idx="74">
                  <c:v>273.68357888000008</c:v>
                </c:pt>
                <c:pt idx="75">
                  <c:v>240.76550144000009</c:v>
                </c:pt>
                <c:pt idx="76">
                  <c:v>247.59402496000007</c:v>
                </c:pt>
                <c:pt idx="77">
                  <c:v>256.21299200000004</c:v>
                </c:pt>
                <c:pt idx="78">
                  <c:v>254.07422464000012</c:v>
                </c:pt>
                <c:pt idx="79">
                  <c:v>251.20309248000009</c:v>
                </c:pt>
                <c:pt idx="80">
                  <c:v>235.24868096000006</c:v>
                </c:pt>
                <c:pt idx="81">
                  <c:v>219.46302464000007</c:v>
                </c:pt>
                <c:pt idx="82">
                  <c:v>216.5384806400001</c:v>
                </c:pt>
                <c:pt idx="83">
                  <c:v>256.16121856000007</c:v>
                </c:pt>
                <c:pt idx="84">
                  <c:v>190.38273536000008</c:v>
                </c:pt>
                <c:pt idx="85">
                  <c:v>226.26369536000004</c:v>
                </c:pt>
                <c:pt idx="86">
                  <c:v>267.98751744000009</c:v>
                </c:pt>
                <c:pt idx="87">
                  <c:v>232.87627776000005</c:v>
                </c:pt>
                <c:pt idx="88">
                  <c:v>255.85614848000006</c:v>
                </c:pt>
                <c:pt idx="89">
                  <c:v>239.03174656000007</c:v>
                </c:pt>
                <c:pt idx="90">
                  <c:v>224.03448832000004</c:v>
                </c:pt>
                <c:pt idx="91">
                  <c:v>258.89439744000009</c:v>
                </c:pt>
                <c:pt idx="92">
                  <c:v>228.42572800000008</c:v>
                </c:pt>
                <c:pt idx="93">
                  <c:v>218.01861120000009</c:v>
                </c:pt>
                <c:pt idx="94">
                  <c:v>199.16980224000005</c:v>
                </c:pt>
                <c:pt idx="95">
                  <c:v>246.43960832000005</c:v>
                </c:pt>
                <c:pt idx="96">
                  <c:v>176.68243456000005</c:v>
                </c:pt>
                <c:pt idx="97">
                  <c:v>200.20428800000008</c:v>
                </c:pt>
                <c:pt idx="98">
                  <c:v>218.51897856000005</c:v>
                </c:pt>
                <c:pt idx="99">
                  <c:v>190.72778240000005</c:v>
                </c:pt>
                <c:pt idx="100">
                  <c:v>194.56262144000004</c:v>
                </c:pt>
                <c:pt idx="101">
                  <c:v>170.60167680000006</c:v>
                </c:pt>
                <c:pt idx="102">
                  <c:v>168.04773888000005</c:v>
                </c:pt>
                <c:pt idx="103">
                  <c:v>201.88004352000007</c:v>
                </c:pt>
                <c:pt idx="104">
                  <c:v>159.54640896000006</c:v>
                </c:pt>
                <c:pt idx="105">
                  <c:v>133.89889536000004</c:v>
                </c:pt>
                <c:pt idx="106">
                  <c:v>127.01630464000003</c:v>
                </c:pt>
                <c:pt idx="107">
                  <c:v>154.42509824000004</c:v>
                </c:pt>
                <c:pt idx="108">
                  <c:v>111.81981696000003</c:v>
                </c:pt>
                <c:pt idx="109">
                  <c:v>113.27242240000004</c:v>
                </c:pt>
                <c:pt idx="110">
                  <c:v>134.43465216000004</c:v>
                </c:pt>
                <c:pt idx="111">
                  <c:v>127.91676928000003</c:v>
                </c:pt>
                <c:pt idx="112">
                  <c:v>145.06688512000002</c:v>
                </c:pt>
                <c:pt idx="113">
                  <c:v>132.39549952000002</c:v>
                </c:pt>
                <c:pt idx="114">
                  <c:v>147.19877120000004</c:v>
                </c:pt>
                <c:pt idx="115">
                  <c:v>177.37809920000009</c:v>
                </c:pt>
                <c:pt idx="116">
                  <c:v>114.24137216000004</c:v>
                </c:pt>
                <c:pt idx="117">
                  <c:v>135.36854016000007</c:v>
                </c:pt>
                <c:pt idx="118">
                  <c:v>123.08250624000003</c:v>
                </c:pt>
                <c:pt idx="119">
                  <c:v>170.63018496000004</c:v>
                </c:pt>
                <c:pt idx="120">
                  <c:v>111.16249088000002</c:v>
                </c:pt>
                <c:pt idx="121">
                  <c:v>125.34841344000004</c:v>
                </c:pt>
                <c:pt idx="122">
                  <c:v>173.88208128000005</c:v>
                </c:pt>
                <c:pt idx="123">
                  <c:v>159.54739200000003</c:v>
                </c:pt>
                <c:pt idx="124">
                  <c:v>179.36842752000007</c:v>
                </c:pt>
                <c:pt idx="125">
                  <c:v>161.08716032000007</c:v>
                </c:pt>
                <c:pt idx="126">
                  <c:v>176.09261056000008</c:v>
                </c:pt>
                <c:pt idx="127">
                  <c:v>163.48774400000005</c:v>
                </c:pt>
                <c:pt idx="128">
                  <c:v>159.18858240000003</c:v>
                </c:pt>
                <c:pt idx="129">
                  <c:v>166.64821760000007</c:v>
                </c:pt>
                <c:pt idx="130">
                  <c:v>154.98641408000003</c:v>
                </c:pt>
                <c:pt idx="131">
                  <c:v>206.4030105600001</c:v>
                </c:pt>
                <c:pt idx="132">
                  <c:v>143.04608256000003</c:v>
                </c:pt>
                <c:pt idx="133">
                  <c:v>166.22157824000004</c:v>
                </c:pt>
                <c:pt idx="134">
                  <c:v>196.47823872000006</c:v>
                </c:pt>
                <c:pt idx="135">
                  <c:v>182.08030720000005</c:v>
                </c:pt>
                <c:pt idx="136">
                  <c:v>171.29504768000004</c:v>
                </c:pt>
                <c:pt idx="137">
                  <c:v>174.53285376000002</c:v>
                </c:pt>
                <c:pt idx="138">
                  <c:v>183.59975936000004</c:v>
                </c:pt>
                <c:pt idx="139">
                  <c:v>187.15017216000001</c:v>
                </c:pt>
                <c:pt idx="140">
                  <c:v>188.16532480000006</c:v>
                </c:pt>
                <c:pt idx="141">
                  <c:v>179.83045632000005</c:v>
                </c:pt>
                <c:pt idx="142">
                  <c:v>176.67883008000007</c:v>
                </c:pt>
                <c:pt idx="143">
                  <c:v>227.82541824000006</c:v>
                </c:pt>
                <c:pt idx="144">
                  <c:v>148.29617152000006</c:v>
                </c:pt>
                <c:pt idx="145">
                  <c:v>178.97390080000002</c:v>
                </c:pt>
                <c:pt idx="146">
                  <c:v>213.90131200000008</c:v>
                </c:pt>
                <c:pt idx="147">
                  <c:v>184.03950592000007</c:v>
                </c:pt>
                <c:pt idx="148">
                  <c:v>215.46106880000002</c:v>
                </c:pt>
                <c:pt idx="149">
                  <c:v>208.49393664000004</c:v>
                </c:pt>
                <c:pt idx="150">
                  <c:v>190.20513280000006</c:v>
                </c:pt>
                <c:pt idx="151">
                  <c:v>211.79006976000005</c:v>
                </c:pt>
                <c:pt idx="152">
                  <c:v>196.22658048000005</c:v>
                </c:pt>
                <c:pt idx="153">
                  <c:v>182.70650368000005</c:v>
                </c:pt>
                <c:pt idx="154">
                  <c:v>192.99172352000005</c:v>
                </c:pt>
                <c:pt idx="155">
                  <c:v>235.77657344000005</c:v>
                </c:pt>
                <c:pt idx="156">
                  <c:v>169.72152832000006</c:v>
                </c:pt>
                <c:pt idx="157">
                  <c:v>192.90718208000004</c:v>
                </c:pt>
                <c:pt idx="158">
                  <c:v>232.75175936000005</c:v>
                </c:pt>
                <c:pt idx="159">
                  <c:v>210.67300864000003</c:v>
                </c:pt>
                <c:pt idx="160">
                  <c:v>239.39842048000006</c:v>
                </c:pt>
                <c:pt idx="161">
                  <c:v>232.44603392000005</c:v>
                </c:pt>
                <c:pt idx="162">
                  <c:v>219.28017920000008</c:v>
                </c:pt>
                <c:pt idx="163">
                  <c:v>250.17909248000007</c:v>
                </c:pt>
                <c:pt idx="164">
                  <c:v>190.26214912000006</c:v>
                </c:pt>
                <c:pt idx="165">
                  <c:v>208.95563776000009</c:v>
                </c:pt>
                <c:pt idx="166">
                  <c:v>215.20154624000003</c:v>
                </c:pt>
                <c:pt idx="167">
                  <c:v>242.08244736000006</c:v>
                </c:pt>
                <c:pt idx="168">
                  <c:v>173.99644160000005</c:v>
                </c:pt>
                <c:pt idx="169">
                  <c:v>204.43299840000009</c:v>
                </c:pt>
                <c:pt idx="170">
                  <c:v>258.91962880000011</c:v>
                </c:pt>
                <c:pt idx="171">
                  <c:v>237.87700224000005</c:v>
                </c:pt>
                <c:pt idx="172">
                  <c:v>270.83669504000011</c:v>
                </c:pt>
                <c:pt idx="173">
                  <c:v>239.31420672000004</c:v>
                </c:pt>
                <c:pt idx="174">
                  <c:v>248.38176768000008</c:v>
                </c:pt>
                <c:pt idx="175">
                  <c:v>272.31125504000005</c:v>
                </c:pt>
                <c:pt idx="176">
                  <c:v>221.65159936000006</c:v>
                </c:pt>
                <c:pt idx="177">
                  <c:v>227.94403840000007</c:v>
                </c:pt>
                <c:pt idx="178">
                  <c:v>234.99079680000006</c:v>
                </c:pt>
                <c:pt idx="179">
                  <c:v>275.82922752000007</c:v>
                </c:pt>
                <c:pt idx="180">
                  <c:v>206.93286912000008</c:v>
                </c:pt>
                <c:pt idx="181">
                  <c:v>227.63601920000008</c:v>
                </c:pt>
                <c:pt idx="182">
                  <c:v>270.81310208000008</c:v>
                </c:pt>
                <c:pt idx="183">
                  <c:v>262.17414656000005</c:v>
                </c:pt>
                <c:pt idx="184">
                  <c:v>288.92921856000004</c:v>
                </c:pt>
                <c:pt idx="185">
                  <c:v>265.7455308800001</c:v>
                </c:pt>
                <c:pt idx="186">
                  <c:v>281.69011200000006</c:v>
                </c:pt>
                <c:pt idx="187">
                  <c:v>294.4614400000001</c:v>
                </c:pt>
                <c:pt idx="188">
                  <c:v>274.06532608000009</c:v>
                </c:pt>
                <c:pt idx="189">
                  <c:v>276.97086464000012</c:v>
                </c:pt>
                <c:pt idx="190">
                  <c:v>256.8057651200001</c:v>
                </c:pt>
                <c:pt idx="191">
                  <c:v>327.65313024000011</c:v>
                </c:pt>
                <c:pt idx="192">
                  <c:v>219.6586496000001</c:v>
                </c:pt>
                <c:pt idx="193">
                  <c:v>255.44196096000007</c:v>
                </c:pt>
                <c:pt idx="194">
                  <c:v>300.95278080000008</c:v>
                </c:pt>
                <c:pt idx="195">
                  <c:v>290.75537920000005</c:v>
                </c:pt>
                <c:pt idx="196">
                  <c:v>294.82057728000007</c:v>
                </c:pt>
                <c:pt idx="197">
                  <c:v>295.82688256</c:v>
                </c:pt>
                <c:pt idx="198">
                  <c:v>303.13578496000008</c:v>
                </c:pt>
                <c:pt idx="199">
                  <c:v>303.61747456000006</c:v>
                </c:pt>
                <c:pt idx="200">
                  <c:v>286.2773043200001</c:v>
                </c:pt>
                <c:pt idx="201">
                  <c:v>281.6930611200001</c:v>
                </c:pt>
                <c:pt idx="202">
                  <c:v>282.92382720000006</c:v>
                </c:pt>
                <c:pt idx="203">
                  <c:v>353.91504384000012</c:v>
                </c:pt>
                <c:pt idx="204">
                  <c:v>237.99169024000003</c:v>
                </c:pt>
              </c:numCache>
            </c:numRef>
          </c:val>
          <c:smooth val="0"/>
          <c:extLst>
            <c:ext xmlns:c16="http://schemas.microsoft.com/office/drawing/2014/chart" uri="{C3380CC4-5D6E-409C-BE32-E72D297353CC}">
              <c16:uniqueId val="{00000004-368B-430B-9B50-F03BAAF66AE0}"/>
            </c:ext>
          </c:extLst>
        </c:ser>
        <c:ser>
          <c:idx val="5"/>
          <c:order val="5"/>
          <c:spPr>
            <a:ln>
              <a:solidFill>
                <a:srgbClr val="19B24E"/>
              </a:solidFill>
            </a:ln>
          </c:spPr>
          <c:marker>
            <c:symbol val="none"/>
          </c:marker>
          <c:val>
            <c:numRef>
              <c:f>ChartTemplates!$I$72:$I$276</c:f>
              <c:numCache>
                <c:formatCode>_-* #,##0.00_-;\-* #,##0.00_-;_-* "-"??_-;_-@_-</c:formatCode>
                <c:ptCount val="205"/>
                <c:pt idx="0">
                  <c:v>152.85144780800002</c:v>
                </c:pt>
                <c:pt idx="1">
                  <c:v>191.71875225600007</c:v>
                </c:pt>
                <c:pt idx="2">
                  <c:v>218.64382464000005</c:v>
                </c:pt>
                <c:pt idx="3">
                  <c:v>190.59939737600004</c:v>
                </c:pt>
                <c:pt idx="4">
                  <c:v>207.51817113600006</c:v>
                </c:pt>
                <c:pt idx="5">
                  <c:v>204.50718515200006</c:v>
                </c:pt>
                <c:pt idx="6">
                  <c:v>181.53104998400005</c:v>
                </c:pt>
                <c:pt idx="7">
                  <c:v>194.05288243200005</c:v>
                </c:pt>
                <c:pt idx="8">
                  <c:v>190.98396262400007</c:v>
                </c:pt>
                <c:pt idx="9">
                  <c:v>172.70439936000008</c:v>
                </c:pt>
                <c:pt idx="10">
                  <c:v>165.27864627200006</c:v>
                </c:pt>
                <c:pt idx="11">
                  <c:v>164.42064896000005</c:v>
                </c:pt>
                <c:pt idx="12">
                  <c:v>150.43867443200006</c:v>
                </c:pt>
                <c:pt idx="13">
                  <c:v>171.73158297600003</c:v>
                </c:pt>
                <c:pt idx="14">
                  <c:v>211.81864345600007</c:v>
                </c:pt>
                <c:pt idx="15">
                  <c:v>172.91123097600007</c:v>
                </c:pt>
                <c:pt idx="16">
                  <c:v>206.60984217600009</c:v>
                </c:pt>
                <c:pt idx="17">
                  <c:v>212.13347840000006</c:v>
                </c:pt>
                <c:pt idx="18">
                  <c:v>178.52871475200007</c:v>
                </c:pt>
                <c:pt idx="19">
                  <c:v>185.77830707200005</c:v>
                </c:pt>
                <c:pt idx="20">
                  <c:v>170.19148697600008</c:v>
                </c:pt>
                <c:pt idx="21">
                  <c:v>238.48707686400004</c:v>
                </c:pt>
                <c:pt idx="22">
                  <c:v>189.46955673600004</c:v>
                </c:pt>
                <c:pt idx="23">
                  <c:v>193.0488709120001</c:v>
                </c:pt>
                <c:pt idx="24">
                  <c:v>152.8079319040001</c:v>
                </c:pt>
                <c:pt idx="25">
                  <c:v>179.19534694400002</c:v>
                </c:pt>
                <c:pt idx="26">
                  <c:v>202.77074329600009</c:v>
                </c:pt>
                <c:pt idx="27">
                  <c:v>190.37840998400006</c:v>
                </c:pt>
                <c:pt idx="28">
                  <c:v>195.67424307200005</c:v>
                </c:pt>
                <c:pt idx="29">
                  <c:v>203.21533952000007</c:v>
                </c:pt>
                <c:pt idx="30">
                  <c:v>205.42232985600003</c:v>
                </c:pt>
                <c:pt idx="31">
                  <c:v>229.58309376000008</c:v>
                </c:pt>
                <c:pt idx="32">
                  <c:v>163.10258892800005</c:v>
                </c:pt>
                <c:pt idx="33">
                  <c:v>182.23385804800006</c:v>
                </c:pt>
                <c:pt idx="34">
                  <c:v>165.04769740800003</c:v>
                </c:pt>
                <c:pt idx="35">
                  <c:v>213.6887787520001</c:v>
                </c:pt>
                <c:pt idx="36">
                  <c:v>142.76834099200005</c:v>
                </c:pt>
                <c:pt idx="37">
                  <c:v>167.13882009600002</c:v>
                </c:pt>
                <c:pt idx="38">
                  <c:v>198.57827430400005</c:v>
                </c:pt>
                <c:pt idx="39">
                  <c:v>197.88228198400006</c:v>
                </c:pt>
                <c:pt idx="40">
                  <c:v>221.76491110400008</c:v>
                </c:pt>
                <c:pt idx="41">
                  <c:v>206.02159104000009</c:v>
                </c:pt>
                <c:pt idx="42">
                  <c:v>217.64007526400007</c:v>
                </c:pt>
                <c:pt idx="43">
                  <c:v>233.41196902400009</c:v>
                </c:pt>
                <c:pt idx="44">
                  <c:v>184.86290022400007</c:v>
                </c:pt>
                <c:pt idx="45">
                  <c:v>191.22461081600005</c:v>
                </c:pt>
                <c:pt idx="46">
                  <c:v>183.62951270400004</c:v>
                </c:pt>
                <c:pt idx="47">
                  <c:v>222.23441100800005</c:v>
                </c:pt>
                <c:pt idx="48">
                  <c:v>164.47386419200006</c:v>
                </c:pt>
                <c:pt idx="49">
                  <c:v>181.59842099200006</c:v>
                </c:pt>
                <c:pt idx="50">
                  <c:v>212.73640960000009</c:v>
                </c:pt>
                <c:pt idx="51">
                  <c:v>203.54931097600007</c:v>
                </c:pt>
                <c:pt idx="52">
                  <c:v>231.81524992000004</c:v>
                </c:pt>
                <c:pt idx="53">
                  <c:v>203.11546265600003</c:v>
                </c:pt>
                <c:pt idx="54">
                  <c:v>228.26031513600006</c:v>
                </c:pt>
                <c:pt idx="55">
                  <c:v>207.06806988800008</c:v>
                </c:pt>
                <c:pt idx="56">
                  <c:v>217.43429222400005</c:v>
                </c:pt>
                <c:pt idx="57">
                  <c:v>196.21242470400006</c:v>
                </c:pt>
                <c:pt idx="58">
                  <c:v>178.26211430400005</c:v>
                </c:pt>
                <c:pt idx="59">
                  <c:v>232.80379494400006</c:v>
                </c:pt>
                <c:pt idx="60">
                  <c:v>150.78916096000003</c:v>
                </c:pt>
                <c:pt idx="61">
                  <c:v>178.58376499200006</c:v>
                </c:pt>
                <c:pt idx="62">
                  <c:v>224.47548006400007</c:v>
                </c:pt>
                <c:pt idx="63">
                  <c:v>206.50288742400008</c:v>
                </c:pt>
                <c:pt idx="64">
                  <c:v>211.83542067200005</c:v>
                </c:pt>
                <c:pt idx="65">
                  <c:v>254.18216243200004</c:v>
                </c:pt>
                <c:pt idx="66">
                  <c:v>286.81856614400004</c:v>
                </c:pt>
                <c:pt idx="67">
                  <c:v>205.3654446080001</c:v>
                </c:pt>
                <c:pt idx="68">
                  <c:v>178.6102415360001</c:v>
                </c:pt>
                <c:pt idx="69">
                  <c:v>152.95263539200005</c:v>
                </c:pt>
                <c:pt idx="70">
                  <c:v>163.07794739200003</c:v>
                </c:pt>
                <c:pt idx="71">
                  <c:v>225.42811136000006</c:v>
                </c:pt>
                <c:pt idx="72">
                  <c:v>152.72850227200007</c:v>
                </c:pt>
                <c:pt idx="73">
                  <c:v>180.24261222400006</c:v>
                </c:pt>
                <c:pt idx="74">
                  <c:v>218.94686310400007</c:v>
                </c:pt>
                <c:pt idx="75">
                  <c:v>192.61240115200007</c:v>
                </c:pt>
                <c:pt idx="76">
                  <c:v>198.07521996800006</c:v>
                </c:pt>
                <c:pt idx="77">
                  <c:v>204.97039360000005</c:v>
                </c:pt>
                <c:pt idx="78">
                  <c:v>203.25937971200011</c:v>
                </c:pt>
                <c:pt idx="79">
                  <c:v>200.9624739840001</c:v>
                </c:pt>
                <c:pt idx="80">
                  <c:v>188.19894476800005</c:v>
                </c:pt>
                <c:pt idx="81">
                  <c:v>175.57041971200007</c:v>
                </c:pt>
                <c:pt idx="82">
                  <c:v>173.2307845120001</c:v>
                </c:pt>
                <c:pt idx="83">
                  <c:v>204.92897484800005</c:v>
                </c:pt>
                <c:pt idx="84">
                  <c:v>152.30618828800007</c:v>
                </c:pt>
                <c:pt idx="85">
                  <c:v>181.01095628800005</c:v>
                </c:pt>
                <c:pt idx="86">
                  <c:v>214.39001395200009</c:v>
                </c:pt>
                <c:pt idx="87">
                  <c:v>186.30102220800006</c:v>
                </c:pt>
                <c:pt idx="88">
                  <c:v>204.68491878400005</c:v>
                </c:pt>
                <c:pt idx="89">
                  <c:v>191.22539724800006</c:v>
                </c:pt>
                <c:pt idx="90">
                  <c:v>179.22759065600005</c:v>
                </c:pt>
                <c:pt idx="91">
                  <c:v>207.11551795200009</c:v>
                </c:pt>
                <c:pt idx="92">
                  <c:v>182.74058240000008</c:v>
                </c:pt>
                <c:pt idx="93">
                  <c:v>174.4148889600001</c:v>
                </c:pt>
                <c:pt idx="94">
                  <c:v>159.33584179200005</c:v>
                </c:pt>
                <c:pt idx="95">
                  <c:v>197.15168665600004</c:v>
                </c:pt>
                <c:pt idx="96">
                  <c:v>141.34594764800005</c:v>
                </c:pt>
                <c:pt idx="97">
                  <c:v>160.16343040000007</c:v>
                </c:pt>
                <c:pt idx="98">
                  <c:v>174.81518284800006</c:v>
                </c:pt>
                <c:pt idx="99">
                  <c:v>152.58222592000004</c:v>
                </c:pt>
                <c:pt idx="100">
                  <c:v>155.65009715200006</c:v>
                </c:pt>
                <c:pt idx="101">
                  <c:v>136.48134144000005</c:v>
                </c:pt>
                <c:pt idx="102">
                  <c:v>134.43819110400005</c:v>
                </c:pt>
                <c:pt idx="103">
                  <c:v>161.50403481600006</c:v>
                </c:pt>
                <c:pt idx="104">
                  <c:v>127.63712716800006</c:v>
                </c:pt>
                <c:pt idx="105">
                  <c:v>107.11911628800004</c:v>
                </c:pt>
                <c:pt idx="106">
                  <c:v>101.61304371200004</c:v>
                </c:pt>
                <c:pt idx="107">
                  <c:v>123.54007859200004</c:v>
                </c:pt>
                <c:pt idx="108">
                  <c:v>89.455853568000023</c:v>
                </c:pt>
                <c:pt idx="109">
                  <c:v>90.617937920000031</c:v>
                </c:pt>
                <c:pt idx="110">
                  <c:v>107.54772172800004</c:v>
                </c:pt>
                <c:pt idx="111">
                  <c:v>102.33341542400002</c:v>
                </c:pt>
                <c:pt idx="112">
                  <c:v>116.05350809600003</c:v>
                </c:pt>
                <c:pt idx="113">
                  <c:v>105.91639961600002</c:v>
                </c:pt>
                <c:pt idx="114">
                  <c:v>117.75901696000004</c:v>
                </c:pt>
                <c:pt idx="115">
                  <c:v>141.90247936000009</c:v>
                </c:pt>
                <c:pt idx="116">
                  <c:v>91.393097728000043</c:v>
                </c:pt>
                <c:pt idx="117">
                  <c:v>108.29483212800005</c:v>
                </c:pt>
                <c:pt idx="118">
                  <c:v>98.466004992000023</c:v>
                </c:pt>
                <c:pt idx="119">
                  <c:v>136.50414796800004</c:v>
                </c:pt>
                <c:pt idx="120">
                  <c:v>88.929992704000028</c:v>
                </c:pt>
                <c:pt idx="121">
                  <c:v>100.27873075200004</c:v>
                </c:pt>
                <c:pt idx="122">
                  <c:v>139.10566502400005</c:v>
                </c:pt>
                <c:pt idx="123">
                  <c:v>127.63791360000003</c:v>
                </c:pt>
                <c:pt idx="124">
                  <c:v>143.49474201600006</c:v>
                </c:pt>
                <c:pt idx="125">
                  <c:v>128.86972825600006</c:v>
                </c:pt>
                <c:pt idx="126">
                  <c:v>140.87408844800007</c:v>
                </c:pt>
                <c:pt idx="127">
                  <c:v>130.79019520000006</c:v>
                </c:pt>
                <c:pt idx="128">
                  <c:v>127.35086592000003</c:v>
                </c:pt>
                <c:pt idx="129">
                  <c:v>133.31857408000005</c:v>
                </c:pt>
                <c:pt idx="130">
                  <c:v>123.98913126400004</c:v>
                </c:pt>
                <c:pt idx="131">
                  <c:v>165.1224084480001</c:v>
                </c:pt>
                <c:pt idx="132">
                  <c:v>114.43686604800003</c:v>
                </c:pt>
                <c:pt idx="133">
                  <c:v>132.97726259200005</c:v>
                </c:pt>
                <c:pt idx="134">
                  <c:v>157.18259097600006</c:v>
                </c:pt>
                <c:pt idx="135">
                  <c:v>145.66424576000006</c:v>
                </c:pt>
                <c:pt idx="136">
                  <c:v>137.03603814400003</c:v>
                </c:pt>
                <c:pt idx="137">
                  <c:v>139.62628300800003</c:v>
                </c:pt>
                <c:pt idx="138">
                  <c:v>146.87980748800004</c:v>
                </c:pt>
                <c:pt idx="139">
                  <c:v>149.72013772800003</c:v>
                </c:pt>
                <c:pt idx="140">
                  <c:v>150.53225984000005</c:v>
                </c:pt>
                <c:pt idx="141">
                  <c:v>143.86436505600005</c:v>
                </c:pt>
                <c:pt idx="142">
                  <c:v>141.34306406400006</c:v>
                </c:pt>
                <c:pt idx="143">
                  <c:v>182.26033459200005</c:v>
                </c:pt>
                <c:pt idx="144">
                  <c:v>118.63693721600005</c:v>
                </c:pt>
                <c:pt idx="145">
                  <c:v>143.17912064000004</c:v>
                </c:pt>
                <c:pt idx="146">
                  <c:v>171.12104960000008</c:v>
                </c:pt>
                <c:pt idx="147">
                  <c:v>147.23160473600007</c:v>
                </c:pt>
                <c:pt idx="148">
                  <c:v>172.36885504000003</c:v>
                </c:pt>
                <c:pt idx="149">
                  <c:v>166.79514931200004</c:v>
                </c:pt>
                <c:pt idx="150">
                  <c:v>152.16410624000005</c:v>
                </c:pt>
                <c:pt idx="151">
                  <c:v>169.43205580800006</c:v>
                </c:pt>
                <c:pt idx="152">
                  <c:v>156.98126438400004</c:v>
                </c:pt>
                <c:pt idx="153">
                  <c:v>146.16520294400004</c:v>
                </c:pt>
                <c:pt idx="154">
                  <c:v>154.39337881600005</c:v>
                </c:pt>
                <c:pt idx="155">
                  <c:v>188.62125875200005</c:v>
                </c:pt>
                <c:pt idx="156">
                  <c:v>135.77722265600005</c:v>
                </c:pt>
                <c:pt idx="157">
                  <c:v>154.32574566400004</c:v>
                </c:pt>
                <c:pt idx="158">
                  <c:v>186.20140748800006</c:v>
                </c:pt>
                <c:pt idx="159">
                  <c:v>168.53840691200003</c:v>
                </c:pt>
                <c:pt idx="160">
                  <c:v>191.51873638400005</c:v>
                </c:pt>
                <c:pt idx="161">
                  <c:v>185.95682713600004</c:v>
                </c:pt>
                <c:pt idx="162">
                  <c:v>175.42414336000007</c:v>
                </c:pt>
                <c:pt idx="163">
                  <c:v>200.14327398400007</c:v>
                </c:pt>
                <c:pt idx="164">
                  <c:v>152.20971929600006</c:v>
                </c:pt>
                <c:pt idx="165">
                  <c:v>167.16451020800008</c:v>
                </c:pt>
                <c:pt idx="166">
                  <c:v>172.16123699200003</c:v>
                </c:pt>
                <c:pt idx="167">
                  <c:v>193.66595788800007</c:v>
                </c:pt>
                <c:pt idx="168">
                  <c:v>139.19715328000004</c:v>
                </c:pt>
                <c:pt idx="169">
                  <c:v>163.54639872000007</c:v>
                </c:pt>
                <c:pt idx="170">
                  <c:v>207.1357030400001</c:v>
                </c:pt>
                <c:pt idx="171">
                  <c:v>190.30160179200004</c:v>
                </c:pt>
                <c:pt idx="172">
                  <c:v>216.66935603200011</c:v>
                </c:pt>
                <c:pt idx="173">
                  <c:v>191.45136537600004</c:v>
                </c:pt>
                <c:pt idx="174">
                  <c:v>198.70541414400009</c:v>
                </c:pt>
                <c:pt idx="175">
                  <c:v>217.84900403200004</c:v>
                </c:pt>
                <c:pt idx="176">
                  <c:v>177.32127948800007</c:v>
                </c:pt>
                <c:pt idx="177">
                  <c:v>182.35523072000007</c:v>
                </c:pt>
                <c:pt idx="178">
                  <c:v>187.99263744000007</c:v>
                </c:pt>
                <c:pt idx="179">
                  <c:v>220.66338201600007</c:v>
                </c:pt>
                <c:pt idx="180">
                  <c:v>165.54629529600007</c:v>
                </c:pt>
                <c:pt idx="181">
                  <c:v>182.10881536000008</c:v>
                </c:pt>
                <c:pt idx="182">
                  <c:v>216.65048166400007</c:v>
                </c:pt>
                <c:pt idx="183">
                  <c:v>209.73931724800005</c:v>
                </c:pt>
                <c:pt idx="184">
                  <c:v>231.14337484800004</c:v>
                </c:pt>
                <c:pt idx="185">
                  <c:v>212.5964247040001</c:v>
                </c:pt>
                <c:pt idx="186">
                  <c:v>225.35208960000006</c:v>
                </c:pt>
                <c:pt idx="187">
                  <c:v>235.56915200000009</c:v>
                </c:pt>
                <c:pt idx="188">
                  <c:v>219.25226086400008</c:v>
                </c:pt>
                <c:pt idx="189">
                  <c:v>221.5766917120001</c:v>
                </c:pt>
                <c:pt idx="190">
                  <c:v>205.4446120960001</c:v>
                </c:pt>
                <c:pt idx="191">
                  <c:v>262.12250419200012</c:v>
                </c:pt>
                <c:pt idx="192">
                  <c:v>175.72691968000009</c:v>
                </c:pt>
                <c:pt idx="193">
                  <c:v>204.35356876800006</c:v>
                </c:pt>
                <c:pt idx="194">
                  <c:v>240.76222464000008</c:v>
                </c:pt>
                <c:pt idx="195">
                  <c:v>232.60430336000005</c:v>
                </c:pt>
                <c:pt idx="196">
                  <c:v>235.85646182400006</c:v>
                </c:pt>
                <c:pt idx="197">
                  <c:v>236.66150604800001</c:v>
                </c:pt>
                <c:pt idx="198">
                  <c:v>242.50862796800007</c:v>
                </c:pt>
                <c:pt idx="199">
                  <c:v>242.89397964800006</c:v>
                </c:pt>
                <c:pt idx="200">
                  <c:v>229.02184345600008</c:v>
                </c:pt>
                <c:pt idx="201">
                  <c:v>225.35444889600009</c:v>
                </c:pt>
                <c:pt idx="202">
                  <c:v>226.33906176000005</c:v>
                </c:pt>
                <c:pt idx="203">
                  <c:v>283.13203507200012</c:v>
                </c:pt>
                <c:pt idx="204">
                  <c:v>190.39335219200004</c:v>
                </c:pt>
              </c:numCache>
            </c:numRef>
          </c:val>
          <c:smooth val="0"/>
          <c:extLst>
            <c:ext xmlns:c16="http://schemas.microsoft.com/office/drawing/2014/chart" uri="{C3380CC4-5D6E-409C-BE32-E72D297353CC}">
              <c16:uniqueId val="{00000005-368B-430B-9B50-F03BAAF66AE0}"/>
            </c:ext>
          </c:extLst>
        </c:ser>
        <c:dLbls>
          <c:showLegendKey val="0"/>
          <c:showVal val="0"/>
          <c:showCatName val="0"/>
          <c:showSerName val="0"/>
          <c:showPercent val="0"/>
          <c:showBubbleSize val="0"/>
        </c:dLbls>
        <c:smooth val="0"/>
        <c:axId val="273558912"/>
        <c:axId val="273568896"/>
      </c:lineChart>
      <c:dateAx>
        <c:axId val="273558912"/>
        <c:scaling>
          <c:orientation val="minMax"/>
        </c:scaling>
        <c:delete val="0"/>
        <c:axPos val="b"/>
        <c:numFmt formatCode="yyyy" sourceLinked="0"/>
        <c:majorTickMark val="out"/>
        <c:minorTickMark val="none"/>
        <c:tickLblPos val="nextTo"/>
        <c:spPr>
          <a:ln w="3175">
            <a:solidFill>
              <a:srgbClr val="B3B3B3"/>
            </a:solidFill>
          </a:ln>
        </c:spPr>
        <c:txPr>
          <a:bodyPr rot="-5400000" vert="horz"/>
          <a:lstStyle/>
          <a:p>
            <a:pPr>
              <a:defRPr/>
            </a:pPr>
            <a:endParaRPr lang="en-US"/>
          </a:p>
        </c:txPr>
        <c:crossAx val="273568896"/>
        <c:crosses val="autoZero"/>
        <c:auto val="1"/>
        <c:lblOffset val="100"/>
        <c:baseTimeUnit val="months"/>
        <c:majorUnit val="12"/>
        <c:majorTimeUnit val="months"/>
      </c:dateAx>
      <c:valAx>
        <c:axId val="273568896"/>
        <c:scaling>
          <c:orientation val="minMax"/>
        </c:scaling>
        <c:delete val="0"/>
        <c:axPos val="l"/>
        <c:majorGridlines>
          <c:spPr>
            <a:ln w="3175">
              <a:solidFill>
                <a:srgbClr val="D2D2D2"/>
              </a:solidFill>
              <a:prstDash val="solid"/>
            </a:ln>
          </c:spPr>
        </c:majorGridlines>
        <c:numFmt formatCode="#,##0" sourceLinked="0"/>
        <c:majorTickMark val="out"/>
        <c:minorTickMark val="none"/>
        <c:tickLblPos val="nextTo"/>
        <c:spPr>
          <a:ln w="3175">
            <a:noFill/>
          </a:ln>
        </c:spPr>
        <c:crossAx val="273558912"/>
        <c:crosses val="autoZero"/>
        <c:crossBetween val="between"/>
        <c:majorUnit val="250"/>
      </c:valAx>
    </c:plotArea>
    <c:legend>
      <c:legendPos val="r"/>
      <c:overlay val="0"/>
    </c:legend>
    <c:plotVisOnly val="1"/>
    <c:dispBlanksAs val="gap"/>
    <c:showDLblsOverMax val="0"/>
  </c:chart>
  <c:spPr>
    <a:ln>
      <a:noFill/>
    </a:ln>
  </c:spPr>
  <c:txPr>
    <a:bodyPr/>
    <a:lstStyle/>
    <a:p>
      <a:pPr>
        <a:defRPr sz="900">
          <a:latin typeface="Arial" pitchFamily="34" charset="0"/>
          <a:cs typeface="Arial" pitchFamily="34" charset="0"/>
        </a:defRPr>
      </a:pPr>
      <a:endParaRPr lang="en-US"/>
    </a:p>
  </c:txPr>
  <c:printSettings>
    <c:headerFooter/>
    <c:pageMargins b="0.74803149606299502" l="0.70866141732283794" r="0.70866141732283794" t="0.74803149606299502" header="0.31496062992126261" footer="0.31496062992126261"/>
    <c:pageSetup paperSize="9" orientation="landscape" blackAndWhite="1"/>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lgn="l">
              <a:defRPr sz="9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Axis title</a:t>
            </a:r>
          </a:p>
        </c:rich>
      </c:tx>
      <c:layout>
        <c:manualLayout>
          <c:xMode val="edge"/>
          <c:yMode val="edge"/>
          <c:x val="1.7826334208223972E-2"/>
          <c:y val="3.7037037037037035E-2"/>
        </c:manualLayout>
      </c:layout>
      <c:overlay val="0"/>
      <c:spPr>
        <a:noFill/>
        <a:ln>
          <a:noFill/>
        </a:ln>
        <a:effectLst/>
      </c:spPr>
    </c:title>
    <c:autoTitleDeleted val="0"/>
    <c:plotArea>
      <c:layout>
        <c:manualLayout>
          <c:layoutTarget val="inner"/>
          <c:xMode val="edge"/>
          <c:yMode val="edge"/>
          <c:x val="9.5167104111986006E-2"/>
          <c:y val="0.14000706893385101"/>
          <c:w val="0.77436299725651581"/>
          <c:h val="0.71658780854508097"/>
        </c:manualLayout>
      </c:layout>
      <c:barChart>
        <c:barDir val="col"/>
        <c:grouping val="clustered"/>
        <c:varyColors val="0"/>
        <c:ser>
          <c:idx val="0"/>
          <c:order val="0"/>
          <c:spPr>
            <a:solidFill>
              <a:schemeClr val="accent1"/>
            </a:solidFill>
            <a:ln>
              <a:noFill/>
            </a:ln>
            <a:effectLst/>
          </c:spPr>
          <c:invertIfNegative val="0"/>
          <c:cat>
            <c:numRef>
              <c:f>ChartTemplates!$A$30:$A$36</c:f>
              <c:numCache>
                <c:formatCode>0</c:formatCode>
                <c:ptCount val="7"/>
                <c:pt idx="0">
                  <c:v>2010</c:v>
                </c:pt>
                <c:pt idx="1">
                  <c:v>2011</c:v>
                </c:pt>
                <c:pt idx="2">
                  <c:v>2012</c:v>
                </c:pt>
                <c:pt idx="3">
                  <c:v>2013</c:v>
                </c:pt>
                <c:pt idx="4">
                  <c:v>2014</c:v>
                </c:pt>
                <c:pt idx="5">
                  <c:v>2015</c:v>
                </c:pt>
                <c:pt idx="6">
                  <c:v>2016</c:v>
                </c:pt>
              </c:numCache>
            </c:numRef>
          </c:cat>
          <c:val>
            <c:numRef>
              <c:f>ChartTemplates!$B$30:$B$36</c:f>
              <c:numCache>
                <c:formatCode>General</c:formatCode>
                <c:ptCount val="7"/>
                <c:pt idx="0">
                  <c:v>84.3</c:v>
                </c:pt>
                <c:pt idx="1">
                  <c:v>89.5</c:v>
                </c:pt>
                <c:pt idx="2">
                  <c:v>78.8</c:v>
                </c:pt>
                <c:pt idx="3">
                  <c:v>76.900000000000006</c:v>
                </c:pt>
                <c:pt idx="4">
                  <c:v>70.099999999999994</c:v>
                </c:pt>
                <c:pt idx="5">
                  <c:v>57.6</c:v>
                </c:pt>
                <c:pt idx="6">
                  <c:v>50.2</c:v>
                </c:pt>
              </c:numCache>
            </c:numRef>
          </c:val>
          <c:extLst>
            <c:ext xmlns:c16="http://schemas.microsoft.com/office/drawing/2014/chart" uri="{C3380CC4-5D6E-409C-BE32-E72D297353CC}">
              <c16:uniqueId val="{00000000-04A8-471B-A510-8255FDC7EDD1}"/>
            </c:ext>
          </c:extLst>
        </c:ser>
        <c:dLbls>
          <c:showLegendKey val="0"/>
          <c:showVal val="0"/>
          <c:showCatName val="0"/>
          <c:showSerName val="0"/>
          <c:showPercent val="0"/>
          <c:showBubbleSize val="0"/>
        </c:dLbls>
        <c:gapWidth val="50"/>
        <c:axId val="273604608"/>
        <c:axId val="273606144"/>
      </c:barChart>
      <c:lineChart>
        <c:grouping val="standard"/>
        <c:varyColors val="0"/>
        <c:ser>
          <c:idx val="1"/>
          <c:order val="1"/>
          <c:spPr>
            <a:ln w="28575" cap="rnd">
              <a:solidFill>
                <a:srgbClr val="7654A3"/>
              </a:solidFill>
              <a:round/>
            </a:ln>
            <a:effectLst/>
          </c:spPr>
          <c:marker>
            <c:symbol val="none"/>
          </c:marker>
          <c:val>
            <c:numRef>
              <c:f>ChartTemplates!$C$30:$C$36</c:f>
              <c:numCache>
                <c:formatCode>_(* #,##0_);_(* \(#,##0\);_(* "-"??_);_(@_)</c:formatCode>
                <c:ptCount val="7"/>
                <c:pt idx="0">
                  <c:v>1084.368148</c:v>
                </c:pt>
                <c:pt idx="1">
                  <c:v>1095.627536</c:v>
                </c:pt>
                <c:pt idx="2">
                  <c:v>1016.4584180000001</c:v>
                </c:pt>
                <c:pt idx="3">
                  <c:v>984.84177899999997</c:v>
                </c:pt>
                <c:pt idx="4">
                  <c:v>1000.048758</c:v>
                </c:pt>
                <c:pt idx="5">
                  <c:v>896.940563</c:v>
                </c:pt>
                <c:pt idx="6">
                  <c:v>739</c:v>
                </c:pt>
              </c:numCache>
            </c:numRef>
          </c:val>
          <c:smooth val="0"/>
          <c:extLst>
            <c:ext xmlns:c16="http://schemas.microsoft.com/office/drawing/2014/chart" uri="{C3380CC4-5D6E-409C-BE32-E72D297353CC}">
              <c16:uniqueId val="{00000001-04A8-471B-A510-8255FDC7EDD1}"/>
            </c:ext>
          </c:extLst>
        </c:ser>
        <c:dLbls>
          <c:showLegendKey val="0"/>
          <c:showVal val="0"/>
          <c:showCatName val="0"/>
          <c:showSerName val="0"/>
          <c:showPercent val="0"/>
          <c:showBubbleSize val="0"/>
        </c:dLbls>
        <c:marker val="1"/>
        <c:smooth val="0"/>
        <c:axId val="274141952"/>
        <c:axId val="273607680"/>
      </c:lineChart>
      <c:catAx>
        <c:axId val="273604608"/>
        <c:scaling>
          <c:orientation val="minMax"/>
        </c:scaling>
        <c:delete val="0"/>
        <c:axPos val="b"/>
        <c:numFmt formatCode="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273606144"/>
        <c:crosses val="autoZero"/>
        <c:auto val="1"/>
        <c:lblAlgn val="ctr"/>
        <c:lblOffset val="100"/>
        <c:noMultiLvlLbl val="0"/>
      </c:catAx>
      <c:valAx>
        <c:axId val="2736061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273604608"/>
        <c:crosses val="autoZero"/>
        <c:crossBetween val="between"/>
      </c:valAx>
      <c:valAx>
        <c:axId val="273607680"/>
        <c:scaling>
          <c:orientation val="minMax"/>
        </c:scaling>
        <c:delete val="0"/>
        <c:axPos val="r"/>
        <c:numFmt formatCode="_(* #,##0_);_(* \(#,##0\);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solidFill>
                <a:latin typeface="Arial" panose="020B0604020202020204" pitchFamily="34" charset="0"/>
                <a:ea typeface="+mn-ea"/>
                <a:cs typeface="Arial" panose="020B0604020202020204" pitchFamily="34" charset="0"/>
              </a:defRPr>
            </a:pPr>
            <a:endParaRPr lang="en-US"/>
          </a:p>
        </c:txPr>
        <c:crossAx val="274141952"/>
        <c:crosses val="max"/>
        <c:crossBetween val="between"/>
      </c:valAx>
      <c:catAx>
        <c:axId val="274141952"/>
        <c:scaling>
          <c:orientation val="minMax"/>
        </c:scaling>
        <c:delete val="1"/>
        <c:axPos val="b"/>
        <c:majorTickMark val="out"/>
        <c:minorTickMark val="none"/>
        <c:tickLblPos val="nextTo"/>
        <c:crossAx val="273607680"/>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9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2"/>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400" b="0" i="0" u="none" strike="noStrike" kern="1200" spc="0" baseline="0">
                <a:solidFill>
                  <a:srgbClr val="000000"/>
                </a:solidFill>
                <a:latin typeface="Arial" panose="020B0604020202020204" pitchFamily="34" charset="0"/>
                <a:ea typeface="+mn-ea"/>
                <a:cs typeface="Arial" panose="020B0604020202020204" pitchFamily="34" charset="0"/>
              </a:defRPr>
            </a:pPr>
            <a:r>
              <a:rPr lang="en-GB" sz="1400"/>
              <a:t>150</a:t>
            </a:r>
          </a:p>
          <a:p>
            <a:pPr algn="ctr">
              <a:defRPr sz="1400" b="0" i="0" u="none" strike="noStrike" kern="1200" spc="0" baseline="0">
                <a:solidFill>
                  <a:srgbClr val="000000"/>
                </a:solidFill>
                <a:latin typeface="Arial" panose="020B0604020202020204" pitchFamily="34" charset="0"/>
                <a:ea typeface="+mn-ea"/>
                <a:cs typeface="Arial" panose="020B0604020202020204" pitchFamily="34" charset="0"/>
              </a:defRPr>
            </a:pPr>
            <a:endParaRPr lang="en-GB" sz="1400"/>
          </a:p>
        </c:rich>
      </c:tx>
      <c:layout>
        <c:manualLayout>
          <c:xMode val="edge"/>
          <c:yMode val="edge"/>
          <c:x val="0.44423472222222221"/>
          <c:y val="0.4678175"/>
        </c:manualLayout>
      </c:layout>
      <c:overlay val="0"/>
      <c:spPr>
        <a:noFill/>
        <a:ln>
          <a:noFill/>
        </a:ln>
        <a:effectLst/>
      </c:spPr>
    </c:title>
    <c:autoTitleDeleted val="0"/>
    <c:plotArea>
      <c:layout>
        <c:manualLayout>
          <c:layoutTarget val="inner"/>
          <c:xMode val="edge"/>
          <c:yMode val="edge"/>
          <c:x val="0.11082570133131017"/>
          <c:y val="1.6763952505331164E-2"/>
          <c:w val="0.79033901945081697"/>
          <c:h val="0.97682603374089916"/>
        </c:manualLayout>
      </c:layout>
      <c:doughnutChart>
        <c:varyColors val="1"/>
        <c:ser>
          <c:idx val="0"/>
          <c:order val="0"/>
          <c:spPr>
            <a:ln w="12700">
              <a:noFill/>
              <a:prstDash val="solid"/>
            </a:ln>
            <a:effectLst/>
          </c:spPr>
          <c:dPt>
            <c:idx val="0"/>
            <c:bubble3D val="0"/>
            <c:spPr>
              <a:solidFill>
                <a:schemeClr val="accent1"/>
              </a:solidFill>
              <a:ln w="12700">
                <a:noFill/>
                <a:prstDash val="solid"/>
              </a:ln>
              <a:effectLst/>
            </c:spPr>
            <c:extLst>
              <c:ext xmlns:c16="http://schemas.microsoft.com/office/drawing/2014/chart" uri="{C3380CC4-5D6E-409C-BE32-E72D297353CC}">
                <c16:uniqueId val="{00000001-D769-4228-95F7-C1413451EF89}"/>
              </c:ext>
            </c:extLst>
          </c:dPt>
          <c:dPt>
            <c:idx val="1"/>
            <c:bubble3D val="0"/>
            <c:spPr>
              <a:solidFill>
                <a:schemeClr val="accent2"/>
              </a:solidFill>
              <a:ln w="12700">
                <a:noFill/>
                <a:prstDash val="solid"/>
              </a:ln>
              <a:effectLst/>
            </c:spPr>
            <c:extLst>
              <c:ext xmlns:c16="http://schemas.microsoft.com/office/drawing/2014/chart" uri="{C3380CC4-5D6E-409C-BE32-E72D297353CC}">
                <c16:uniqueId val="{00000003-D769-4228-95F7-C1413451EF89}"/>
              </c:ext>
            </c:extLst>
          </c:dPt>
          <c:dPt>
            <c:idx val="2"/>
            <c:bubble3D val="0"/>
            <c:spPr>
              <a:solidFill>
                <a:schemeClr val="accent3"/>
              </a:solidFill>
              <a:ln w="12700">
                <a:noFill/>
                <a:prstDash val="solid"/>
              </a:ln>
              <a:effectLst/>
            </c:spPr>
            <c:extLst>
              <c:ext xmlns:c16="http://schemas.microsoft.com/office/drawing/2014/chart" uri="{C3380CC4-5D6E-409C-BE32-E72D297353CC}">
                <c16:uniqueId val="{00000005-D769-4228-95F7-C1413451EF89}"/>
              </c:ext>
            </c:extLst>
          </c:dPt>
          <c:dPt>
            <c:idx val="3"/>
            <c:bubble3D val="0"/>
            <c:spPr>
              <a:solidFill>
                <a:schemeClr val="accent4"/>
              </a:solidFill>
              <a:ln w="12700">
                <a:noFill/>
                <a:prstDash val="solid"/>
              </a:ln>
              <a:effectLst/>
            </c:spPr>
            <c:extLst>
              <c:ext xmlns:c16="http://schemas.microsoft.com/office/drawing/2014/chart" uri="{C3380CC4-5D6E-409C-BE32-E72D297353CC}">
                <c16:uniqueId val="{00000007-D769-4228-95F7-C1413451EF89}"/>
              </c:ext>
            </c:extLst>
          </c:dPt>
          <c:dLbls>
            <c:dLbl>
              <c:idx val="1"/>
              <c:spPr>
                <a:noFill/>
                <a:ln>
                  <a:noFill/>
                </a:ln>
                <a:effectLst/>
              </c:spPr>
              <c:txPr>
                <a:bodyPr rot="0" spcFirstLastPara="1" vertOverflow="clip" horzOverflow="clip" vert="horz" wrap="square" lIns="0" tIns="0" rIns="0" bIns="0" anchor="ctr" anchorCtr="1">
                  <a:spAutoFit/>
                </a:bodyPr>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1"/>
              <c:showCatName val="1"/>
              <c:showSerName val="0"/>
              <c:showPercent val="0"/>
              <c:showBubbleSize val="0"/>
              <c:extLst>
                <c:ext xmlns:c16="http://schemas.microsoft.com/office/drawing/2014/chart" uri="{C3380CC4-5D6E-409C-BE32-E72D297353CC}">
                  <c16:uniqueId val="{00000003-D769-4228-95F7-C1413451EF89}"/>
                </c:ext>
              </c:extLst>
            </c:dLbl>
            <c:spPr>
              <a:noFill/>
              <a:ln>
                <a:noFill/>
              </a:ln>
              <a:effectLst/>
            </c:spPr>
            <c:txPr>
              <a:bodyPr rot="0" spcFirstLastPara="1" vertOverflow="clip" horzOverflow="clip" vert="horz" wrap="square" lIns="0" tIns="0" rIns="0" bIns="0" anchor="ctr" anchorCtr="1">
                <a:spAutoFit/>
              </a:bodyPr>
              <a:lstStyle/>
              <a:p>
                <a:pPr>
                  <a:defRPr sz="900" b="0"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c15:spPr>
              </c:ext>
            </c:extLst>
          </c:dLbls>
          <c:cat>
            <c:strRef>
              <c:f>ChartTemplates!$V$213:$V$216</c:f>
              <c:strCache>
                <c:ptCount val="4"/>
                <c:pt idx="0">
                  <c:v>Andrew</c:v>
                </c:pt>
                <c:pt idx="1">
                  <c:v>James</c:v>
                </c:pt>
                <c:pt idx="2">
                  <c:v>Alex</c:v>
                </c:pt>
                <c:pt idx="3">
                  <c:v>Hugh</c:v>
                </c:pt>
              </c:strCache>
            </c:strRef>
          </c:cat>
          <c:val>
            <c:numRef>
              <c:f>ChartTemplates!$W$213:$W$216</c:f>
              <c:numCache>
                <c:formatCode>0</c:formatCode>
                <c:ptCount val="4"/>
                <c:pt idx="0">
                  <c:v>64.5</c:v>
                </c:pt>
                <c:pt idx="1">
                  <c:v>42</c:v>
                </c:pt>
                <c:pt idx="2">
                  <c:v>28.5</c:v>
                </c:pt>
                <c:pt idx="3">
                  <c:v>15</c:v>
                </c:pt>
              </c:numCache>
            </c:numRef>
          </c:val>
          <c:extLst>
            <c:ext xmlns:c16="http://schemas.microsoft.com/office/drawing/2014/chart" uri="{C3380CC4-5D6E-409C-BE32-E72D297353CC}">
              <c16:uniqueId val="{00000008-D769-4228-95F7-C1413451EF89}"/>
            </c:ext>
          </c:extLst>
        </c:ser>
        <c:dLbls>
          <c:showLegendKey val="0"/>
          <c:showVal val="0"/>
          <c:showCatName val="0"/>
          <c:showSerName val="0"/>
          <c:showPercent val="0"/>
          <c:showBubbleSize val="0"/>
          <c:showLeaderLines val="1"/>
        </c:dLbls>
        <c:firstSliceAng val="0"/>
        <c:holeSize val="35"/>
      </c:doughnutChart>
      <c:spPr>
        <a:noFill/>
        <a:ln>
          <a:noFill/>
        </a:ln>
        <a:effectLst/>
      </c:spPr>
    </c:plotArea>
    <c:plotVisOnly val="1"/>
    <c:dispBlanksAs val="gap"/>
    <c:showDLblsOverMax val="0"/>
  </c:chart>
  <c:spPr>
    <a:noFill/>
    <a:ln w="25400" cap="flat" cmpd="sng" algn="ctr">
      <a:noFill/>
      <a:round/>
    </a:ln>
    <a:effectLst/>
  </c:spPr>
  <c:txPr>
    <a:bodyPr/>
    <a:lstStyle/>
    <a:p>
      <a:pPr>
        <a:defRPr sz="900">
          <a:solidFill>
            <a:srgbClr val="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6.xml"/><Relationship Id="rId4" Type="http://schemas.openxmlformats.org/officeDocument/2006/relationships/image" Target="../media/image1.emf"/></Relationships>
</file>

<file path=xl/drawings/_rels/drawing7.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1.emf"/><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image" Target="../media/image1.emf"/></Relationships>
</file>

<file path=xl/drawings/_rels/drawing9.xml.rels><?xml version="1.0" encoding="UTF-8" standalone="yes"?>
<Relationships xmlns="http://schemas.openxmlformats.org/package/2006/relationships"><Relationship Id="rId8" Type="http://schemas.openxmlformats.org/officeDocument/2006/relationships/chart" Target="../charts/chart15.xml"/><Relationship Id="rId13" Type="http://schemas.openxmlformats.org/officeDocument/2006/relationships/chart" Target="../charts/chart20.xml"/><Relationship Id="rId3" Type="http://schemas.openxmlformats.org/officeDocument/2006/relationships/chart" Target="../charts/chart11.xml"/><Relationship Id="rId7" Type="http://schemas.openxmlformats.org/officeDocument/2006/relationships/chart" Target="../charts/chart14.xml"/><Relationship Id="rId12" Type="http://schemas.openxmlformats.org/officeDocument/2006/relationships/chart" Target="../charts/chart19.xml"/><Relationship Id="rId2" Type="http://schemas.openxmlformats.org/officeDocument/2006/relationships/chart" Target="../charts/chart10.xml"/><Relationship Id="rId16" Type="http://schemas.openxmlformats.org/officeDocument/2006/relationships/chart" Target="../charts/chart23.xml"/><Relationship Id="rId1" Type="http://schemas.openxmlformats.org/officeDocument/2006/relationships/chart" Target="../charts/chart9.xml"/><Relationship Id="rId6" Type="http://schemas.openxmlformats.org/officeDocument/2006/relationships/chart" Target="../charts/chart13.xml"/><Relationship Id="rId11" Type="http://schemas.openxmlformats.org/officeDocument/2006/relationships/chart" Target="../charts/chart18.xml"/><Relationship Id="rId5" Type="http://schemas.openxmlformats.org/officeDocument/2006/relationships/chart" Target="../charts/chart12.xml"/><Relationship Id="rId15" Type="http://schemas.openxmlformats.org/officeDocument/2006/relationships/chart" Target="../charts/chart22.xml"/><Relationship Id="rId10" Type="http://schemas.openxmlformats.org/officeDocument/2006/relationships/chart" Target="../charts/chart17.xml"/><Relationship Id="rId4" Type="http://schemas.openxmlformats.org/officeDocument/2006/relationships/image" Target="../media/image1.emf"/><Relationship Id="rId9" Type="http://schemas.openxmlformats.org/officeDocument/2006/relationships/chart" Target="../charts/chart16.xml"/><Relationship Id="rId14" Type="http://schemas.openxmlformats.org/officeDocument/2006/relationships/chart" Target="../charts/chart21.xml"/></Relationships>
</file>

<file path=xl/drawings/drawing1.xml><?xml version="1.0" encoding="utf-8"?>
<xdr:wsDr xmlns:xdr="http://schemas.openxmlformats.org/drawingml/2006/spreadsheetDrawing" xmlns:a="http://schemas.openxmlformats.org/drawingml/2006/main">
  <xdr:twoCellAnchor editAs="oneCell">
    <xdr:from>
      <xdr:col>2</xdr:col>
      <xdr:colOff>47321</xdr:colOff>
      <xdr:row>1</xdr:row>
      <xdr:rowOff>180850</xdr:rowOff>
    </xdr:from>
    <xdr:to>
      <xdr:col>4</xdr:col>
      <xdr:colOff>1008794</xdr:colOff>
      <xdr:row>1</xdr:row>
      <xdr:rowOff>635630</xdr:rowOff>
    </xdr:to>
    <xdr:pic>
      <xdr:nvPicPr>
        <xdr:cNvPr id="2" name="VBA_LogoBNEF">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352275" y="346838"/>
          <a:ext cx="1999862" cy="454780"/>
        </a:xfrm>
        <a:prstGeom prst="rect">
          <a:avLst/>
        </a:prstGeom>
        <a:noFill/>
      </xdr:spPr>
    </xdr:pic>
    <xdr:clientData/>
  </xdr:twoCellAnchor>
  <xdr:twoCellAnchor editAs="oneCell">
    <xdr:from>
      <xdr:col>4</xdr:col>
      <xdr:colOff>1463262</xdr:colOff>
      <xdr:row>0</xdr:row>
      <xdr:rowOff>100251</xdr:rowOff>
    </xdr:from>
    <xdr:to>
      <xdr:col>6</xdr:col>
      <xdr:colOff>27609</xdr:colOff>
      <xdr:row>1</xdr:row>
      <xdr:rowOff>615700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srcRect t="87820" r="58643"/>
        <a:stretch/>
      </xdr:blipFill>
      <xdr:spPr>
        <a:xfrm flipV="1">
          <a:off x="2806605" y="100251"/>
          <a:ext cx="3540123" cy="68143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1</xdr:col>
      <xdr:colOff>1478816</xdr:colOff>
      <xdr:row>2</xdr:row>
      <xdr:rowOff>6350</xdr:rowOff>
    </xdr:to>
    <xdr:pic>
      <xdr:nvPicPr>
        <xdr:cNvPr id="2" name="VBA_LogoBNEF">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85" t="29546" b="28744"/>
        <a:stretch/>
      </xdr:blipFill>
      <xdr:spPr>
        <a:xfrm>
          <a:off x="0" y="38100"/>
          <a:ext cx="2123341" cy="3905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56266</xdr:colOff>
      <xdr:row>0</xdr:row>
      <xdr:rowOff>56265</xdr:rowOff>
    </xdr:from>
    <xdr:to>
      <xdr:col>1</xdr:col>
      <xdr:colOff>260191</xdr:colOff>
      <xdr:row>0</xdr:row>
      <xdr:rowOff>435893</xdr:rowOff>
    </xdr:to>
    <xdr:pic>
      <xdr:nvPicPr>
        <xdr:cNvPr id="8" name="VBA_LogoBNEF">
          <a:extLst>
            <a:ext uri="{FF2B5EF4-FFF2-40B4-BE49-F238E27FC236}">
              <a16:creationId xmlns:a16="http://schemas.microsoft.com/office/drawing/2014/main" id="{00000000-0008-0000-1B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56266" y="56265"/>
          <a:ext cx="1489800" cy="379628"/>
        </a:xfrm>
        <a:prstGeom prst="rect">
          <a:avLst/>
        </a:prstGeom>
        <a:noFill/>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9</xdr:row>
      <xdr:rowOff>0</xdr:rowOff>
    </xdr:from>
    <xdr:to>
      <xdr:col>6</xdr:col>
      <xdr:colOff>201706</xdr:colOff>
      <xdr:row>21</xdr:row>
      <xdr:rowOff>66675</xdr:rowOff>
    </xdr:to>
    <xdr:graphicFrame macro="">
      <xdr:nvGraphicFramePr>
        <xdr:cNvPr id="3" name="Chart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9</xdr:row>
      <xdr:rowOff>0</xdr:rowOff>
    </xdr:from>
    <xdr:to>
      <xdr:col>13</xdr:col>
      <xdr:colOff>152400</xdr:colOff>
      <xdr:row>21</xdr:row>
      <xdr:rowOff>66675</xdr:rowOff>
    </xdr:to>
    <xdr:graphicFrame macro="">
      <xdr:nvGraphicFramePr>
        <xdr:cNvPr id="4" name="Chart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56266</xdr:colOff>
      <xdr:row>0</xdr:row>
      <xdr:rowOff>56265</xdr:rowOff>
    </xdr:from>
    <xdr:to>
      <xdr:col>1</xdr:col>
      <xdr:colOff>1269841</xdr:colOff>
      <xdr:row>0</xdr:row>
      <xdr:rowOff>435893</xdr:rowOff>
    </xdr:to>
    <xdr:pic>
      <xdr:nvPicPr>
        <xdr:cNvPr id="6" name="VBA_LogoBNEF">
          <a:extLst>
            <a:ext uri="{FF2B5EF4-FFF2-40B4-BE49-F238E27FC236}">
              <a16:creationId xmlns:a16="http://schemas.microsoft.com/office/drawing/2014/main" id="{00000000-0008-0000-1C00-000006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bwMode="auto">
        <a:xfrm>
          <a:off x="56266" y="56265"/>
          <a:ext cx="1493722" cy="379628"/>
        </a:xfrm>
        <a:prstGeom prst="rect">
          <a:avLst/>
        </a:prstGeom>
        <a:noFill/>
      </xdr:spPr>
    </xdr:pic>
    <xdr:clientData/>
  </xdr:twoCellAnchor>
  <xdr:twoCellAnchor>
    <xdr:from>
      <xdr:col>3</xdr:col>
      <xdr:colOff>447675</xdr:colOff>
      <xdr:row>8</xdr:row>
      <xdr:rowOff>0</xdr:rowOff>
    </xdr:from>
    <xdr:to>
      <xdr:col>6</xdr:col>
      <xdr:colOff>571500</xdr:colOff>
      <xdr:row>14</xdr:row>
      <xdr:rowOff>28575</xdr:rowOff>
    </xdr:to>
    <xdr:sp macro="" textlink="">
      <xdr:nvSpPr>
        <xdr:cNvPr id="5" name="TextBox 4">
          <a:extLst>
            <a:ext uri="{FF2B5EF4-FFF2-40B4-BE49-F238E27FC236}">
              <a16:creationId xmlns:a16="http://schemas.microsoft.com/office/drawing/2014/main" id="{00000000-0008-0000-1C00-000005000000}"/>
            </a:ext>
          </a:extLst>
        </xdr:cNvPr>
        <xdr:cNvSpPr txBox="1"/>
      </xdr:nvSpPr>
      <xdr:spPr>
        <a:xfrm>
          <a:off x="2714625" y="1609725"/>
          <a:ext cx="2009775" cy="1000125"/>
        </a:xfrm>
        <a:prstGeom prst="rect">
          <a:avLst/>
        </a:prstGeom>
        <a:solidFill>
          <a:schemeClr val="accent4"/>
        </a:solidFill>
        <a:ln w="9525" cmpd="sng">
          <a:solidFill>
            <a:schemeClr val="lt1">
              <a:shade val="50000"/>
            </a:schemeClr>
          </a:solid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See </a:t>
          </a:r>
          <a:r>
            <a:rPr lang="en-US" sz="1200" b="1">
              <a:latin typeface="Arial" panose="020B0604020202020204" pitchFamily="34" charset="0"/>
              <a:cs typeface="Arial" panose="020B0604020202020204" pitchFamily="34" charset="0"/>
            </a:rPr>
            <a:t>ChartExamples</a:t>
          </a:r>
          <a:r>
            <a:rPr lang="en-US" sz="1200">
              <a:latin typeface="Arial" panose="020B0604020202020204" pitchFamily="34" charset="0"/>
              <a:cs typeface="Arial" panose="020B0604020202020204" pitchFamily="34" charset="0"/>
            </a:rPr>
            <a:t> tab for BNEF charting guidelines and best practice.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99172</xdr:colOff>
      <xdr:row>2</xdr:row>
      <xdr:rowOff>34738</xdr:rowOff>
    </xdr:from>
    <xdr:to>
      <xdr:col>15</xdr:col>
      <xdr:colOff>444772</xdr:colOff>
      <xdr:row>23</xdr:row>
      <xdr:rowOff>139063</xdr:rowOff>
    </xdr:to>
    <xdr:graphicFrame macro="">
      <xdr:nvGraphicFramePr>
        <xdr:cNvPr id="2" name="Chart 1">
          <a:extLst>
            <a:ext uri="{FF2B5EF4-FFF2-40B4-BE49-F238E27FC236}">
              <a16:creationId xmlns:a16="http://schemas.microsoft.com/office/drawing/2014/main" id="{00000000-0008-0000-1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228600</xdr:colOff>
      <xdr:row>11</xdr:row>
      <xdr:rowOff>51544</xdr:rowOff>
    </xdr:from>
    <xdr:to>
      <xdr:col>20</xdr:col>
      <xdr:colOff>400050</xdr:colOff>
      <xdr:row>27</xdr:row>
      <xdr:rowOff>89646</xdr:rowOff>
    </xdr:to>
    <xdr:sp macro="" textlink="">
      <xdr:nvSpPr>
        <xdr:cNvPr id="3" name="TextBox 2">
          <a:extLst>
            <a:ext uri="{FF2B5EF4-FFF2-40B4-BE49-F238E27FC236}">
              <a16:creationId xmlns:a16="http://schemas.microsoft.com/office/drawing/2014/main" id="{00000000-0008-0000-1D00-000003000000}"/>
            </a:ext>
          </a:extLst>
        </xdr:cNvPr>
        <xdr:cNvSpPr txBox="1"/>
      </xdr:nvSpPr>
      <xdr:spPr>
        <a:xfrm>
          <a:off x="12062012" y="2303926"/>
          <a:ext cx="2591920" cy="2649073"/>
        </a:xfrm>
        <a:prstGeom prst="rect">
          <a:avLst/>
        </a:prstGeom>
        <a:solidFill>
          <a:schemeClr val="accent4"/>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No line on the y-axis, but always an axis title, usually the units. Optionally remove y-axis</a:t>
          </a:r>
          <a:r>
            <a:rPr lang="en-US" sz="1200" baseline="0">
              <a:latin typeface="Arial" panose="020B0604020202020204" pitchFamily="34" charset="0"/>
              <a:cs typeface="Arial" panose="020B0604020202020204" pitchFamily="34" charset="0"/>
            </a:rPr>
            <a:t> and label the bar tops.</a:t>
          </a:r>
          <a:endParaRPr lang="en-US" sz="1200">
            <a:latin typeface="Arial" panose="020B0604020202020204" pitchFamily="34" charset="0"/>
            <a:cs typeface="Arial" panose="020B0604020202020204" pitchFamily="34" charset="0"/>
          </a:endParaRPr>
        </a:p>
        <a:p>
          <a:endParaRPr lang="en-US" sz="1200">
            <a:latin typeface="Arial" panose="020B0604020202020204" pitchFamily="34" charset="0"/>
            <a:cs typeface="Arial" panose="020B0604020202020204" pitchFamily="34" charset="0"/>
          </a:endParaRPr>
        </a:p>
        <a:p>
          <a:r>
            <a:rPr lang="en-US" sz="1200">
              <a:latin typeface="Arial" panose="020B0604020202020204" pitchFamily="34" charset="0"/>
              <a:cs typeface="Arial" panose="020B0604020202020204" pitchFamily="34" charset="0"/>
            </a:rPr>
            <a:t>Axis</a:t>
          </a:r>
          <a:r>
            <a:rPr lang="en-US" sz="1200" baseline="0">
              <a:latin typeface="Arial" panose="020B0604020202020204" pitchFamily="34" charset="0"/>
              <a:cs typeface="Arial" panose="020B0604020202020204" pitchFamily="34" charset="0"/>
            </a:rPr>
            <a:t> title actually uses "Chart Title" selection as it allows for bigger text field. </a:t>
          </a:r>
          <a:br>
            <a:rPr lang="en-US" sz="1200" baseline="0">
              <a:latin typeface="Arial" panose="020B0604020202020204" pitchFamily="34" charset="0"/>
              <a:cs typeface="Arial" panose="020B0604020202020204" pitchFamily="34" charset="0"/>
            </a:rPr>
          </a:br>
          <a:br>
            <a:rPr lang="en-US" sz="1200" baseline="0">
              <a:latin typeface="Arial" panose="020B0604020202020204" pitchFamily="34" charset="0"/>
              <a:cs typeface="Arial" panose="020B0604020202020204" pitchFamily="34" charset="0"/>
            </a:rPr>
          </a:br>
          <a:r>
            <a:rPr lang="en-US" sz="1200" baseline="0">
              <a:latin typeface="Arial" panose="020B0604020202020204" pitchFamily="34" charset="0"/>
              <a:cs typeface="Arial" panose="020B0604020202020204" pitchFamily="34" charset="0"/>
            </a:rPr>
            <a:t>Column spacing is 50%.</a:t>
          </a:r>
          <a:br>
            <a:rPr lang="en-US" sz="1200" baseline="0">
              <a:latin typeface="Arial" panose="020B0604020202020204" pitchFamily="34" charset="0"/>
              <a:cs typeface="Arial" panose="020B0604020202020204" pitchFamily="34" charset="0"/>
            </a:rPr>
          </a:br>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X-axis text should be horizontal preferably, or vertical but never angled.</a:t>
          </a:r>
        </a:p>
      </xdr:txBody>
    </xdr:sp>
    <xdr:clientData/>
  </xdr:twoCellAnchor>
  <xdr:twoCellAnchor>
    <xdr:from>
      <xdr:col>16</xdr:col>
      <xdr:colOff>228600</xdr:colOff>
      <xdr:row>28</xdr:row>
      <xdr:rowOff>62755</xdr:rowOff>
    </xdr:from>
    <xdr:to>
      <xdr:col>20</xdr:col>
      <xdr:colOff>400050</xdr:colOff>
      <xdr:row>48</xdr:row>
      <xdr:rowOff>190499</xdr:rowOff>
    </xdr:to>
    <xdr:sp macro="" textlink="">
      <xdr:nvSpPr>
        <xdr:cNvPr id="6" name="TextBox 5">
          <a:extLst>
            <a:ext uri="{FF2B5EF4-FFF2-40B4-BE49-F238E27FC236}">
              <a16:creationId xmlns:a16="http://schemas.microsoft.com/office/drawing/2014/main" id="{00000000-0008-0000-1D00-000006000000}"/>
            </a:ext>
          </a:extLst>
        </xdr:cNvPr>
        <xdr:cNvSpPr txBox="1"/>
      </xdr:nvSpPr>
      <xdr:spPr>
        <a:xfrm>
          <a:off x="12062012" y="5082990"/>
          <a:ext cx="2591920" cy="3265391"/>
        </a:xfrm>
        <a:prstGeom prst="rect">
          <a:avLst/>
        </a:prstGeom>
        <a:solidFill>
          <a:schemeClr val="accent4"/>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Axis</a:t>
          </a:r>
          <a:r>
            <a:rPr lang="en-US" sz="1200" baseline="0">
              <a:latin typeface="Arial" panose="020B0604020202020204" pitchFamily="34" charset="0"/>
              <a:cs typeface="Arial" panose="020B0604020202020204" pitchFamily="34" charset="0"/>
            </a:rPr>
            <a:t> title actually uses "Chart Title" selection as it allows for bigger text field. </a:t>
          </a:r>
          <a:br>
            <a:rPr lang="en-US" sz="1200" baseline="0">
              <a:latin typeface="Arial" panose="020B0604020202020204" pitchFamily="34" charset="0"/>
              <a:cs typeface="Arial" panose="020B0604020202020204" pitchFamily="34" charset="0"/>
            </a:rPr>
          </a:br>
          <a:br>
            <a:rPr lang="en-US" sz="1200" baseline="0">
              <a:latin typeface="Arial" panose="020B0604020202020204" pitchFamily="34" charset="0"/>
              <a:cs typeface="Arial" panose="020B0604020202020204" pitchFamily="34" charset="0"/>
            </a:rPr>
          </a:br>
          <a:r>
            <a:rPr lang="en-US" sz="1200" baseline="0">
              <a:latin typeface="Arial" panose="020B0604020202020204" pitchFamily="34" charset="0"/>
              <a:cs typeface="Arial" panose="020B0604020202020204" pitchFamily="34" charset="0"/>
            </a:rPr>
            <a:t>Column spacing is 50%.</a:t>
          </a:r>
          <a:br>
            <a:rPr lang="en-US" sz="1200" baseline="0">
              <a:latin typeface="Arial" panose="020B0604020202020204" pitchFamily="34" charset="0"/>
              <a:cs typeface="Arial" panose="020B0604020202020204" pitchFamily="34" charset="0"/>
            </a:rPr>
          </a:br>
          <a:br>
            <a:rPr lang="en-US" sz="1200" baseline="0">
              <a:latin typeface="Arial" panose="020B0604020202020204" pitchFamily="34" charset="0"/>
              <a:cs typeface="Arial" panose="020B0604020202020204" pitchFamily="34" charset="0"/>
            </a:rPr>
          </a:br>
          <a:r>
            <a:rPr lang="en-US" sz="1200" baseline="0">
              <a:latin typeface="Arial" panose="020B0604020202020204" pitchFamily="34" charset="0"/>
              <a:cs typeface="Arial" panose="020B0604020202020204" pitchFamily="34" charset="0"/>
            </a:rPr>
            <a:t>Only provide a secondary axis if it's essential - can you label the points directly, for example and avoid an axis?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If not, then color-code it to the data series to remove ambiguity. If there is more than one second-axis series, then color the axis black.</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Align two axes so that  lines align with labels on both sides.</a:t>
          </a:r>
          <a:endParaRPr lang="en-US" sz="1200">
            <a:latin typeface="Arial" panose="020B0604020202020204" pitchFamily="34" charset="0"/>
            <a:cs typeface="Arial" panose="020B0604020202020204" pitchFamily="34" charset="0"/>
          </a:endParaRPr>
        </a:p>
      </xdr:txBody>
    </xdr:sp>
    <xdr:clientData/>
  </xdr:twoCellAnchor>
  <xdr:twoCellAnchor>
    <xdr:from>
      <xdr:col>6</xdr:col>
      <xdr:colOff>19049</xdr:colOff>
      <xdr:row>48</xdr:row>
      <xdr:rowOff>142874</xdr:rowOff>
    </xdr:from>
    <xdr:to>
      <xdr:col>15</xdr:col>
      <xdr:colOff>381000</xdr:colOff>
      <xdr:row>66</xdr:row>
      <xdr:rowOff>57149</xdr:rowOff>
    </xdr:to>
    <xdr:graphicFrame macro="">
      <xdr:nvGraphicFramePr>
        <xdr:cNvPr id="7" name="Chart 6">
          <a:extLst>
            <a:ext uri="{FF2B5EF4-FFF2-40B4-BE49-F238E27FC236}">
              <a16:creationId xmlns:a16="http://schemas.microsoft.com/office/drawing/2014/main" id="{00000000-0008-0000-1D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376918</xdr:colOff>
      <xdr:row>68</xdr:row>
      <xdr:rowOff>244929</xdr:rowOff>
    </xdr:from>
    <xdr:to>
      <xdr:col>15</xdr:col>
      <xdr:colOff>145596</xdr:colOff>
      <xdr:row>91</xdr:row>
      <xdr:rowOff>138793</xdr:rowOff>
    </xdr:to>
    <xdr:graphicFrame macro="">
      <xdr:nvGraphicFramePr>
        <xdr:cNvPr id="10" name="Chart 9">
          <a:extLst>
            <a:ext uri="{FF2B5EF4-FFF2-40B4-BE49-F238E27FC236}">
              <a16:creationId xmlns:a16="http://schemas.microsoft.com/office/drawing/2014/main" id="{00000000-0008-0000-1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228600</xdr:colOff>
      <xdr:row>69</xdr:row>
      <xdr:rowOff>156882</xdr:rowOff>
    </xdr:from>
    <xdr:to>
      <xdr:col>20</xdr:col>
      <xdr:colOff>400050</xdr:colOff>
      <xdr:row>85</xdr:row>
      <xdr:rowOff>78441</xdr:rowOff>
    </xdr:to>
    <xdr:sp macro="" textlink="">
      <xdr:nvSpPr>
        <xdr:cNvPr id="11" name="TextBox 10">
          <a:extLst>
            <a:ext uri="{FF2B5EF4-FFF2-40B4-BE49-F238E27FC236}">
              <a16:creationId xmlns:a16="http://schemas.microsoft.com/office/drawing/2014/main" id="{00000000-0008-0000-1D00-00000B000000}"/>
            </a:ext>
          </a:extLst>
        </xdr:cNvPr>
        <xdr:cNvSpPr txBox="1"/>
      </xdr:nvSpPr>
      <xdr:spPr>
        <a:xfrm>
          <a:off x="12062012" y="11844617"/>
          <a:ext cx="2591920" cy="2431677"/>
        </a:xfrm>
        <a:prstGeom prst="rect">
          <a:avLst/>
        </a:prstGeom>
        <a:solidFill>
          <a:schemeClr val="accent4"/>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Axis</a:t>
          </a:r>
          <a:r>
            <a:rPr lang="en-US" sz="1200" baseline="0">
              <a:latin typeface="Arial" panose="020B0604020202020204" pitchFamily="34" charset="0"/>
              <a:cs typeface="Arial" panose="020B0604020202020204" pitchFamily="34" charset="0"/>
            </a:rPr>
            <a:t> title actually uses "Chart Title" selection as it allows for bigger text field. </a:t>
          </a:r>
          <a:br>
            <a:rPr lang="en-US" sz="1200" baseline="0">
              <a:latin typeface="Arial" panose="020B0604020202020204" pitchFamily="34" charset="0"/>
              <a:cs typeface="Arial" panose="020B0604020202020204" pitchFamily="34" charset="0"/>
            </a:rPr>
          </a:br>
          <a:br>
            <a:rPr lang="en-US" sz="1200" baseline="0">
              <a:latin typeface="Arial" panose="020B0604020202020204" pitchFamily="34" charset="0"/>
              <a:cs typeface="Arial" panose="020B0604020202020204" pitchFamily="34" charset="0"/>
            </a:rPr>
          </a:br>
          <a:r>
            <a:rPr lang="en-US" sz="1200" baseline="0">
              <a:latin typeface="Arial" panose="020B0604020202020204" pitchFamily="34" charset="0"/>
              <a:cs typeface="Arial" panose="020B0604020202020204" pitchFamily="34" charset="0"/>
            </a:rPr>
            <a:t>Tick marks and labels are annual (every 12 data points) and date format is "yyyy". </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Labels are rotated vertical, never on an angle </a:t>
          </a:r>
          <a:br>
            <a:rPr lang="en-US" sz="1200" baseline="0">
              <a:latin typeface="Arial" panose="020B0604020202020204" pitchFamily="34" charset="0"/>
              <a:cs typeface="Arial" panose="020B0604020202020204" pitchFamily="34" charset="0"/>
            </a:rPr>
          </a:br>
          <a:br>
            <a:rPr lang="en-US" sz="1200" baseline="0">
              <a:latin typeface="Arial" panose="020B0604020202020204" pitchFamily="34" charset="0"/>
              <a:cs typeface="Arial" panose="020B0604020202020204" pitchFamily="34" charset="0"/>
            </a:rPr>
          </a:br>
          <a:r>
            <a:rPr lang="en-US" sz="1200" b="0" baseline="0">
              <a:latin typeface="Arial" panose="020B0604020202020204" pitchFamily="34" charset="0"/>
              <a:cs typeface="Arial" panose="020B0604020202020204" pitchFamily="34" charset="0"/>
            </a:rPr>
            <a:t>Consider labeling high, low, latest data points.</a:t>
          </a:r>
          <a:endParaRPr lang="en-US" sz="1200" b="0">
            <a:latin typeface="Arial" panose="020B0604020202020204" pitchFamily="34" charset="0"/>
            <a:cs typeface="Arial" panose="020B0604020202020204" pitchFamily="34" charset="0"/>
          </a:endParaRPr>
        </a:p>
      </xdr:txBody>
    </xdr:sp>
    <xdr:clientData/>
  </xdr:twoCellAnchor>
  <xdr:twoCellAnchor editAs="oneCell">
    <xdr:from>
      <xdr:col>0</xdr:col>
      <xdr:colOff>57150</xdr:colOff>
      <xdr:row>0</xdr:row>
      <xdr:rowOff>57150</xdr:rowOff>
    </xdr:from>
    <xdr:to>
      <xdr:col>1</xdr:col>
      <xdr:colOff>1065097</xdr:colOff>
      <xdr:row>0</xdr:row>
      <xdr:rowOff>436778</xdr:rowOff>
    </xdr:to>
    <xdr:pic>
      <xdr:nvPicPr>
        <xdr:cNvPr id="20" name="VBA_LogoBNEF">
          <a:extLst>
            <a:ext uri="{FF2B5EF4-FFF2-40B4-BE49-F238E27FC236}">
              <a16:creationId xmlns:a16="http://schemas.microsoft.com/office/drawing/2014/main" id="{00000000-0008-0000-1D00-000014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bwMode="auto">
        <a:xfrm>
          <a:off x="57150" y="57150"/>
          <a:ext cx="1489800" cy="379628"/>
        </a:xfrm>
        <a:prstGeom prst="rect">
          <a:avLst/>
        </a:prstGeom>
        <a:noFill/>
      </xdr:spPr>
    </xdr:pic>
    <xdr:clientData/>
  </xdr:twoCellAnchor>
  <xdr:twoCellAnchor>
    <xdr:from>
      <xdr:col>16</xdr:col>
      <xdr:colOff>228600</xdr:colOff>
      <xdr:row>1</xdr:row>
      <xdr:rowOff>85724</xdr:rowOff>
    </xdr:from>
    <xdr:to>
      <xdr:col>20</xdr:col>
      <xdr:colOff>400050</xdr:colOff>
      <xdr:row>10</xdr:row>
      <xdr:rowOff>89647</xdr:rowOff>
    </xdr:to>
    <xdr:sp macro="" textlink="">
      <xdr:nvSpPr>
        <xdr:cNvPr id="12" name="TextBox 11">
          <a:extLst>
            <a:ext uri="{FF2B5EF4-FFF2-40B4-BE49-F238E27FC236}">
              <a16:creationId xmlns:a16="http://schemas.microsoft.com/office/drawing/2014/main" id="{00000000-0008-0000-1D00-00000C000000}"/>
            </a:ext>
          </a:extLst>
        </xdr:cNvPr>
        <xdr:cNvSpPr txBox="1"/>
      </xdr:nvSpPr>
      <xdr:spPr>
        <a:xfrm>
          <a:off x="12420600" y="581024"/>
          <a:ext cx="2609850" cy="1489823"/>
        </a:xfrm>
        <a:prstGeom prst="rect">
          <a:avLst/>
        </a:prstGeom>
        <a:solidFill>
          <a:schemeClr val="accent4"/>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latin typeface="Arial" panose="020B0604020202020204" pitchFamily="34" charset="0"/>
              <a:cs typeface="Arial" panose="020B0604020202020204" pitchFamily="34" charset="0"/>
            </a:rPr>
            <a:t>Chart titles</a:t>
          </a:r>
        </a:p>
        <a:p>
          <a:r>
            <a:rPr lang="en-US" sz="1200">
              <a:latin typeface="Arial" panose="020B0604020202020204" pitchFamily="34" charset="0"/>
              <a:cs typeface="Arial" panose="020B0604020202020204" pitchFamily="34" charset="0"/>
            </a:rPr>
            <a:t>Limit duplication. No need to put the year if the years are in the chart, nor units because units will be on axes.</a:t>
          </a:r>
        </a:p>
        <a:p>
          <a:endParaRPr lang="en-US" sz="1200">
            <a:latin typeface="Arial" panose="020B0604020202020204" pitchFamily="34" charset="0"/>
            <a:cs typeface="Arial" panose="020B0604020202020204" pitchFamily="34" charset="0"/>
          </a:endParaRPr>
        </a:p>
        <a:p>
          <a:r>
            <a:rPr lang="en-US" sz="1200">
              <a:latin typeface="Arial" panose="020B0604020202020204" pitchFamily="34" charset="0"/>
              <a:cs typeface="Arial" panose="020B0604020202020204" pitchFamily="34" charset="0"/>
            </a:rPr>
            <a:t>No need to put "by split" if the split is self-evident from the legend.</a:t>
          </a:r>
          <a:endParaRPr lang="en-US" sz="1200" baseline="0">
            <a:latin typeface="Arial" panose="020B0604020202020204" pitchFamily="34" charset="0"/>
            <a:cs typeface="Arial" panose="020B0604020202020204" pitchFamily="34" charset="0"/>
          </a:endParaRPr>
        </a:p>
      </xdr:txBody>
    </xdr:sp>
    <xdr:clientData/>
  </xdr:twoCellAnchor>
  <xdr:twoCellAnchor>
    <xdr:from>
      <xdr:col>16</xdr:col>
      <xdr:colOff>228600</xdr:colOff>
      <xdr:row>49</xdr:row>
      <xdr:rowOff>17318</xdr:rowOff>
    </xdr:from>
    <xdr:to>
      <xdr:col>20</xdr:col>
      <xdr:colOff>400051</xdr:colOff>
      <xdr:row>66</xdr:row>
      <xdr:rowOff>212911</xdr:rowOff>
    </xdr:to>
    <xdr:sp macro="" textlink="">
      <xdr:nvSpPr>
        <xdr:cNvPr id="13" name="TextBox 12">
          <a:extLst>
            <a:ext uri="{FF2B5EF4-FFF2-40B4-BE49-F238E27FC236}">
              <a16:creationId xmlns:a16="http://schemas.microsoft.com/office/drawing/2014/main" id="{00000000-0008-0000-1D00-00000D000000}"/>
            </a:ext>
          </a:extLst>
        </xdr:cNvPr>
        <xdr:cNvSpPr txBox="1"/>
      </xdr:nvSpPr>
      <xdr:spPr>
        <a:xfrm>
          <a:off x="12062012" y="8432936"/>
          <a:ext cx="2591921" cy="2862593"/>
        </a:xfrm>
        <a:prstGeom prst="rect">
          <a:avLst/>
        </a:prstGeom>
        <a:solidFill>
          <a:schemeClr val="accent4"/>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Axis</a:t>
          </a:r>
          <a:r>
            <a:rPr lang="en-US" sz="1200" baseline="0">
              <a:latin typeface="Arial" panose="020B0604020202020204" pitchFamily="34" charset="0"/>
              <a:cs typeface="Arial" panose="020B0604020202020204" pitchFamily="34" charset="0"/>
            </a:rPr>
            <a:t> title actually uses "Chart Title" selection as it allows for bigger text field, and placed above vertical axis text.</a:t>
          </a:r>
        </a:p>
        <a:p>
          <a:br>
            <a:rPr lang="en-US" sz="1200" baseline="0">
              <a:latin typeface="Arial" panose="020B0604020202020204" pitchFamily="34" charset="0"/>
              <a:cs typeface="Arial" panose="020B0604020202020204" pitchFamily="34" charset="0"/>
            </a:rPr>
          </a:br>
          <a:r>
            <a:rPr lang="en-US" sz="1200" baseline="0">
              <a:latin typeface="Arial" panose="020B0604020202020204" pitchFamily="34" charset="0"/>
              <a:cs typeface="Arial" panose="020B0604020202020204" pitchFamily="34" charset="0"/>
            </a:rPr>
            <a:t>Column spacing is 50% </a:t>
          </a:r>
          <a:br>
            <a:rPr lang="en-US" sz="1200" baseline="0">
              <a:latin typeface="Arial" panose="020B0604020202020204" pitchFamily="34" charset="0"/>
              <a:cs typeface="Arial" panose="020B0604020202020204" pitchFamily="34" charset="0"/>
            </a:rPr>
          </a:br>
          <a:br>
            <a:rPr lang="en-US" sz="1200" baseline="0">
              <a:latin typeface="Arial" panose="020B0604020202020204" pitchFamily="34" charset="0"/>
              <a:cs typeface="Arial" panose="020B0604020202020204" pitchFamily="34" charset="0"/>
            </a:rPr>
          </a:br>
          <a:r>
            <a:rPr lang="en-US" sz="1200" baseline="0">
              <a:latin typeface="Arial" panose="020B0604020202020204" pitchFamily="34" charset="0"/>
              <a:cs typeface="Arial" panose="020B0604020202020204" pitchFamily="34" charset="0"/>
            </a:rPr>
            <a:t>Tick marks on vertical axis are removed as this isn't a time series. </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Note: labels can display incorrectly in Excel 2010 so rather than labelling, use a transparent number series instead for compatibility.</a:t>
          </a:r>
          <a:endParaRPr lang="en-US" sz="1200">
            <a:latin typeface="Arial" panose="020B0604020202020204" pitchFamily="34" charset="0"/>
            <a:cs typeface="Arial" panose="020B0604020202020204" pitchFamily="34" charset="0"/>
          </a:endParaRPr>
        </a:p>
      </xdr:txBody>
    </xdr:sp>
    <xdr:clientData/>
  </xdr:twoCellAnchor>
  <xdr:twoCellAnchor>
    <xdr:from>
      <xdr:col>6</xdr:col>
      <xdr:colOff>155863</xdr:colOff>
      <xdr:row>25</xdr:row>
      <xdr:rowOff>17317</xdr:rowOff>
    </xdr:from>
    <xdr:to>
      <xdr:col>15</xdr:col>
      <xdr:colOff>538821</xdr:colOff>
      <xdr:row>47</xdr:row>
      <xdr:rowOff>75748</xdr:rowOff>
    </xdr:to>
    <xdr:graphicFrame macro="">
      <xdr:nvGraphicFramePr>
        <xdr:cNvPr id="14" name="Chart 13">
          <a:extLst>
            <a:ext uri="{FF2B5EF4-FFF2-40B4-BE49-F238E27FC236}">
              <a16:creationId xmlns:a16="http://schemas.microsoft.com/office/drawing/2014/main" id="{00000000-0008-0000-1D00-00000E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0.63951</cdr:x>
      <cdr:y>0.02727</cdr:y>
    </cdr:from>
    <cdr:to>
      <cdr:x>0.98694</cdr:x>
      <cdr:y>0.09462</cdr:y>
    </cdr:to>
    <cdr:sp macro="" textlink="">
      <cdr:nvSpPr>
        <cdr:cNvPr id="2" name="TextBox 2"/>
        <cdr:cNvSpPr txBox="1"/>
      </cdr:nvSpPr>
      <cdr:spPr>
        <a:xfrm xmlns:a="http://schemas.openxmlformats.org/drawingml/2006/main">
          <a:off x="3769178" y="102164"/>
          <a:ext cx="2047716" cy="25228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en-US" sz="1200" b="0">
              <a:solidFill>
                <a:schemeClr val="accent2"/>
              </a:solidFill>
              <a:latin typeface="Arial" panose="020B0604020202020204" pitchFamily="34" charset="0"/>
              <a:cs typeface="Arial" panose="020B0604020202020204" pitchFamily="34" charset="0"/>
            </a:rPr>
            <a:t>Million tons of coal mined</a:t>
          </a:r>
        </a:p>
      </cdr:txBody>
    </cdr:sp>
  </cdr:relSizeAnchor>
</c:userShapes>
</file>

<file path=xl/drawings/drawing7.xml><?xml version="1.0" encoding="utf-8"?>
<xdr:wsDr xmlns:xdr="http://schemas.openxmlformats.org/drawingml/2006/spreadsheetDrawing" xmlns:a="http://schemas.openxmlformats.org/drawingml/2006/main">
  <xdr:twoCellAnchor>
    <xdr:from>
      <xdr:col>1</xdr:col>
      <xdr:colOff>228600</xdr:colOff>
      <xdr:row>51</xdr:row>
      <xdr:rowOff>57150</xdr:rowOff>
    </xdr:from>
    <xdr:to>
      <xdr:col>5</xdr:col>
      <xdr:colOff>490538</xdr:colOff>
      <xdr:row>64</xdr:row>
      <xdr:rowOff>114299</xdr:rowOff>
    </xdr:to>
    <xdr:graphicFrame macro="">
      <xdr:nvGraphicFramePr>
        <xdr:cNvPr id="3" name="Chart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56266</xdr:colOff>
      <xdr:row>0</xdr:row>
      <xdr:rowOff>56265</xdr:rowOff>
    </xdr:from>
    <xdr:to>
      <xdr:col>1</xdr:col>
      <xdr:colOff>1326991</xdr:colOff>
      <xdr:row>0</xdr:row>
      <xdr:rowOff>435893</xdr:rowOff>
    </xdr:to>
    <xdr:pic>
      <xdr:nvPicPr>
        <xdr:cNvPr id="6" name="VBA_LogoBNEF">
          <a:extLst>
            <a:ext uri="{FF2B5EF4-FFF2-40B4-BE49-F238E27FC236}">
              <a16:creationId xmlns:a16="http://schemas.microsoft.com/office/drawing/2014/main" id="{00000000-0008-0000-1E00-00000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bwMode="auto">
        <a:xfrm>
          <a:off x="56266" y="56265"/>
          <a:ext cx="1489800" cy="379628"/>
        </a:xfrm>
        <a:prstGeom prst="rect">
          <a:avLst/>
        </a:prstGeom>
        <a:noFill/>
      </xdr:spPr>
    </xdr:pic>
    <xdr:clientData/>
  </xdr:twoCellAnchor>
  <xdr:twoCellAnchor>
    <xdr:from>
      <xdr:col>1</xdr:col>
      <xdr:colOff>219075</xdr:colOff>
      <xdr:row>29</xdr:row>
      <xdr:rowOff>85725</xdr:rowOff>
    </xdr:from>
    <xdr:to>
      <xdr:col>6</xdr:col>
      <xdr:colOff>85724</xdr:colOff>
      <xdr:row>42</xdr:row>
      <xdr:rowOff>47625</xdr:rowOff>
    </xdr:to>
    <xdr:graphicFrame macro="">
      <xdr:nvGraphicFramePr>
        <xdr:cNvPr id="5" name="Chart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56266</xdr:colOff>
      <xdr:row>0</xdr:row>
      <xdr:rowOff>56265</xdr:rowOff>
    </xdr:from>
    <xdr:to>
      <xdr:col>1</xdr:col>
      <xdr:colOff>831691</xdr:colOff>
      <xdr:row>0</xdr:row>
      <xdr:rowOff>435893</xdr:rowOff>
    </xdr:to>
    <xdr:pic>
      <xdr:nvPicPr>
        <xdr:cNvPr id="4" name="VBA_LogoBNEF">
          <a:extLst>
            <a:ext uri="{FF2B5EF4-FFF2-40B4-BE49-F238E27FC236}">
              <a16:creationId xmlns:a16="http://schemas.microsoft.com/office/drawing/2014/main" id="{00000000-0008-0000-1F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56266" y="56265"/>
          <a:ext cx="1489800" cy="379628"/>
        </a:xfrm>
        <a:prstGeom prst="rect">
          <a:avLst/>
        </a:prstGeom>
        <a:noFill/>
      </xdr:spPr>
    </xdr:pic>
    <xdr:clientData/>
  </xdr:twoCellAnchor>
</xdr:wsDr>
</file>

<file path=xl/drawings/drawing9.xml><?xml version="1.0" encoding="utf-8"?>
<xdr:wsDr xmlns:xdr="http://schemas.openxmlformats.org/drawingml/2006/spreadsheetDrawing" xmlns:a="http://schemas.openxmlformats.org/drawingml/2006/main">
  <xdr:twoCellAnchor>
    <xdr:from>
      <xdr:col>4</xdr:col>
      <xdr:colOff>99172</xdr:colOff>
      <xdr:row>2</xdr:row>
      <xdr:rowOff>34738</xdr:rowOff>
    </xdr:from>
    <xdr:to>
      <xdr:col>13</xdr:col>
      <xdr:colOff>444772</xdr:colOff>
      <xdr:row>23</xdr:row>
      <xdr:rowOff>139063</xdr:rowOff>
    </xdr:to>
    <xdr:graphicFrame macro="">
      <xdr:nvGraphicFramePr>
        <xdr:cNvPr id="2" name="Chart 1">
          <a:extLst>
            <a:ext uri="{FF2B5EF4-FFF2-40B4-BE49-F238E27FC236}">
              <a16:creationId xmlns:a16="http://schemas.microsoft.com/office/drawing/2014/main" id="{00000000-0008-0000-20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19049</xdr:colOff>
      <xdr:row>48</xdr:row>
      <xdr:rowOff>142874</xdr:rowOff>
    </xdr:from>
    <xdr:to>
      <xdr:col>13</xdr:col>
      <xdr:colOff>381000</xdr:colOff>
      <xdr:row>66</xdr:row>
      <xdr:rowOff>57149</xdr:rowOff>
    </xdr:to>
    <xdr:graphicFrame macro="">
      <xdr:nvGraphicFramePr>
        <xdr:cNvPr id="7" name="Chart 6">
          <a:extLst>
            <a:ext uri="{FF2B5EF4-FFF2-40B4-BE49-F238E27FC236}">
              <a16:creationId xmlns:a16="http://schemas.microsoft.com/office/drawing/2014/main" id="{00000000-0008-0000-2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18330</xdr:colOff>
      <xdr:row>66</xdr:row>
      <xdr:rowOff>211311</xdr:rowOff>
    </xdr:from>
    <xdr:to>
      <xdr:col>13</xdr:col>
      <xdr:colOff>392125</xdr:colOff>
      <xdr:row>88</xdr:row>
      <xdr:rowOff>71558</xdr:rowOff>
    </xdr:to>
    <xdr:graphicFrame macro="">
      <xdr:nvGraphicFramePr>
        <xdr:cNvPr id="9" name="Chart 8">
          <a:extLst>
            <a:ext uri="{FF2B5EF4-FFF2-40B4-BE49-F238E27FC236}">
              <a16:creationId xmlns:a16="http://schemas.microsoft.com/office/drawing/2014/main" id="{00000000-0008-0000-2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57150</xdr:colOff>
      <xdr:row>0</xdr:row>
      <xdr:rowOff>57150</xdr:rowOff>
    </xdr:from>
    <xdr:to>
      <xdr:col>1</xdr:col>
      <xdr:colOff>213450</xdr:colOff>
      <xdr:row>0</xdr:row>
      <xdr:rowOff>436778</xdr:rowOff>
    </xdr:to>
    <xdr:pic>
      <xdr:nvPicPr>
        <xdr:cNvPr id="11" name="VBA_LogoBNEF">
          <a:extLst>
            <a:ext uri="{FF2B5EF4-FFF2-40B4-BE49-F238E27FC236}">
              <a16:creationId xmlns:a16="http://schemas.microsoft.com/office/drawing/2014/main" id="{00000000-0008-0000-2000-00000B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bwMode="auto">
        <a:xfrm>
          <a:off x="57150" y="57150"/>
          <a:ext cx="1489800" cy="379628"/>
        </a:xfrm>
        <a:prstGeom prst="rect">
          <a:avLst/>
        </a:prstGeom>
        <a:noFill/>
      </xdr:spPr>
    </xdr:pic>
    <xdr:clientData/>
  </xdr:twoCellAnchor>
  <xdr:twoCellAnchor>
    <xdr:from>
      <xdr:col>22</xdr:col>
      <xdr:colOff>14972</xdr:colOff>
      <xdr:row>0</xdr:row>
      <xdr:rowOff>382645</xdr:rowOff>
    </xdr:from>
    <xdr:to>
      <xdr:col>31</xdr:col>
      <xdr:colOff>425495</xdr:colOff>
      <xdr:row>22</xdr:row>
      <xdr:rowOff>120690</xdr:rowOff>
    </xdr:to>
    <xdr:graphicFrame macro="">
      <xdr:nvGraphicFramePr>
        <xdr:cNvPr id="13" name="Chart 12">
          <a:extLst>
            <a:ext uri="{FF2B5EF4-FFF2-40B4-BE49-F238E27FC236}">
              <a16:creationId xmlns:a16="http://schemas.microsoft.com/office/drawing/2014/main" id="{00000000-0008-0000-2000-00000D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598716</xdr:colOff>
      <xdr:row>119</xdr:row>
      <xdr:rowOff>22331</xdr:rowOff>
    </xdr:from>
    <xdr:to>
      <xdr:col>31</xdr:col>
      <xdr:colOff>376553</xdr:colOff>
      <xdr:row>141</xdr:row>
      <xdr:rowOff>64663</xdr:rowOff>
    </xdr:to>
    <xdr:graphicFrame macro="">
      <xdr:nvGraphicFramePr>
        <xdr:cNvPr id="16" name="Chart 15">
          <a:extLst>
            <a:ext uri="{FF2B5EF4-FFF2-40B4-BE49-F238E27FC236}">
              <a16:creationId xmlns:a16="http://schemas.microsoft.com/office/drawing/2014/main" id="{00000000-0008-0000-2000-000010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217714</xdr:colOff>
      <xdr:row>155</xdr:row>
      <xdr:rowOff>77560</xdr:rowOff>
    </xdr:from>
    <xdr:to>
      <xdr:col>32</xdr:col>
      <xdr:colOff>480578</xdr:colOff>
      <xdr:row>181</xdr:row>
      <xdr:rowOff>152132</xdr:rowOff>
    </xdr:to>
    <xdr:graphicFrame macro="">
      <xdr:nvGraphicFramePr>
        <xdr:cNvPr id="17" name="Chart 16">
          <a:extLst>
            <a:ext uri="{FF2B5EF4-FFF2-40B4-BE49-F238E27FC236}">
              <a16:creationId xmlns:a16="http://schemas.microsoft.com/office/drawing/2014/main" id="{00000000-0008-0000-2000-000011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22</xdr:col>
      <xdr:colOff>299357</xdr:colOff>
      <xdr:row>182</xdr:row>
      <xdr:rowOff>95250</xdr:rowOff>
    </xdr:from>
    <xdr:to>
      <xdr:col>31</xdr:col>
      <xdr:colOff>11337</xdr:colOff>
      <xdr:row>201</xdr:row>
      <xdr:rowOff>126545</xdr:rowOff>
    </xdr:to>
    <xdr:graphicFrame macro="">
      <xdr:nvGraphicFramePr>
        <xdr:cNvPr id="18" name="Chart 17">
          <a:extLst>
            <a:ext uri="{FF2B5EF4-FFF2-40B4-BE49-F238E27FC236}">
              <a16:creationId xmlns:a16="http://schemas.microsoft.com/office/drawing/2014/main" id="{00000000-0008-0000-20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22</xdr:col>
      <xdr:colOff>34636</xdr:colOff>
      <xdr:row>67</xdr:row>
      <xdr:rowOff>138546</xdr:rowOff>
    </xdr:from>
    <xdr:to>
      <xdr:col>31</xdr:col>
      <xdr:colOff>411409</xdr:colOff>
      <xdr:row>90</xdr:row>
      <xdr:rowOff>49773</xdr:rowOff>
    </xdr:to>
    <xdr:graphicFrame macro="">
      <xdr:nvGraphicFramePr>
        <xdr:cNvPr id="19" name="Chart 18">
          <a:extLst>
            <a:ext uri="{FF2B5EF4-FFF2-40B4-BE49-F238E27FC236}">
              <a16:creationId xmlns:a16="http://schemas.microsoft.com/office/drawing/2014/main" id="{00000000-0008-0000-2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32</xdr:col>
      <xdr:colOff>86590</xdr:colOff>
      <xdr:row>68</xdr:row>
      <xdr:rowOff>0</xdr:rowOff>
    </xdr:from>
    <xdr:to>
      <xdr:col>41</xdr:col>
      <xdr:colOff>463363</xdr:colOff>
      <xdr:row>90</xdr:row>
      <xdr:rowOff>67091</xdr:rowOff>
    </xdr:to>
    <xdr:graphicFrame macro="">
      <xdr:nvGraphicFramePr>
        <xdr:cNvPr id="20" name="Chart 19">
          <a:extLst>
            <a:ext uri="{FF2B5EF4-FFF2-40B4-BE49-F238E27FC236}">
              <a16:creationId xmlns:a16="http://schemas.microsoft.com/office/drawing/2014/main" id="{00000000-0008-0000-20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484909</xdr:colOff>
      <xdr:row>68</xdr:row>
      <xdr:rowOff>103909</xdr:rowOff>
    </xdr:from>
    <xdr:to>
      <xdr:col>40</xdr:col>
      <xdr:colOff>138545</xdr:colOff>
      <xdr:row>89</xdr:row>
      <xdr:rowOff>121228</xdr:rowOff>
    </xdr:to>
    <xdr:sp macro="" textlink="">
      <xdr:nvSpPr>
        <xdr:cNvPr id="21" name="Multiply 20">
          <a:extLst>
            <a:ext uri="{FF2B5EF4-FFF2-40B4-BE49-F238E27FC236}">
              <a16:creationId xmlns:a16="http://schemas.microsoft.com/office/drawing/2014/main" id="{00000000-0008-0000-2000-000015000000}"/>
            </a:ext>
          </a:extLst>
        </xdr:cNvPr>
        <xdr:cNvSpPr/>
      </xdr:nvSpPr>
      <xdr:spPr>
        <a:xfrm>
          <a:off x="22600227" y="11533909"/>
          <a:ext cx="3896591" cy="3394364"/>
        </a:xfrm>
        <a:prstGeom prst="mathMultiply">
          <a:avLst/>
        </a:prstGeom>
        <a:solidFill>
          <a:schemeClr val="accent5"/>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solidFill>
              <a:schemeClr val="accent5"/>
            </a:solidFill>
          </a:endParaRPr>
        </a:p>
      </xdr:txBody>
    </xdr:sp>
    <xdr:clientData/>
  </xdr:twoCellAnchor>
  <xdr:twoCellAnchor>
    <xdr:from>
      <xdr:col>61</xdr:col>
      <xdr:colOff>352425</xdr:colOff>
      <xdr:row>15</xdr:row>
      <xdr:rowOff>52386</xdr:rowOff>
    </xdr:from>
    <xdr:to>
      <xdr:col>69</xdr:col>
      <xdr:colOff>200025</xdr:colOff>
      <xdr:row>47</xdr:row>
      <xdr:rowOff>142875</xdr:rowOff>
    </xdr:to>
    <xdr:graphicFrame macro="">
      <xdr:nvGraphicFramePr>
        <xdr:cNvPr id="22" name="Chart 21">
          <a:extLst>
            <a:ext uri="{FF2B5EF4-FFF2-40B4-BE49-F238E27FC236}">
              <a16:creationId xmlns:a16="http://schemas.microsoft.com/office/drawing/2014/main" id="{00000000-0008-0000-20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22</xdr:col>
      <xdr:colOff>32089</xdr:colOff>
      <xdr:row>23</xdr:row>
      <xdr:rowOff>31171</xdr:rowOff>
    </xdr:from>
    <xdr:to>
      <xdr:col>31</xdr:col>
      <xdr:colOff>408862</xdr:colOff>
      <xdr:row>45</xdr:row>
      <xdr:rowOff>98262</xdr:rowOff>
    </xdr:to>
    <xdr:graphicFrame macro="">
      <xdr:nvGraphicFramePr>
        <xdr:cNvPr id="26" name="Chart 25">
          <a:extLst>
            <a:ext uri="{FF2B5EF4-FFF2-40B4-BE49-F238E27FC236}">
              <a16:creationId xmlns:a16="http://schemas.microsoft.com/office/drawing/2014/main" id="{00000000-0008-0000-2000-00001A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22</xdr:col>
      <xdr:colOff>35872</xdr:colOff>
      <xdr:row>45</xdr:row>
      <xdr:rowOff>157348</xdr:rowOff>
    </xdr:from>
    <xdr:to>
      <xdr:col>31</xdr:col>
      <xdr:colOff>418830</xdr:colOff>
      <xdr:row>67</xdr:row>
      <xdr:rowOff>25280</xdr:rowOff>
    </xdr:to>
    <xdr:graphicFrame macro="">
      <xdr:nvGraphicFramePr>
        <xdr:cNvPr id="31" name="Chart 30">
          <a:extLst>
            <a:ext uri="{FF2B5EF4-FFF2-40B4-BE49-F238E27FC236}">
              <a16:creationId xmlns:a16="http://schemas.microsoft.com/office/drawing/2014/main" id="{00000000-0008-0000-2000-00001F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21</xdr:col>
      <xdr:colOff>586780</xdr:colOff>
      <xdr:row>91</xdr:row>
      <xdr:rowOff>29178</xdr:rowOff>
    </xdr:from>
    <xdr:to>
      <xdr:col>31</xdr:col>
      <xdr:colOff>357417</xdr:colOff>
      <xdr:row>117</xdr:row>
      <xdr:rowOff>147987</xdr:rowOff>
    </xdr:to>
    <xdr:graphicFrame macro="">
      <xdr:nvGraphicFramePr>
        <xdr:cNvPr id="33" name="Chart 32">
          <a:extLst>
            <a:ext uri="{FF2B5EF4-FFF2-40B4-BE49-F238E27FC236}">
              <a16:creationId xmlns:a16="http://schemas.microsoft.com/office/drawing/2014/main" id="{00000000-0008-0000-2000-000021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xdr:col>
      <xdr:colOff>17318</xdr:colOff>
      <xdr:row>25</xdr:row>
      <xdr:rowOff>69274</xdr:rowOff>
    </xdr:from>
    <xdr:to>
      <xdr:col>13</xdr:col>
      <xdr:colOff>400276</xdr:colOff>
      <xdr:row>47</xdr:row>
      <xdr:rowOff>127705</xdr:rowOff>
    </xdr:to>
    <xdr:graphicFrame macro="">
      <xdr:nvGraphicFramePr>
        <xdr:cNvPr id="24" name="Chart 23">
          <a:extLst>
            <a:ext uri="{FF2B5EF4-FFF2-40B4-BE49-F238E27FC236}">
              <a16:creationId xmlns:a16="http://schemas.microsoft.com/office/drawing/2014/main" id="{00000000-0008-0000-2000-000018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23</xdr:col>
      <xdr:colOff>445217</xdr:colOff>
      <xdr:row>203</xdr:row>
      <xdr:rowOff>48531</xdr:rowOff>
    </xdr:from>
    <xdr:to>
      <xdr:col>29</xdr:col>
      <xdr:colOff>414511</xdr:colOff>
      <xdr:row>226</xdr:row>
      <xdr:rowOff>40237</xdr:rowOff>
    </xdr:to>
    <xdr:graphicFrame macro="">
      <xdr:nvGraphicFramePr>
        <xdr:cNvPr id="25" name="Chart 24">
          <a:extLst>
            <a:ext uri="{FF2B5EF4-FFF2-40B4-BE49-F238E27FC236}">
              <a16:creationId xmlns:a16="http://schemas.microsoft.com/office/drawing/2014/main" id="{00000000-0008-0000-20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wsDr>
</file>

<file path=xl/drawings/drawing10.xml><?xml version="1.0" encoding="utf-8"?>
<c:userShapes xmlns:c="http://schemas.openxmlformats.org/drawingml/2006/chart">
  <cdr:relSizeAnchor xmlns:cdr="http://schemas.openxmlformats.org/drawingml/2006/chartDrawing">
    <cdr:from>
      <cdr:x>0.33958</cdr:x>
      <cdr:y>0.38542</cdr:y>
    </cdr:from>
    <cdr:to>
      <cdr:x>0.67917</cdr:x>
      <cdr:y>0.60069</cdr:y>
    </cdr:to>
    <cdr:sp macro="" textlink="">
      <cdr:nvSpPr>
        <cdr:cNvPr id="2" name="TextBox 1"/>
        <cdr:cNvSpPr txBox="1"/>
      </cdr:nvSpPr>
      <cdr:spPr>
        <a:xfrm xmlns:a="http://schemas.openxmlformats.org/drawingml/2006/main">
          <a:off x="1552575" y="1057275"/>
          <a:ext cx="1552575" cy="5905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a:p>
      </cdr:txBody>
    </cdr:sp>
  </cdr:relSizeAnchor>
  <cdr:relSizeAnchor xmlns:cdr="http://schemas.openxmlformats.org/drawingml/2006/chartDrawing">
    <cdr:from>
      <cdr:x>0.325</cdr:x>
      <cdr:y>0.38194</cdr:y>
    </cdr:from>
    <cdr:to>
      <cdr:x>0.68125</cdr:x>
      <cdr:y>0.56944</cdr:y>
    </cdr:to>
    <cdr:sp macro="" textlink="">
      <cdr:nvSpPr>
        <cdr:cNvPr id="3" name="TextBox 2"/>
        <cdr:cNvSpPr txBox="1"/>
      </cdr:nvSpPr>
      <cdr:spPr>
        <a:xfrm xmlns:a="http://schemas.openxmlformats.org/drawingml/2006/main">
          <a:off x="1485900" y="1047750"/>
          <a:ext cx="1628775" cy="514350"/>
        </a:xfrm>
        <a:prstGeom xmlns:a="http://schemas.openxmlformats.org/drawingml/2006/main" prst="rect">
          <a:avLst/>
        </a:prstGeom>
      </cdr:spPr>
      <cdr:txBody>
        <a:bodyPr xmlns:a="http://schemas.openxmlformats.org/drawingml/2006/main" vertOverflow="clip" wrap="square" rtlCol="0" anchor="ctr" anchorCtr="1"/>
        <a:lstStyle xmlns:a="http://schemas.openxmlformats.org/drawingml/2006/main"/>
        <a:p xmlns:a="http://schemas.openxmlformats.org/drawingml/2006/main">
          <a:pPr algn="ctr"/>
          <a:r>
            <a:rPr lang="en-GB" sz="2000" b="1">
              <a:solidFill>
                <a:schemeClr val="bg1"/>
              </a:solidFill>
              <a:latin typeface="Arial" pitchFamily="34" charset="0"/>
              <a:cs typeface="Arial" pitchFamily="34" charset="0"/>
            </a:rPr>
            <a:t>Total</a:t>
          </a:r>
        </a:p>
      </cdr:txBody>
    </cdr:sp>
  </cdr:relSizeAnchor>
</c:userShapes>
</file>

<file path=xl/drawings/drawing11.xml><?xml version="1.0" encoding="utf-8"?>
<c:userShapes xmlns:c="http://schemas.openxmlformats.org/drawingml/2006/chart">
  <cdr:relSizeAnchor xmlns:cdr="http://schemas.openxmlformats.org/drawingml/2006/chartDrawing">
    <cdr:from>
      <cdr:x>0.63951</cdr:x>
      <cdr:y>0.02727</cdr:y>
    </cdr:from>
    <cdr:to>
      <cdr:x>0.98694</cdr:x>
      <cdr:y>0.09462</cdr:y>
    </cdr:to>
    <cdr:sp macro="" textlink="">
      <cdr:nvSpPr>
        <cdr:cNvPr id="3" name="TextBox 2"/>
        <cdr:cNvSpPr txBox="1"/>
      </cdr:nvSpPr>
      <cdr:spPr>
        <a:xfrm xmlns:a="http://schemas.openxmlformats.org/drawingml/2006/main">
          <a:off x="3769178" y="102164"/>
          <a:ext cx="2047716" cy="25228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en-US" sz="900" b="0">
              <a:solidFill>
                <a:schemeClr val="accent2"/>
              </a:solidFill>
              <a:latin typeface="Arial" panose="020B0604020202020204" pitchFamily="34" charset="0"/>
              <a:cs typeface="Arial" panose="020B0604020202020204" pitchFamily="34" charset="0"/>
            </a:rPr>
            <a:t>Axis</a:t>
          </a:r>
          <a:r>
            <a:rPr lang="en-US" sz="900" b="0" baseline="0">
              <a:solidFill>
                <a:schemeClr val="accent2"/>
              </a:solidFill>
              <a:latin typeface="Arial" panose="020B0604020202020204" pitchFamily="34" charset="0"/>
              <a:cs typeface="Arial" panose="020B0604020202020204" pitchFamily="34" charset="0"/>
            </a:rPr>
            <a:t> title</a:t>
          </a:r>
          <a:endParaRPr lang="en-US" sz="900" b="0">
            <a:solidFill>
              <a:schemeClr val="accent2"/>
            </a:solidFill>
            <a:latin typeface="Arial" panose="020B0604020202020204" pitchFamily="34" charset="0"/>
            <a:cs typeface="Arial" panose="020B0604020202020204" pitchFamily="34" charset="0"/>
          </a:endParaRPr>
        </a:p>
      </cdr:txBody>
    </cdr:sp>
  </cdr:relSizeAnchor>
</c:userShapes>
</file>

<file path=xl/drawings/drawing12.xml><?xml version="1.0" encoding="utf-8"?>
<c:userShapes xmlns:c="http://schemas.openxmlformats.org/drawingml/2006/chart">
  <cdr:relSizeAnchor xmlns:cdr="http://schemas.openxmlformats.org/drawingml/2006/chartDrawing">
    <cdr:from>
      <cdr:x>0.60875</cdr:x>
      <cdr:y>0.03968</cdr:y>
    </cdr:from>
    <cdr:to>
      <cdr:x>0.95618</cdr:x>
      <cdr:y>0.10703</cdr:y>
    </cdr:to>
    <cdr:sp macro="" textlink="">
      <cdr:nvSpPr>
        <cdr:cNvPr id="2" name="TextBox 2"/>
        <cdr:cNvSpPr txBox="1"/>
      </cdr:nvSpPr>
      <cdr:spPr>
        <a:xfrm xmlns:a="http://schemas.openxmlformats.org/drawingml/2006/main">
          <a:off x="3548421" y="143287"/>
          <a:ext cx="2025175" cy="24318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en-US" sz="900" b="0">
              <a:solidFill>
                <a:schemeClr val="accent2"/>
              </a:solidFill>
              <a:latin typeface="Arial" panose="020B0604020202020204" pitchFamily="34" charset="0"/>
              <a:cs typeface="Arial" panose="020B0604020202020204" pitchFamily="34" charset="0"/>
            </a:rPr>
            <a:t>Axis</a:t>
          </a:r>
          <a:r>
            <a:rPr lang="en-US" sz="900" b="0" baseline="0">
              <a:solidFill>
                <a:schemeClr val="accent2"/>
              </a:solidFill>
              <a:latin typeface="Arial" panose="020B0604020202020204" pitchFamily="34" charset="0"/>
              <a:cs typeface="Arial" panose="020B0604020202020204" pitchFamily="34" charset="0"/>
            </a:rPr>
            <a:t> title</a:t>
          </a:r>
          <a:endParaRPr lang="en-US" sz="900" b="0">
            <a:solidFill>
              <a:schemeClr val="accent2"/>
            </a:solidFill>
            <a:latin typeface="Arial" panose="020B0604020202020204" pitchFamily="34" charset="0"/>
            <a:cs typeface="Arial" panose="020B0604020202020204" pitchFamily="34" charset="0"/>
          </a:endParaRP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G:\NEF-Shared-LO\EST\Energy%20Storage\11%20-%20Materials\Material%20Supply%20and%20demand\Demand%20from%20different%20sectors\2018-07-25%20Metals%20demand%20from%20different%20sector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Z:\Beijing\Shared\NEF\Sophie%20Lu\Metals\2019-03-04%20-%20Q1%202019%20Battery%20Materials%20Supply%20&amp;%20Demand_v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Change log"/>
      <sheetName val="Output Components"/>
      <sheetName val="Output Metal"/>
      <sheetName val="Metal content of chemistry"/>
      <sheetName val="Chemistry mix for sectors"/>
      <sheetName val="Lookup sheet"/>
      <sheetName val="Styles"/>
      <sheetName val="ExampleSheet"/>
      <sheetName val="ChartExamples"/>
      <sheetName val="AddInExamples"/>
      <sheetName val="VBA"/>
      <sheetName val="ChartTemplates"/>
    </sheetNames>
    <sheetDataSet>
      <sheetData sheetId="0"/>
      <sheetData sheetId="1"/>
      <sheetData sheetId="2"/>
      <sheetData sheetId="3"/>
      <sheetData sheetId="4">
        <row r="29">
          <cell r="M29" t="str">
            <v>Graphite content (ton/MWh active material)</v>
          </cell>
        </row>
        <row r="31">
          <cell r="M31" t="str">
            <v>Graphite</v>
          </cell>
          <cell r="N31" t="str">
            <v>Wh/kg</v>
          </cell>
          <cell r="O31" t="str">
            <v>Ton/MWh</v>
          </cell>
        </row>
        <row r="32">
          <cell r="M32" t="str">
            <v>LMO</v>
          </cell>
          <cell r="N32">
            <v>429</v>
          </cell>
          <cell r="O32">
            <v>0.71225071225071235</v>
          </cell>
        </row>
        <row r="33">
          <cell r="M33" t="str">
            <v>NCA</v>
          </cell>
          <cell r="N33">
            <v>684</v>
          </cell>
          <cell r="O33">
            <v>0.7507507507507506</v>
          </cell>
        </row>
        <row r="34">
          <cell r="M34" t="str">
            <v>LFP</v>
          </cell>
          <cell r="N34">
            <v>528</v>
          </cell>
          <cell r="O34">
            <v>0.82918739635157546</v>
          </cell>
        </row>
        <row r="35">
          <cell r="M35" t="str">
            <v>NMC (111)</v>
          </cell>
          <cell r="N35">
            <v>573</v>
          </cell>
          <cell r="O35">
            <v>0.75075075075075071</v>
          </cell>
        </row>
        <row r="36">
          <cell r="M36" t="str">
            <v>NMC (433)</v>
          </cell>
          <cell r="N36">
            <v>610</v>
          </cell>
          <cell r="O36">
            <v>0.75075075075075082</v>
          </cell>
        </row>
        <row r="37">
          <cell r="M37" t="str">
            <v>NMC (532)</v>
          </cell>
          <cell r="N37">
            <v>610</v>
          </cell>
          <cell r="O37">
            <v>0.75075075075075082</v>
          </cell>
        </row>
        <row r="38">
          <cell r="M38" t="str">
            <v>NMC (622)</v>
          </cell>
          <cell r="N38">
            <v>666</v>
          </cell>
          <cell r="O38">
            <v>0.75075075075075071</v>
          </cell>
        </row>
        <row r="39">
          <cell r="M39" t="str">
            <v>NMC (442)</v>
          </cell>
          <cell r="N39">
            <v>720</v>
          </cell>
          <cell r="O39">
            <v>0.7507507507507506</v>
          </cell>
        </row>
        <row r="40">
          <cell r="M40" t="str">
            <v>NMC (811)</v>
          </cell>
          <cell r="N40">
            <v>758</v>
          </cell>
          <cell r="O40">
            <v>0.7507507507507506</v>
          </cell>
        </row>
        <row r="41">
          <cell r="M41" t="str">
            <v>LCO</v>
          </cell>
          <cell r="N41">
            <v>666</v>
          </cell>
          <cell r="O41">
            <v>0.75075075075075071</v>
          </cell>
        </row>
        <row r="42">
          <cell r="M42" t="str">
            <v>NCA+</v>
          </cell>
          <cell r="N42">
            <v>629</v>
          </cell>
          <cell r="O42">
            <v>0.75075075075075071</v>
          </cell>
        </row>
      </sheetData>
      <sheetData sheetId="5">
        <row r="8">
          <cell r="N8" t="str">
            <v>CE Ratio LCO-LMO change</v>
          </cell>
          <cell r="O8">
            <v>2</v>
          </cell>
          <cell r="P8">
            <v>3</v>
          </cell>
          <cell r="Q8">
            <v>4</v>
          </cell>
          <cell r="R8">
            <v>5</v>
          </cell>
          <cell r="S8">
            <v>6</v>
          </cell>
          <cell r="T8">
            <v>7</v>
          </cell>
          <cell r="U8">
            <v>8</v>
          </cell>
          <cell r="V8">
            <v>9</v>
          </cell>
          <cell r="W8">
            <v>10</v>
          </cell>
          <cell r="X8">
            <v>11</v>
          </cell>
          <cell r="Y8">
            <v>12</v>
          </cell>
        </row>
        <row r="9">
          <cell r="O9" t="str">
            <v>LMO</v>
          </cell>
          <cell r="P9" t="str">
            <v>NCA</v>
          </cell>
          <cell r="Q9" t="str">
            <v>NCA+</v>
          </cell>
          <cell r="R9" t="str">
            <v>LFP</v>
          </cell>
          <cell r="S9" t="str">
            <v>NMC (111)</v>
          </cell>
          <cell r="T9" t="str">
            <v>NMC (433)</v>
          </cell>
          <cell r="U9" t="str">
            <v>NMC (442)</v>
          </cell>
          <cell r="V9" t="str">
            <v>NMC (532)</v>
          </cell>
          <cell r="W9" t="str">
            <v>NMC (622)</v>
          </cell>
          <cell r="X9" t="str">
            <v>NMC (811)</v>
          </cell>
          <cell r="Y9" t="str">
            <v>LCO</v>
          </cell>
        </row>
        <row r="10">
          <cell r="N10">
            <v>2011</v>
          </cell>
          <cell r="O10">
            <v>0.15</v>
          </cell>
          <cell r="P10">
            <v>0</v>
          </cell>
          <cell r="Q10">
            <v>0</v>
          </cell>
          <cell r="R10">
            <v>0.05</v>
          </cell>
          <cell r="S10">
            <v>0</v>
          </cell>
          <cell r="T10">
            <v>0</v>
          </cell>
          <cell r="U10">
            <v>0</v>
          </cell>
          <cell r="V10">
            <v>0</v>
          </cell>
          <cell r="W10">
            <v>0</v>
          </cell>
          <cell r="X10">
            <v>0</v>
          </cell>
          <cell r="Y10">
            <v>0.8</v>
          </cell>
        </row>
        <row r="11">
          <cell r="N11">
            <v>2012</v>
          </cell>
          <cell r="O11">
            <v>0.15</v>
          </cell>
          <cell r="P11">
            <v>0</v>
          </cell>
          <cell r="Q11">
            <v>0</v>
          </cell>
          <cell r="R11">
            <v>0.05</v>
          </cell>
          <cell r="S11">
            <v>0</v>
          </cell>
          <cell r="T11">
            <v>0</v>
          </cell>
          <cell r="U11">
            <v>0</v>
          </cell>
          <cell r="V11">
            <v>0</v>
          </cell>
          <cell r="W11">
            <v>0</v>
          </cell>
          <cell r="X11">
            <v>0</v>
          </cell>
          <cell r="Y11">
            <v>0.8</v>
          </cell>
        </row>
        <row r="12">
          <cell r="N12">
            <v>2013</v>
          </cell>
          <cell r="O12">
            <v>0.13</v>
          </cell>
          <cell r="P12">
            <v>0</v>
          </cell>
          <cell r="Q12">
            <v>0</v>
          </cell>
          <cell r="R12">
            <v>0.05</v>
          </cell>
          <cell r="S12">
            <v>7.0000000000000007E-2</v>
          </cell>
          <cell r="T12">
            <v>0</v>
          </cell>
          <cell r="U12">
            <v>0</v>
          </cell>
          <cell r="V12">
            <v>0</v>
          </cell>
          <cell r="W12">
            <v>0</v>
          </cell>
          <cell r="X12">
            <v>0</v>
          </cell>
          <cell r="Y12">
            <v>0.75</v>
          </cell>
        </row>
        <row r="13">
          <cell r="N13">
            <v>2014</v>
          </cell>
          <cell r="O13">
            <v>0.08</v>
          </cell>
          <cell r="P13">
            <v>0</v>
          </cell>
          <cell r="Q13">
            <v>0</v>
          </cell>
          <cell r="R13">
            <v>0.05</v>
          </cell>
          <cell r="S13">
            <v>7.0000000000000007E-2</v>
          </cell>
          <cell r="T13">
            <v>0</v>
          </cell>
          <cell r="U13">
            <v>0</v>
          </cell>
          <cell r="V13">
            <v>0</v>
          </cell>
          <cell r="W13">
            <v>0.02</v>
          </cell>
          <cell r="X13">
            <v>0</v>
          </cell>
          <cell r="Y13">
            <v>0.78</v>
          </cell>
        </row>
        <row r="14">
          <cell r="N14">
            <v>2015</v>
          </cell>
          <cell r="O14">
            <v>0.06</v>
          </cell>
          <cell r="P14">
            <v>0</v>
          </cell>
          <cell r="Q14">
            <v>0</v>
          </cell>
          <cell r="R14">
            <v>0.05</v>
          </cell>
          <cell r="S14">
            <v>0.1</v>
          </cell>
          <cell r="T14">
            <v>0</v>
          </cell>
          <cell r="U14">
            <v>0</v>
          </cell>
          <cell r="V14">
            <v>0</v>
          </cell>
          <cell r="W14">
            <v>0.05</v>
          </cell>
          <cell r="X14">
            <v>0</v>
          </cell>
          <cell r="Y14">
            <v>0.74</v>
          </cell>
        </row>
        <row r="15">
          <cell r="N15">
            <v>2016</v>
          </cell>
          <cell r="O15">
            <v>0.05</v>
          </cell>
          <cell r="P15">
            <v>0</v>
          </cell>
          <cell r="Q15">
            <v>0</v>
          </cell>
          <cell r="R15">
            <v>0.05</v>
          </cell>
          <cell r="S15">
            <v>0.14000000000000001</v>
          </cell>
          <cell r="T15">
            <v>0</v>
          </cell>
          <cell r="U15">
            <v>0</v>
          </cell>
          <cell r="V15">
            <v>0</v>
          </cell>
          <cell r="W15">
            <v>7.0000000000000007E-2</v>
          </cell>
          <cell r="X15">
            <v>0</v>
          </cell>
          <cell r="Y15">
            <v>0.69</v>
          </cell>
        </row>
        <row r="16">
          <cell r="N16">
            <v>2017</v>
          </cell>
          <cell r="O16">
            <v>0.03</v>
          </cell>
          <cell r="P16">
            <v>0</v>
          </cell>
          <cell r="Q16">
            <v>0</v>
          </cell>
          <cell r="R16">
            <v>7.0000000000000007E-2</v>
          </cell>
          <cell r="S16">
            <v>0.16</v>
          </cell>
          <cell r="T16">
            <v>0</v>
          </cell>
          <cell r="U16">
            <v>0</v>
          </cell>
          <cell r="V16">
            <v>0</v>
          </cell>
          <cell r="W16">
            <v>0.1</v>
          </cell>
          <cell r="X16">
            <v>0.05</v>
          </cell>
          <cell r="Y16">
            <v>0.59</v>
          </cell>
        </row>
        <row r="17">
          <cell r="N17">
            <v>2018</v>
          </cell>
          <cell r="O17">
            <v>0.02</v>
          </cell>
          <cell r="P17">
            <v>0</v>
          </cell>
          <cell r="Q17">
            <v>0</v>
          </cell>
          <cell r="R17">
            <v>7.0000000000000007E-2</v>
          </cell>
          <cell r="S17">
            <v>0.16</v>
          </cell>
          <cell r="T17">
            <v>0</v>
          </cell>
          <cell r="U17">
            <v>0</v>
          </cell>
          <cell r="V17">
            <v>0</v>
          </cell>
          <cell r="W17">
            <v>0.1</v>
          </cell>
          <cell r="X17">
            <v>0.06</v>
          </cell>
          <cell r="Y17">
            <v>0.59</v>
          </cell>
        </row>
        <row r="18">
          <cell r="N18">
            <v>2019</v>
          </cell>
          <cell r="O18">
            <v>0.02</v>
          </cell>
          <cell r="P18">
            <v>0</v>
          </cell>
          <cell r="Q18">
            <v>0</v>
          </cell>
          <cell r="R18">
            <v>7.0000000000000007E-2</v>
          </cell>
          <cell r="S18">
            <v>0.16</v>
          </cell>
          <cell r="T18">
            <v>0</v>
          </cell>
          <cell r="U18">
            <v>0</v>
          </cell>
          <cell r="V18">
            <v>0</v>
          </cell>
          <cell r="W18">
            <v>0.1</v>
          </cell>
          <cell r="X18">
            <v>0.06</v>
          </cell>
          <cell r="Y18">
            <v>0.59</v>
          </cell>
        </row>
        <row r="19">
          <cell r="N19">
            <v>2020</v>
          </cell>
          <cell r="O19">
            <v>0.02</v>
          </cell>
          <cell r="P19">
            <v>0</v>
          </cell>
          <cell r="Q19">
            <v>0</v>
          </cell>
          <cell r="R19">
            <v>7.0000000000000007E-2</v>
          </cell>
          <cell r="S19">
            <v>0.16</v>
          </cell>
          <cell r="T19">
            <v>0</v>
          </cell>
          <cell r="U19">
            <v>0</v>
          </cell>
          <cell r="V19">
            <v>0</v>
          </cell>
          <cell r="W19">
            <v>0.1</v>
          </cell>
          <cell r="X19">
            <v>0.06</v>
          </cell>
          <cell r="Y19">
            <v>0.59</v>
          </cell>
        </row>
        <row r="20">
          <cell r="N20">
            <v>2021</v>
          </cell>
          <cell r="O20">
            <v>0.01</v>
          </cell>
          <cell r="P20">
            <v>0</v>
          </cell>
          <cell r="Q20">
            <v>0</v>
          </cell>
          <cell r="R20">
            <v>7.0000000000000007E-2</v>
          </cell>
          <cell r="S20">
            <v>0.15</v>
          </cell>
          <cell r="T20">
            <v>0</v>
          </cell>
          <cell r="U20">
            <v>0</v>
          </cell>
          <cell r="V20">
            <v>0</v>
          </cell>
          <cell r="W20">
            <v>0.1</v>
          </cell>
          <cell r="X20">
            <v>0.08</v>
          </cell>
          <cell r="Y20">
            <v>0.59</v>
          </cell>
        </row>
        <row r="21">
          <cell r="N21">
            <v>2022</v>
          </cell>
          <cell r="O21">
            <v>0.01</v>
          </cell>
          <cell r="P21">
            <v>0</v>
          </cell>
          <cell r="Q21">
            <v>0</v>
          </cell>
          <cell r="R21">
            <v>7.0000000000000007E-2</v>
          </cell>
          <cell r="S21">
            <v>0.15</v>
          </cell>
          <cell r="T21">
            <v>0</v>
          </cell>
          <cell r="U21">
            <v>0</v>
          </cell>
          <cell r="V21">
            <v>0</v>
          </cell>
          <cell r="W21">
            <v>0.1</v>
          </cell>
          <cell r="X21">
            <v>0.08</v>
          </cell>
          <cell r="Y21">
            <v>0.59</v>
          </cell>
        </row>
        <row r="22">
          <cell r="N22">
            <v>2023</v>
          </cell>
          <cell r="O22">
            <v>0.01</v>
          </cell>
          <cell r="P22">
            <v>0</v>
          </cell>
          <cell r="Q22">
            <v>0</v>
          </cell>
          <cell r="R22">
            <v>7.0000000000000007E-2</v>
          </cell>
          <cell r="S22">
            <v>0.13</v>
          </cell>
          <cell r="T22">
            <v>0</v>
          </cell>
          <cell r="U22">
            <v>0</v>
          </cell>
          <cell r="V22">
            <v>0</v>
          </cell>
          <cell r="W22">
            <v>0.1</v>
          </cell>
          <cell r="X22">
            <v>0.1</v>
          </cell>
          <cell r="Y22">
            <v>0.59</v>
          </cell>
        </row>
        <row r="23">
          <cell r="N23">
            <v>2024</v>
          </cell>
          <cell r="O23">
            <v>0.01</v>
          </cell>
          <cell r="P23">
            <v>0</v>
          </cell>
          <cell r="Q23">
            <v>0</v>
          </cell>
          <cell r="R23">
            <v>7.0000000000000007E-2</v>
          </cell>
          <cell r="S23">
            <v>0.13</v>
          </cell>
          <cell r="T23">
            <v>0</v>
          </cell>
          <cell r="U23">
            <v>0</v>
          </cell>
          <cell r="V23">
            <v>0</v>
          </cell>
          <cell r="W23">
            <v>0.1</v>
          </cell>
          <cell r="X23">
            <v>0.1</v>
          </cell>
          <cell r="Y23">
            <v>0.59</v>
          </cell>
        </row>
        <row r="24">
          <cell r="N24">
            <v>2025</v>
          </cell>
          <cell r="O24">
            <v>0</v>
          </cell>
          <cell r="P24">
            <v>0</v>
          </cell>
          <cell r="Q24">
            <v>0</v>
          </cell>
          <cell r="R24">
            <v>7.0000000000000007E-2</v>
          </cell>
          <cell r="S24">
            <v>0.12</v>
          </cell>
          <cell r="T24">
            <v>0</v>
          </cell>
          <cell r="U24">
            <v>0</v>
          </cell>
          <cell r="V24">
            <v>0</v>
          </cell>
          <cell r="W24">
            <v>0.1</v>
          </cell>
          <cell r="X24">
            <v>0.12</v>
          </cell>
          <cell r="Y24">
            <v>0.59</v>
          </cell>
        </row>
        <row r="25">
          <cell r="N25">
            <v>2026</v>
          </cell>
          <cell r="O25">
            <v>0</v>
          </cell>
          <cell r="P25">
            <v>0</v>
          </cell>
          <cell r="Q25">
            <v>0</v>
          </cell>
          <cell r="R25">
            <v>7.0000000000000007E-2</v>
          </cell>
          <cell r="S25">
            <v>0.1</v>
          </cell>
          <cell r="T25">
            <v>0</v>
          </cell>
          <cell r="U25">
            <v>0</v>
          </cell>
          <cell r="V25">
            <v>0</v>
          </cell>
          <cell r="W25">
            <v>0.1</v>
          </cell>
          <cell r="X25">
            <v>0.14000000000000001</v>
          </cell>
          <cell r="Y25">
            <v>0.59</v>
          </cell>
        </row>
        <row r="26">
          <cell r="N26">
            <v>2027</v>
          </cell>
          <cell r="O26">
            <v>0</v>
          </cell>
          <cell r="P26">
            <v>0</v>
          </cell>
          <cell r="Q26">
            <v>0</v>
          </cell>
          <cell r="R26">
            <v>7.0000000000000007E-2</v>
          </cell>
          <cell r="S26">
            <v>0.08</v>
          </cell>
          <cell r="T26">
            <v>0</v>
          </cell>
          <cell r="U26">
            <v>0</v>
          </cell>
          <cell r="V26">
            <v>0</v>
          </cell>
          <cell r="W26">
            <v>0.1</v>
          </cell>
          <cell r="X26">
            <v>0.16</v>
          </cell>
          <cell r="Y26">
            <v>0.59</v>
          </cell>
        </row>
        <row r="27">
          <cell r="N27">
            <v>2028</v>
          </cell>
          <cell r="O27">
            <v>0</v>
          </cell>
          <cell r="P27">
            <v>0</v>
          </cell>
          <cell r="Q27">
            <v>0</v>
          </cell>
          <cell r="R27">
            <v>7.0000000000000007E-2</v>
          </cell>
          <cell r="S27">
            <v>0.08</v>
          </cell>
          <cell r="T27">
            <v>0</v>
          </cell>
          <cell r="U27">
            <v>0</v>
          </cell>
          <cell r="V27">
            <v>0</v>
          </cell>
          <cell r="W27">
            <v>0.1</v>
          </cell>
          <cell r="X27">
            <v>0.16</v>
          </cell>
          <cell r="Y27">
            <v>0.59</v>
          </cell>
        </row>
        <row r="28">
          <cell r="N28">
            <v>2029</v>
          </cell>
          <cell r="O28">
            <v>0</v>
          </cell>
          <cell r="P28">
            <v>0</v>
          </cell>
          <cell r="Q28">
            <v>0</v>
          </cell>
          <cell r="R28">
            <v>7.0000000000000007E-2</v>
          </cell>
          <cell r="S28">
            <v>7.0000000000000007E-2</v>
          </cell>
          <cell r="T28">
            <v>0</v>
          </cell>
          <cell r="U28">
            <v>0</v>
          </cell>
          <cell r="V28">
            <v>0</v>
          </cell>
          <cell r="W28">
            <v>0.1</v>
          </cell>
          <cell r="X28">
            <v>0.17</v>
          </cell>
          <cell r="Y28">
            <v>0.59</v>
          </cell>
        </row>
        <row r="29">
          <cell r="N29">
            <v>2030</v>
          </cell>
          <cell r="O29">
            <v>0</v>
          </cell>
          <cell r="P29">
            <v>0</v>
          </cell>
          <cell r="Q29">
            <v>0</v>
          </cell>
          <cell r="R29">
            <v>7.0000000000000007E-2</v>
          </cell>
          <cell r="S29">
            <v>0.05</v>
          </cell>
          <cell r="T29">
            <v>0</v>
          </cell>
          <cell r="U29">
            <v>0</v>
          </cell>
          <cell r="V29">
            <v>0</v>
          </cell>
          <cell r="W29">
            <v>0.1</v>
          </cell>
          <cell r="X29">
            <v>0.19</v>
          </cell>
          <cell r="Y29">
            <v>0.59</v>
          </cell>
        </row>
        <row r="31">
          <cell r="N31" t="str">
            <v>https://www.researchgate.net/publication/223709919_Lithium_Batteries_Status_Prospects_and_Future/figures?lo=1</v>
          </cell>
        </row>
      </sheetData>
      <sheetData sheetId="6">
        <row r="9">
          <cell r="A9" t="str">
            <v>LMO</v>
          </cell>
          <cell r="B9">
            <v>2</v>
          </cell>
        </row>
        <row r="10">
          <cell r="A10" t="str">
            <v>NCA</v>
          </cell>
          <cell r="B10">
            <v>3</v>
          </cell>
        </row>
        <row r="11">
          <cell r="A11" t="str">
            <v>NCA+</v>
          </cell>
          <cell r="B11">
            <v>4</v>
          </cell>
        </row>
        <row r="12">
          <cell r="A12" t="str">
            <v>LFP</v>
          </cell>
          <cell r="B12">
            <v>5</v>
          </cell>
        </row>
        <row r="13">
          <cell r="A13" t="str">
            <v>NMC (111)</v>
          </cell>
          <cell r="B13">
            <v>6</v>
          </cell>
        </row>
        <row r="14">
          <cell r="A14" t="str">
            <v>NMC (433)</v>
          </cell>
          <cell r="B14">
            <v>7</v>
          </cell>
        </row>
        <row r="15">
          <cell r="A15" t="str">
            <v>NMC (442)</v>
          </cell>
          <cell r="B15">
            <v>8</v>
          </cell>
        </row>
        <row r="16">
          <cell r="A16" t="str">
            <v>NMC (532)</v>
          </cell>
          <cell r="B16">
            <v>9</v>
          </cell>
        </row>
        <row r="17">
          <cell r="A17" t="str">
            <v>NMC (622)</v>
          </cell>
          <cell r="B17">
            <v>10</v>
          </cell>
        </row>
        <row r="18">
          <cell r="A18" t="str">
            <v>NMC (811)</v>
          </cell>
          <cell r="B18">
            <v>11</v>
          </cell>
        </row>
        <row r="19">
          <cell r="A19" t="str">
            <v>LCO</v>
          </cell>
          <cell r="B19">
            <v>12</v>
          </cell>
        </row>
      </sheetData>
      <sheetData sheetId="7"/>
      <sheetData sheetId="8"/>
      <sheetData sheetId="9"/>
      <sheetData sheetId="10"/>
      <sheetData sheetId="11">
        <row r="17">
          <cell r="C17">
            <v>104</v>
          </cell>
        </row>
      </sheetData>
      <sheetData sheetId="1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Change Log"/>
      <sheetName val="Risk updates"/>
      <sheetName val="Lithium"/>
      <sheetName val="Li - China"/>
      <sheetName val="Li Market"/>
      <sheetName val="Cobalt"/>
      <sheetName val="Co Mkt"/>
      <sheetName val="Nickel"/>
      <sheetName val="Ni Mkt"/>
      <sheetName val="Graphite"/>
      <sheetName val="Lithium Charts"/>
      <sheetName val="Cobalt Charts"/>
      <sheetName val="Back office"/>
      <sheetName val="Methodology"/>
      <sheetName val="Styles"/>
      <sheetName val="ExampleSheet"/>
      <sheetName val="ChartExamples"/>
      <sheetName val="AddInExamples"/>
      <sheetName val="VBA"/>
      <sheetName val="ChartTemplates"/>
    </sheetNames>
    <sheetDataSet>
      <sheetData sheetId="0"/>
      <sheetData sheetId="1"/>
      <sheetData sheetId="2"/>
      <sheetData sheetId="3">
        <row r="44">
          <cell r="I44">
            <v>2011</v>
          </cell>
          <cell r="J44">
            <v>2012</v>
          </cell>
          <cell r="K44">
            <v>2013</v>
          </cell>
          <cell r="L44">
            <v>2014</v>
          </cell>
          <cell r="M44">
            <v>2015</v>
          </cell>
          <cell r="N44">
            <v>2016</v>
          </cell>
          <cell r="O44">
            <v>2017</v>
          </cell>
          <cell r="P44">
            <v>2018</v>
          </cell>
          <cell r="Q44">
            <v>2019</v>
          </cell>
          <cell r="R44">
            <v>2020</v>
          </cell>
          <cell r="S44">
            <v>2021</v>
          </cell>
          <cell r="T44">
            <v>2022</v>
          </cell>
          <cell r="U44">
            <v>2023</v>
          </cell>
          <cell r="V44">
            <v>2024</v>
          </cell>
          <cell r="W44">
            <v>2025</v>
          </cell>
          <cell r="X44">
            <v>2026</v>
          </cell>
          <cell r="Y44">
            <v>2027</v>
          </cell>
          <cell r="Z44">
            <v>2028</v>
          </cell>
          <cell r="AA44">
            <v>2029</v>
          </cell>
          <cell r="AB44">
            <v>2030</v>
          </cell>
        </row>
        <row r="55">
          <cell r="B55" t="str">
            <v>Historic supply</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17">
          <cell r="C17">
            <v>104</v>
          </cell>
        </row>
      </sheetData>
      <sheetData sheetId="2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13" displayName="Table13" ref="A1:A9" totalsRowShown="0" headerRowDxfId="135" dataDxfId="133" headerRowBorderDxfId="134" headerRowCellStyle="Table Header 2">
  <autoFilter ref="A1:A9" xr:uid="{00000000-0009-0000-0100-000002000000}"/>
  <tableColumns count="1">
    <tableColumn id="1" xr3:uid="{00000000-0010-0000-0000-000001000000}" name="Type" dataDxfId="13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BNEF2017">
      <a:dk1>
        <a:srgbClr val="000000"/>
      </a:dk1>
      <a:lt1>
        <a:srgbClr val="FFFFFF"/>
      </a:lt1>
      <a:dk2>
        <a:srgbClr val="FFFFFF"/>
      </a:dk2>
      <a:lt2>
        <a:srgbClr val="FFFFFF"/>
      </a:lt2>
      <a:accent1>
        <a:srgbClr val="00AEE5"/>
      </a:accent1>
      <a:accent2>
        <a:srgbClr val="7654A3"/>
      </a:accent2>
      <a:accent3>
        <a:srgbClr val="43BEAD"/>
      </a:accent3>
      <a:accent4>
        <a:srgbClr val="FFE838"/>
      </a:accent4>
      <a:accent5>
        <a:srgbClr val="ED3124"/>
      </a:accent5>
      <a:accent6>
        <a:srgbClr val="19B24E"/>
      </a:accent6>
      <a:hlink>
        <a:srgbClr val="000000"/>
      </a:hlink>
      <a:folHlink>
        <a:srgbClr val="00000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BNEF2017">
    <a:dk1>
      <a:srgbClr val="000000"/>
    </a:dk1>
    <a:lt1>
      <a:srgbClr val="FFFFFF"/>
    </a:lt1>
    <a:dk2>
      <a:srgbClr val="FFFFFF"/>
    </a:dk2>
    <a:lt2>
      <a:srgbClr val="FFFFFF"/>
    </a:lt2>
    <a:accent1>
      <a:srgbClr val="00AEE5"/>
    </a:accent1>
    <a:accent2>
      <a:srgbClr val="B65CA3"/>
    </a:accent2>
    <a:accent3>
      <a:srgbClr val="43BEAD"/>
    </a:accent3>
    <a:accent4>
      <a:srgbClr val="FFE838"/>
    </a:accent4>
    <a:accent5>
      <a:srgbClr val="ED3124"/>
    </a:accent5>
    <a:accent6>
      <a:srgbClr val="19B24E"/>
    </a:accent6>
    <a:hlink>
      <a:srgbClr val="000000"/>
    </a:hlink>
    <a:folHlink>
      <a:srgbClr val="00000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BNEF 2011">
    <a:dk1>
      <a:srgbClr val="000000"/>
    </a:dk1>
    <a:lt1>
      <a:srgbClr val="FFFFFF"/>
    </a:lt1>
    <a:dk2>
      <a:srgbClr val="FFFFFF"/>
    </a:dk2>
    <a:lt2>
      <a:srgbClr val="FFFFFF"/>
    </a:lt2>
    <a:accent1>
      <a:srgbClr val="44AE7E"/>
    </a:accent1>
    <a:accent2>
      <a:srgbClr val="BFBDBE"/>
    </a:accent2>
    <a:accent3>
      <a:srgbClr val="49C0E6"/>
    </a:accent3>
    <a:accent4>
      <a:srgbClr val="312F2F"/>
    </a:accent4>
    <a:accent5>
      <a:srgbClr val="8CCEAD"/>
    </a:accent5>
    <a:accent6>
      <a:srgbClr val="666769"/>
    </a:accent6>
    <a:hlink>
      <a:srgbClr val="44AE7E"/>
    </a:hlink>
    <a:folHlink>
      <a:srgbClr val="49C0E6"/>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BNEF2017">
    <a:dk1>
      <a:srgbClr val="000000"/>
    </a:dk1>
    <a:lt1>
      <a:srgbClr val="FFFFFF"/>
    </a:lt1>
    <a:dk2>
      <a:srgbClr val="FFFFFF"/>
    </a:dk2>
    <a:lt2>
      <a:srgbClr val="FFFFFF"/>
    </a:lt2>
    <a:accent1>
      <a:srgbClr val="00AEE5"/>
    </a:accent1>
    <a:accent2>
      <a:srgbClr val="7654A3"/>
    </a:accent2>
    <a:accent3>
      <a:srgbClr val="43BEAD"/>
    </a:accent3>
    <a:accent4>
      <a:srgbClr val="FFE838"/>
    </a:accent4>
    <a:accent5>
      <a:srgbClr val="ED3124"/>
    </a:accent5>
    <a:accent6>
      <a:srgbClr val="19B24E"/>
    </a:accent6>
    <a:hlink>
      <a:srgbClr val="000000"/>
    </a:hlink>
    <a:folHlink>
      <a:srgbClr val="00000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BNEF2017">
    <a:dk1>
      <a:srgbClr val="000000"/>
    </a:dk1>
    <a:lt1>
      <a:srgbClr val="FFFFFF"/>
    </a:lt1>
    <a:dk2>
      <a:srgbClr val="FFFFFF"/>
    </a:dk2>
    <a:lt2>
      <a:srgbClr val="FFFFFF"/>
    </a:lt2>
    <a:accent1>
      <a:srgbClr val="00AEE5"/>
    </a:accent1>
    <a:accent2>
      <a:srgbClr val="B65CA3"/>
    </a:accent2>
    <a:accent3>
      <a:srgbClr val="43BEAD"/>
    </a:accent3>
    <a:accent4>
      <a:srgbClr val="FFE838"/>
    </a:accent4>
    <a:accent5>
      <a:srgbClr val="ED3124"/>
    </a:accent5>
    <a:accent6>
      <a:srgbClr val="19B24E"/>
    </a:accent6>
    <a:hlink>
      <a:srgbClr val="000000"/>
    </a:hlink>
    <a:folHlink>
      <a:srgbClr val="00000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BNEF2017">
    <a:dk1>
      <a:srgbClr val="000000"/>
    </a:dk1>
    <a:lt1>
      <a:srgbClr val="FFFFFF"/>
    </a:lt1>
    <a:dk2>
      <a:srgbClr val="FFFFFF"/>
    </a:dk2>
    <a:lt2>
      <a:srgbClr val="FFFFFF"/>
    </a:lt2>
    <a:accent1>
      <a:srgbClr val="00AEE5"/>
    </a:accent1>
    <a:accent2>
      <a:srgbClr val="B65CA3"/>
    </a:accent2>
    <a:accent3>
      <a:srgbClr val="43BEAD"/>
    </a:accent3>
    <a:accent4>
      <a:srgbClr val="FFE838"/>
    </a:accent4>
    <a:accent5>
      <a:srgbClr val="ED3124"/>
    </a:accent5>
    <a:accent6>
      <a:srgbClr val="19B24E"/>
    </a:accent6>
    <a:hlink>
      <a:srgbClr val="000000"/>
    </a:hlink>
    <a:folHlink>
      <a:srgbClr val="00000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BNEF2017">
    <a:dk1>
      <a:srgbClr val="000000"/>
    </a:dk1>
    <a:lt1>
      <a:srgbClr val="FFFFFF"/>
    </a:lt1>
    <a:dk2>
      <a:srgbClr val="FFFFFF"/>
    </a:dk2>
    <a:lt2>
      <a:srgbClr val="FFFFFF"/>
    </a:lt2>
    <a:accent1>
      <a:srgbClr val="00AEE5"/>
    </a:accent1>
    <a:accent2>
      <a:srgbClr val="B65CA3"/>
    </a:accent2>
    <a:accent3>
      <a:srgbClr val="43BEAD"/>
    </a:accent3>
    <a:accent4>
      <a:srgbClr val="FFE838"/>
    </a:accent4>
    <a:accent5>
      <a:srgbClr val="ED3124"/>
    </a:accent5>
    <a:accent6>
      <a:srgbClr val="19B24E"/>
    </a:accent6>
    <a:hlink>
      <a:srgbClr val="000000"/>
    </a:hlink>
    <a:folHlink>
      <a:srgbClr val="00000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BNEF 2011">
    <a:dk1>
      <a:srgbClr val="000000"/>
    </a:dk1>
    <a:lt1>
      <a:srgbClr val="FFFFFF"/>
    </a:lt1>
    <a:dk2>
      <a:srgbClr val="FFFFFF"/>
    </a:dk2>
    <a:lt2>
      <a:srgbClr val="FFFFFF"/>
    </a:lt2>
    <a:accent1>
      <a:srgbClr val="44AE7E"/>
    </a:accent1>
    <a:accent2>
      <a:srgbClr val="BFBDBE"/>
    </a:accent2>
    <a:accent3>
      <a:srgbClr val="49C0E6"/>
    </a:accent3>
    <a:accent4>
      <a:srgbClr val="312F2F"/>
    </a:accent4>
    <a:accent5>
      <a:srgbClr val="8CCEAD"/>
    </a:accent5>
    <a:accent6>
      <a:srgbClr val="666769"/>
    </a:accent6>
    <a:hlink>
      <a:srgbClr val="44AE7E"/>
    </a:hlink>
    <a:folHlink>
      <a:srgbClr val="49C0E6"/>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BNEF 2011">
    <a:dk1>
      <a:srgbClr val="000000"/>
    </a:dk1>
    <a:lt1>
      <a:srgbClr val="FFFFFF"/>
    </a:lt1>
    <a:dk2>
      <a:srgbClr val="FFFFFF"/>
    </a:dk2>
    <a:lt2>
      <a:srgbClr val="FFFFFF"/>
    </a:lt2>
    <a:accent1>
      <a:srgbClr val="44AE7E"/>
    </a:accent1>
    <a:accent2>
      <a:srgbClr val="BFBDBE"/>
    </a:accent2>
    <a:accent3>
      <a:srgbClr val="49C0E6"/>
    </a:accent3>
    <a:accent4>
      <a:srgbClr val="312F2F"/>
    </a:accent4>
    <a:accent5>
      <a:srgbClr val="8CCEAD"/>
    </a:accent5>
    <a:accent6>
      <a:srgbClr val="666769"/>
    </a:accent6>
    <a:hlink>
      <a:srgbClr val="44AE7E"/>
    </a:hlink>
    <a:folHlink>
      <a:srgbClr val="49C0E6"/>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BNEF2017">
    <a:dk1>
      <a:srgbClr val="000000"/>
    </a:dk1>
    <a:lt1>
      <a:srgbClr val="FFFFFF"/>
    </a:lt1>
    <a:dk2>
      <a:srgbClr val="FFFFFF"/>
    </a:dk2>
    <a:lt2>
      <a:srgbClr val="FFFFFF"/>
    </a:lt2>
    <a:accent1>
      <a:srgbClr val="00AEE5"/>
    </a:accent1>
    <a:accent2>
      <a:srgbClr val="B65CA3"/>
    </a:accent2>
    <a:accent3>
      <a:srgbClr val="43BEAD"/>
    </a:accent3>
    <a:accent4>
      <a:srgbClr val="FFE838"/>
    </a:accent4>
    <a:accent5>
      <a:srgbClr val="ED3124"/>
    </a:accent5>
    <a:accent6>
      <a:srgbClr val="19B24E"/>
    </a:accent6>
    <a:hlink>
      <a:srgbClr val="000000"/>
    </a:hlink>
    <a:folHlink>
      <a:srgbClr val="00000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BNEF2017">
    <a:dk1>
      <a:srgbClr val="000000"/>
    </a:dk1>
    <a:lt1>
      <a:srgbClr val="FFFFFF"/>
    </a:lt1>
    <a:dk2>
      <a:srgbClr val="FFFFFF"/>
    </a:dk2>
    <a:lt2>
      <a:srgbClr val="FFFFFF"/>
    </a:lt2>
    <a:accent1>
      <a:srgbClr val="00AEE5"/>
    </a:accent1>
    <a:accent2>
      <a:srgbClr val="B65CA3"/>
    </a:accent2>
    <a:accent3>
      <a:srgbClr val="43BEAD"/>
    </a:accent3>
    <a:accent4>
      <a:srgbClr val="FFE838"/>
    </a:accent4>
    <a:accent5>
      <a:srgbClr val="ED3124"/>
    </a:accent5>
    <a:accent6>
      <a:srgbClr val="19B24E"/>
    </a:accent6>
    <a:hlink>
      <a:srgbClr val="000000"/>
    </a:hlink>
    <a:folHlink>
      <a:srgbClr val="00000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smustri@bloomberg.net" TargetMode="External"/></Relationships>
</file>

<file path=xl/worksheets/_rels/sheet2.xml.rels><?xml version="1.0" encoding="UTF-8" standalone="yes"?>
<Relationships xmlns="http://schemas.openxmlformats.org/package/2006/relationships"><Relationship Id="rId26" Type="http://schemas.openxmlformats.org/officeDocument/2006/relationships/hyperlink" Target="https://www.orocobre.com/news/mdocs-posts/naraha-lithium-hydroxide-plant-approved/?mdocs-file=5594&amp;mdocs-url=false" TargetMode="External"/><Relationship Id="rId117" Type="http://schemas.openxmlformats.org/officeDocument/2006/relationships/hyperlink" Target="https://clients3.weblink.com.au/pdf/MIN/02175046.pdf" TargetMode="External"/><Relationship Id="rId21" Type="http://schemas.openxmlformats.org/officeDocument/2006/relationships/hyperlink" Target="http://www.exoreresources.com.au/projects/portugal-lithium-projects/" TargetMode="External"/><Relationship Id="rId42" Type="http://schemas.openxmlformats.org/officeDocument/2006/relationships/hyperlink" Target="https://www.nrgmetalsinc.com/wp-content/uploads/NRG2018-11-16-HMN-43-101-Technical-Report.pdf" TargetMode="External"/><Relationship Id="rId47" Type="http://schemas.openxmlformats.org/officeDocument/2006/relationships/hyperlink" Target="http://yc.cnhubei.com/mrtt/201901/t4209030.shtml" TargetMode="External"/><Relationship Id="rId63" Type="http://schemas.openxmlformats.org/officeDocument/2006/relationships/hyperlink" Target="https://www.internationallithium.com/ganfeng-lithium/" TargetMode="External"/><Relationship Id="rId68" Type="http://schemas.openxmlformats.org/officeDocument/2006/relationships/hyperlink" Target="http://www.tianqilithium.com/en/base-detail.aspx?ContentID=6&amp;t=59" TargetMode="External"/><Relationship Id="rId84" Type="http://schemas.openxmlformats.org/officeDocument/2006/relationships/hyperlink" Target="https://plateauenergymetals.com/falchani-lithium-project/" TargetMode="External"/><Relationship Id="rId89" Type="http://schemas.openxmlformats.org/officeDocument/2006/relationships/hyperlink" Target="https://www.reuters.com/article/us-galaxy-resources-divestiture/posco-buys-lithium-mining-rights-in-argentina-from-australias-galaxy-idUSKCN1LC0NO" TargetMode="External"/><Relationship Id="rId112" Type="http://schemas.openxmlformats.org/officeDocument/2006/relationships/hyperlink" Target="https://investors.albemarle.com/static-files/3f193c43-bc7e-4b05-ae1a-bf15735fb1d5" TargetMode="External"/><Relationship Id="rId16" Type="http://schemas.openxmlformats.org/officeDocument/2006/relationships/hyperlink" Target="http://pg.jrj.com.cn/acc/Res/CN_RES/STOCK/2017/11/20/841d84d7-ea39-4991-8a90-9daad9629bfd.pdf" TargetMode="External"/><Relationship Id="rId107" Type="http://schemas.openxmlformats.org/officeDocument/2006/relationships/hyperlink" Target="https://ir.livent.com/news/news-details/2019/Livent-Hosts-Groundbreaking-Ceremony-for-Construction-of-Additional-Lithium-Hydroxide-Production-Facilities-in-Bessemer-City-North-Carolina/default.aspx" TargetMode="External"/><Relationship Id="rId11" Type="http://schemas.openxmlformats.org/officeDocument/2006/relationships/hyperlink" Target="http://services.scyahua.com/article_cat.php?id=60" TargetMode="External"/><Relationship Id="rId32" Type="http://schemas.openxmlformats.org/officeDocument/2006/relationships/hyperlink" Target="http://www.bacanoralithium.com/pdfs/Bacanora-FS-Technical-Report-25-01-2018.pdf" TargetMode="External"/><Relationship Id="rId37" Type="http://schemas.openxmlformats.org/officeDocument/2006/relationships/hyperlink" Target="http://sayonamining.com.au/pre-feasibility-study/" TargetMode="External"/><Relationship Id="rId53" Type="http://schemas.openxmlformats.org/officeDocument/2006/relationships/hyperlink" Target="https://www.allianceminerals.com.au/projects/" TargetMode="External"/><Relationship Id="rId58" Type="http://schemas.openxmlformats.org/officeDocument/2006/relationships/hyperlink" Target="https://roskill.com/news/lithium-posco-samsung-fulin-and-molymet-win-corfo-tender-for-discounted-lithium/" TargetMode="External"/><Relationship Id="rId74" Type="http://schemas.openxmlformats.org/officeDocument/2006/relationships/hyperlink" Target="http://www.pilbaraminerals.com.au/site/PDF/2472_0/BindingTermsAgreedforPOSCOJV" TargetMode="External"/><Relationship Id="rId79" Type="http://schemas.openxmlformats.org/officeDocument/2006/relationships/hyperlink" Target="https://www.neometals.com.au/reports/868-LIOH20062019a.pdf" TargetMode="External"/><Relationship Id="rId102" Type="http://schemas.openxmlformats.org/officeDocument/2006/relationships/hyperlink" Target="https://www.lithiumamericas.com/_resources/pdf/investors/technical-reports/thacker-pass/Technical-Report-Thacker-Pass.pdf" TargetMode="External"/><Relationship Id="rId123" Type="http://schemas.openxmlformats.org/officeDocument/2006/relationships/hyperlink" Target="http://www.rinconltd.com/wp-content/uploads/2019/02/Rincon-Lithium-project-summary-Corporate-presentation-February-2019.pdf" TargetMode="External"/><Relationship Id="rId128" Type="http://schemas.openxmlformats.org/officeDocument/2006/relationships/comments" Target="../comments1.xml"/><Relationship Id="rId5" Type="http://schemas.openxmlformats.org/officeDocument/2006/relationships/hyperlink" Target="http://www.zhiyuanlithium.com/news.aspx?mid=75&amp;nid=28" TargetMode="External"/><Relationship Id="rId90" Type="http://schemas.openxmlformats.org/officeDocument/2006/relationships/hyperlink" Target="https://kidmanresources.com.au/live/wp-content/uploads/2019/03/190327-Kidman-Resources-Limited-Annual-Report-FINAL.pdf" TargetMode="External"/><Relationship Id="rId95" Type="http://schemas.openxmlformats.org/officeDocument/2006/relationships/hyperlink" Target="http://s1.q4cdn.com/793210788/files/doc_financials/annual_report/2018/Memoria-Anual-2018_eng.pdf" TargetMode="External"/><Relationship Id="rId19" Type="http://schemas.openxmlformats.org/officeDocument/2006/relationships/hyperlink" Target="https://www.nemaskalithium.com/en/investors/press-releases/2016/8cb5b3a4-ebef-4139-971b-79eb40d65caa/" TargetMode="External"/><Relationship Id="rId14" Type="http://schemas.openxmlformats.org/officeDocument/2006/relationships/hyperlink" Target="http://hbj.yichang.gov.cn/content-42532-977031-1.html" TargetMode="External"/><Relationship Id="rId22" Type="http://schemas.openxmlformats.org/officeDocument/2006/relationships/hyperlink" Target="https://www.lepidico.com/wp-content/uploads/2019/04/190411-210-increase-in-contained-lithium-at-Alvarroes.pdf" TargetMode="External"/><Relationship Id="rId27" Type="http://schemas.openxmlformats.org/officeDocument/2006/relationships/hyperlink" Target="https://www.orocobre.com/news/mdocs-posts/naraha-lithium-hydroxide-plant-approved/" TargetMode="External"/><Relationship Id="rId30" Type="http://schemas.openxmlformats.org/officeDocument/2006/relationships/hyperlink" Target="https://livent.com/company-overview/global-locations/" TargetMode="External"/><Relationship Id="rId35" Type="http://schemas.openxmlformats.org/officeDocument/2006/relationships/hyperlink" Target="http://www.bacanoralithium.com/pdfs/zinnwald-resource-report-october-2018.pdf" TargetMode="External"/><Relationship Id="rId43" Type="http://schemas.openxmlformats.org/officeDocument/2006/relationships/hyperlink" Target="https://avzminerals.com.au/manono-mine" TargetMode="External"/><Relationship Id="rId48" Type="http://schemas.openxmlformats.org/officeDocument/2006/relationships/hyperlink" Target="http://hbj.yichang.gov.cn/content-42532-977031-1.html" TargetMode="External"/><Relationship Id="rId56" Type="http://schemas.openxmlformats.org/officeDocument/2006/relationships/hyperlink" Target="https://roskill.com/news/lithium-posco-samsung-fulin-and-molymet-win-corfo-tender-for-discounted-lithium/" TargetMode="External"/><Relationship Id="rId64" Type="http://schemas.openxmlformats.org/officeDocument/2006/relationships/hyperlink" Target="http://m.cbea.com/dtqlywap/201809/899905.html" TargetMode="External"/><Relationship Id="rId69" Type="http://schemas.openxmlformats.org/officeDocument/2006/relationships/hyperlink" Target="https://www.nemaskalithium.com/en/investors/press-releases/2016/8cb5b3a4-ebef-4139-971b-79eb40d65caa/" TargetMode="External"/><Relationship Id="rId77" Type="http://schemas.openxmlformats.org/officeDocument/2006/relationships/hyperlink" Target="https://www.ioneer.com/rhyolite-ridge/overview" TargetMode="External"/><Relationship Id="rId100" Type="http://schemas.openxmlformats.org/officeDocument/2006/relationships/hyperlink" Target="https://www.lithiumamericas.com/_resources/pdf/investors/technical-reports/cauchari-olaroz/LACCauchariUpdateTRFINAL.pdf" TargetMode="External"/><Relationship Id="rId105" Type="http://schemas.openxmlformats.org/officeDocument/2006/relationships/hyperlink" Target="https://www.lithiumamericas.com/_resources/pdf/investors/technical-reports/thacker-pass/Technical-Report-Thacker-Pass.pdf" TargetMode="External"/><Relationship Id="rId113" Type="http://schemas.openxmlformats.org/officeDocument/2006/relationships/hyperlink" Target="https://investors.albemarle.com/static-files/3f193c43-bc7e-4b05-ae1a-bf15735fb1d5" TargetMode="External"/><Relationship Id="rId118" Type="http://schemas.openxmlformats.org/officeDocument/2006/relationships/hyperlink" Target="https://clients3.weblink.com.au/pdf/MIN/02175046.pdf" TargetMode="External"/><Relationship Id="rId126" Type="http://schemas.openxmlformats.org/officeDocument/2006/relationships/drawing" Target="../drawings/drawing2.xml"/><Relationship Id="rId8" Type="http://schemas.openxmlformats.org/officeDocument/2006/relationships/hyperlink" Target="http://services.scyahua.com/article_cat.php?id=60" TargetMode="External"/><Relationship Id="rId51" Type="http://schemas.openxmlformats.org/officeDocument/2006/relationships/hyperlink" Target="http://www.burwill.com/html/about_overview.php" TargetMode="External"/><Relationship Id="rId72" Type="http://schemas.openxmlformats.org/officeDocument/2006/relationships/hyperlink" Target="http://www.zhiyuanlithium.com/news.aspx?mid=75&amp;nid=28" TargetMode="External"/><Relationship Id="rId80" Type="http://schemas.openxmlformats.org/officeDocument/2006/relationships/hyperlink" Target="https://www.riotinto.com/energyandminerals/jadar-4643.aspx" TargetMode="External"/><Relationship Id="rId85" Type="http://schemas.openxmlformats.org/officeDocument/2006/relationships/hyperlink" Target="https://www.millenniallithium.com/projects/pastos-grandes-project/" TargetMode="External"/><Relationship Id="rId93" Type="http://schemas.openxmlformats.org/officeDocument/2006/relationships/hyperlink" Target="http://s1.q4cdn.com/793210788/files/doc_financials/annual_report/2018/Memoria-Anual-2018_eng.pdf" TargetMode="External"/><Relationship Id="rId98" Type="http://schemas.openxmlformats.org/officeDocument/2006/relationships/hyperlink" Target="https://www.lithiumamericas.com/news/lithium-americas-announces-40000-tpa-feasibility-study-for-the-cauchar-olaroz-lithium-project-" TargetMode="External"/><Relationship Id="rId121" Type="http://schemas.openxmlformats.org/officeDocument/2006/relationships/hyperlink" Target="https://clients3.weblink.com.au/pdf/MIN/02175046.pdf" TargetMode="External"/><Relationship Id="rId3" Type="http://schemas.openxmlformats.org/officeDocument/2006/relationships/hyperlink" Target="http://data.eastmoney.com/notices/detail/002738/AN201904231321665647,JUU0JUI4JUFEJUU3JTlGJUJGJUU4JUI1JTg0JUU2JUJBJTkw.html" TargetMode="External"/><Relationship Id="rId12" Type="http://schemas.openxmlformats.org/officeDocument/2006/relationships/hyperlink" Target="http://services.scyahua.com/article_cat.php?id=60" TargetMode="External"/><Relationship Id="rId17" Type="http://schemas.openxmlformats.org/officeDocument/2006/relationships/hyperlink" Target="http://www.tianqilithium.com/en/base-detail.aspx?ContentID=4&amp;t=59" TargetMode="External"/><Relationship Id="rId25" Type="http://schemas.openxmlformats.org/officeDocument/2006/relationships/hyperlink" Target="https://s21.q4cdn.com/429708605/files/doc_downloads/technical_reports/Pozuelos-43-101-Final-Report-February-2018-FINAL-SEDAR.PDF" TargetMode="External"/><Relationship Id="rId33" Type="http://schemas.openxmlformats.org/officeDocument/2006/relationships/hyperlink" Target="http://www.bacanoralithium.com/pdfs/Bacanora-FS-Technical-Report-25-01-2018.pdf" TargetMode="External"/><Relationship Id="rId38" Type="http://schemas.openxmlformats.org/officeDocument/2006/relationships/hyperlink" Target="https://www.ltresources.com.au/kathleen-valley-project" TargetMode="External"/><Relationship Id="rId46" Type="http://schemas.openxmlformats.org/officeDocument/2006/relationships/hyperlink" Target="http://www.desertlionenergy.com/" TargetMode="External"/><Relationship Id="rId59" Type="http://schemas.openxmlformats.org/officeDocument/2006/relationships/hyperlink" Target="https://www.pv-magazine-india.com/2019/04/02/india-gets-access-to-bolivias-lithium-for-ev-batteries/" TargetMode="External"/><Relationship Id="rId67" Type="http://schemas.openxmlformats.org/officeDocument/2006/relationships/hyperlink" Target="http://www.tianqilithium.com/en/base-detail.aspx?ContentID=6&amp;t=59" TargetMode="External"/><Relationship Id="rId103" Type="http://schemas.openxmlformats.org/officeDocument/2006/relationships/hyperlink" Target="https://www.lithiumamericas.com/_resources/pdf/investors/technical-reports/thacker-pass/Technical-Report-Thacker-Pass.pdf" TargetMode="External"/><Relationship Id="rId108" Type="http://schemas.openxmlformats.org/officeDocument/2006/relationships/hyperlink" Target="https://www.e3metalscorp.com/projects" TargetMode="External"/><Relationship Id="rId116" Type="http://schemas.openxmlformats.org/officeDocument/2006/relationships/hyperlink" Target="https://clients3.weblink.com.au/pdf/MIN/02175046.pdf" TargetMode="External"/><Relationship Id="rId124" Type="http://schemas.openxmlformats.org/officeDocument/2006/relationships/hyperlink" Target="http://cblitio.com.br/chemical-plant/?lang=en" TargetMode="External"/><Relationship Id="rId20" Type="http://schemas.openxmlformats.org/officeDocument/2006/relationships/hyperlink" Target="http://www.rinconltd.com/wp-content/uploads/2019/02/Rincon-Lithium-project-summary-Corporate-presentation-February-2019.pdf" TargetMode="External"/><Relationship Id="rId41" Type="http://schemas.openxmlformats.org/officeDocument/2006/relationships/hyperlink" Target="https://www.fscwire.com/newsrelease/elanore-resources-sends-spodumene-concentrate-sample-fancy-mining-industry-co-ltd" TargetMode="External"/><Relationship Id="rId54" Type="http://schemas.openxmlformats.org/officeDocument/2006/relationships/hyperlink" Target="https://www.cowanlithium.com.au/cowan-lithium-project/" TargetMode="External"/><Relationship Id="rId62" Type="http://schemas.openxmlformats.org/officeDocument/2006/relationships/hyperlink" Target="https://www.internationallithium.com/ganfeng-lithium/" TargetMode="External"/><Relationship Id="rId70" Type="http://schemas.openxmlformats.org/officeDocument/2006/relationships/hyperlink" Target="https://blinks.bloomberg.com/screens/DOCC%20/ID%20ST000000002591492732" TargetMode="External"/><Relationship Id="rId75" Type="http://schemas.openxmlformats.org/officeDocument/2006/relationships/hyperlink" Target="https://newagemetals.com/corporate-update-new-age-metals-inc/" TargetMode="External"/><Relationship Id="rId83" Type="http://schemas.openxmlformats.org/officeDocument/2006/relationships/hyperlink" Target="https://plateauenergymetals.com/falchani-lithium-project/" TargetMode="External"/><Relationship Id="rId88" Type="http://schemas.openxmlformats.org/officeDocument/2006/relationships/hyperlink" Target="https://www.orocobre.com/operations/salar-de-olaroz/" TargetMode="External"/><Relationship Id="rId91" Type="http://schemas.openxmlformats.org/officeDocument/2006/relationships/hyperlink" Target="http://s1.q4cdn.com/793210788/files/doc_financials/annual_report/2018/Memoria-Anual-2018_eng.pdf" TargetMode="External"/><Relationship Id="rId96" Type="http://schemas.openxmlformats.org/officeDocument/2006/relationships/hyperlink" Target="http://s1.q4cdn.com/793210788/files/doc_financials/annual_report/2018/Memoria-Anual-2018_eng.pdf" TargetMode="External"/><Relationship Id="rId111" Type="http://schemas.openxmlformats.org/officeDocument/2006/relationships/hyperlink" Target="https://www.e3metalscorp.com/projects" TargetMode="External"/><Relationship Id="rId1" Type="http://schemas.openxmlformats.org/officeDocument/2006/relationships/hyperlink" Target="http://data.eastmoney.com/notices/detail/002738/AN201904231321665647,JUU0JUI4JUFEJUU3JTlGJUJGJUU4JUI1JTg0JUU2JUJBJTkw.html" TargetMode="External"/><Relationship Id="rId6" Type="http://schemas.openxmlformats.org/officeDocument/2006/relationships/hyperlink" Target="http://www.statelithium.com/" TargetMode="External"/><Relationship Id="rId15" Type="http://schemas.openxmlformats.org/officeDocument/2006/relationships/hyperlink" Target="http://www.burwill.com/html/about_overview.php" TargetMode="External"/><Relationship Id="rId23" Type="http://schemas.openxmlformats.org/officeDocument/2006/relationships/hyperlink" Target="https://www.savannahresources.com/assets/mina-do-barroso/" TargetMode="External"/><Relationship Id="rId28" Type="http://schemas.openxmlformats.org/officeDocument/2006/relationships/hyperlink" Target="https://www.neometals.com.au/reports/2019-06-04-2257-LithiumBat.pdf" TargetMode="External"/><Relationship Id="rId36" Type="http://schemas.openxmlformats.org/officeDocument/2006/relationships/hyperlink" Target="http://www.morningwhistle.com/da/42937.html" TargetMode="External"/><Relationship Id="rId49" Type="http://schemas.openxmlformats.org/officeDocument/2006/relationships/hyperlink" Target="http://pg.jrj.com.cn/acc/Res/CN_RES/STOCK/2017/11/20/841d84d7-ea39-4991-8a90-9daad9629bfd.pdf" TargetMode="External"/><Relationship Id="rId57" Type="http://schemas.openxmlformats.org/officeDocument/2006/relationships/hyperlink" Target="https://roskill.com/news/lithium-posco-samsung-fulin-and-molymet-win-corfo-tender-for-discounted-lithium/" TargetMode="External"/><Relationship Id="rId106" Type="http://schemas.openxmlformats.org/officeDocument/2006/relationships/hyperlink" Target="https://wealthminerals.com/projects/atacama-salar/" TargetMode="External"/><Relationship Id="rId114" Type="http://schemas.openxmlformats.org/officeDocument/2006/relationships/hyperlink" Target="https://www.gxy.com/projects/mt-cattlin" TargetMode="External"/><Relationship Id="rId119" Type="http://schemas.openxmlformats.org/officeDocument/2006/relationships/hyperlink" Target="https://clients3.weblink.com.au/pdf/MIN/02175046.pdf" TargetMode="External"/><Relationship Id="rId127" Type="http://schemas.openxmlformats.org/officeDocument/2006/relationships/vmlDrawing" Target="../drawings/vmlDrawing1.vml"/><Relationship Id="rId10" Type="http://schemas.openxmlformats.org/officeDocument/2006/relationships/hyperlink" Target="http://services.scyahua.com/article_cat.php?id=60" TargetMode="External"/><Relationship Id="rId31" Type="http://schemas.openxmlformats.org/officeDocument/2006/relationships/hyperlink" Target="http://www.bacanoralithium.com/pdfs/Bacanora-FS-Technical-Report-25-01-2018.pdf" TargetMode="External"/><Relationship Id="rId44" Type="http://schemas.openxmlformats.org/officeDocument/2006/relationships/hyperlink" Target="http://www.desertlionenergy.com/_resources/technical-reports/Desert-Lion-Energy-Lithium-Project-PEA.pdf" TargetMode="External"/><Relationship Id="rId52" Type="http://schemas.openxmlformats.org/officeDocument/2006/relationships/hyperlink" Target="https://corelithium.com/wp-content/uploads/2018/04/Core-Lithium-Corporate-Presentation.pdf" TargetMode="External"/><Relationship Id="rId60" Type="http://schemas.openxmlformats.org/officeDocument/2006/relationships/hyperlink" Target="https://www.internationallithium.com/ganfeng-lithium/" TargetMode="External"/><Relationship Id="rId65" Type="http://schemas.openxmlformats.org/officeDocument/2006/relationships/hyperlink" Target="http://www.tianqilithium.com/Uploadfiles/Files/2019-3-28/20193282136236747.PDF" TargetMode="External"/><Relationship Id="rId73" Type="http://schemas.openxmlformats.org/officeDocument/2006/relationships/hyperlink" Target="https://www.mining-technology.com/news/galaxy-resources-to-sell-argentinian-lithium-tenements-for-280m/" TargetMode="External"/><Relationship Id="rId78" Type="http://schemas.openxmlformats.org/officeDocument/2006/relationships/hyperlink" Target="https://www.ioneer.com/rhyolite-ridge/overview" TargetMode="External"/><Relationship Id="rId81" Type="http://schemas.openxmlformats.org/officeDocument/2006/relationships/hyperlink" Target="https://www.riotinto.com/documents/RT_Q1_2019_Jadar_Newsletter_EN.pdf" TargetMode="External"/><Relationship Id="rId86" Type="http://schemas.openxmlformats.org/officeDocument/2006/relationships/hyperlink" Target="https://www.millenniallithium.com/projects/cauchari-east-lithium-project/" TargetMode="External"/><Relationship Id="rId94" Type="http://schemas.openxmlformats.org/officeDocument/2006/relationships/hyperlink" Target="http://s1.q4cdn.com/793210788/files/doc_financials/annual_report/2018/Memoria-Anual-2018_eng.pdf" TargetMode="External"/><Relationship Id="rId99" Type="http://schemas.openxmlformats.org/officeDocument/2006/relationships/hyperlink" Target="https://www.lithiumamericas.com/news/lithium-americas-announces-40000-tpa-feasibility-study-for-the-cauchar-olaroz-lithium-project-" TargetMode="External"/><Relationship Id="rId101" Type="http://schemas.openxmlformats.org/officeDocument/2006/relationships/hyperlink" Target="https://www.lithiumamericas.com/_resources/pdf/investors/technical-reports/cauchari-olaroz/LACCauchariUpdateTRFINAL.pdf" TargetMode="External"/><Relationship Id="rId122" Type="http://schemas.openxmlformats.org/officeDocument/2006/relationships/hyperlink" Target="https://clients3.weblink.com.au/pdf/MIN/02175046.pdf" TargetMode="External"/><Relationship Id="rId4" Type="http://schemas.openxmlformats.org/officeDocument/2006/relationships/hyperlink" Target="http://www.zhiyuanlithium.com/news.aspx?mid=75&amp;nid=28" TargetMode="External"/><Relationship Id="rId9" Type="http://schemas.openxmlformats.org/officeDocument/2006/relationships/hyperlink" Target="http://services.scyahua.com/article_cat.php?id=60" TargetMode="External"/><Relationship Id="rId13" Type="http://schemas.openxmlformats.org/officeDocument/2006/relationships/hyperlink" Target="http://yc.cnhubei.com/mrtt/201901/t4209030.shtml" TargetMode="External"/><Relationship Id="rId18" Type="http://schemas.openxmlformats.org/officeDocument/2006/relationships/hyperlink" Target="http://www.tianqilithium.com/en/base-detail.aspx?ContentID=4&amp;t=59" TargetMode="External"/><Relationship Id="rId39" Type="http://schemas.openxmlformats.org/officeDocument/2006/relationships/hyperlink" Target="https://www.ltresources.com.au/buldania-project" TargetMode="External"/><Relationship Id="rId109" Type="http://schemas.openxmlformats.org/officeDocument/2006/relationships/hyperlink" Target="https://www.e3metalscorp.com/projects" TargetMode="External"/><Relationship Id="rId34" Type="http://schemas.openxmlformats.org/officeDocument/2006/relationships/hyperlink" Target="http://www.bacanoralithium.com/pdfs/Bacanora-FS-Technical-Report-25-01-2018.pdf" TargetMode="External"/><Relationship Id="rId50" Type="http://schemas.openxmlformats.org/officeDocument/2006/relationships/hyperlink" Target="https://europeanlithium.com/wolfsberg-lithium-project/" TargetMode="External"/><Relationship Id="rId55" Type="http://schemas.openxmlformats.org/officeDocument/2006/relationships/hyperlink" Target="http://ultralithium.com/projects/georgia-lake-lithium-pegmatites/" TargetMode="External"/><Relationship Id="rId76" Type="http://schemas.openxmlformats.org/officeDocument/2006/relationships/hyperlink" Target="https://newagemetals.com/corporate-update-new-age-metals-inc/" TargetMode="External"/><Relationship Id="rId97" Type="http://schemas.openxmlformats.org/officeDocument/2006/relationships/hyperlink" Target="http://s1.q4cdn.com/793210788/files/doc_financials/annual_report/2018/Memoria-Anual-2018_eng.pdf" TargetMode="External"/><Relationship Id="rId104" Type="http://schemas.openxmlformats.org/officeDocument/2006/relationships/hyperlink" Target="https://www.lithiumamericas.com/_resources/pdf/investors/technical-reports/thacker-pass/Technical-Report-Thacker-Pass.pdf" TargetMode="External"/><Relationship Id="rId120" Type="http://schemas.openxmlformats.org/officeDocument/2006/relationships/hyperlink" Target="https://clients3.weblink.com.au/pdf/MIN/02175046.pdf" TargetMode="External"/><Relationship Id="rId125" Type="http://schemas.openxmlformats.org/officeDocument/2006/relationships/printerSettings" Target="../printerSettings/printerSettings2.bin"/><Relationship Id="rId7" Type="http://schemas.openxmlformats.org/officeDocument/2006/relationships/hyperlink" Target="http://services.scyahua.com/article_cat.php?id=60" TargetMode="External"/><Relationship Id="rId71" Type="http://schemas.openxmlformats.org/officeDocument/2006/relationships/hyperlink" Target="https://www.herald.co.zw/bikita-minerals-to-beneficiate-lithium/" TargetMode="External"/><Relationship Id="rId92" Type="http://schemas.openxmlformats.org/officeDocument/2006/relationships/hyperlink" Target="http://s1.q4cdn.com/793210788/files/doc_financials/annual_report/2018/Memoria-Anual-2018_eng.pdf" TargetMode="External"/><Relationship Id="rId2" Type="http://schemas.openxmlformats.org/officeDocument/2006/relationships/hyperlink" Target="https://www.prospectresources.com.au/sites/default/files/asx-announcements/6945209.pdf" TargetMode="External"/><Relationship Id="rId29" Type="http://schemas.openxmlformats.org/officeDocument/2006/relationships/hyperlink" Target="https://livent.com/company-overview/global-locations/" TargetMode="External"/><Relationship Id="rId24" Type="http://schemas.openxmlformats.org/officeDocument/2006/relationships/hyperlink" Target="http://q4live.s22.clientfiles.s3-website-us-east-1.amazonaws.com/158019878/files/doc_presentations/2019/03/26/Neo-Lithium-Presentation-Pre-Feas-March-2019-v4.pdf" TargetMode="External"/><Relationship Id="rId40" Type="http://schemas.openxmlformats.org/officeDocument/2006/relationships/hyperlink" Target="https://www.juniorminingnetwork.com/junior-miner-news/press-releases/2019-tsx-venture/brz/39815-bearing-lithium-corp-maricunga-preliminary-economic-assessment-pea-highlights-low-cost-and-short-payback.html" TargetMode="External"/><Relationship Id="rId45" Type="http://schemas.openxmlformats.org/officeDocument/2006/relationships/hyperlink" Target="http://www.desertlionenergy.com/" TargetMode="External"/><Relationship Id="rId66" Type="http://schemas.openxmlformats.org/officeDocument/2006/relationships/hyperlink" Target="http://www.tianqilithium.com/en/base-detail.aspx?ContentID=4&amp;t=59" TargetMode="External"/><Relationship Id="rId87" Type="http://schemas.openxmlformats.org/officeDocument/2006/relationships/hyperlink" Target="https://www.orocobre.com/operations/salar-de-olaroz/" TargetMode="External"/><Relationship Id="rId110" Type="http://schemas.openxmlformats.org/officeDocument/2006/relationships/hyperlink" Target="https://www.e3metalscorp.com/projects" TargetMode="External"/><Relationship Id="rId115" Type="http://schemas.openxmlformats.org/officeDocument/2006/relationships/hyperlink" Target="https://clients3.weblink.com.au/pdf/MIN/02175046.pdf" TargetMode="External"/><Relationship Id="rId61" Type="http://schemas.openxmlformats.org/officeDocument/2006/relationships/hyperlink" Target="https://www.internationallithium.com/ganfeng-lithium/" TargetMode="External"/><Relationship Id="rId82" Type="http://schemas.openxmlformats.org/officeDocument/2006/relationships/hyperlink" Target="https://alturamining.com/wp-content/uploads/2019/08/1956358.pdf"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openxmlformats.org/officeDocument/2006/relationships/hyperlink" Target="https://cms.prod.bloomberg.com/team/x/wA93OQ"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V53"/>
  <sheetViews>
    <sheetView showGridLines="0" showRowColHeaders="0" tabSelected="1" zoomScale="105" zoomScaleNormal="105" zoomScalePageLayoutView="200" workbookViewId="0">
      <selection activeCell="E11" sqref="E11"/>
    </sheetView>
  </sheetViews>
  <sheetFormatPr defaultColWidth="8.81640625" defaultRowHeight="13" x14ac:dyDescent="0.25"/>
  <cols>
    <col min="1" max="1" width="2.7265625" style="2" customWidth="1"/>
    <col min="2" max="2" width="1.26953125" style="2" customWidth="1"/>
    <col min="3" max="3" width="8.81640625" style="3"/>
    <col min="4" max="4" width="4.81640625" style="2" customWidth="1"/>
    <col min="5" max="5" width="64" style="4" customWidth="1"/>
    <col min="6" max="6" width="1.26953125" style="2" customWidth="1"/>
    <col min="7" max="256" width="8.81640625" style="2"/>
    <col min="257" max="257" width="9" style="2" customWidth="1"/>
    <col min="258" max="512" width="8.81640625" style="2"/>
    <col min="513" max="513" width="9" style="2" customWidth="1"/>
    <col min="514" max="768" width="8.81640625" style="2"/>
    <col min="769" max="769" width="9" style="2" customWidth="1"/>
    <col min="770" max="1024" width="8.81640625" style="2"/>
    <col min="1025" max="1025" width="9" style="2" customWidth="1"/>
    <col min="1026" max="1280" width="8.81640625" style="2"/>
    <col min="1281" max="1281" width="9" style="2" customWidth="1"/>
    <col min="1282" max="1536" width="8.81640625" style="2"/>
    <col min="1537" max="1537" width="9" style="2" customWidth="1"/>
    <col min="1538" max="1792" width="8.81640625" style="2"/>
    <col min="1793" max="1793" width="9" style="2" customWidth="1"/>
    <col min="1794" max="2048" width="8.81640625" style="2"/>
    <col min="2049" max="2049" width="9" style="2" customWidth="1"/>
    <col min="2050" max="2304" width="8.81640625" style="2"/>
    <col min="2305" max="2305" width="9" style="2" customWidth="1"/>
    <col min="2306" max="2560" width="8.81640625" style="2"/>
    <col min="2561" max="2561" width="9" style="2" customWidth="1"/>
    <col min="2562" max="2816" width="8.81640625" style="2"/>
    <col min="2817" max="2817" width="9" style="2" customWidth="1"/>
    <col min="2818" max="3072" width="8.81640625" style="2"/>
    <col min="3073" max="3073" width="9" style="2" customWidth="1"/>
    <col min="3074" max="3328" width="8.81640625" style="2"/>
    <col min="3329" max="3329" width="9" style="2" customWidth="1"/>
    <col min="3330" max="3584" width="8.81640625" style="2"/>
    <col min="3585" max="3585" width="9" style="2" customWidth="1"/>
    <col min="3586" max="3840" width="8.81640625" style="2"/>
    <col min="3841" max="3841" width="9" style="2" customWidth="1"/>
    <col min="3842" max="4096" width="8.81640625" style="2"/>
    <col min="4097" max="4097" width="9" style="2" customWidth="1"/>
    <col min="4098" max="4352" width="8.81640625" style="2"/>
    <col min="4353" max="4353" width="9" style="2" customWidth="1"/>
    <col min="4354" max="4608" width="8.81640625" style="2"/>
    <col min="4609" max="4609" width="9" style="2" customWidth="1"/>
    <col min="4610" max="4864" width="8.81640625" style="2"/>
    <col min="4865" max="4865" width="9" style="2" customWidth="1"/>
    <col min="4866" max="5120" width="8.81640625" style="2"/>
    <col min="5121" max="5121" width="9" style="2" customWidth="1"/>
    <col min="5122" max="5376" width="8.81640625" style="2"/>
    <col min="5377" max="5377" width="9" style="2" customWidth="1"/>
    <col min="5378" max="5632" width="8.81640625" style="2"/>
    <col min="5633" max="5633" width="9" style="2" customWidth="1"/>
    <col min="5634" max="5888" width="8.81640625" style="2"/>
    <col min="5889" max="5889" width="9" style="2" customWidth="1"/>
    <col min="5890" max="6144" width="8.81640625" style="2"/>
    <col min="6145" max="6145" width="9" style="2" customWidth="1"/>
    <col min="6146" max="6400" width="8.81640625" style="2"/>
    <col min="6401" max="6401" width="9" style="2" customWidth="1"/>
    <col min="6402" max="6656" width="8.81640625" style="2"/>
    <col min="6657" max="6657" width="9" style="2" customWidth="1"/>
    <col min="6658" max="6912" width="8.81640625" style="2"/>
    <col min="6913" max="6913" width="9" style="2" customWidth="1"/>
    <col min="6914" max="7168" width="8.81640625" style="2"/>
    <col min="7169" max="7169" width="9" style="2" customWidth="1"/>
    <col min="7170" max="7424" width="8.81640625" style="2"/>
    <col min="7425" max="7425" width="9" style="2" customWidth="1"/>
    <col min="7426" max="7680" width="8.81640625" style="2"/>
    <col min="7681" max="7681" width="9" style="2" customWidth="1"/>
    <col min="7682" max="7936" width="8.81640625" style="2"/>
    <col min="7937" max="7937" width="9" style="2" customWidth="1"/>
    <col min="7938" max="8192" width="8.81640625" style="2"/>
    <col min="8193" max="8193" width="9" style="2" customWidth="1"/>
    <col min="8194" max="8448" width="8.81640625" style="2"/>
    <col min="8449" max="8449" width="9" style="2" customWidth="1"/>
    <col min="8450" max="8704" width="8.81640625" style="2"/>
    <col min="8705" max="8705" width="9" style="2" customWidth="1"/>
    <col min="8706" max="8960" width="8.81640625" style="2"/>
    <col min="8961" max="8961" width="9" style="2" customWidth="1"/>
    <col min="8962" max="9216" width="8.81640625" style="2"/>
    <col min="9217" max="9217" width="9" style="2" customWidth="1"/>
    <col min="9218" max="9472" width="8.81640625" style="2"/>
    <col min="9473" max="9473" width="9" style="2" customWidth="1"/>
    <col min="9474" max="9728" width="8.81640625" style="2"/>
    <col min="9729" max="9729" width="9" style="2" customWidth="1"/>
    <col min="9730" max="9984" width="8.81640625" style="2"/>
    <col min="9985" max="9985" width="9" style="2" customWidth="1"/>
    <col min="9986" max="10240" width="8.81640625" style="2"/>
    <col min="10241" max="10241" width="9" style="2" customWidth="1"/>
    <col min="10242" max="10496" width="8.81640625" style="2"/>
    <col min="10497" max="10497" width="9" style="2" customWidth="1"/>
    <col min="10498" max="10752" width="8.81640625" style="2"/>
    <col min="10753" max="10753" width="9" style="2" customWidth="1"/>
    <col min="10754" max="11008" width="8.81640625" style="2"/>
    <col min="11009" max="11009" width="9" style="2" customWidth="1"/>
    <col min="11010" max="11264" width="8.81640625" style="2"/>
    <col min="11265" max="11265" width="9" style="2" customWidth="1"/>
    <col min="11266" max="11520" width="8.81640625" style="2"/>
    <col min="11521" max="11521" width="9" style="2" customWidth="1"/>
    <col min="11522" max="11776" width="8.81640625" style="2"/>
    <col min="11777" max="11777" width="9" style="2" customWidth="1"/>
    <col min="11778" max="12032" width="8.81640625" style="2"/>
    <col min="12033" max="12033" width="9" style="2" customWidth="1"/>
    <col min="12034" max="12288" width="8.81640625" style="2"/>
    <col min="12289" max="12289" width="9" style="2" customWidth="1"/>
    <col min="12290" max="12544" width="8.81640625" style="2"/>
    <col min="12545" max="12545" width="9" style="2" customWidth="1"/>
    <col min="12546" max="12800" width="8.81640625" style="2"/>
    <col min="12801" max="12801" width="9" style="2" customWidth="1"/>
    <col min="12802" max="13056" width="8.81640625" style="2"/>
    <col min="13057" max="13057" width="9" style="2" customWidth="1"/>
    <col min="13058" max="13312" width="8.81640625" style="2"/>
    <col min="13313" max="13313" width="9" style="2" customWidth="1"/>
    <col min="13314" max="13568" width="8.81640625" style="2"/>
    <col min="13569" max="13569" width="9" style="2" customWidth="1"/>
    <col min="13570" max="13824" width="8.81640625" style="2"/>
    <col min="13825" max="13825" width="9" style="2" customWidth="1"/>
    <col min="13826" max="14080" width="8.81640625" style="2"/>
    <col min="14081" max="14081" width="9" style="2" customWidth="1"/>
    <col min="14082" max="14336" width="8.81640625" style="2"/>
    <col min="14337" max="14337" width="9" style="2" customWidth="1"/>
    <col min="14338" max="14592" width="8.81640625" style="2"/>
    <col min="14593" max="14593" width="9" style="2" customWidth="1"/>
    <col min="14594" max="14848" width="8.81640625" style="2"/>
    <col min="14849" max="14849" width="9" style="2" customWidth="1"/>
    <col min="14850" max="15104" width="8.81640625" style="2"/>
    <col min="15105" max="15105" width="9" style="2" customWidth="1"/>
    <col min="15106" max="15360" width="8.81640625" style="2"/>
    <col min="15361" max="15361" width="9" style="2" customWidth="1"/>
    <col min="15362" max="15616" width="8.81640625" style="2"/>
    <col min="15617" max="15617" width="9" style="2" customWidth="1"/>
    <col min="15618" max="15872" width="8.81640625" style="2"/>
    <col min="15873" max="15873" width="9" style="2" customWidth="1"/>
    <col min="15874" max="16128" width="8.81640625" style="2"/>
    <col min="16129" max="16129" width="9" style="2" customWidth="1"/>
    <col min="16130" max="16384" width="8.81640625" style="2"/>
  </cols>
  <sheetData>
    <row r="1" spans="1:22" x14ac:dyDescent="0.25">
      <c r="A1" s="1"/>
    </row>
    <row r="2" spans="1:22" ht="65.25" customHeight="1" x14ac:dyDescent="0.25">
      <c r="B2" s="77"/>
      <c r="C2" s="77"/>
      <c r="D2" s="77"/>
      <c r="E2" s="77"/>
      <c r="F2" s="78"/>
      <c r="G2" s="5"/>
      <c r="H2" s="5"/>
      <c r="I2" s="5"/>
      <c r="J2" s="5"/>
      <c r="K2" s="5"/>
      <c r="L2" s="5"/>
      <c r="M2" s="5"/>
      <c r="N2" s="5"/>
      <c r="O2" s="5"/>
      <c r="P2" s="5"/>
      <c r="Q2" s="5"/>
      <c r="R2" s="5"/>
      <c r="S2" s="5"/>
      <c r="T2" s="5"/>
      <c r="U2" s="5"/>
      <c r="V2" s="5"/>
    </row>
    <row r="3" spans="1:22" ht="46" customHeight="1" x14ac:dyDescent="0.25">
      <c r="C3" s="141"/>
    </row>
    <row r="4" spans="1:22" ht="15.5" x14ac:dyDescent="0.3">
      <c r="C4" s="202" t="s">
        <v>292</v>
      </c>
      <c r="D4" s="6"/>
      <c r="E4" s="79" t="s">
        <v>781</v>
      </c>
    </row>
    <row r="5" spans="1:22" x14ac:dyDescent="0.25">
      <c r="C5" s="132"/>
    </row>
    <row r="6" spans="1:22" x14ac:dyDescent="0.25">
      <c r="C6" s="203" t="s">
        <v>293</v>
      </c>
      <c r="E6" s="4" t="s">
        <v>780</v>
      </c>
    </row>
    <row r="7" spans="1:22" x14ac:dyDescent="0.25">
      <c r="C7" s="132"/>
      <c r="E7" s="146"/>
    </row>
    <row r="8" spans="1:22" x14ac:dyDescent="0.25">
      <c r="C8" s="203" t="s">
        <v>294</v>
      </c>
      <c r="E8" s="7">
        <v>43916</v>
      </c>
    </row>
    <row r="9" spans="1:22" x14ac:dyDescent="0.25">
      <c r="C9" s="203"/>
    </row>
    <row r="10" spans="1:22" x14ac:dyDescent="0.25">
      <c r="C10" s="204" t="s">
        <v>295</v>
      </c>
      <c r="D10" s="9"/>
      <c r="E10" s="10" t="s">
        <v>1560</v>
      </c>
    </row>
    <row r="11" spans="1:22" x14ac:dyDescent="0.25">
      <c r="C11" s="204"/>
      <c r="D11" s="9"/>
      <c r="E11" s="588" t="s">
        <v>1561</v>
      </c>
    </row>
    <row r="12" spans="1:22" x14ac:dyDescent="0.25">
      <c r="C12" s="133"/>
      <c r="D12" s="9"/>
      <c r="E12" s="355"/>
    </row>
    <row r="13" spans="1:22" x14ac:dyDescent="0.25">
      <c r="C13" s="133"/>
      <c r="D13" s="9"/>
      <c r="E13" s="12"/>
    </row>
    <row r="14" spans="1:22" ht="51" customHeight="1" x14ac:dyDescent="0.25">
      <c r="C14" s="204" t="s">
        <v>296</v>
      </c>
      <c r="D14" s="9"/>
      <c r="E14" s="13" t="s">
        <v>1180</v>
      </c>
    </row>
    <row r="15" spans="1:22" x14ac:dyDescent="0.25">
      <c r="C15" s="134"/>
      <c r="E15" s="2"/>
    </row>
    <row r="16" spans="1:22" ht="17.25" customHeight="1" x14ac:dyDescent="0.25">
      <c r="C16" s="204" t="s">
        <v>297</v>
      </c>
      <c r="D16" s="9"/>
      <c r="E16" s="10"/>
    </row>
    <row r="17" spans="3:5" x14ac:dyDescent="0.25">
      <c r="C17" s="428" t="s">
        <v>1181</v>
      </c>
      <c r="D17" s="14"/>
      <c r="E17" s="15" t="s">
        <v>481</v>
      </c>
    </row>
    <row r="18" spans="3:5" x14ac:dyDescent="0.25">
      <c r="C18" s="428" t="s">
        <v>558</v>
      </c>
      <c r="D18" s="14"/>
      <c r="E18" s="15" t="s">
        <v>564</v>
      </c>
    </row>
    <row r="19" spans="3:5" x14ac:dyDescent="0.25">
      <c r="C19" s="428" t="s">
        <v>1004</v>
      </c>
      <c r="D19" s="14"/>
      <c r="E19" s="15" t="s">
        <v>966</v>
      </c>
    </row>
    <row r="20" spans="3:5" x14ac:dyDescent="0.25">
      <c r="C20" s="428" t="s">
        <v>1182</v>
      </c>
      <c r="D20" s="14"/>
      <c r="E20" s="15" t="s">
        <v>480</v>
      </c>
    </row>
    <row r="21" spans="3:5" x14ac:dyDescent="0.25">
      <c r="C21" s="428" t="s">
        <v>1183</v>
      </c>
      <c r="D21" s="14"/>
      <c r="E21" s="15" t="s">
        <v>480</v>
      </c>
    </row>
    <row r="22" spans="3:5" x14ac:dyDescent="0.25">
      <c r="C22" s="428" t="s">
        <v>1184</v>
      </c>
      <c r="D22" s="14"/>
      <c r="E22" s="15" t="s">
        <v>965</v>
      </c>
    </row>
    <row r="23" spans="3:5" x14ac:dyDescent="0.25">
      <c r="C23" s="428" t="s">
        <v>1185</v>
      </c>
      <c r="D23" s="14"/>
      <c r="E23" s="15" t="s">
        <v>965</v>
      </c>
    </row>
    <row r="24" spans="3:5" x14ac:dyDescent="0.25">
      <c r="C24" s="428" t="s">
        <v>1186</v>
      </c>
      <c r="D24" s="14"/>
      <c r="E24" s="15" t="s">
        <v>976</v>
      </c>
    </row>
    <row r="25" spans="3:5" x14ac:dyDescent="0.25">
      <c r="C25" s="428" t="s">
        <v>1187</v>
      </c>
      <c r="D25" s="14"/>
      <c r="E25" s="15" t="s">
        <v>978</v>
      </c>
    </row>
    <row r="26" spans="3:5" x14ac:dyDescent="0.25">
      <c r="C26" s="428" t="s">
        <v>1188</v>
      </c>
      <c r="D26" s="14"/>
      <c r="E26" s="15" t="s">
        <v>743</v>
      </c>
    </row>
    <row r="27" spans="3:5" x14ac:dyDescent="0.25">
      <c r="C27" s="428" t="s">
        <v>745</v>
      </c>
      <c r="D27" s="14"/>
      <c r="E27" s="15"/>
    </row>
    <row r="28" spans="3:5" x14ac:dyDescent="0.25">
      <c r="C28" s="428" t="s">
        <v>1050</v>
      </c>
      <c r="D28" s="14"/>
      <c r="E28" s="15" t="s">
        <v>1083</v>
      </c>
    </row>
    <row r="29" spans="3:5" x14ac:dyDescent="0.25">
      <c r="C29" s="428" t="s">
        <v>1189</v>
      </c>
      <c r="D29" s="14"/>
      <c r="E29" s="15"/>
    </row>
    <row r="30" spans="3:5" x14ac:dyDescent="0.25">
      <c r="C30" s="428" t="s">
        <v>1190</v>
      </c>
      <c r="D30" s="14"/>
      <c r="E30" s="15" t="s">
        <v>4</v>
      </c>
    </row>
    <row r="31" spans="3:5" x14ac:dyDescent="0.25">
      <c r="C31" s="428" t="s">
        <v>1191</v>
      </c>
      <c r="D31" s="14"/>
      <c r="E31" s="15" t="s">
        <v>877</v>
      </c>
    </row>
    <row r="32" spans="3:5" x14ac:dyDescent="0.25">
      <c r="C32" s="428" t="s">
        <v>567</v>
      </c>
      <c r="D32" s="14"/>
      <c r="E32" s="15" t="s">
        <v>569</v>
      </c>
    </row>
    <row r="33" spans="2:13" x14ac:dyDescent="0.25">
      <c r="C33" s="428" t="s">
        <v>1192</v>
      </c>
      <c r="D33" s="14"/>
      <c r="E33" s="15"/>
    </row>
    <row r="34" spans="2:13" x14ac:dyDescent="0.25">
      <c r="C34" s="428" t="s">
        <v>551</v>
      </c>
      <c r="D34" s="14"/>
      <c r="E34" s="15" t="s">
        <v>551</v>
      </c>
    </row>
    <row r="35" spans="2:13" x14ac:dyDescent="0.25">
      <c r="C35" s="428" t="s">
        <v>744</v>
      </c>
      <c r="D35" s="14"/>
      <c r="E35" s="15" t="s">
        <v>1179</v>
      </c>
    </row>
    <row r="36" spans="2:13" ht="17.25" customHeight="1" x14ac:dyDescent="0.25">
      <c r="C36" s="8"/>
      <c r="D36" s="16"/>
      <c r="E36" s="11"/>
    </row>
    <row r="37" spans="2:13" ht="4.5" customHeight="1" x14ac:dyDescent="0.25">
      <c r="B37" s="75"/>
      <c r="C37" s="17"/>
      <c r="D37" s="18"/>
      <c r="E37" s="19"/>
      <c r="F37" s="75"/>
    </row>
    <row r="38" spans="2:13" ht="49.5" customHeight="1" x14ac:dyDescent="0.25">
      <c r="B38" s="75"/>
      <c r="C38" s="20"/>
      <c r="D38" s="21"/>
      <c r="E38" s="22" t="s">
        <v>782</v>
      </c>
      <c r="F38" s="75"/>
    </row>
    <row r="39" spans="2:13" ht="222.75" customHeight="1" x14ac:dyDescent="0.25">
      <c r="B39" s="75"/>
      <c r="C39" s="20" t="s">
        <v>0</v>
      </c>
      <c r="D39" s="21"/>
      <c r="E39" s="23" t="s">
        <v>5</v>
      </c>
      <c r="F39" s="75"/>
    </row>
    <row r="40" spans="2:13" ht="3.75" customHeight="1" x14ac:dyDescent="0.25">
      <c r="B40" s="75"/>
      <c r="C40" s="76"/>
      <c r="D40" s="18"/>
      <c r="E40" s="76"/>
      <c r="F40" s="75"/>
      <c r="M40"/>
    </row>
    <row r="41" spans="2:13" ht="12.5" x14ac:dyDescent="0.25">
      <c r="C41" s="24"/>
      <c r="D41" s="16"/>
      <c r="E41" s="12"/>
      <c r="M41"/>
    </row>
    <row r="42" spans="2:13" x14ac:dyDescent="0.25">
      <c r="M42"/>
    </row>
    <row r="43" spans="2:13" x14ac:dyDescent="0.25">
      <c r="M43"/>
    </row>
    <row r="44" spans="2:13" x14ac:dyDescent="0.25">
      <c r="M44"/>
    </row>
    <row r="45" spans="2:13" x14ac:dyDescent="0.25">
      <c r="M45"/>
    </row>
    <row r="46" spans="2:13" x14ac:dyDescent="0.25">
      <c r="M46"/>
    </row>
    <row r="47" spans="2:13" x14ac:dyDescent="0.25">
      <c r="M47"/>
    </row>
    <row r="48" spans="2:13" x14ac:dyDescent="0.25">
      <c r="M48"/>
    </row>
    <row r="49" spans="13:13" x14ac:dyDescent="0.25">
      <c r="M49"/>
    </row>
    <row r="50" spans="13:13" x14ac:dyDescent="0.25">
      <c r="M50"/>
    </row>
    <row r="51" spans="13:13" x14ac:dyDescent="0.25">
      <c r="M51"/>
    </row>
    <row r="52" spans="13:13" x14ac:dyDescent="0.25">
      <c r="M52"/>
    </row>
    <row r="53" spans="13:13" x14ac:dyDescent="0.25">
      <c r="M53"/>
    </row>
  </sheetData>
  <hyperlinks>
    <hyperlink ref="C17" location="'Change Log'!A1" display="Change Log" xr:uid="{00000000-0004-0000-0000-000001000000}"/>
    <hyperlink ref="C18" location="'Risk updates'!A1" display="Risk updates" xr:uid="{00000000-0004-0000-0000-000002000000}"/>
    <hyperlink ref="C19" location="'MASTER'!A1" display="MASTER" xr:uid="{00000000-0004-0000-0000-000003000000}"/>
    <hyperlink ref="C20" location="'LiRes (nameplate)'!A1" display="LiRes (nameplate)" xr:uid="{00000000-0004-0000-0000-000004000000}"/>
    <hyperlink ref="C21" location="'LiRes (derisked)'!A1" display="LiRes (derisked)" xr:uid="{00000000-0004-0000-0000-000005000000}"/>
    <hyperlink ref="C22" location="'Mine Chart (nameplate)'!A1" display="Mine Chart (nameplate)" xr:uid="{00000000-0004-0000-0000-000006000000}"/>
    <hyperlink ref="C23" location="'Mine Chart (derisked)'!A1" display="Mine Chart (derisked)" xr:uid="{00000000-0004-0000-0000-000007000000}"/>
    <hyperlink ref="C24" location="'LiChem (nameplate)'!A1" display="LiChem (nameplate)" xr:uid="{00000000-0004-0000-0000-000008000000}"/>
    <hyperlink ref="C25" location="'LiChem (derisked)'!A1" display="LiChem (derisked)" xr:uid="{00000000-0004-0000-0000-000009000000}"/>
    <hyperlink ref="C26" location="'LiRes Market Shares'!A1" display="LiRes Market Shares" xr:uid="{00000000-0004-0000-0000-00000A000000}"/>
    <hyperlink ref="C27" location="'Offtake agreements'!A1" display="Offtake agreements" xr:uid="{00000000-0004-0000-0000-00000B000000}"/>
    <hyperlink ref="C28" location="'Asset Financing'!A1" display="Asset Financing" xr:uid="{00000000-0004-0000-0000-00000C000000}"/>
    <hyperlink ref="C29" location="'Asset Fin Tools'!A1" display="Asset Fin Tools" xr:uid="{00000000-0004-0000-0000-00000D000000}"/>
    <hyperlink ref="C30" location="'Cost Curves'!A1" display="Cost Curves" xr:uid="{00000000-0004-0000-0000-00000E000000}"/>
    <hyperlink ref="C31" location="'SPLC'!A1" display="SPLC" xr:uid="{00000000-0004-0000-0000-00000F000000}"/>
    <hyperlink ref="C32" location="'Li - China'!A1" display="Li - China" xr:uid="{00000000-0004-0000-0000-000010000000}"/>
    <hyperlink ref="C33" location="'2016-2017 China Ref M&amp;A'!A1" display="2016-2017 China Ref M&amp;A" xr:uid="{00000000-0004-0000-0000-000011000000}"/>
    <hyperlink ref="C34" location="'Methodology'!A1" display="Methodology" xr:uid="{00000000-0004-0000-0000-000012000000}"/>
    <hyperlink ref="C35" location="'Back office'!A1" display="Back office" xr:uid="{00000000-0004-0000-0000-000013000000}"/>
    <hyperlink ref="E11" r:id="rId1" xr:uid="{8241B75F-2F08-4AA7-9067-FBE88FBCF57A}"/>
  </hyperlinks>
  <printOptions horizontalCentered="1"/>
  <pageMargins left="0.55118110236220474" right="0.59055118110236227" top="0.62992125984251968" bottom="0.62992125984251968" header="0.51181102362204722" footer="0.51181102362204722"/>
  <pageSetup paperSize="9" orientation="portrait" r:id="rId2"/>
  <headerFooter alignWithMargins="0"/>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6" filterMode="1"/>
  <dimension ref="A1:CY277"/>
  <sheetViews>
    <sheetView showGridLines="0" zoomScale="60" zoomScaleNormal="100" workbookViewId="0">
      <pane xSplit="3" ySplit="11" topLeftCell="AI26" activePane="bottomRight" state="frozen"/>
      <selection pane="topRight" activeCell="D1" sqref="D1"/>
      <selection pane="bottomLeft" activeCell="A12" sqref="A12"/>
      <selection pane="bottomRight" activeCell="AX27" sqref="AX27"/>
    </sheetView>
  </sheetViews>
  <sheetFormatPr defaultColWidth="9.1796875" defaultRowHeight="12.5" x14ac:dyDescent="0.25"/>
  <cols>
    <col min="1" max="1" width="9.7265625" style="364" customWidth="1"/>
    <col min="2" max="2" width="23.81640625" style="27" customWidth="1"/>
    <col min="3" max="3" width="21.26953125" style="27" customWidth="1"/>
    <col min="4" max="4" width="9.26953125" style="27" bestFit="1" customWidth="1"/>
    <col min="5" max="5" width="13.26953125" style="27" customWidth="1"/>
    <col min="6" max="6" width="14.54296875" style="27" customWidth="1"/>
    <col min="7" max="7" width="14.54296875" style="307" customWidth="1"/>
    <col min="8" max="8" width="18.1796875" style="307" customWidth="1"/>
    <col min="9" max="9" width="20.54296875" style="307" customWidth="1"/>
    <col min="10" max="10" width="11.26953125" style="27" customWidth="1"/>
    <col min="11" max="12" width="11.26953125" style="364" customWidth="1"/>
    <col min="13" max="13" width="18.26953125" style="27" customWidth="1"/>
    <col min="14" max="14" width="12.26953125" style="27" customWidth="1"/>
    <col min="15" max="15" width="15.81640625" style="307" customWidth="1"/>
    <col min="16" max="16" width="14.453125" style="27" customWidth="1"/>
    <col min="17" max="17" width="14.1796875" style="307" customWidth="1"/>
    <col min="18" max="18" width="12.7265625" style="27" customWidth="1"/>
    <col min="19" max="19" width="12.7265625" style="307" customWidth="1"/>
    <col min="20" max="20" width="11.81640625" style="27" customWidth="1"/>
    <col min="21" max="21" width="11" style="27" customWidth="1"/>
    <col min="22" max="22" width="13.54296875" style="314" customWidth="1"/>
    <col min="23" max="24" width="11" style="314" customWidth="1"/>
    <col min="25" max="25" width="12" style="314" customWidth="1"/>
    <col min="26" max="29" width="10.81640625" style="314" customWidth="1"/>
    <col min="30" max="30" width="20.453125" style="364" customWidth="1"/>
    <col min="31" max="69" width="11.26953125" style="489" customWidth="1"/>
    <col min="70" max="77" width="9.1796875" style="327" customWidth="1"/>
    <col min="78" max="78" width="12.1796875" style="327" customWidth="1"/>
    <col min="79" max="79" width="11.1796875" style="327" customWidth="1"/>
    <col min="80" max="80" width="11.81640625" style="314" customWidth="1"/>
    <col min="81" max="81" width="11.26953125" style="314" customWidth="1"/>
    <col min="82" max="82" width="12.81640625" style="314" customWidth="1"/>
    <col min="83" max="83" width="9.1796875" style="314"/>
    <col min="84" max="84" width="11.81640625" style="364" customWidth="1"/>
    <col min="85" max="85" width="13.26953125" style="364" customWidth="1"/>
    <col min="86" max="86" width="9.1796875" style="364"/>
    <col min="87" max="87" width="12.81640625" style="364" customWidth="1"/>
    <col min="88" max="88" width="8.81640625" style="364" customWidth="1"/>
    <col min="89" max="94" width="9.1796875" style="314"/>
    <col min="95" max="96" width="9.1796875" style="27"/>
    <col min="97" max="97" width="18.81640625" style="27" customWidth="1"/>
    <col min="98" max="16384" width="9.1796875" style="27"/>
  </cols>
  <sheetData>
    <row r="1" spans="1:103" s="192" customFormat="1" ht="20" x14ac:dyDescent="0.25">
      <c r="A1" s="359"/>
      <c r="F1" s="192" t="s">
        <v>1004</v>
      </c>
      <c r="G1" s="310"/>
      <c r="H1" s="310"/>
      <c r="I1" s="310"/>
      <c r="K1" s="359"/>
      <c r="L1" s="359"/>
      <c r="O1" s="310"/>
      <c r="Q1" s="310"/>
      <c r="S1" s="310"/>
      <c r="V1" s="359"/>
      <c r="W1" s="359"/>
      <c r="X1" s="359"/>
      <c r="Y1" s="359"/>
      <c r="Z1" s="359"/>
      <c r="AA1" s="359"/>
      <c r="AB1" s="359"/>
      <c r="AC1" s="359"/>
      <c r="AD1" s="359"/>
      <c r="AE1" s="320"/>
      <c r="AF1" s="320"/>
      <c r="AG1" s="320"/>
      <c r="AH1" s="320"/>
      <c r="AI1" s="320"/>
      <c r="AJ1" s="320"/>
      <c r="AK1" s="320"/>
      <c r="AL1" s="320"/>
      <c r="AM1" s="320"/>
      <c r="AN1" s="320"/>
      <c r="AO1" s="320"/>
      <c r="AP1" s="320"/>
      <c r="AQ1" s="320"/>
      <c r="AR1" s="320"/>
      <c r="AS1" s="320"/>
      <c r="AT1" s="320"/>
      <c r="AU1" s="320"/>
      <c r="AV1" s="320"/>
      <c r="AW1" s="320"/>
      <c r="AX1" s="320"/>
      <c r="AY1" s="320"/>
      <c r="AZ1" s="320"/>
      <c r="BA1" s="320"/>
      <c r="BB1" s="320"/>
      <c r="BC1" s="320"/>
      <c r="BD1" s="320"/>
      <c r="BE1" s="320"/>
      <c r="BF1" s="320"/>
      <c r="BG1" s="320"/>
      <c r="BH1" s="320"/>
      <c r="BI1" s="320"/>
      <c r="BJ1" s="320"/>
      <c r="BK1" s="320"/>
      <c r="BL1" s="320"/>
      <c r="BM1" s="320"/>
      <c r="BN1" s="320"/>
      <c r="BO1" s="320"/>
      <c r="BP1" s="320"/>
      <c r="BQ1" s="320"/>
      <c r="BR1" s="320"/>
      <c r="BS1" s="320"/>
      <c r="BT1" s="320"/>
      <c r="BU1" s="320"/>
      <c r="BV1" s="320"/>
      <c r="BW1" s="320"/>
      <c r="BX1" s="320"/>
      <c r="BY1" s="320"/>
      <c r="BZ1" s="320"/>
      <c r="CA1" s="320"/>
      <c r="CB1" s="359"/>
      <c r="CC1" s="359"/>
      <c r="CD1" s="359"/>
      <c r="CE1" s="359"/>
      <c r="CF1" s="359"/>
      <c r="CG1" s="359"/>
      <c r="CH1" s="359"/>
      <c r="CI1" s="359"/>
      <c r="CJ1" s="359"/>
      <c r="CK1" s="359"/>
      <c r="CL1" s="359"/>
      <c r="CM1" s="359"/>
      <c r="CN1" s="359"/>
      <c r="CO1" s="359"/>
      <c r="CP1" s="359"/>
    </row>
    <row r="2" spans="1:103" s="153" customFormat="1" x14ac:dyDescent="0.25">
      <c r="A2" s="367"/>
      <c r="G2" s="311"/>
      <c r="H2" s="311"/>
      <c r="I2" s="311"/>
      <c r="K2" s="367"/>
      <c r="L2" s="367"/>
      <c r="O2" s="311"/>
      <c r="Q2" s="311"/>
      <c r="S2" s="311"/>
      <c r="V2" s="49"/>
      <c r="W2" s="49"/>
      <c r="X2" s="49"/>
      <c r="Y2" s="49"/>
      <c r="Z2" s="49"/>
      <c r="AA2" s="49"/>
      <c r="AB2" s="49"/>
      <c r="AC2" s="49"/>
      <c r="AD2" s="367"/>
      <c r="AE2" s="326" t="s">
        <v>1552</v>
      </c>
      <c r="AF2" s="326" t="s">
        <v>1553</v>
      </c>
      <c r="AG2" s="326"/>
      <c r="AH2" s="326"/>
      <c r="AI2" s="326"/>
      <c r="AJ2" s="326"/>
      <c r="AK2" s="326"/>
      <c r="AL2" s="326"/>
      <c r="AM2" s="326"/>
      <c r="AN2" s="326"/>
      <c r="AO2" s="326"/>
      <c r="AP2" s="326"/>
      <c r="AQ2" s="326"/>
      <c r="AR2" s="326"/>
      <c r="AS2" s="326"/>
      <c r="AT2" s="326"/>
      <c r="AU2" s="326"/>
      <c r="AV2" s="326"/>
      <c r="AW2" s="326"/>
      <c r="AX2" s="326"/>
      <c r="AY2" s="326"/>
      <c r="AZ2" s="326"/>
      <c r="BA2" s="326"/>
      <c r="BB2" s="326"/>
      <c r="BC2" s="326"/>
      <c r="BD2" s="326"/>
      <c r="BE2" s="326"/>
      <c r="BF2" s="326"/>
      <c r="BG2" s="326"/>
      <c r="BH2" s="326"/>
      <c r="BI2" s="326"/>
      <c r="BJ2" s="326"/>
      <c r="BK2" s="326"/>
      <c r="BL2" s="326"/>
      <c r="BM2" s="326"/>
      <c r="BN2" s="326"/>
      <c r="BO2" s="326"/>
      <c r="BP2" s="326"/>
      <c r="BQ2" s="326"/>
      <c r="BR2" s="326"/>
      <c r="BS2" s="326"/>
      <c r="BT2" s="326"/>
      <c r="BU2" s="326"/>
      <c r="BV2" s="326"/>
      <c r="BW2" s="326"/>
      <c r="BX2" s="326"/>
      <c r="BY2" s="326"/>
      <c r="BZ2" s="326"/>
      <c r="CA2" s="326"/>
      <c r="CB2" s="49"/>
      <c r="CC2" s="49"/>
      <c r="CD2" s="49"/>
      <c r="CE2" s="49"/>
      <c r="CF2" s="367"/>
      <c r="CG2" s="367"/>
      <c r="CH2" s="367"/>
      <c r="CI2" s="367"/>
      <c r="CJ2" s="367"/>
      <c r="CK2" s="49"/>
      <c r="CL2" s="49"/>
      <c r="CM2" s="49"/>
      <c r="CN2" s="49"/>
      <c r="CO2" s="49"/>
      <c r="CP2" s="49"/>
    </row>
    <row r="3" spans="1:103" s="153" customFormat="1" ht="14" x14ac:dyDescent="0.3">
      <c r="A3" s="405" t="s">
        <v>298</v>
      </c>
      <c r="B3" s="26" t="s">
        <v>966</v>
      </c>
      <c r="E3" s="27"/>
      <c r="F3" s="27"/>
      <c r="G3" s="311"/>
      <c r="H3" s="311"/>
      <c r="I3" s="311"/>
      <c r="K3" s="367"/>
      <c r="L3" s="367"/>
      <c r="O3" s="311"/>
      <c r="Q3" s="311"/>
      <c r="S3" s="311"/>
      <c r="V3" s="49"/>
      <c r="W3" s="49"/>
      <c r="X3" s="49"/>
      <c r="Y3" s="49"/>
      <c r="Z3" s="49"/>
      <c r="AA3" s="49"/>
      <c r="AB3" s="49"/>
      <c r="AC3" s="49"/>
      <c r="AD3" s="367"/>
      <c r="AE3" s="326"/>
      <c r="AF3" s="326"/>
      <c r="AG3" s="326"/>
      <c r="AH3" s="326"/>
      <c r="AI3" s="326"/>
      <c r="AJ3" s="326"/>
      <c r="AK3" s="326"/>
      <c r="AL3" s="326"/>
      <c r="AM3" s="326"/>
      <c r="AN3" s="326"/>
      <c r="AO3" s="326"/>
      <c r="AP3" s="326"/>
      <c r="AQ3" s="326"/>
      <c r="AR3" s="326"/>
      <c r="AS3" s="326"/>
      <c r="AT3" s="326"/>
      <c r="AU3" s="326"/>
      <c r="AV3" s="326"/>
      <c r="AW3" s="326"/>
      <c r="AX3" s="326"/>
      <c r="AY3" s="326"/>
      <c r="AZ3" s="326"/>
      <c r="BA3" s="326"/>
      <c r="BB3" s="326"/>
      <c r="BC3" s="326"/>
      <c r="BD3" s="326"/>
      <c r="BE3" s="326"/>
      <c r="BF3" s="326"/>
      <c r="BG3" s="326"/>
      <c r="BH3" s="326"/>
      <c r="BI3" s="326"/>
      <c r="BJ3" s="326"/>
      <c r="BK3" s="326"/>
      <c r="BL3" s="326"/>
      <c r="BM3" s="326"/>
      <c r="BN3" s="326"/>
      <c r="BO3" s="326"/>
      <c r="BP3" s="326"/>
      <c r="BQ3" s="326"/>
      <c r="BR3" s="326"/>
      <c r="BS3" s="326"/>
      <c r="BT3" s="326"/>
      <c r="BU3" s="326"/>
      <c r="BV3" s="326"/>
      <c r="BW3" s="326"/>
      <c r="BX3" s="326"/>
      <c r="BY3" s="326"/>
      <c r="BZ3" s="326"/>
      <c r="CA3" s="326"/>
      <c r="CB3" s="49"/>
      <c r="CC3" s="49"/>
      <c r="CD3" s="49"/>
      <c r="CE3" s="49"/>
      <c r="CF3" s="367"/>
      <c r="CG3" s="367"/>
      <c r="CH3" s="367"/>
      <c r="CI3" s="367"/>
      <c r="CJ3" s="367"/>
      <c r="CK3" s="49"/>
      <c r="CL3" s="49"/>
      <c r="CM3" s="49"/>
      <c r="CN3" s="49"/>
      <c r="CO3" s="49"/>
      <c r="CP3" s="49"/>
    </row>
    <row r="4" spans="1:103" s="153" customFormat="1" ht="13" x14ac:dyDescent="0.25">
      <c r="A4" s="405" t="s">
        <v>299</v>
      </c>
      <c r="B4" s="28" t="s">
        <v>565</v>
      </c>
      <c r="E4" s="27"/>
      <c r="G4" s="311"/>
      <c r="H4" s="311"/>
      <c r="I4" s="311"/>
      <c r="K4" s="367"/>
      <c r="L4" s="367"/>
      <c r="O4" s="311"/>
      <c r="Q4" s="311"/>
      <c r="S4" s="311"/>
      <c r="V4" s="49"/>
      <c r="W4" s="49"/>
      <c r="X4" s="49"/>
      <c r="Y4" s="49"/>
      <c r="Z4" s="49"/>
      <c r="AA4" s="49"/>
      <c r="AB4" s="49"/>
      <c r="AC4" s="49"/>
      <c r="AD4" s="367"/>
      <c r="AE4" s="326"/>
      <c r="AF4" s="326"/>
      <c r="AG4" s="326"/>
      <c r="AH4" s="326"/>
      <c r="AI4" s="326"/>
      <c r="AJ4" s="326"/>
      <c r="AK4" s="326"/>
      <c r="AL4" s="326"/>
      <c r="AM4" s="326"/>
      <c r="AN4" s="326"/>
      <c r="AO4" s="326"/>
      <c r="AP4" s="326"/>
      <c r="AQ4" s="326"/>
      <c r="AR4" s="326"/>
      <c r="AS4" s="326"/>
      <c r="AT4" s="326"/>
      <c r="AU4" s="326"/>
      <c r="AV4" s="326"/>
      <c r="AW4" s="326"/>
      <c r="AX4" s="326"/>
      <c r="AY4" s="326"/>
      <c r="AZ4" s="326"/>
      <c r="BA4" s="326"/>
      <c r="BB4" s="326"/>
      <c r="BC4" s="326"/>
      <c r="BD4" s="326"/>
      <c r="BE4" s="326"/>
      <c r="BF4" s="326"/>
      <c r="BG4" s="326"/>
      <c r="BH4" s="326"/>
      <c r="BI4" s="326"/>
      <c r="BJ4" s="326"/>
      <c r="BK4" s="326"/>
      <c r="BL4" s="326"/>
      <c r="BM4" s="326"/>
      <c r="BN4" s="326"/>
      <c r="BO4" s="326"/>
      <c r="BP4" s="326"/>
      <c r="BQ4" s="326"/>
      <c r="BR4" s="326"/>
      <c r="BS4" s="326"/>
      <c r="BT4" s="326"/>
      <c r="BU4" s="326"/>
      <c r="BV4" s="326"/>
      <c r="BW4" s="326"/>
      <c r="BX4" s="326"/>
      <c r="BY4" s="326"/>
      <c r="BZ4" s="326"/>
      <c r="CA4" s="326"/>
      <c r="CB4" s="49"/>
      <c r="CC4" s="49"/>
      <c r="CD4" s="49"/>
      <c r="CE4" s="49"/>
      <c r="CF4" s="367"/>
      <c r="CG4" s="367"/>
      <c r="CH4" s="367"/>
      <c r="CI4" s="367"/>
      <c r="CJ4" s="367"/>
      <c r="CK4" s="49"/>
      <c r="CL4" s="49"/>
      <c r="CM4" s="49"/>
      <c r="CN4" s="49"/>
      <c r="CO4" s="49"/>
      <c r="CP4" s="49"/>
    </row>
    <row r="5" spans="1:103" s="153" customFormat="1" ht="13" x14ac:dyDescent="0.25">
      <c r="A5" s="405" t="s">
        <v>300</v>
      </c>
      <c r="B5" s="28" t="s">
        <v>565</v>
      </c>
      <c r="G5" s="311"/>
      <c r="H5" s="311"/>
      <c r="I5" s="311"/>
      <c r="K5" s="367"/>
      <c r="L5" s="367"/>
      <c r="O5" s="311"/>
      <c r="Q5" s="311"/>
      <c r="S5" s="311"/>
      <c r="V5" s="49"/>
      <c r="W5" s="49"/>
      <c r="X5" s="49"/>
      <c r="Y5" s="49"/>
      <c r="Z5" s="49"/>
      <c r="AA5" s="49"/>
      <c r="AB5" s="49"/>
      <c r="AC5" s="49"/>
      <c r="AD5" s="367"/>
      <c r="AE5" s="326"/>
      <c r="AF5" s="326"/>
      <c r="AG5" s="326"/>
      <c r="AH5" s="326"/>
      <c r="AI5" s="326"/>
      <c r="AJ5" s="326"/>
      <c r="AK5" s="326"/>
      <c r="AL5" s="326"/>
      <c r="AM5" s="326"/>
      <c r="AN5" s="326"/>
      <c r="AO5" s="326"/>
      <c r="AP5" s="326"/>
      <c r="AQ5" s="326"/>
      <c r="AR5" s="326"/>
      <c r="AS5" s="326"/>
      <c r="AT5" s="326"/>
      <c r="AU5" s="326"/>
      <c r="AV5" s="326"/>
      <c r="AW5" s="326"/>
      <c r="AX5" s="326"/>
      <c r="AY5" s="326"/>
      <c r="AZ5" s="326"/>
      <c r="BA5" s="326"/>
      <c r="BB5" s="326"/>
      <c r="BC5" s="326"/>
      <c r="BD5" s="326"/>
      <c r="BE5" s="326"/>
      <c r="BF5" s="326"/>
      <c r="BG5" s="326"/>
      <c r="BH5" s="326"/>
      <c r="BI5" s="326"/>
      <c r="BJ5" s="326"/>
      <c r="BK5" s="326"/>
      <c r="BL5" s="326"/>
      <c r="BM5" s="326"/>
      <c r="BN5" s="326"/>
      <c r="BO5" s="326"/>
      <c r="BP5" s="326"/>
      <c r="BQ5" s="326"/>
      <c r="BR5" s="326"/>
      <c r="BS5" s="326"/>
      <c r="BT5" s="326"/>
      <c r="BU5" s="326"/>
      <c r="BV5" s="326"/>
      <c r="BW5" s="326"/>
      <c r="BX5" s="326"/>
      <c r="BY5" s="326"/>
      <c r="BZ5" s="326"/>
      <c r="CA5" s="326"/>
      <c r="CB5" s="49"/>
      <c r="CC5" s="49"/>
      <c r="CD5" s="49"/>
      <c r="CE5" s="49"/>
      <c r="CF5" s="367"/>
      <c r="CG5" s="367"/>
      <c r="CH5" s="367"/>
      <c r="CI5" s="367"/>
      <c r="CJ5" s="367"/>
      <c r="CK5" s="49"/>
      <c r="CL5" s="49"/>
      <c r="CM5" s="49"/>
      <c r="CN5" s="49"/>
      <c r="CO5" s="49"/>
      <c r="CP5" s="49"/>
    </row>
    <row r="6" spans="1:103" s="153" customFormat="1" x14ac:dyDescent="0.25">
      <c r="A6" s="406" t="s">
        <v>1</v>
      </c>
      <c r="G6" s="311"/>
      <c r="H6" s="311"/>
      <c r="I6" s="311"/>
      <c r="K6" s="367"/>
      <c r="L6" s="367"/>
      <c r="O6" s="311"/>
      <c r="Q6" s="311"/>
      <c r="S6" s="311"/>
      <c r="V6" s="49"/>
      <c r="W6" s="49"/>
      <c r="X6" s="49"/>
      <c r="Y6" s="49"/>
      <c r="Z6" s="49"/>
      <c r="AA6" s="49"/>
      <c r="AB6" s="49"/>
      <c r="AC6" s="49"/>
      <c r="AD6" s="367"/>
      <c r="AE6" s="326"/>
      <c r="AF6" s="326"/>
      <c r="AG6" s="326"/>
      <c r="AH6" s="326"/>
      <c r="AI6" s="326"/>
      <c r="AJ6" s="326"/>
      <c r="AK6" s="326"/>
      <c r="AL6" s="326"/>
      <c r="AM6" s="326"/>
      <c r="AN6" s="326"/>
      <c r="AO6" s="326"/>
      <c r="AP6" s="326"/>
      <c r="AQ6" s="326"/>
      <c r="AR6" s="326"/>
      <c r="AS6" s="326"/>
      <c r="AT6" s="326"/>
      <c r="AU6" s="326"/>
      <c r="AV6" s="326"/>
      <c r="AW6" s="326"/>
      <c r="AX6" s="326"/>
      <c r="AY6" s="326"/>
      <c r="AZ6" s="326"/>
      <c r="BA6" s="326"/>
      <c r="BB6" s="326"/>
      <c r="BC6" s="326"/>
      <c r="BD6" s="326"/>
      <c r="BE6" s="326"/>
      <c r="BF6" s="326"/>
      <c r="BG6" s="326"/>
      <c r="BH6" s="326"/>
      <c r="BI6" s="326"/>
      <c r="BJ6" s="326"/>
      <c r="BK6" s="326"/>
      <c r="BL6" s="326"/>
      <c r="BM6" s="326"/>
      <c r="BN6" s="326"/>
      <c r="BO6" s="326"/>
      <c r="BP6" s="326"/>
      <c r="BQ6" s="326"/>
      <c r="BR6" s="326"/>
      <c r="BS6" s="326"/>
      <c r="BT6" s="326"/>
      <c r="BU6" s="326"/>
      <c r="BV6" s="326"/>
      <c r="BW6" s="326"/>
      <c r="BX6" s="326"/>
      <c r="BY6" s="326"/>
      <c r="BZ6" s="326"/>
      <c r="CA6" s="326"/>
      <c r="CB6" s="49"/>
      <c r="CC6" s="49"/>
      <c r="CD6" s="49"/>
      <c r="CE6" s="49"/>
      <c r="CF6" s="367"/>
      <c r="CG6" s="367"/>
      <c r="CH6" s="367"/>
      <c r="CI6" s="367"/>
      <c r="CJ6" s="367"/>
      <c r="CK6" s="49"/>
      <c r="CL6" s="49"/>
      <c r="CM6" s="49"/>
      <c r="CN6" s="49"/>
      <c r="CO6" s="49"/>
      <c r="CP6" s="49"/>
    </row>
    <row r="7" spans="1:103" s="153" customFormat="1" x14ac:dyDescent="0.25">
      <c r="A7" s="402"/>
      <c r="G7" s="311"/>
      <c r="H7" s="311"/>
      <c r="I7" s="311"/>
      <c r="K7" s="367"/>
      <c r="L7" s="367"/>
      <c r="O7" s="311"/>
      <c r="Q7" s="311"/>
      <c r="S7" s="311"/>
      <c r="V7" s="49"/>
      <c r="W7" s="49"/>
      <c r="X7" s="49"/>
      <c r="Y7" s="49"/>
      <c r="Z7" s="49"/>
      <c r="AA7" s="49"/>
      <c r="AB7" s="49"/>
      <c r="AC7" s="49"/>
      <c r="AD7" s="367"/>
      <c r="AE7" s="326"/>
      <c r="AF7" s="326"/>
      <c r="AG7" s="326"/>
      <c r="AH7" s="326"/>
      <c r="AI7" s="326"/>
      <c r="AJ7" s="326"/>
      <c r="AK7" s="326"/>
      <c r="AL7" s="326"/>
      <c r="AM7" s="326"/>
      <c r="AN7" s="326"/>
      <c r="AO7" s="326"/>
      <c r="AP7" s="326"/>
      <c r="AQ7" s="326"/>
      <c r="AR7" s="326"/>
      <c r="AS7" s="326"/>
      <c r="AT7" s="326"/>
      <c r="AU7" s="326"/>
      <c r="AV7" s="326"/>
      <c r="AW7" s="326"/>
      <c r="AX7" s="326"/>
      <c r="AY7" s="326"/>
      <c r="AZ7" s="326"/>
      <c r="BA7" s="326"/>
      <c r="BB7" s="326"/>
      <c r="BC7" s="326"/>
      <c r="BD7" s="326"/>
      <c r="BE7" s="326"/>
      <c r="BF7" s="326"/>
      <c r="BG7" s="326"/>
      <c r="BH7" s="326"/>
      <c r="BI7" s="326"/>
      <c r="BJ7" s="326"/>
      <c r="BK7" s="326"/>
      <c r="BL7" s="326"/>
      <c r="BM7" s="326"/>
      <c r="BN7" s="326"/>
      <c r="BO7" s="326"/>
      <c r="BP7" s="326"/>
      <c r="BQ7" s="326"/>
      <c r="BR7" s="326"/>
      <c r="BS7" s="326"/>
      <c r="BT7" s="326"/>
      <c r="BU7" s="326"/>
      <c r="BV7" s="326"/>
      <c r="BW7" s="326"/>
      <c r="BX7" s="326"/>
      <c r="BY7" s="326"/>
      <c r="BZ7" s="326"/>
      <c r="CA7" s="326"/>
      <c r="CB7" s="49"/>
      <c r="CC7" s="49"/>
      <c r="CD7" s="49"/>
      <c r="CE7" s="49"/>
      <c r="CF7" s="367"/>
      <c r="CG7" s="367"/>
      <c r="CH7" s="367"/>
      <c r="CI7" s="367"/>
      <c r="CJ7" s="367"/>
      <c r="CK7" s="49"/>
      <c r="CL7" s="49"/>
      <c r="CM7" s="49"/>
      <c r="CN7" s="49"/>
      <c r="CO7" s="49"/>
      <c r="CP7" s="49"/>
    </row>
    <row r="8" spans="1:103" s="302" customFormat="1" ht="20" x14ac:dyDescent="0.25">
      <c r="A8" s="308"/>
      <c r="B8" s="308"/>
      <c r="C8" s="308"/>
      <c r="D8" s="359"/>
      <c r="E8" s="359"/>
      <c r="F8" s="308"/>
      <c r="G8" s="308"/>
      <c r="H8" s="320"/>
      <c r="I8" s="320"/>
      <c r="J8" s="320"/>
      <c r="K8" s="361"/>
      <c r="L8" s="361"/>
      <c r="M8" s="309"/>
      <c r="N8" s="359"/>
      <c r="O8" s="359"/>
      <c r="P8" s="361"/>
      <c r="Q8" s="361"/>
      <c r="R8" s="361"/>
      <c r="S8" s="361"/>
      <c r="T8" s="361"/>
      <c r="U8" s="309"/>
      <c r="V8" s="359"/>
      <c r="W8" s="359"/>
      <c r="X8" s="359"/>
      <c r="Y8" s="359"/>
      <c r="Z8" s="359"/>
      <c r="AA8" s="359"/>
      <c r="AB8" s="359"/>
      <c r="AC8" s="359"/>
      <c r="AD8" s="359"/>
      <c r="AE8" s="359"/>
      <c r="AF8" s="359"/>
      <c r="AG8" s="359"/>
      <c r="AH8" s="359"/>
      <c r="AI8" s="359"/>
      <c r="AJ8" s="359"/>
      <c r="AK8" s="359"/>
      <c r="AL8" s="359"/>
      <c r="AM8" s="359"/>
      <c r="AN8" s="359"/>
      <c r="AO8" s="359"/>
      <c r="AP8" s="359"/>
      <c r="AQ8" s="359"/>
      <c r="AR8" s="359"/>
      <c r="AS8" s="359"/>
      <c r="AT8" s="359"/>
      <c r="AU8" s="359"/>
      <c r="AV8" s="359"/>
      <c r="AW8" s="359"/>
      <c r="AX8" s="359"/>
      <c r="AY8" s="359"/>
      <c r="AZ8" s="359"/>
      <c r="BA8" s="359"/>
      <c r="BB8" s="359"/>
      <c r="BC8" s="359"/>
      <c r="BD8" s="359"/>
      <c r="BE8" s="359"/>
      <c r="BF8" s="359"/>
      <c r="BG8" s="359"/>
      <c r="BH8" s="359"/>
      <c r="BI8" s="359"/>
      <c r="BJ8" s="359"/>
      <c r="BK8" s="359"/>
      <c r="BL8" s="359"/>
      <c r="BM8" s="359"/>
      <c r="BN8" s="359"/>
      <c r="BO8" s="359"/>
      <c r="BP8" s="359">
        <f>44644/41680</f>
        <v>1.0711132437619961</v>
      </c>
      <c r="BQ8" s="359"/>
      <c r="BR8" s="359"/>
      <c r="BS8" s="359"/>
      <c r="BT8" s="359"/>
      <c r="BU8" s="359"/>
      <c r="BV8" s="359"/>
      <c r="BW8" s="359"/>
      <c r="BX8" s="359"/>
      <c r="BY8" s="359"/>
      <c r="BZ8" s="359"/>
      <c r="CA8" s="359"/>
      <c r="CB8" s="359"/>
      <c r="CC8" s="359"/>
      <c r="CD8" s="359"/>
      <c r="CE8" s="359"/>
      <c r="CF8" s="359"/>
      <c r="CG8" s="359"/>
      <c r="CH8" s="359"/>
      <c r="CI8" s="359"/>
      <c r="CJ8" s="359"/>
      <c r="CK8" s="359"/>
      <c r="CL8" s="359"/>
      <c r="CM8" s="359"/>
      <c r="CN8" s="359"/>
      <c r="CO8" s="359"/>
      <c r="CP8" s="359"/>
    </row>
    <row r="9" spans="1:103" s="407" customFormat="1" ht="13" thickBot="1" x14ac:dyDescent="0.3">
      <c r="A9" s="357">
        <v>1</v>
      </c>
      <c r="B9" s="357">
        <v>2</v>
      </c>
      <c r="C9" s="357">
        <v>3</v>
      </c>
      <c r="D9" s="357">
        <v>4</v>
      </c>
      <c r="E9" s="357">
        <v>5</v>
      </c>
      <c r="F9" s="357">
        <v>6</v>
      </c>
      <c r="G9" s="357">
        <v>7</v>
      </c>
      <c r="H9" s="372">
        <v>8</v>
      </c>
      <c r="I9" s="372">
        <v>9</v>
      </c>
      <c r="J9" s="357">
        <v>10</v>
      </c>
      <c r="K9" s="357">
        <v>11</v>
      </c>
      <c r="L9" s="357">
        <v>12</v>
      </c>
      <c r="M9" s="357">
        <v>13</v>
      </c>
      <c r="N9" s="357">
        <v>14</v>
      </c>
      <c r="O9" s="357">
        <v>15</v>
      </c>
      <c r="P9" s="357">
        <v>16</v>
      </c>
      <c r="Q9" s="372">
        <v>17</v>
      </c>
      <c r="R9" s="357">
        <v>18</v>
      </c>
      <c r="S9" s="357">
        <v>19</v>
      </c>
      <c r="T9" s="357">
        <v>20</v>
      </c>
      <c r="U9" s="357">
        <v>21</v>
      </c>
      <c r="V9" s="357">
        <v>22</v>
      </c>
      <c r="W9" s="357">
        <v>23</v>
      </c>
      <c r="X9" s="357">
        <v>24</v>
      </c>
      <c r="Y9" s="357">
        <v>25</v>
      </c>
      <c r="Z9" s="357">
        <v>26</v>
      </c>
      <c r="AA9" s="357">
        <v>27</v>
      </c>
      <c r="AB9" s="357">
        <v>28</v>
      </c>
      <c r="AC9" s="357">
        <v>29</v>
      </c>
      <c r="AD9" s="384">
        <v>30</v>
      </c>
      <c r="AE9" s="384">
        <v>31</v>
      </c>
      <c r="AF9" s="384"/>
      <c r="AG9" s="384"/>
      <c r="AH9" s="384"/>
      <c r="AI9" s="384"/>
      <c r="AJ9" s="384">
        <v>32</v>
      </c>
      <c r="AK9" s="384">
        <v>33</v>
      </c>
      <c r="AL9" s="384"/>
      <c r="AM9" s="384"/>
      <c r="AN9" s="384"/>
      <c r="AO9" s="384"/>
      <c r="AP9" s="384">
        <v>34</v>
      </c>
      <c r="AQ9" s="384">
        <v>35</v>
      </c>
      <c r="AR9" s="384"/>
      <c r="AS9" s="384"/>
      <c r="AT9" s="384"/>
      <c r="AU9" s="384"/>
      <c r="AV9" s="384">
        <v>36</v>
      </c>
      <c r="AW9" s="384"/>
      <c r="AX9" s="384"/>
      <c r="AY9" s="384"/>
      <c r="AZ9" s="384"/>
      <c r="BA9" s="384"/>
      <c r="BB9" s="384"/>
      <c r="BC9" s="384"/>
      <c r="BD9" s="384"/>
      <c r="BE9" s="384"/>
      <c r="BF9" s="384"/>
      <c r="BG9" s="384"/>
      <c r="BH9" s="384"/>
      <c r="BI9" s="384"/>
      <c r="BJ9" s="384"/>
      <c r="BK9" s="384"/>
      <c r="BL9" s="384"/>
      <c r="BM9" s="384"/>
      <c r="BN9" s="384"/>
      <c r="BO9" s="384"/>
      <c r="BP9" s="384"/>
      <c r="BQ9" s="384"/>
      <c r="BR9" s="384">
        <v>37</v>
      </c>
      <c r="BS9" s="384">
        <v>38</v>
      </c>
      <c r="BT9" s="384">
        <v>39</v>
      </c>
      <c r="BU9" s="384">
        <v>40</v>
      </c>
      <c r="BV9" s="384">
        <v>41</v>
      </c>
      <c r="BW9" s="384">
        <v>42</v>
      </c>
      <c r="BX9" s="384">
        <v>43</v>
      </c>
      <c r="BY9" s="384">
        <v>44</v>
      </c>
      <c r="BZ9" s="384">
        <v>45</v>
      </c>
      <c r="CA9" s="384">
        <v>46</v>
      </c>
      <c r="CB9" s="384">
        <v>47</v>
      </c>
      <c r="CC9" s="384">
        <v>48</v>
      </c>
      <c r="CD9" s="384">
        <v>49</v>
      </c>
      <c r="CE9" s="384">
        <v>50</v>
      </c>
      <c r="CF9" s="384">
        <v>51</v>
      </c>
      <c r="CG9" s="384">
        <v>52</v>
      </c>
      <c r="CH9" s="384">
        <v>53</v>
      </c>
      <c r="CI9" s="384">
        <v>54</v>
      </c>
      <c r="CJ9" s="384">
        <v>55</v>
      </c>
      <c r="CK9" s="384">
        <v>56</v>
      </c>
      <c r="CL9" s="384">
        <v>57</v>
      </c>
      <c r="CM9" s="384">
        <v>58</v>
      </c>
      <c r="CN9" s="384">
        <v>59</v>
      </c>
      <c r="CO9" s="384">
        <v>60</v>
      </c>
      <c r="CP9" s="384">
        <v>61</v>
      </c>
    </row>
    <row r="10" spans="1:103" s="302" customFormat="1" ht="25.5" customHeight="1" x14ac:dyDescent="0.3">
      <c r="A10" s="379"/>
      <c r="B10" s="379"/>
      <c r="C10" s="379"/>
      <c r="D10" s="392"/>
      <c r="E10" s="392"/>
      <c r="F10" s="379"/>
      <c r="G10" s="379"/>
      <c r="H10" s="373"/>
      <c r="I10" s="422" t="s">
        <v>740</v>
      </c>
      <c r="J10" s="66">
        <v>2019</v>
      </c>
      <c r="K10" s="393"/>
      <c r="L10" s="393"/>
      <c r="M10" s="380"/>
      <c r="N10" s="392"/>
      <c r="O10" s="392"/>
      <c r="P10" s="393"/>
      <c r="Q10" s="363"/>
      <c r="R10" s="393"/>
      <c r="S10" s="393"/>
      <c r="T10" s="393"/>
      <c r="U10" s="393"/>
      <c r="V10" s="392"/>
      <c r="W10" s="413"/>
      <c r="X10" s="413"/>
      <c r="Y10" s="524" t="s">
        <v>520</v>
      </c>
      <c r="Z10" s="524"/>
      <c r="AA10" s="524"/>
      <c r="AB10" s="524"/>
      <c r="AC10" s="524"/>
      <c r="AD10" s="455"/>
      <c r="AE10" s="481" t="s">
        <v>483</v>
      </c>
      <c r="AF10" s="507" t="s">
        <v>1536</v>
      </c>
      <c r="AG10" s="507" t="s">
        <v>1537</v>
      </c>
      <c r="AH10" s="507" t="s">
        <v>783</v>
      </c>
      <c r="AI10" s="507" t="s">
        <v>583</v>
      </c>
      <c r="AJ10" s="481"/>
      <c r="AK10" s="505"/>
      <c r="AL10" s="507" t="s">
        <v>732</v>
      </c>
      <c r="AM10" s="507" t="s">
        <v>1538</v>
      </c>
      <c r="AN10" s="507" t="s">
        <v>638</v>
      </c>
      <c r="AO10" s="507" t="s">
        <v>582</v>
      </c>
      <c r="AP10" s="481"/>
      <c r="AQ10" s="505"/>
      <c r="AR10" s="507" t="s">
        <v>581</v>
      </c>
      <c r="AS10" s="507" t="s">
        <v>1391</v>
      </c>
      <c r="AT10" s="507" t="s">
        <v>1439</v>
      </c>
      <c r="AU10" s="507" t="s">
        <v>1438</v>
      </c>
      <c r="AV10" s="453"/>
      <c r="AW10" s="505"/>
      <c r="AX10" s="552"/>
      <c r="AY10" s="548"/>
      <c r="AZ10" s="503" t="s">
        <v>1535</v>
      </c>
      <c r="BA10" s="499" t="s">
        <v>1536</v>
      </c>
      <c r="BB10" s="499" t="s">
        <v>1537</v>
      </c>
      <c r="BC10" s="499" t="s">
        <v>783</v>
      </c>
      <c r="BD10" s="499" t="s">
        <v>583</v>
      </c>
      <c r="BE10" s="498"/>
      <c r="BF10" s="503"/>
      <c r="BG10" s="499" t="s">
        <v>732</v>
      </c>
      <c r="BH10" s="499" t="s">
        <v>1538</v>
      </c>
      <c r="BI10" s="499" t="s">
        <v>638</v>
      </c>
      <c r="BJ10" s="499" t="s">
        <v>582</v>
      </c>
      <c r="BK10" s="498"/>
      <c r="BL10" s="503"/>
      <c r="BM10" s="499" t="s">
        <v>581</v>
      </c>
      <c r="BN10" s="499" t="s">
        <v>1391</v>
      </c>
      <c r="BO10" s="499" t="s">
        <v>1439</v>
      </c>
      <c r="BP10" s="499" t="s">
        <v>1438</v>
      </c>
      <c r="BQ10" s="498"/>
      <c r="BR10" s="525" t="s">
        <v>1124</v>
      </c>
      <c r="BS10" s="526"/>
      <c r="BT10" s="526"/>
      <c r="BU10" s="526"/>
      <c r="BV10" s="526"/>
      <c r="BW10" s="526"/>
      <c r="BX10" s="526"/>
      <c r="BY10" s="527"/>
      <c r="BZ10" s="528" t="s">
        <v>1140</v>
      </c>
      <c r="CA10" s="529"/>
      <c r="CB10" s="529"/>
      <c r="CC10" s="529"/>
      <c r="CD10" s="529"/>
      <c r="CE10" s="530"/>
      <c r="CF10" s="454"/>
      <c r="CG10" s="531" t="s">
        <v>1156</v>
      </c>
      <c r="CH10" s="531"/>
      <c r="CI10" s="531"/>
      <c r="CJ10" s="531"/>
      <c r="CK10" s="531"/>
      <c r="CL10" s="531"/>
      <c r="CM10" s="531"/>
      <c r="CN10" s="531"/>
      <c r="CO10" s="531"/>
      <c r="CP10" s="531"/>
    </row>
    <row r="11" spans="1:103" s="408" customFormat="1" ht="39.5" thickBot="1" x14ac:dyDescent="0.3">
      <c r="A11" s="404" t="s">
        <v>736</v>
      </c>
      <c r="B11" s="381" t="s">
        <v>482</v>
      </c>
      <c r="C11" s="383" t="s">
        <v>592</v>
      </c>
      <c r="D11" s="383" t="s">
        <v>593</v>
      </c>
      <c r="E11" s="383" t="s">
        <v>554</v>
      </c>
      <c r="F11" s="383" t="s">
        <v>341</v>
      </c>
      <c r="G11" s="383" t="s">
        <v>1008</v>
      </c>
      <c r="H11" s="383" t="s">
        <v>597</v>
      </c>
      <c r="I11" s="383" t="s">
        <v>598</v>
      </c>
      <c r="J11" s="383" t="s">
        <v>977</v>
      </c>
      <c r="K11" s="383" t="s">
        <v>997</v>
      </c>
      <c r="L11" s="383" t="s">
        <v>1030</v>
      </c>
      <c r="M11" s="383" t="s">
        <v>610</v>
      </c>
      <c r="N11" s="383" t="s">
        <v>600</v>
      </c>
      <c r="O11" s="383" t="s">
        <v>458</v>
      </c>
      <c r="P11" s="383" t="s">
        <v>521</v>
      </c>
      <c r="Q11" s="391" t="s">
        <v>522</v>
      </c>
      <c r="R11" s="383" t="s">
        <v>1005</v>
      </c>
      <c r="S11" s="383" t="s">
        <v>1129</v>
      </c>
      <c r="T11" s="383" t="s">
        <v>1130</v>
      </c>
      <c r="U11" s="383" t="s">
        <v>580</v>
      </c>
      <c r="V11" s="383" t="s">
        <v>998</v>
      </c>
      <c r="W11" s="391" t="s">
        <v>1028</v>
      </c>
      <c r="X11" s="391" t="s">
        <v>1029</v>
      </c>
      <c r="Y11" s="383" t="s">
        <v>523</v>
      </c>
      <c r="Z11" s="383" t="s">
        <v>524</v>
      </c>
      <c r="AA11" s="383" t="s">
        <v>525</v>
      </c>
      <c r="AB11" s="383" t="s">
        <v>526</v>
      </c>
      <c r="AC11" s="383" t="s">
        <v>527</v>
      </c>
      <c r="AD11" s="383" t="s">
        <v>300</v>
      </c>
      <c r="AE11" s="509" t="s">
        <v>1035</v>
      </c>
      <c r="AF11" s="508" t="s">
        <v>1539</v>
      </c>
      <c r="AG11" s="508" t="s">
        <v>1540</v>
      </c>
      <c r="AH11" s="508" t="s">
        <v>1536</v>
      </c>
      <c r="AI11" s="508" t="s">
        <v>1537</v>
      </c>
      <c r="AJ11" s="508">
        <v>2017</v>
      </c>
      <c r="AK11" s="510" t="s">
        <v>1146</v>
      </c>
      <c r="AL11" s="508" t="s">
        <v>783</v>
      </c>
      <c r="AM11" s="508" t="s">
        <v>583</v>
      </c>
      <c r="AN11" s="508" t="s">
        <v>732</v>
      </c>
      <c r="AO11" s="508" t="s">
        <v>1538</v>
      </c>
      <c r="AP11" s="511">
        <v>2018</v>
      </c>
      <c r="AQ11" s="506" t="s">
        <v>1517</v>
      </c>
      <c r="AR11" s="508" t="s">
        <v>638</v>
      </c>
      <c r="AS11" s="508" t="s">
        <v>582</v>
      </c>
      <c r="AT11" s="508" t="s">
        <v>581</v>
      </c>
      <c r="AU11" s="508" t="s">
        <v>1391</v>
      </c>
      <c r="AV11" s="438">
        <v>2019</v>
      </c>
      <c r="AW11" s="506" t="s">
        <v>1526</v>
      </c>
      <c r="AX11" s="553" t="s">
        <v>1525</v>
      </c>
      <c r="AY11" s="549" t="s">
        <v>1527</v>
      </c>
      <c r="AZ11" s="501" t="s">
        <v>1035</v>
      </c>
      <c r="BA11" s="500" t="s">
        <v>1539</v>
      </c>
      <c r="BB11" s="500" t="s">
        <v>1540</v>
      </c>
      <c r="BC11" s="500" t="s">
        <v>1536</v>
      </c>
      <c r="BD11" s="500" t="s">
        <v>1537</v>
      </c>
      <c r="BE11" s="500">
        <v>2017</v>
      </c>
      <c r="BF11" s="501" t="s">
        <v>1146</v>
      </c>
      <c r="BG11" s="500" t="s">
        <v>783</v>
      </c>
      <c r="BH11" s="500" t="s">
        <v>583</v>
      </c>
      <c r="BI11" s="500" t="s">
        <v>732</v>
      </c>
      <c r="BJ11" s="500" t="s">
        <v>1538</v>
      </c>
      <c r="BK11" s="500">
        <v>2018</v>
      </c>
      <c r="BL11" s="501" t="s">
        <v>1517</v>
      </c>
      <c r="BM11" s="500" t="s">
        <v>638</v>
      </c>
      <c r="BN11" s="500" t="s">
        <v>582</v>
      </c>
      <c r="BO11" s="500" t="s">
        <v>581</v>
      </c>
      <c r="BP11" s="500" t="s">
        <v>1391</v>
      </c>
      <c r="BQ11" s="502">
        <v>2019</v>
      </c>
      <c r="BR11" s="439" t="s">
        <v>1122</v>
      </c>
      <c r="BS11" s="440" t="s">
        <v>1328</v>
      </c>
      <c r="BT11" s="440" t="s">
        <v>1327</v>
      </c>
      <c r="BU11" s="440" t="s">
        <v>1324</v>
      </c>
      <c r="BV11" s="440" t="s">
        <v>1134</v>
      </c>
      <c r="BW11" s="440" t="s">
        <v>1135</v>
      </c>
      <c r="BX11" s="440" t="s">
        <v>1137</v>
      </c>
      <c r="BY11" s="441" t="s">
        <v>1138</v>
      </c>
      <c r="BZ11" s="435" t="s">
        <v>1338</v>
      </c>
      <c r="CA11" s="436" t="s">
        <v>1457</v>
      </c>
      <c r="CB11" s="436" t="s">
        <v>1143</v>
      </c>
      <c r="CC11" s="436" t="s">
        <v>1144</v>
      </c>
      <c r="CD11" s="436" t="s">
        <v>1337</v>
      </c>
      <c r="CE11" s="437" t="s">
        <v>1344</v>
      </c>
      <c r="CF11" s="423" t="s">
        <v>1193</v>
      </c>
      <c r="CG11" s="385" t="s">
        <v>1157</v>
      </c>
      <c r="CH11" s="385" t="s">
        <v>1158</v>
      </c>
      <c r="CI11" s="385" t="s">
        <v>1159</v>
      </c>
      <c r="CJ11" s="385" t="s">
        <v>1160</v>
      </c>
      <c r="CK11" s="385" t="s">
        <v>1161</v>
      </c>
      <c r="CL11" s="385" t="s">
        <v>1162</v>
      </c>
      <c r="CM11" s="385" t="s">
        <v>1163</v>
      </c>
      <c r="CN11" s="385" t="s">
        <v>1164</v>
      </c>
      <c r="CO11" s="385" t="s">
        <v>1165</v>
      </c>
      <c r="CP11" s="385" t="s">
        <v>1166</v>
      </c>
    </row>
    <row r="12" spans="1:103" s="315" customFormat="1" ht="19.5" hidden="1" customHeight="1" x14ac:dyDescent="0.25">
      <c r="A12" s="403">
        <v>1</v>
      </c>
      <c r="B12" s="313" t="s">
        <v>460</v>
      </c>
      <c r="C12" s="313" t="s">
        <v>544</v>
      </c>
      <c r="D12" s="318" t="s">
        <v>457</v>
      </c>
      <c r="E12" s="318" t="s">
        <v>552</v>
      </c>
      <c r="F12" s="313" t="s">
        <v>395</v>
      </c>
      <c r="G12" s="313" t="s">
        <v>705</v>
      </c>
      <c r="H12" s="305" t="s">
        <v>1003</v>
      </c>
      <c r="I12" s="305" t="s">
        <v>980</v>
      </c>
      <c r="J12" s="370">
        <v>5000</v>
      </c>
      <c r="K12" s="370" t="e">
        <f>6000*V12/(IF(#REF!="yes",0.188,1))</f>
        <v>#REF!</v>
      </c>
      <c r="L12" s="370">
        <v>5000</v>
      </c>
      <c r="M12" s="316" t="s">
        <v>483</v>
      </c>
      <c r="N12" s="356"/>
      <c r="O12" s="398">
        <v>1984</v>
      </c>
      <c r="P12" s="305" t="s">
        <v>474</v>
      </c>
      <c r="Q12" s="305" t="s">
        <v>724</v>
      </c>
      <c r="R12" s="305" t="s">
        <v>725</v>
      </c>
      <c r="S12" s="305"/>
      <c r="T12" s="305"/>
      <c r="U12" s="305" t="s">
        <v>532</v>
      </c>
      <c r="V12" s="426">
        <v>0.188</v>
      </c>
      <c r="W12" s="443">
        <v>2.2130000000000001</v>
      </c>
      <c r="X12" s="445"/>
      <c r="Y12" s="317" t="e">
        <f>IF(W12="","",5-((W12-(MIN($W$12:$W$261)))/(MAX($W$12:$W$261)-MIN($W$12:$W$261)))*5)</f>
        <v>#REF!</v>
      </c>
      <c r="Z12" s="318">
        <v>1</v>
      </c>
      <c r="AA12" s="318">
        <v>5</v>
      </c>
      <c r="AB12" s="318">
        <v>2</v>
      </c>
      <c r="AC12" s="318">
        <v>5</v>
      </c>
      <c r="AD12" s="318" t="s">
        <v>602</v>
      </c>
      <c r="AE12" s="513">
        <v>5000</v>
      </c>
      <c r="AF12" s="482" t="s">
        <v>1524</v>
      </c>
      <c r="AG12" s="482" t="s">
        <v>1524</v>
      </c>
      <c r="AH12" s="482" t="s">
        <v>1524</v>
      </c>
      <c r="AI12" s="557" t="s">
        <v>1524</v>
      </c>
      <c r="AJ12" s="557" t="str">
        <f>IF(OR(M12="Exploration", M12="Pre-feasibility", O12&gt;2017), 0, "check")</f>
        <v>check</v>
      </c>
      <c r="AK12" s="556">
        <v>5000</v>
      </c>
      <c r="AL12" s="557" t="s">
        <v>1524</v>
      </c>
      <c r="AM12" s="557" t="s">
        <v>1524</v>
      </c>
      <c r="AN12" s="557" t="s">
        <v>1524</v>
      </c>
      <c r="AO12" s="557" t="s">
        <v>1524</v>
      </c>
      <c r="AP12" s="482" t="str">
        <f>IF(OR(M12="Exploration", M12="Pre-feasibility", O12&gt;2018), 0, "check")</f>
        <v>check</v>
      </c>
      <c r="AQ12" s="483">
        <v>5000</v>
      </c>
      <c r="AR12" s="482" t="s">
        <v>1524</v>
      </c>
      <c r="AS12" s="482" t="s">
        <v>1524</v>
      </c>
      <c r="AT12" s="482" t="s">
        <v>1524</v>
      </c>
      <c r="AU12" s="482" t="s">
        <v>1524</v>
      </c>
      <c r="AV12" s="482" t="str">
        <f>IF(OR(M12="Exploration", M12="Pre-feasibility", O12&gt;2019), 0, "check")</f>
        <v>check</v>
      </c>
      <c r="AW12" s="483">
        <v>5000</v>
      </c>
      <c r="AX12" s="514" t="str">
        <f t="shared" ref="AX12:AX38" si="0">IF($O12&gt;2020,0,IF(AW12=0,0,"check"))</f>
        <v>check</v>
      </c>
      <c r="AY12" s="514" t="s">
        <v>1555</v>
      </c>
      <c r="AZ12" s="483">
        <f>AE12</f>
        <v>5000</v>
      </c>
      <c r="BA12" s="482" t="s">
        <v>1524</v>
      </c>
      <c r="BB12" s="482" t="s">
        <v>1524</v>
      </c>
      <c r="BC12" s="482" t="s">
        <v>1524</v>
      </c>
      <c r="BD12" s="482" t="s">
        <v>1524</v>
      </c>
      <c r="BE12" s="482" t="s">
        <v>1524</v>
      </c>
      <c r="BF12" s="483">
        <f>AK12</f>
        <v>5000</v>
      </c>
      <c r="BG12" s="482" t="s">
        <v>1524</v>
      </c>
      <c r="BH12" s="482" t="s">
        <v>1524</v>
      </c>
      <c r="BI12" s="482" t="s">
        <v>1524</v>
      </c>
      <c r="BJ12" s="482" t="s">
        <v>1524</v>
      </c>
      <c r="BK12" s="482" t="s">
        <v>1524</v>
      </c>
      <c r="BL12" s="483">
        <f t="shared" ref="BL12:BL75" si="1">AQ12</f>
        <v>5000</v>
      </c>
      <c r="BM12" s="482" t="s">
        <v>1524</v>
      </c>
      <c r="BN12" s="482" t="s">
        <v>1524</v>
      </c>
      <c r="BO12" s="482" t="s">
        <v>1524</v>
      </c>
      <c r="BP12" s="482" t="s">
        <v>1524</v>
      </c>
      <c r="BQ12" s="482" t="s">
        <v>1524</v>
      </c>
      <c r="BR12" s="318"/>
      <c r="BS12" s="318"/>
      <c r="BT12" s="318"/>
      <c r="BU12" s="318"/>
      <c r="BV12" s="318"/>
      <c r="BW12" s="318"/>
      <c r="BX12" s="318"/>
      <c r="BY12" s="318"/>
      <c r="BZ12" s="318" t="s">
        <v>1456</v>
      </c>
      <c r="CA12" s="318"/>
      <c r="CB12" s="318"/>
      <c r="CC12" s="318"/>
      <c r="CD12" s="318"/>
      <c r="CE12" s="457"/>
      <c r="CF12" s="443">
        <v>555</v>
      </c>
      <c r="CG12" s="360" t="s">
        <v>460</v>
      </c>
      <c r="CH12" s="430">
        <v>1</v>
      </c>
      <c r="CI12" s="360"/>
      <c r="CJ12" s="360"/>
      <c r="CK12" s="360"/>
      <c r="CL12" s="360"/>
      <c r="CM12" s="360"/>
      <c r="CN12" s="360"/>
      <c r="CO12" s="360"/>
      <c r="CP12" s="360"/>
      <c r="CR12" s="315" t="str">
        <f>VLOOKUP($A12,$CT$12:$CX$261,4,FALSE)</f>
        <v>U.S.</v>
      </c>
      <c r="CS12" s="315" t="str">
        <f>VLOOKUP($A12,$CT$12:$CX$261,5,FALSE)&amp;""</f>
        <v>Nevada</v>
      </c>
      <c r="CT12" s="315">
        <v>1</v>
      </c>
      <c r="CU12" s="315" t="s">
        <v>544</v>
      </c>
      <c r="CV12" s="315" t="s">
        <v>552</v>
      </c>
      <c r="CW12" s="315" t="s">
        <v>395</v>
      </c>
      <c r="CX12" s="315" t="s">
        <v>705</v>
      </c>
      <c r="CY12" s="315" t="str">
        <f t="shared" ref="CY12:CY75" si="2">VLOOKUP(CT12,$A$12:$G$261,7,FALSE)</f>
        <v>Nevada</v>
      </c>
    </row>
    <row r="13" spans="1:103" s="315" customFormat="1" ht="19.5" hidden="1" customHeight="1" x14ac:dyDescent="0.25">
      <c r="A13" s="403">
        <v>2</v>
      </c>
      <c r="B13" s="313" t="s">
        <v>460</v>
      </c>
      <c r="C13" s="313" t="s">
        <v>604</v>
      </c>
      <c r="D13" s="318" t="s">
        <v>594</v>
      </c>
      <c r="E13" s="318" t="s">
        <v>552</v>
      </c>
      <c r="F13" s="313" t="s">
        <v>395</v>
      </c>
      <c r="G13" s="313" t="s">
        <v>1392</v>
      </c>
      <c r="H13" s="305" t="s">
        <v>599</v>
      </c>
      <c r="I13" s="305"/>
      <c r="J13" s="370" t="e">
        <f>(4400*V13)/(IF(#REF!="yes",0.188,1))</f>
        <v>#REF!</v>
      </c>
      <c r="K13" s="370" t="e">
        <f>J13</f>
        <v>#REF!</v>
      </c>
      <c r="L13" s="370">
        <v>4400</v>
      </c>
      <c r="M13" s="544" t="s">
        <v>611</v>
      </c>
      <c r="N13" s="356"/>
      <c r="O13" s="398">
        <v>2021</v>
      </c>
      <c r="P13" s="305" t="s">
        <v>519</v>
      </c>
      <c r="Q13" s="304"/>
      <c r="R13" s="305"/>
      <c r="S13" s="305"/>
      <c r="T13" s="305"/>
      <c r="U13" s="305" t="s">
        <v>579</v>
      </c>
      <c r="V13" s="426">
        <v>0.188</v>
      </c>
      <c r="W13" s="443">
        <v>6</v>
      </c>
      <c r="X13" s="445"/>
      <c r="Y13" s="317" t="e">
        <f t="shared" ref="Y13:Y76" si="3">IF(W13="","",5-((W13-(MIN($W$12:$W$261)))/(MAX($W$12:$W$261)-MIN($W$12:$W$261)))*5)</f>
        <v>#REF!</v>
      </c>
      <c r="Z13" s="318"/>
      <c r="AA13" s="318"/>
      <c r="AB13" s="318"/>
      <c r="AC13" s="318">
        <v>5</v>
      </c>
      <c r="AD13" s="318" t="s">
        <v>689</v>
      </c>
      <c r="AE13" s="483">
        <f t="shared" ref="AE13:AI15" si="4">IF(OR($M13="Exploration", $M13="Pre-feasibility", $O13&gt;2017), 0, "check")</f>
        <v>0</v>
      </c>
      <c r="AF13" s="482">
        <f t="shared" si="4"/>
        <v>0</v>
      </c>
      <c r="AG13" s="482">
        <f t="shared" si="4"/>
        <v>0</v>
      </c>
      <c r="AH13" s="482">
        <f t="shared" si="4"/>
        <v>0</v>
      </c>
      <c r="AI13" s="557">
        <f t="shared" si="4"/>
        <v>0</v>
      </c>
      <c r="AJ13" s="557">
        <f>IF(OR($M13="Exploration", $M13="Pre-feasibility", $O13&gt;2017), 0, "check")</f>
        <v>0</v>
      </c>
      <c r="AK13" s="558">
        <v>4400</v>
      </c>
      <c r="AL13" s="557">
        <f t="shared" ref="AL13:AO13" si="5">IF(OR($M13="Exploration", $M13="Pre-feasibility", $O13&gt;2018), 0, "check")</f>
        <v>0</v>
      </c>
      <c r="AM13" s="557">
        <f t="shared" si="5"/>
        <v>0</v>
      </c>
      <c r="AN13" s="557">
        <f t="shared" si="5"/>
        <v>0</v>
      </c>
      <c r="AO13" s="557">
        <f t="shared" si="5"/>
        <v>0</v>
      </c>
      <c r="AP13" s="482">
        <f>IF(OR($M13="Exploration", $M13="Pre-feasibility", $O13&gt;2018), 0, "check")</f>
        <v>0</v>
      </c>
      <c r="AQ13" s="587">
        <v>4400</v>
      </c>
      <c r="AR13" s="482">
        <f t="shared" ref="AQ13:AU15" si="6">IF(OR($M13="Exploration", $M13="Pre-feasibility", $O13&gt;2019), 0, "check")</f>
        <v>0</v>
      </c>
      <c r="AS13" s="482">
        <f t="shared" si="6"/>
        <v>0</v>
      </c>
      <c r="AT13" s="482">
        <f t="shared" si="6"/>
        <v>0</v>
      </c>
      <c r="AU13" s="482">
        <f t="shared" si="6"/>
        <v>0</v>
      </c>
      <c r="AV13" s="514">
        <f>SUM(AR13:AU13)</f>
        <v>0</v>
      </c>
      <c r="AW13" s="520">
        <v>4400</v>
      </c>
      <c r="AX13" s="514">
        <f t="shared" si="0"/>
        <v>0</v>
      </c>
      <c r="AY13" s="514" t="s">
        <v>1034</v>
      </c>
      <c r="AZ13" s="483">
        <f t="shared" ref="AZ13:AZ76" si="7">AE13</f>
        <v>0</v>
      </c>
      <c r="BA13" s="482">
        <v>0</v>
      </c>
      <c r="BB13" s="482">
        <v>0</v>
      </c>
      <c r="BC13" s="482">
        <v>0</v>
      </c>
      <c r="BD13" s="482">
        <v>0</v>
      </c>
      <c r="BE13" s="482">
        <v>0</v>
      </c>
      <c r="BF13" s="483">
        <f t="shared" ref="BF13:BF76" si="8">AK13</f>
        <v>4400</v>
      </c>
      <c r="BG13" s="482" t="s">
        <v>1524</v>
      </c>
      <c r="BH13" s="482" t="s">
        <v>1524</v>
      </c>
      <c r="BI13" s="482" t="s">
        <v>1524</v>
      </c>
      <c r="BJ13" s="482" t="s">
        <v>1524</v>
      </c>
      <c r="BK13" s="482">
        <v>0</v>
      </c>
      <c r="BL13" s="483">
        <f t="shared" si="1"/>
        <v>4400</v>
      </c>
      <c r="BM13" s="482">
        <v>0</v>
      </c>
      <c r="BN13" s="482">
        <v>0</v>
      </c>
      <c r="BO13" s="482">
        <v>0</v>
      </c>
      <c r="BP13" s="482">
        <v>0</v>
      </c>
      <c r="BQ13" s="482">
        <v>0</v>
      </c>
      <c r="BR13" s="318"/>
      <c r="BS13" s="318"/>
      <c r="BT13" s="318"/>
      <c r="BU13" s="318"/>
      <c r="BV13" s="318"/>
      <c r="BW13" s="318"/>
      <c r="BX13" s="318"/>
      <c r="BY13" s="318"/>
      <c r="BZ13" s="318" t="s">
        <v>1510</v>
      </c>
      <c r="CA13" s="318"/>
      <c r="CB13" s="318"/>
      <c r="CC13" s="318"/>
      <c r="CD13" s="318"/>
      <c r="CE13" s="457"/>
      <c r="CF13" s="318">
        <v>555</v>
      </c>
      <c r="CG13" s="360" t="s">
        <v>460</v>
      </c>
      <c r="CH13" s="430">
        <v>1</v>
      </c>
      <c r="CI13" s="360"/>
      <c r="CJ13" s="360"/>
      <c r="CK13" s="360"/>
      <c r="CL13" s="360"/>
      <c r="CM13" s="360"/>
      <c r="CN13" s="360"/>
      <c r="CO13" s="360"/>
      <c r="CP13" s="360"/>
      <c r="CR13" s="315" t="str">
        <f t="shared" ref="CR13:CR76" si="9">VLOOKUP(A13,$CT$12:$CX$261,4,FALSE)</f>
        <v>U.S.</v>
      </c>
      <c r="CS13" s="315" t="str">
        <f t="shared" ref="CS13:CS76" si="10">VLOOKUP($A13,$CT$12:$CX$261,5,FALSE)&amp;""</f>
        <v>North Carolina</v>
      </c>
      <c r="CT13" s="315">
        <v>2</v>
      </c>
      <c r="CU13" s="315" t="s">
        <v>604</v>
      </c>
      <c r="CV13" s="315" t="s">
        <v>552</v>
      </c>
      <c r="CW13" s="315" t="s">
        <v>395</v>
      </c>
      <c r="CX13" s="315" t="s">
        <v>1392</v>
      </c>
      <c r="CY13" s="315" t="str">
        <f t="shared" si="2"/>
        <v>North Carolina</v>
      </c>
    </row>
    <row r="14" spans="1:103" s="315" customFormat="1" ht="19.5" hidden="1" customHeight="1" x14ac:dyDescent="0.25">
      <c r="A14" s="403">
        <v>3</v>
      </c>
      <c r="B14" s="313" t="s">
        <v>601</v>
      </c>
      <c r="C14" s="313" t="s">
        <v>603</v>
      </c>
      <c r="D14" s="318" t="s">
        <v>457</v>
      </c>
      <c r="E14" s="318" t="s">
        <v>552</v>
      </c>
      <c r="F14" s="313" t="s">
        <v>465</v>
      </c>
      <c r="G14" s="313" t="s">
        <v>1393</v>
      </c>
      <c r="H14" s="305"/>
      <c r="I14" s="305"/>
      <c r="J14" s="370">
        <v>0</v>
      </c>
      <c r="K14" s="370">
        <v>0</v>
      </c>
      <c r="L14" s="370">
        <f>K14-J14</f>
        <v>0</v>
      </c>
      <c r="M14" s="316" t="s">
        <v>807</v>
      </c>
      <c r="N14" s="356"/>
      <c r="O14" s="398"/>
      <c r="P14" s="305" t="s">
        <v>463</v>
      </c>
      <c r="Q14" s="304" t="s">
        <v>680</v>
      </c>
      <c r="R14" s="305"/>
      <c r="S14" s="305"/>
      <c r="T14" s="305"/>
      <c r="U14" s="305" t="s">
        <v>528</v>
      </c>
      <c r="V14" s="426"/>
      <c r="W14" s="317"/>
      <c r="X14" s="317"/>
      <c r="Y14" s="317" t="str">
        <f t="shared" si="3"/>
        <v/>
      </c>
      <c r="Z14" s="318">
        <v>1</v>
      </c>
      <c r="AA14" s="318"/>
      <c r="AB14" s="318"/>
      <c r="AC14" s="318">
        <v>5</v>
      </c>
      <c r="AD14" s="318" t="s">
        <v>683</v>
      </c>
      <c r="AE14" s="483">
        <f t="shared" si="4"/>
        <v>0</v>
      </c>
      <c r="AF14" s="482">
        <f t="shared" si="4"/>
        <v>0</v>
      </c>
      <c r="AG14" s="482">
        <f t="shared" si="4"/>
        <v>0</v>
      </c>
      <c r="AH14" s="482">
        <f t="shared" si="4"/>
        <v>0</v>
      </c>
      <c r="AI14" s="557">
        <f t="shared" si="4"/>
        <v>0</v>
      </c>
      <c r="AJ14" s="557">
        <f>IF(OR($M14="Exploration", $M14="Pre-feasibility", $O14&gt;2017), 0, "check")</f>
        <v>0</v>
      </c>
      <c r="AK14" s="556">
        <f t="shared" ref="AK14:AV17" si="11">IF(OR($M14="Exploration", $M14="Pre-feasibility", $O14&gt;2018), 0, "check")</f>
        <v>0</v>
      </c>
      <c r="AL14" s="557">
        <f t="shared" si="11"/>
        <v>0</v>
      </c>
      <c r="AM14" s="557">
        <f t="shared" si="11"/>
        <v>0</v>
      </c>
      <c r="AN14" s="557">
        <f t="shared" si="11"/>
        <v>0</v>
      </c>
      <c r="AO14" s="557">
        <f t="shared" si="11"/>
        <v>0</v>
      </c>
      <c r="AP14" s="482">
        <f t="shared" si="11"/>
        <v>0</v>
      </c>
      <c r="AQ14" s="483">
        <f t="shared" si="6"/>
        <v>0</v>
      </c>
      <c r="AR14" s="482">
        <f t="shared" si="6"/>
        <v>0</v>
      </c>
      <c r="AS14" s="482">
        <f t="shared" si="6"/>
        <v>0</v>
      </c>
      <c r="AT14" s="482">
        <f t="shared" si="6"/>
        <v>0</v>
      </c>
      <c r="AU14" s="482">
        <f t="shared" si="6"/>
        <v>0</v>
      </c>
      <c r="AV14" s="514">
        <f>SUM(AR14:AU14)</f>
        <v>0</v>
      </c>
      <c r="AW14" s="483">
        <f t="shared" ref="AW13:AW65" si="12">IF(OR(ISBLANK($O14),$O14&gt;2022,$M14="Cancelled"),0,IF($M14="Pre-feasibility",0,IF($O14&lt;2018,$L14,"check")))</f>
        <v>0</v>
      </c>
      <c r="AX14" s="514">
        <f t="shared" si="0"/>
        <v>0</v>
      </c>
      <c r="AY14" s="514" t="s">
        <v>1034</v>
      </c>
      <c r="AZ14" s="483">
        <f t="shared" si="7"/>
        <v>0</v>
      </c>
      <c r="BA14" s="482">
        <v>0</v>
      </c>
      <c r="BB14" s="482">
        <v>0</v>
      </c>
      <c r="BC14" s="482">
        <v>0</v>
      </c>
      <c r="BD14" s="482">
        <v>0</v>
      </c>
      <c r="BE14" s="482">
        <v>0</v>
      </c>
      <c r="BF14" s="483">
        <f t="shared" si="8"/>
        <v>0</v>
      </c>
      <c r="BG14" s="482">
        <v>0</v>
      </c>
      <c r="BH14" s="482">
        <v>0</v>
      </c>
      <c r="BI14" s="482">
        <v>0</v>
      </c>
      <c r="BJ14" s="482">
        <v>0</v>
      </c>
      <c r="BK14" s="482">
        <v>0</v>
      </c>
      <c r="BL14" s="483">
        <f t="shared" si="1"/>
        <v>0</v>
      </c>
      <c r="BM14" s="482">
        <v>0</v>
      </c>
      <c r="BN14" s="482">
        <v>0</v>
      </c>
      <c r="BO14" s="482">
        <v>0</v>
      </c>
      <c r="BP14" s="482">
        <v>0</v>
      </c>
      <c r="BQ14" s="482">
        <v>0</v>
      </c>
      <c r="BR14" s="318"/>
      <c r="BS14" s="318"/>
      <c r="BT14" s="318"/>
      <c r="BU14" s="318"/>
      <c r="BV14" s="318"/>
      <c r="BW14" s="318"/>
      <c r="BX14" s="318"/>
      <c r="BY14" s="318"/>
      <c r="BZ14" s="318"/>
      <c r="CA14" s="318"/>
      <c r="CB14" s="318"/>
      <c r="CC14" s="318"/>
      <c r="CD14" s="318"/>
      <c r="CE14" s="457"/>
      <c r="CF14" s="318"/>
      <c r="CG14" s="360"/>
      <c r="CH14" s="360"/>
      <c r="CI14" s="360"/>
      <c r="CJ14" s="360"/>
      <c r="CK14" s="360"/>
      <c r="CL14" s="360"/>
      <c r="CM14" s="360"/>
      <c r="CN14" s="360"/>
      <c r="CO14" s="360"/>
      <c r="CP14" s="360"/>
      <c r="CR14" s="315" t="str">
        <f t="shared" si="9"/>
        <v>Argentina</v>
      </c>
      <c r="CS14" s="315" t="str">
        <f t="shared" si="10"/>
        <v>Catamarca</v>
      </c>
      <c r="CT14" s="315">
        <v>3</v>
      </c>
      <c r="CU14" s="315" t="s">
        <v>603</v>
      </c>
      <c r="CV14" s="315" t="s">
        <v>552</v>
      </c>
      <c r="CW14" s="315" t="s">
        <v>465</v>
      </c>
      <c r="CX14" s="315" t="s">
        <v>1393</v>
      </c>
      <c r="CY14" s="315" t="str">
        <f t="shared" si="2"/>
        <v>Catamarca</v>
      </c>
    </row>
    <row r="15" spans="1:103" s="315" customFormat="1" ht="19.5" hidden="1" customHeight="1" x14ac:dyDescent="0.25">
      <c r="A15" s="403">
        <v>4</v>
      </c>
      <c r="B15" s="313" t="s">
        <v>681</v>
      </c>
      <c r="C15" s="313" t="s">
        <v>603</v>
      </c>
      <c r="D15" s="318" t="s">
        <v>457</v>
      </c>
      <c r="E15" s="318"/>
      <c r="F15" s="313" t="s">
        <v>465</v>
      </c>
      <c r="G15" s="313" t="s">
        <v>1393</v>
      </c>
      <c r="H15" s="305"/>
      <c r="I15" s="305"/>
      <c r="J15" s="370">
        <v>0</v>
      </c>
      <c r="K15" s="370">
        <v>0</v>
      </c>
      <c r="L15" s="370">
        <f>K15-J15</f>
        <v>0</v>
      </c>
      <c r="M15" s="316" t="s">
        <v>487</v>
      </c>
      <c r="N15" s="356"/>
      <c r="O15" s="398"/>
      <c r="P15" s="305" t="s">
        <v>463</v>
      </c>
      <c r="Q15" s="304"/>
      <c r="R15" s="305"/>
      <c r="S15" s="305"/>
      <c r="T15" s="305"/>
      <c r="U15" s="305" t="s">
        <v>235</v>
      </c>
      <c r="V15" s="426"/>
      <c r="W15" s="317"/>
      <c r="X15" s="317"/>
      <c r="Y15" s="317" t="str">
        <f t="shared" si="3"/>
        <v/>
      </c>
      <c r="Z15" s="318"/>
      <c r="AA15" s="318"/>
      <c r="AB15" s="318"/>
      <c r="AC15" s="318">
        <v>5</v>
      </c>
      <c r="AD15" s="318" t="s">
        <v>682</v>
      </c>
      <c r="AE15" s="483">
        <f t="shared" si="4"/>
        <v>0</v>
      </c>
      <c r="AF15" s="482">
        <f t="shared" si="4"/>
        <v>0</v>
      </c>
      <c r="AG15" s="482">
        <f t="shared" si="4"/>
        <v>0</v>
      </c>
      <c r="AH15" s="482">
        <f t="shared" si="4"/>
        <v>0</v>
      </c>
      <c r="AI15" s="557">
        <f t="shared" si="4"/>
        <v>0</v>
      </c>
      <c r="AJ15" s="557">
        <f>IF(OR($M15="Exploration", $M15="Pre-feasibility", $O15&gt;2017), 0, "check")</f>
        <v>0</v>
      </c>
      <c r="AK15" s="556">
        <f t="shared" si="11"/>
        <v>0</v>
      </c>
      <c r="AL15" s="557">
        <f t="shared" si="11"/>
        <v>0</v>
      </c>
      <c r="AM15" s="557">
        <f t="shared" si="11"/>
        <v>0</v>
      </c>
      <c r="AN15" s="557">
        <f t="shared" si="11"/>
        <v>0</v>
      </c>
      <c r="AO15" s="557">
        <f t="shared" si="11"/>
        <v>0</v>
      </c>
      <c r="AP15" s="482">
        <f t="shared" si="11"/>
        <v>0</v>
      </c>
      <c r="AQ15" s="483">
        <f t="shared" si="6"/>
        <v>0</v>
      </c>
      <c r="AR15" s="482">
        <f t="shared" si="6"/>
        <v>0</v>
      </c>
      <c r="AS15" s="482">
        <f t="shared" si="6"/>
        <v>0</v>
      </c>
      <c r="AT15" s="482">
        <f t="shared" si="6"/>
        <v>0</v>
      </c>
      <c r="AU15" s="482">
        <f t="shared" si="6"/>
        <v>0</v>
      </c>
      <c r="AV15" s="514">
        <f>SUM(AR15:AU15)</f>
        <v>0</v>
      </c>
      <c r="AW15" s="556">
        <f t="shared" si="12"/>
        <v>0</v>
      </c>
      <c r="AX15" s="559">
        <f t="shared" si="0"/>
        <v>0</v>
      </c>
      <c r="AY15" s="514" t="s">
        <v>1034</v>
      </c>
      <c r="AZ15" s="483">
        <f t="shared" si="7"/>
        <v>0</v>
      </c>
      <c r="BA15" s="482">
        <v>0</v>
      </c>
      <c r="BB15" s="482">
        <v>0</v>
      </c>
      <c r="BC15" s="482">
        <v>0</v>
      </c>
      <c r="BD15" s="482">
        <v>0</v>
      </c>
      <c r="BE15" s="482">
        <v>0</v>
      </c>
      <c r="BF15" s="483">
        <f t="shared" si="8"/>
        <v>0</v>
      </c>
      <c r="BG15" s="482">
        <v>0</v>
      </c>
      <c r="BH15" s="482">
        <v>0</v>
      </c>
      <c r="BI15" s="482">
        <v>0</v>
      </c>
      <c r="BJ15" s="482">
        <v>0</v>
      </c>
      <c r="BK15" s="482">
        <v>0</v>
      </c>
      <c r="BL15" s="483">
        <f t="shared" si="1"/>
        <v>0</v>
      </c>
      <c r="BM15" s="482">
        <v>0</v>
      </c>
      <c r="BN15" s="482">
        <v>0</v>
      </c>
      <c r="BO15" s="482">
        <v>0</v>
      </c>
      <c r="BP15" s="482">
        <v>0</v>
      </c>
      <c r="BQ15" s="482">
        <v>0</v>
      </c>
      <c r="BR15" s="318"/>
      <c r="BS15" s="318"/>
      <c r="BT15" s="318"/>
      <c r="BU15" s="318"/>
      <c r="BV15" s="318"/>
      <c r="BW15" s="318"/>
      <c r="BX15" s="318"/>
      <c r="BY15" s="318"/>
      <c r="BZ15" s="318"/>
      <c r="CA15" s="318"/>
      <c r="CB15" s="318"/>
      <c r="CC15" s="318"/>
      <c r="CD15" s="318"/>
      <c r="CE15" s="457"/>
      <c r="CF15" s="318"/>
      <c r="CG15" s="360"/>
      <c r="CH15" s="360"/>
      <c r="CI15" s="360"/>
      <c r="CJ15" s="360"/>
      <c r="CK15" s="360"/>
      <c r="CL15" s="360"/>
      <c r="CM15" s="360"/>
      <c r="CN15" s="360"/>
      <c r="CO15" s="360"/>
      <c r="CP15" s="360"/>
      <c r="CR15" s="315" t="str">
        <f t="shared" si="9"/>
        <v>Argentina</v>
      </c>
      <c r="CS15" s="315" t="str">
        <f t="shared" si="10"/>
        <v>Catamarca</v>
      </c>
      <c r="CT15" s="315">
        <v>4</v>
      </c>
      <c r="CU15" s="315" t="s">
        <v>603</v>
      </c>
      <c r="CW15" s="315" t="s">
        <v>465</v>
      </c>
      <c r="CX15" s="315" t="s">
        <v>1393</v>
      </c>
      <c r="CY15" s="315" t="str">
        <f t="shared" si="2"/>
        <v>Catamarca</v>
      </c>
    </row>
    <row r="16" spans="1:103" s="315" customFormat="1" ht="19.5" hidden="1" customHeight="1" x14ac:dyDescent="0.25">
      <c r="A16" s="403">
        <v>5</v>
      </c>
      <c r="B16" s="313" t="s">
        <v>460</v>
      </c>
      <c r="C16" s="313" t="s">
        <v>529</v>
      </c>
      <c r="D16" s="318" t="s">
        <v>457</v>
      </c>
      <c r="E16" s="318" t="s">
        <v>552</v>
      </c>
      <c r="F16" s="313" t="s">
        <v>462</v>
      </c>
      <c r="G16" s="313" t="s">
        <v>1394</v>
      </c>
      <c r="H16" s="305" t="s">
        <v>596</v>
      </c>
      <c r="I16" s="305"/>
      <c r="J16" s="370" t="e">
        <f>V16*44000/(IF(#REF!="yes",0.188,1))</f>
        <v>#REF!</v>
      </c>
      <c r="K16" s="370">
        <v>0</v>
      </c>
      <c r="L16" s="370">
        <v>44000</v>
      </c>
      <c r="M16" s="316" t="s">
        <v>483</v>
      </c>
      <c r="N16" s="356"/>
      <c r="O16" s="398">
        <v>2016</v>
      </c>
      <c r="P16" s="305" t="s">
        <v>463</v>
      </c>
      <c r="Q16" s="305" t="s">
        <v>530</v>
      </c>
      <c r="R16" s="305" t="s">
        <v>531</v>
      </c>
      <c r="S16" s="305"/>
      <c r="T16" s="305"/>
      <c r="U16" s="305" t="s">
        <v>528</v>
      </c>
      <c r="V16" s="426">
        <v>0.188</v>
      </c>
      <c r="W16" s="443">
        <v>2.5</v>
      </c>
      <c r="X16" s="445"/>
      <c r="Y16" s="317" t="e">
        <f t="shared" si="3"/>
        <v>#REF!</v>
      </c>
      <c r="Z16" s="318">
        <v>5</v>
      </c>
      <c r="AA16" s="318">
        <v>5</v>
      </c>
      <c r="AB16" s="318">
        <v>3</v>
      </c>
      <c r="AC16" s="318">
        <v>5</v>
      </c>
      <c r="AD16" s="318" t="s">
        <v>602</v>
      </c>
      <c r="AE16" s="483">
        <v>44000</v>
      </c>
      <c r="AF16" s="482" t="s">
        <v>1524</v>
      </c>
      <c r="AG16" s="482" t="s">
        <v>1524</v>
      </c>
      <c r="AH16" s="482" t="s">
        <v>1524</v>
      </c>
      <c r="AI16" s="557" t="s">
        <v>1524</v>
      </c>
      <c r="AJ16" s="557" t="str">
        <f>IF(OR(M16="Exploration", M16="Pre-feasibility", O16&gt;2017), 0, "check")</f>
        <v>check</v>
      </c>
      <c r="AK16" s="556">
        <v>44000</v>
      </c>
      <c r="AL16" s="557" t="s">
        <v>1524</v>
      </c>
      <c r="AM16" s="557" t="s">
        <v>1524</v>
      </c>
      <c r="AN16" s="557" t="s">
        <v>1524</v>
      </c>
      <c r="AO16" s="557" t="s">
        <v>1524</v>
      </c>
      <c r="AP16" s="482" t="str">
        <f>IF(OR(M16="Exploration", M16="Pre-feasibility", O16&gt;2018), 0, "check")</f>
        <v>check</v>
      </c>
      <c r="AQ16" s="483">
        <v>44000</v>
      </c>
      <c r="AR16" s="482" t="s">
        <v>1524</v>
      </c>
      <c r="AS16" s="482" t="s">
        <v>1524</v>
      </c>
      <c r="AT16" s="482" t="s">
        <v>1524</v>
      </c>
      <c r="AU16" s="482" t="s">
        <v>1524</v>
      </c>
      <c r="AV16" s="482" t="str">
        <f>IF(OR(M16="Exploration", M16="Pre-feasibility", O16&gt;2019), 0, "check")</f>
        <v>check</v>
      </c>
      <c r="AW16" s="556">
        <f t="shared" si="12"/>
        <v>44000</v>
      </c>
      <c r="AX16" s="559" t="str">
        <f t="shared" si="0"/>
        <v>check</v>
      </c>
      <c r="AY16" s="514" t="s">
        <v>1555</v>
      </c>
      <c r="AZ16" s="483">
        <f t="shared" si="7"/>
        <v>44000</v>
      </c>
      <c r="BA16" s="482" t="s">
        <v>1524</v>
      </c>
      <c r="BB16" s="482" t="s">
        <v>1524</v>
      </c>
      <c r="BC16" s="482" t="s">
        <v>1524</v>
      </c>
      <c r="BD16" s="482" t="s">
        <v>1524</v>
      </c>
      <c r="BE16" s="482" t="s">
        <v>1524</v>
      </c>
      <c r="BF16" s="483">
        <f t="shared" si="8"/>
        <v>44000</v>
      </c>
      <c r="BG16" s="482" t="s">
        <v>1524</v>
      </c>
      <c r="BH16" s="482" t="s">
        <v>1524</v>
      </c>
      <c r="BI16" s="482" t="s">
        <v>1524</v>
      </c>
      <c r="BJ16" s="482" t="s">
        <v>1524</v>
      </c>
      <c r="BK16" s="482" t="s">
        <v>1524</v>
      </c>
      <c r="BL16" s="483">
        <f t="shared" si="1"/>
        <v>44000</v>
      </c>
      <c r="BM16" s="482" t="s">
        <v>1524</v>
      </c>
      <c r="BN16" s="482" t="s">
        <v>1524</v>
      </c>
      <c r="BO16" s="482" t="s">
        <v>1524</v>
      </c>
      <c r="BP16" s="482" t="s">
        <v>1524</v>
      </c>
      <c r="BQ16" s="482" t="s">
        <v>1524</v>
      </c>
      <c r="BR16" s="318"/>
      <c r="BS16" s="318"/>
      <c r="BT16" s="318"/>
      <c r="BU16" s="318"/>
      <c r="BV16" s="318"/>
      <c r="BW16" s="318"/>
      <c r="BX16" s="318"/>
      <c r="BY16" s="318"/>
      <c r="BZ16" s="318" t="s">
        <v>1488</v>
      </c>
      <c r="CA16" s="318"/>
      <c r="CB16" s="318"/>
      <c r="CC16" s="318"/>
      <c r="CD16" s="318"/>
      <c r="CE16" s="457" t="s">
        <v>1385</v>
      </c>
      <c r="CF16" s="443">
        <v>555</v>
      </c>
      <c r="CG16" s="360" t="s">
        <v>460</v>
      </c>
      <c r="CH16" s="430">
        <v>1</v>
      </c>
      <c r="CI16" s="360"/>
      <c r="CJ16" s="360"/>
      <c r="CK16" s="360"/>
      <c r="CL16" s="360"/>
      <c r="CM16" s="360"/>
      <c r="CN16" s="360"/>
      <c r="CO16" s="360"/>
      <c r="CP16" s="360"/>
      <c r="CR16" s="315" t="str">
        <f t="shared" si="9"/>
        <v>Chile</v>
      </c>
      <c r="CS16" s="315" t="str">
        <f t="shared" si="10"/>
        <v>San Pedro de Atacama</v>
      </c>
      <c r="CT16" s="315">
        <v>5</v>
      </c>
      <c r="CU16" s="315" t="s">
        <v>529</v>
      </c>
      <c r="CV16" s="315" t="s">
        <v>552</v>
      </c>
      <c r="CW16" s="315" t="s">
        <v>462</v>
      </c>
      <c r="CX16" s="315" t="s">
        <v>1394</v>
      </c>
      <c r="CY16" s="315" t="str">
        <f t="shared" si="2"/>
        <v>San Pedro de Atacama</v>
      </c>
    </row>
    <row r="17" spans="1:103" s="315" customFormat="1" ht="19.5" hidden="1" customHeight="1" x14ac:dyDescent="0.25">
      <c r="A17" s="403">
        <v>6</v>
      </c>
      <c r="B17" s="313" t="s">
        <v>460</v>
      </c>
      <c r="C17" s="313" t="s">
        <v>529</v>
      </c>
      <c r="D17" s="318" t="s">
        <v>457</v>
      </c>
      <c r="E17" s="318" t="s">
        <v>553</v>
      </c>
      <c r="F17" s="313" t="s">
        <v>462</v>
      </c>
      <c r="G17" s="313" t="s">
        <v>1394</v>
      </c>
      <c r="H17" s="305"/>
      <c r="I17" s="305" t="s">
        <v>929</v>
      </c>
      <c r="J17" s="370" t="e">
        <f>54000*V17/(IF(#REF!="yes",0.188,1))</f>
        <v>#REF!</v>
      </c>
      <c r="K17" s="370" t="e">
        <f>(85000*V17)/(IF(#REF!="yes",0.188,1))</f>
        <v>#REF!</v>
      </c>
      <c r="L17" s="370" t="e">
        <f>K17-J16</f>
        <v>#REF!</v>
      </c>
      <c r="M17" s="316" t="s">
        <v>687</v>
      </c>
      <c r="N17" s="356"/>
      <c r="O17" s="398">
        <v>2022</v>
      </c>
      <c r="P17" s="305" t="s">
        <v>463</v>
      </c>
      <c r="Q17" s="305" t="s">
        <v>530</v>
      </c>
      <c r="R17" s="305" t="s">
        <v>531</v>
      </c>
      <c r="S17" s="305"/>
      <c r="T17" s="305"/>
      <c r="U17" s="305" t="s">
        <v>528</v>
      </c>
      <c r="V17" s="426">
        <v>0.188</v>
      </c>
      <c r="W17" s="443">
        <v>2.5</v>
      </c>
      <c r="X17" s="445"/>
      <c r="Y17" s="317" t="e">
        <f t="shared" si="3"/>
        <v>#REF!</v>
      </c>
      <c r="Z17" s="318">
        <v>5</v>
      </c>
      <c r="AA17" s="318">
        <v>4</v>
      </c>
      <c r="AB17" s="318">
        <v>3</v>
      </c>
      <c r="AC17" s="318">
        <v>5</v>
      </c>
      <c r="AD17" s="318" t="s">
        <v>602</v>
      </c>
      <c r="AE17" s="483">
        <f t="shared" ref="AE17:AJ17" si="13">IF(OR($M17="Exploration", $M17="Pre-feasibility", $O17&gt;2017), 0, "check")</f>
        <v>0</v>
      </c>
      <c r="AF17" s="482">
        <f t="shared" si="13"/>
        <v>0</v>
      </c>
      <c r="AG17" s="482">
        <f t="shared" si="13"/>
        <v>0</v>
      </c>
      <c r="AH17" s="482">
        <f t="shared" si="13"/>
        <v>0</v>
      </c>
      <c r="AI17" s="557">
        <f t="shared" si="13"/>
        <v>0</v>
      </c>
      <c r="AJ17" s="557">
        <f t="shared" si="13"/>
        <v>0</v>
      </c>
      <c r="AK17" s="554">
        <v>0</v>
      </c>
      <c r="AL17" s="557">
        <f t="shared" si="11"/>
        <v>0</v>
      </c>
      <c r="AM17" s="557">
        <f t="shared" si="11"/>
        <v>0</v>
      </c>
      <c r="AN17" s="557">
        <f t="shared" si="11"/>
        <v>0</v>
      </c>
      <c r="AO17" s="557">
        <f t="shared" si="11"/>
        <v>0</v>
      </c>
      <c r="AP17" s="482">
        <f t="shared" si="11"/>
        <v>0</v>
      </c>
      <c r="AQ17" s="493">
        <v>6159.9999999999927</v>
      </c>
      <c r="AR17" s="482">
        <f t="shared" si="11"/>
        <v>0</v>
      </c>
      <c r="AS17" s="482">
        <f t="shared" si="11"/>
        <v>0</v>
      </c>
      <c r="AT17" s="482">
        <f t="shared" si="11"/>
        <v>0</v>
      </c>
      <c r="AU17" s="482">
        <f t="shared" si="11"/>
        <v>0</v>
      </c>
      <c r="AV17" s="482">
        <f t="shared" si="11"/>
        <v>0</v>
      </c>
      <c r="AW17" s="554">
        <v>10000</v>
      </c>
      <c r="AX17" s="559">
        <f t="shared" si="0"/>
        <v>0</v>
      </c>
      <c r="AY17" s="514" t="s">
        <v>1034</v>
      </c>
      <c r="AZ17" s="483">
        <f t="shared" si="7"/>
        <v>0</v>
      </c>
      <c r="BA17" s="482">
        <v>0</v>
      </c>
      <c r="BB17" s="482">
        <v>0</v>
      </c>
      <c r="BC17" s="482">
        <v>0</v>
      </c>
      <c r="BD17" s="482">
        <v>0</v>
      </c>
      <c r="BE17" s="482">
        <v>0</v>
      </c>
      <c r="BF17" s="483">
        <f t="shared" si="8"/>
        <v>0</v>
      </c>
      <c r="BG17" s="482" t="s">
        <v>1524</v>
      </c>
      <c r="BH17" s="482" t="s">
        <v>1524</v>
      </c>
      <c r="BI17" s="482" t="s">
        <v>1524</v>
      </c>
      <c r="BJ17" s="482" t="s">
        <v>1524</v>
      </c>
      <c r="BK17" s="482">
        <v>0</v>
      </c>
      <c r="BL17" s="483">
        <f t="shared" si="1"/>
        <v>6159.9999999999927</v>
      </c>
      <c r="BM17" s="482">
        <v>0</v>
      </c>
      <c r="BN17" s="482">
        <v>0</v>
      </c>
      <c r="BO17" s="482">
        <v>0</v>
      </c>
      <c r="BP17" s="482">
        <v>0</v>
      </c>
      <c r="BQ17" s="482">
        <v>0</v>
      </c>
      <c r="BR17" s="318"/>
      <c r="BS17" s="318"/>
      <c r="BT17" s="318"/>
      <c r="BU17" s="318"/>
      <c r="BV17" s="318"/>
      <c r="BW17" s="318"/>
      <c r="BX17" s="318"/>
      <c r="BY17" s="318"/>
      <c r="BZ17" s="318" t="s">
        <v>1488</v>
      </c>
      <c r="CA17" s="318"/>
      <c r="CB17" s="318"/>
      <c r="CC17" s="318"/>
      <c r="CD17" s="318"/>
      <c r="CE17" s="457" t="s">
        <v>1385</v>
      </c>
      <c r="CF17" s="443">
        <v>555</v>
      </c>
      <c r="CG17" s="360" t="s">
        <v>460</v>
      </c>
      <c r="CH17" s="430">
        <v>1</v>
      </c>
      <c r="CI17" s="360"/>
      <c r="CJ17" s="360"/>
      <c r="CK17" s="360"/>
      <c r="CL17" s="360"/>
      <c r="CM17" s="360"/>
      <c r="CN17" s="360"/>
      <c r="CO17" s="360"/>
      <c r="CP17" s="360"/>
      <c r="CR17" s="315" t="str">
        <f t="shared" si="9"/>
        <v>Chile</v>
      </c>
      <c r="CS17" s="315" t="str">
        <f t="shared" si="10"/>
        <v>San Pedro de Atacama</v>
      </c>
      <c r="CT17" s="315">
        <v>6</v>
      </c>
      <c r="CU17" s="315" t="s">
        <v>529</v>
      </c>
      <c r="CV17" s="315" t="s">
        <v>553</v>
      </c>
      <c r="CW17" s="315" t="s">
        <v>462</v>
      </c>
      <c r="CX17" s="315" t="s">
        <v>1394</v>
      </c>
      <c r="CY17" s="315" t="str">
        <f t="shared" si="2"/>
        <v>San Pedro de Atacama</v>
      </c>
    </row>
    <row r="18" spans="1:103" s="315" customFormat="1" ht="13" hidden="1" x14ac:dyDescent="0.25">
      <c r="A18" s="403">
        <v>7</v>
      </c>
      <c r="B18" s="313" t="s">
        <v>460</v>
      </c>
      <c r="C18" s="313" t="s">
        <v>589</v>
      </c>
      <c r="D18" s="318" t="s">
        <v>594</v>
      </c>
      <c r="E18" s="318" t="s">
        <v>588</v>
      </c>
      <c r="F18" s="313" t="s">
        <v>462</v>
      </c>
      <c r="G18" s="313" t="s">
        <v>1395</v>
      </c>
      <c r="H18" s="305" t="s">
        <v>596</v>
      </c>
      <c r="I18" s="305"/>
      <c r="J18" s="370" t="e">
        <f>44000*V18/(IF(#REF!="yes",0.188,1))</f>
        <v>#REF!</v>
      </c>
      <c r="K18" s="370">
        <v>0</v>
      </c>
      <c r="L18" s="370">
        <v>44000</v>
      </c>
      <c r="M18" s="316" t="s">
        <v>483</v>
      </c>
      <c r="N18" s="356"/>
      <c r="O18" s="398">
        <v>2017</v>
      </c>
      <c r="P18" s="305" t="s">
        <v>463</v>
      </c>
      <c r="Q18" s="304"/>
      <c r="R18" s="305"/>
      <c r="S18" s="305"/>
      <c r="T18" s="305"/>
      <c r="U18" s="305" t="s">
        <v>536</v>
      </c>
      <c r="V18" s="426">
        <v>0.188</v>
      </c>
      <c r="W18" s="443">
        <v>2.5</v>
      </c>
      <c r="X18" s="445"/>
      <c r="Y18" s="317" t="e">
        <f t="shared" si="3"/>
        <v>#REF!</v>
      </c>
      <c r="Z18" s="318">
        <v>5</v>
      </c>
      <c r="AA18" s="318">
        <v>5</v>
      </c>
      <c r="AB18" s="318">
        <v>5</v>
      </c>
      <c r="AC18" s="318">
        <v>5</v>
      </c>
      <c r="AD18" s="318" t="s">
        <v>602</v>
      </c>
      <c r="AE18" s="483">
        <v>44000</v>
      </c>
      <c r="AF18" s="482" t="s">
        <v>1524</v>
      </c>
      <c r="AG18" s="482" t="s">
        <v>1524</v>
      </c>
      <c r="AH18" s="482" t="s">
        <v>1524</v>
      </c>
      <c r="AI18" s="557" t="s">
        <v>1524</v>
      </c>
      <c r="AJ18" s="557">
        <v>24000</v>
      </c>
      <c r="AK18" s="556">
        <v>44000</v>
      </c>
      <c r="AL18" s="557" t="s">
        <v>1524</v>
      </c>
      <c r="AM18" s="557" t="s">
        <v>1524</v>
      </c>
      <c r="AN18" s="557" t="s">
        <v>1524</v>
      </c>
      <c r="AO18" s="557" t="s">
        <v>1524</v>
      </c>
      <c r="AP18" s="482" t="str">
        <f>IF(OR(M18="Exploration", M18="Pre-feasibility", O18&gt;2018), 0, "check")</f>
        <v>check</v>
      </c>
      <c r="AQ18" s="483">
        <v>44000</v>
      </c>
      <c r="AR18" s="482" t="s">
        <v>1524</v>
      </c>
      <c r="AS18" s="482" t="s">
        <v>1524</v>
      </c>
      <c r="AT18" s="482" t="s">
        <v>1524</v>
      </c>
      <c r="AU18" s="482" t="s">
        <v>1524</v>
      </c>
      <c r="AV18" s="482">
        <v>44000</v>
      </c>
      <c r="AW18" s="556">
        <f t="shared" si="12"/>
        <v>44000</v>
      </c>
      <c r="AX18" s="559">
        <v>44000</v>
      </c>
      <c r="AY18" s="514" t="s">
        <v>1555</v>
      </c>
      <c r="AZ18" s="483">
        <f t="shared" si="7"/>
        <v>44000</v>
      </c>
      <c r="BA18" s="482" t="s">
        <v>1524</v>
      </c>
      <c r="BB18" s="482" t="s">
        <v>1524</v>
      </c>
      <c r="BC18" s="482" t="s">
        <v>1524</v>
      </c>
      <c r="BD18" s="482" t="s">
        <v>1524</v>
      </c>
      <c r="BE18" s="482" t="s">
        <v>1524</v>
      </c>
      <c r="BF18" s="483">
        <f t="shared" si="8"/>
        <v>44000</v>
      </c>
      <c r="BG18" s="482" t="s">
        <v>1524</v>
      </c>
      <c r="BH18" s="482" t="s">
        <v>1524</v>
      </c>
      <c r="BI18" s="482" t="s">
        <v>1524</v>
      </c>
      <c r="BJ18" s="482" t="s">
        <v>1524</v>
      </c>
      <c r="BK18" s="482" t="s">
        <v>1524</v>
      </c>
      <c r="BL18" s="483">
        <f t="shared" si="1"/>
        <v>44000</v>
      </c>
      <c r="BM18" s="482" t="s">
        <v>1524</v>
      </c>
      <c r="BN18" s="482" t="s">
        <v>1524</v>
      </c>
      <c r="BO18" s="482" t="s">
        <v>1524</v>
      </c>
      <c r="BP18" s="482" t="s">
        <v>1524</v>
      </c>
      <c r="BQ18" s="482" t="s">
        <v>1524</v>
      </c>
      <c r="BR18" s="318"/>
      <c r="BS18" s="318"/>
      <c r="BT18" s="318"/>
      <c r="BU18" s="318"/>
      <c r="BV18" s="318"/>
      <c r="BW18" s="318"/>
      <c r="BX18" s="318"/>
      <c r="BY18" s="318"/>
      <c r="BZ18" s="318" t="s">
        <v>1488</v>
      </c>
      <c r="CA18" s="318"/>
      <c r="CB18" s="318"/>
      <c r="CC18" s="318"/>
      <c r="CD18" s="318"/>
      <c r="CE18" s="457" t="s">
        <v>1385</v>
      </c>
      <c r="CF18" s="443">
        <v>555</v>
      </c>
      <c r="CG18" s="360" t="s">
        <v>460</v>
      </c>
      <c r="CH18" s="430">
        <v>1</v>
      </c>
      <c r="CI18" s="360"/>
      <c r="CJ18" s="360"/>
      <c r="CK18" s="360"/>
      <c r="CL18" s="360"/>
      <c r="CM18" s="360"/>
      <c r="CN18" s="360"/>
      <c r="CO18" s="360"/>
      <c r="CP18" s="360"/>
      <c r="CR18" s="315" t="str">
        <f t="shared" si="9"/>
        <v>Chile</v>
      </c>
      <c r="CS18" s="315" t="str">
        <f t="shared" si="10"/>
        <v>Antofagasta</v>
      </c>
      <c r="CT18" s="315">
        <v>7</v>
      </c>
      <c r="CU18" s="315" t="s">
        <v>589</v>
      </c>
      <c r="CV18" s="315" t="s">
        <v>588</v>
      </c>
      <c r="CW18" s="315" t="s">
        <v>462</v>
      </c>
      <c r="CX18" s="315" t="s">
        <v>1395</v>
      </c>
      <c r="CY18" s="315" t="str">
        <f t="shared" si="2"/>
        <v>Antofagasta</v>
      </c>
    </row>
    <row r="19" spans="1:103" s="315" customFormat="1" ht="13" hidden="1" x14ac:dyDescent="0.25">
      <c r="A19" s="403">
        <v>8</v>
      </c>
      <c r="B19" s="313" t="s">
        <v>460</v>
      </c>
      <c r="C19" s="313" t="s">
        <v>589</v>
      </c>
      <c r="D19" s="318" t="s">
        <v>594</v>
      </c>
      <c r="E19" s="318" t="s">
        <v>590</v>
      </c>
      <c r="F19" s="313" t="s">
        <v>462</v>
      </c>
      <c r="G19" s="313" t="s">
        <v>1395</v>
      </c>
      <c r="H19" s="305"/>
      <c r="I19" s="305" t="s">
        <v>1518</v>
      </c>
      <c r="J19" s="370">
        <v>0</v>
      </c>
      <c r="K19" s="370">
        <v>84000</v>
      </c>
      <c r="L19" s="370" t="e">
        <f>K19-J18</f>
        <v>#REF!</v>
      </c>
      <c r="M19" s="316" t="s">
        <v>687</v>
      </c>
      <c r="N19" s="398">
        <v>2018</v>
      </c>
      <c r="O19" s="398">
        <v>2021</v>
      </c>
      <c r="P19" s="305" t="s">
        <v>463</v>
      </c>
      <c r="Q19" s="304"/>
      <c r="R19" s="305"/>
      <c r="S19" s="305"/>
      <c r="T19" s="305"/>
      <c r="U19" s="305" t="s">
        <v>536</v>
      </c>
      <c r="V19" s="426">
        <v>0.188</v>
      </c>
      <c r="W19" s="443">
        <v>2.5</v>
      </c>
      <c r="X19" s="445"/>
      <c r="Y19" s="317" t="e">
        <f t="shared" si="3"/>
        <v>#REF!</v>
      </c>
      <c r="Z19" s="318">
        <v>5</v>
      </c>
      <c r="AA19" s="318">
        <v>5</v>
      </c>
      <c r="AB19" s="318">
        <v>5</v>
      </c>
      <c r="AC19" s="318">
        <v>5</v>
      </c>
      <c r="AD19" s="318" t="s">
        <v>602</v>
      </c>
      <c r="AE19" s="483">
        <f t="shared" ref="AE19:AI22" si="14">IF(OR($M19="Exploration", $M19="Pre-feasibility", $O19&gt;2017), 0, "check")</f>
        <v>0</v>
      </c>
      <c r="AF19" s="482">
        <f t="shared" si="14"/>
        <v>0</v>
      </c>
      <c r="AG19" s="482">
        <f t="shared" si="14"/>
        <v>0</v>
      </c>
      <c r="AH19" s="482">
        <f t="shared" si="14"/>
        <v>0</v>
      </c>
      <c r="AI19" s="557">
        <f t="shared" si="14"/>
        <v>0</v>
      </c>
      <c r="AJ19" s="557">
        <f>IF(OR($M19="Exploration", $M19="Pre-feasibility", $O19&gt;2017), 0, "check")</f>
        <v>0</v>
      </c>
      <c r="AK19" s="556">
        <f t="shared" ref="AK19:AP22" si="15">IF(OR($M19="Exploration", $M19="Pre-feasibility", $O19&gt;2018), 0, "check")</f>
        <v>0</v>
      </c>
      <c r="AL19" s="557">
        <f t="shared" si="15"/>
        <v>0</v>
      </c>
      <c r="AM19" s="557">
        <f t="shared" si="15"/>
        <v>0</v>
      </c>
      <c r="AN19" s="557">
        <f t="shared" si="15"/>
        <v>0</v>
      </c>
      <c r="AO19" s="557">
        <f t="shared" si="15"/>
        <v>0</v>
      </c>
      <c r="AP19" s="482">
        <f t="shared" si="15"/>
        <v>0</v>
      </c>
      <c r="AQ19" s="483">
        <f t="shared" ref="AQ19:AU22" si="16">IF(OR($M19="Exploration", $M19="Pre-feasibility", $O19&gt;2019), 0, "check")</f>
        <v>0</v>
      </c>
      <c r="AR19" s="482">
        <f t="shared" si="16"/>
        <v>0</v>
      </c>
      <c r="AS19" s="482">
        <f t="shared" si="16"/>
        <v>0</v>
      </c>
      <c r="AT19" s="482">
        <f t="shared" si="16"/>
        <v>0</v>
      </c>
      <c r="AU19" s="482">
        <f t="shared" si="16"/>
        <v>0</v>
      </c>
      <c r="AV19" s="514">
        <f>SUM(AR19:AU19)</f>
        <v>0</v>
      </c>
      <c r="AW19" s="556" t="str">
        <f t="shared" si="12"/>
        <v>check</v>
      </c>
      <c r="AX19" s="559">
        <f t="shared" si="0"/>
        <v>0</v>
      </c>
      <c r="AY19" s="514" t="s">
        <v>1034</v>
      </c>
      <c r="AZ19" s="483">
        <f t="shared" si="7"/>
        <v>0</v>
      </c>
      <c r="BA19" s="482">
        <v>0</v>
      </c>
      <c r="BB19" s="482">
        <v>0</v>
      </c>
      <c r="BC19" s="482">
        <v>0</v>
      </c>
      <c r="BD19" s="482">
        <v>0</v>
      </c>
      <c r="BE19" s="482">
        <v>0</v>
      </c>
      <c r="BF19" s="483">
        <f t="shared" si="8"/>
        <v>0</v>
      </c>
      <c r="BG19" s="482">
        <v>0</v>
      </c>
      <c r="BH19" s="482">
        <v>0</v>
      </c>
      <c r="BI19" s="482">
        <v>0</v>
      </c>
      <c r="BJ19" s="482">
        <v>0</v>
      </c>
      <c r="BK19" s="482">
        <v>0</v>
      </c>
      <c r="BL19" s="483">
        <f t="shared" si="1"/>
        <v>0</v>
      </c>
      <c r="BM19" s="482">
        <v>0</v>
      </c>
      <c r="BN19" s="482">
        <v>0</v>
      </c>
      <c r="BO19" s="482">
        <v>0</v>
      </c>
      <c r="BP19" s="482">
        <v>0</v>
      </c>
      <c r="BQ19" s="482">
        <v>0</v>
      </c>
      <c r="BR19" s="318"/>
      <c r="BS19" s="318"/>
      <c r="BT19" s="318"/>
      <c r="BU19" s="318"/>
      <c r="BV19" s="318"/>
      <c r="BW19" s="318"/>
      <c r="BX19" s="318"/>
      <c r="BY19" s="318"/>
      <c r="BZ19" s="318" t="s">
        <v>1488</v>
      </c>
      <c r="CA19" s="318"/>
      <c r="CB19" s="318"/>
      <c r="CC19" s="318"/>
      <c r="CD19" s="318"/>
      <c r="CE19" s="457" t="s">
        <v>1385</v>
      </c>
      <c r="CF19" s="443">
        <v>555</v>
      </c>
      <c r="CG19" s="360" t="s">
        <v>460</v>
      </c>
      <c r="CH19" s="430">
        <v>1</v>
      </c>
      <c r="CI19" s="360"/>
      <c r="CJ19" s="360"/>
      <c r="CK19" s="360"/>
      <c r="CL19" s="360"/>
      <c r="CM19" s="360"/>
      <c r="CN19" s="360"/>
      <c r="CO19" s="360"/>
      <c r="CP19" s="360"/>
      <c r="CR19" s="315" t="str">
        <f t="shared" si="9"/>
        <v>Chile</v>
      </c>
      <c r="CS19" s="315" t="str">
        <f t="shared" si="10"/>
        <v>Antofagasta</v>
      </c>
      <c r="CT19" s="315">
        <v>8</v>
      </c>
      <c r="CU19" s="315" t="s">
        <v>589</v>
      </c>
      <c r="CV19" s="315" t="s">
        <v>590</v>
      </c>
      <c r="CW19" s="315" t="s">
        <v>462</v>
      </c>
      <c r="CX19" s="315" t="s">
        <v>1395</v>
      </c>
      <c r="CY19" s="315" t="str">
        <f t="shared" si="2"/>
        <v>Antofagasta</v>
      </c>
    </row>
    <row r="20" spans="1:103" s="315" customFormat="1" ht="13" hidden="1" x14ac:dyDescent="0.25">
      <c r="A20" s="403">
        <v>9</v>
      </c>
      <c r="B20" s="313" t="s">
        <v>1196</v>
      </c>
      <c r="C20" s="313" t="s">
        <v>587</v>
      </c>
      <c r="D20" s="318" t="s">
        <v>594</v>
      </c>
      <c r="E20" s="318" t="s">
        <v>552</v>
      </c>
      <c r="F20" s="313" t="s">
        <v>247</v>
      </c>
      <c r="G20" s="313" t="s">
        <v>1214</v>
      </c>
      <c r="H20" s="305"/>
      <c r="I20" s="305" t="s">
        <v>595</v>
      </c>
      <c r="J20" s="370">
        <v>0</v>
      </c>
      <c r="K20" s="370" t="e">
        <f>20000*V20/(IF(#REF!="yes",0.188,1))</f>
        <v>#REF!</v>
      </c>
      <c r="L20" s="370" t="e">
        <f>K20-J20</f>
        <v>#REF!</v>
      </c>
      <c r="M20" s="316" t="s">
        <v>844</v>
      </c>
      <c r="N20" s="398">
        <v>2018</v>
      </c>
      <c r="O20" s="398">
        <v>2021</v>
      </c>
      <c r="P20" s="305" t="s">
        <v>519</v>
      </c>
      <c r="Q20" s="304"/>
      <c r="R20" s="305"/>
      <c r="S20" s="305"/>
      <c r="T20" s="305"/>
      <c r="U20" s="305" t="s">
        <v>579</v>
      </c>
      <c r="V20" s="426">
        <v>0.188</v>
      </c>
      <c r="W20" s="443">
        <v>5</v>
      </c>
      <c r="X20" s="445"/>
      <c r="Y20" s="412" t="e">
        <f t="shared" si="3"/>
        <v>#REF!</v>
      </c>
      <c r="Z20" s="318">
        <v>4</v>
      </c>
      <c r="AA20" s="318">
        <v>5</v>
      </c>
      <c r="AB20" s="318">
        <v>4</v>
      </c>
      <c r="AC20" s="318">
        <v>4</v>
      </c>
      <c r="AD20" s="318" t="s">
        <v>602</v>
      </c>
      <c r="AE20" s="483">
        <f t="shared" si="14"/>
        <v>0</v>
      </c>
      <c r="AF20" s="482">
        <f t="shared" si="14"/>
        <v>0</v>
      </c>
      <c r="AG20" s="482">
        <f t="shared" si="14"/>
        <v>0</v>
      </c>
      <c r="AH20" s="482">
        <f t="shared" si="14"/>
        <v>0</v>
      </c>
      <c r="AI20" s="557">
        <f t="shared" si="14"/>
        <v>0</v>
      </c>
      <c r="AJ20" s="557">
        <f>IF(OR($M20="Exploration", $M20="Pre-feasibility", $O20&gt;2017), 0, "check")</f>
        <v>0</v>
      </c>
      <c r="AK20" s="556">
        <f t="shared" si="15"/>
        <v>0</v>
      </c>
      <c r="AL20" s="557">
        <f t="shared" si="15"/>
        <v>0</v>
      </c>
      <c r="AM20" s="557">
        <f t="shared" si="15"/>
        <v>0</v>
      </c>
      <c r="AN20" s="557">
        <f t="shared" si="15"/>
        <v>0</v>
      </c>
      <c r="AO20" s="557">
        <f t="shared" si="15"/>
        <v>0</v>
      </c>
      <c r="AP20" s="482">
        <f t="shared" si="15"/>
        <v>0</v>
      </c>
      <c r="AQ20" s="483">
        <f t="shared" si="16"/>
        <v>0</v>
      </c>
      <c r="AR20" s="482">
        <f t="shared" si="16"/>
        <v>0</v>
      </c>
      <c r="AS20" s="482">
        <f t="shared" si="16"/>
        <v>0</v>
      </c>
      <c r="AT20" s="482">
        <f t="shared" si="16"/>
        <v>0</v>
      </c>
      <c r="AU20" s="482">
        <f t="shared" si="16"/>
        <v>0</v>
      </c>
      <c r="AV20" s="514">
        <f>SUM(AR20:AU20)</f>
        <v>0</v>
      </c>
      <c r="AW20" s="556" t="str">
        <f t="shared" si="12"/>
        <v>check</v>
      </c>
      <c r="AX20" s="559">
        <f t="shared" si="0"/>
        <v>0</v>
      </c>
      <c r="AY20" s="514" t="s">
        <v>1558</v>
      </c>
      <c r="AZ20" s="483">
        <f t="shared" si="7"/>
        <v>0</v>
      </c>
      <c r="BA20" s="482">
        <v>0</v>
      </c>
      <c r="BB20" s="482">
        <v>0</v>
      </c>
      <c r="BC20" s="482">
        <v>0</v>
      </c>
      <c r="BD20" s="482">
        <v>0</v>
      </c>
      <c r="BE20" s="482">
        <v>0</v>
      </c>
      <c r="BF20" s="483">
        <f t="shared" si="8"/>
        <v>0</v>
      </c>
      <c r="BG20" s="482">
        <v>0</v>
      </c>
      <c r="BH20" s="482">
        <v>0</v>
      </c>
      <c r="BI20" s="482">
        <v>0</v>
      </c>
      <c r="BJ20" s="482">
        <v>0</v>
      </c>
      <c r="BK20" s="482">
        <v>0</v>
      </c>
      <c r="BL20" s="483">
        <f t="shared" si="1"/>
        <v>0</v>
      </c>
      <c r="BM20" s="482">
        <v>0</v>
      </c>
      <c r="BN20" s="482">
        <v>0</v>
      </c>
      <c r="BO20" s="482">
        <v>0</v>
      </c>
      <c r="BP20" s="482">
        <v>0</v>
      </c>
      <c r="BQ20" s="482">
        <v>0</v>
      </c>
      <c r="BR20" s="318"/>
      <c r="BS20" s="318"/>
      <c r="BT20" s="318"/>
      <c r="BU20" s="318"/>
      <c r="BV20" s="318"/>
      <c r="BW20" s="318"/>
      <c r="BX20" s="318"/>
      <c r="BY20" s="318"/>
      <c r="BZ20" s="318" t="s">
        <v>1488</v>
      </c>
      <c r="CA20" s="318"/>
      <c r="CB20" s="318"/>
      <c r="CC20" s="318"/>
      <c r="CD20" s="318"/>
      <c r="CE20" s="457" t="s">
        <v>1486</v>
      </c>
      <c r="CF20" s="443">
        <f>(555*60%)+(181*40%)</f>
        <v>405.4</v>
      </c>
      <c r="CG20" s="360" t="s">
        <v>460</v>
      </c>
      <c r="CH20" s="430">
        <v>0.6</v>
      </c>
      <c r="CI20" s="360" t="s">
        <v>1197</v>
      </c>
      <c r="CJ20" s="430">
        <v>0.4</v>
      </c>
      <c r="CK20" s="360"/>
      <c r="CL20" s="360"/>
      <c r="CM20" s="360"/>
      <c r="CN20" s="360"/>
      <c r="CO20" s="360"/>
      <c r="CP20" s="360"/>
      <c r="CR20" s="315" t="str">
        <f t="shared" si="9"/>
        <v>Australia</v>
      </c>
      <c r="CS20" s="315" t="str">
        <f t="shared" si="10"/>
        <v>Western Australia</v>
      </c>
      <c r="CT20" s="315">
        <v>9</v>
      </c>
      <c r="CU20" s="315" t="s">
        <v>587</v>
      </c>
      <c r="CV20" s="315" t="s">
        <v>552</v>
      </c>
      <c r="CW20" s="315" t="s">
        <v>247</v>
      </c>
      <c r="CX20" s="315" t="s">
        <v>1214</v>
      </c>
      <c r="CY20" s="315" t="str">
        <f t="shared" si="2"/>
        <v>Western Australia</v>
      </c>
    </row>
    <row r="21" spans="1:103" s="315" customFormat="1" ht="13" hidden="1" x14ac:dyDescent="0.25">
      <c r="A21" s="403">
        <v>10</v>
      </c>
      <c r="B21" s="313" t="s">
        <v>1196</v>
      </c>
      <c r="C21" s="313" t="s">
        <v>587</v>
      </c>
      <c r="D21" s="318" t="s">
        <v>594</v>
      </c>
      <c r="E21" s="318" t="s">
        <v>553</v>
      </c>
      <c r="F21" s="313" t="s">
        <v>247</v>
      </c>
      <c r="G21" s="313" t="s">
        <v>1214</v>
      </c>
      <c r="H21" s="305"/>
      <c r="I21" s="305" t="s">
        <v>932</v>
      </c>
      <c r="J21" s="370">
        <v>0</v>
      </c>
      <c r="K21" s="370">
        <v>50000</v>
      </c>
      <c r="L21" s="370" t="e">
        <f>K21-K20</f>
        <v>#REF!</v>
      </c>
      <c r="M21" s="316" t="s">
        <v>844</v>
      </c>
      <c r="N21" s="398"/>
      <c r="O21" s="398">
        <v>2021</v>
      </c>
      <c r="P21" s="305" t="s">
        <v>519</v>
      </c>
      <c r="Q21" s="304"/>
      <c r="R21" s="305"/>
      <c r="S21" s="305"/>
      <c r="T21" s="305"/>
      <c r="U21" s="305" t="s">
        <v>579</v>
      </c>
      <c r="V21" s="426">
        <v>0.188</v>
      </c>
      <c r="W21" s="443">
        <v>5</v>
      </c>
      <c r="X21" s="445"/>
      <c r="Y21" s="412" t="e">
        <f t="shared" si="3"/>
        <v>#REF!</v>
      </c>
      <c r="Z21" s="318">
        <v>4</v>
      </c>
      <c r="AA21" s="318">
        <v>5</v>
      </c>
      <c r="AB21" s="318">
        <v>4</v>
      </c>
      <c r="AC21" s="318">
        <v>4</v>
      </c>
      <c r="AD21" s="318" t="s">
        <v>602</v>
      </c>
      <c r="AE21" s="483">
        <f t="shared" si="14"/>
        <v>0</v>
      </c>
      <c r="AF21" s="482">
        <f t="shared" si="14"/>
        <v>0</v>
      </c>
      <c r="AG21" s="482">
        <f t="shared" si="14"/>
        <v>0</v>
      </c>
      <c r="AH21" s="482">
        <f t="shared" si="14"/>
        <v>0</v>
      </c>
      <c r="AI21" s="557">
        <f t="shared" si="14"/>
        <v>0</v>
      </c>
      <c r="AJ21" s="557">
        <f>IF(OR($M21="Exploration", $M21="Pre-feasibility", $O21&gt;2017), 0, "check")</f>
        <v>0</v>
      </c>
      <c r="AK21" s="556">
        <f t="shared" si="15"/>
        <v>0</v>
      </c>
      <c r="AL21" s="557">
        <f t="shared" si="15"/>
        <v>0</v>
      </c>
      <c r="AM21" s="557">
        <f t="shared" si="15"/>
        <v>0</v>
      </c>
      <c r="AN21" s="557">
        <f t="shared" si="15"/>
        <v>0</v>
      </c>
      <c r="AO21" s="557">
        <f t="shared" si="15"/>
        <v>0</v>
      </c>
      <c r="AP21" s="482">
        <f t="shared" si="15"/>
        <v>0</v>
      </c>
      <c r="AQ21" s="483">
        <f t="shared" si="16"/>
        <v>0</v>
      </c>
      <c r="AR21" s="482">
        <f t="shared" si="16"/>
        <v>0</v>
      </c>
      <c r="AS21" s="482">
        <f t="shared" si="16"/>
        <v>0</v>
      </c>
      <c r="AT21" s="482">
        <f t="shared" si="16"/>
        <v>0</v>
      </c>
      <c r="AU21" s="482">
        <f t="shared" si="16"/>
        <v>0</v>
      </c>
      <c r="AV21" s="514">
        <f>SUM(AR21:AU21)</f>
        <v>0</v>
      </c>
      <c r="AW21" s="556" t="str">
        <f t="shared" si="12"/>
        <v>check</v>
      </c>
      <c r="AX21" s="559">
        <f t="shared" si="0"/>
        <v>0</v>
      </c>
      <c r="AY21" s="514" t="s">
        <v>1034</v>
      </c>
      <c r="AZ21" s="483">
        <f t="shared" si="7"/>
        <v>0</v>
      </c>
      <c r="BA21" s="482">
        <v>0</v>
      </c>
      <c r="BB21" s="482">
        <v>0</v>
      </c>
      <c r="BC21" s="482">
        <v>0</v>
      </c>
      <c r="BD21" s="482">
        <v>0</v>
      </c>
      <c r="BE21" s="482">
        <v>0</v>
      </c>
      <c r="BF21" s="483">
        <f t="shared" si="8"/>
        <v>0</v>
      </c>
      <c r="BG21" s="482">
        <v>0</v>
      </c>
      <c r="BH21" s="482">
        <v>0</v>
      </c>
      <c r="BI21" s="482">
        <v>0</v>
      </c>
      <c r="BJ21" s="482">
        <v>0</v>
      </c>
      <c r="BK21" s="482">
        <v>0</v>
      </c>
      <c r="BL21" s="483">
        <f t="shared" si="1"/>
        <v>0</v>
      </c>
      <c r="BM21" s="482">
        <v>0</v>
      </c>
      <c r="BN21" s="482">
        <v>0</v>
      </c>
      <c r="BO21" s="482">
        <v>0</v>
      </c>
      <c r="BP21" s="482">
        <v>0</v>
      </c>
      <c r="BQ21" s="482">
        <v>0</v>
      </c>
      <c r="BR21" s="318"/>
      <c r="BS21" s="318"/>
      <c r="BT21" s="318"/>
      <c r="BU21" s="318"/>
      <c r="BV21" s="318"/>
      <c r="BW21" s="318"/>
      <c r="BX21" s="318"/>
      <c r="BY21" s="318"/>
      <c r="BZ21" s="318" t="s">
        <v>1488</v>
      </c>
      <c r="CA21" s="318"/>
      <c r="CB21" s="318"/>
      <c r="CC21" s="318"/>
      <c r="CD21" s="318"/>
      <c r="CE21" s="457" t="s">
        <v>1486</v>
      </c>
      <c r="CF21" s="443">
        <f>(555*60%)+(181*40%)</f>
        <v>405.4</v>
      </c>
      <c r="CG21" s="360" t="s">
        <v>460</v>
      </c>
      <c r="CH21" s="430">
        <v>0.6</v>
      </c>
      <c r="CI21" s="360" t="s">
        <v>1197</v>
      </c>
      <c r="CJ21" s="430">
        <v>0.4</v>
      </c>
      <c r="CK21" s="360"/>
      <c r="CL21" s="360"/>
      <c r="CM21" s="360"/>
      <c r="CN21" s="360"/>
      <c r="CO21" s="360"/>
      <c r="CP21" s="360"/>
      <c r="CR21" s="315" t="str">
        <f t="shared" si="9"/>
        <v>Australia</v>
      </c>
      <c r="CS21" s="315" t="str">
        <f t="shared" si="10"/>
        <v>Western Australia</v>
      </c>
      <c r="CT21" s="315">
        <v>10</v>
      </c>
      <c r="CU21" s="315" t="s">
        <v>587</v>
      </c>
      <c r="CV21" s="315" t="s">
        <v>553</v>
      </c>
      <c r="CW21" s="315" t="s">
        <v>247</v>
      </c>
      <c r="CX21" s="315" t="s">
        <v>1214</v>
      </c>
      <c r="CY21" s="315" t="str">
        <f t="shared" si="2"/>
        <v>Western Australia</v>
      </c>
    </row>
    <row r="22" spans="1:103" s="315" customFormat="1" ht="13" hidden="1" x14ac:dyDescent="0.25">
      <c r="A22" s="403">
        <v>11</v>
      </c>
      <c r="B22" s="313" t="s">
        <v>1196</v>
      </c>
      <c r="C22" s="313" t="s">
        <v>587</v>
      </c>
      <c r="D22" s="318" t="s">
        <v>594</v>
      </c>
      <c r="E22" s="318" t="s">
        <v>556</v>
      </c>
      <c r="F22" s="313" t="s">
        <v>247</v>
      </c>
      <c r="G22" s="313" t="s">
        <v>1214</v>
      </c>
      <c r="H22" s="305"/>
      <c r="I22" s="305" t="s">
        <v>933</v>
      </c>
      <c r="J22" s="370">
        <v>0</v>
      </c>
      <c r="K22" s="370" t="e">
        <f>25000*V22/(IF(#REF!="yes",0.188,1))+K21</f>
        <v>#REF!</v>
      </c>
      <c r="L22" s="370" t="e">
        <f>K22-K21</f>
        <v>#REF!</v>
      </c>
      <c r="M22" s="316" t="s">
        <v>844</v>
      </c>
      <c r="N22" s="398"/>
      <c r="O22" s="398">
        <v>2024</v>
      </c>
      <c r="P22" s="305" t="s">
        <v>519</v>
      </c>
      <c r="Q22" s="304"/>
      <c r="R22" s="305"/>
      <c r="S22" s="305"/>
      <c r="T22" s="305"/>
      <c r="U22" s="305" t="s">
        <v>579</v>
      </c>
      <c r="V22" s="426">
        <v>0.188</v>
      </c>
      <c r="W22" s="443">
        <v>5</v>
      </c>
      <c r="X22" s="445"/>
      <c r="Y22" s="412" t="e">
        <f t="shared" si="3"/>
        <v>#REF!</v>
      </c>
      <c r="Z22" s="318">
        <v>4</v>
      </c>
      <c r="AA22" s="318">
        <v>5</v>
      </c>
      <c r="AB22" s="318">
        <v>4</v>
      </c>
      <c r="AC22" s="318">
        <v>4</v>
      </c>
      <c r="AD22" s="318" t="s">
        <v>602</v>
      </c>
      <c r="AE22" s="483">
        <f t="shared" si="14"/>
        <v>0</v>
      </c>
      <c r="AF22" s="482">
        <f t="shared" si="14"/>
        <v>0</v>
      </c>
      <c r="AG22" s="482">
        <f t="shared" si="14"/>
        <v>0</v>
      </c>
      <c r="AH22" s="482">
        <f t="shared" si="14"/>
        <v>0</v>
      </c>
      <c r="AI22" s="557">
        <f t="shared" si="14"/>
        <v>0</v>
      </c>
      <c r="AJ22" s="557">
        <f>IF(OR($M22="Exploration", $M22="Pre-feasibility", $O22&gt;2017), 0, "check")</f>
        <v>0</v>
      </c>
      <c r="AK22" s="556">
        <f t="shared" si="15"/>
        <v>0</v>
      </c>
      <c r="AL22" s="557">
        <f t="shared" si="15"/>
        <v>0</v>
      </c>
      <c r="AM22" s="557">
        <f t="shared" si="15"/>
        <v>0</v>
      </c>
      <c r="AN22" s="557">
        <f t="shared" si="15"/>
        <v>0</v>
      </c>
      <c r="AO22" s="557">
        <f t="shared" si="15"/>
        <v>0</v>
      </c>
      <c r="AP22" s="482">
        <f t="shared" si="15"/>
        <v>0</v>
      </c>
      <c r="AQ22" s="483">
        <f t="shared" si="16"/>
        <v>0</v>
      </c>
      <c r="AR22" s="482">
        <f t="shared" si="16"/>
        <v>0</v>
      </c>
      <c r="AS22" s="482">
        <f t="shared" si="16"/>
        <v>0</v>
      </c>
      <c r="AT22" s="482">
        <f t="shared" si="16"/>
        <v>0</v>
      </c>
      <c r="AU22" s="482">
        <f t="shared" si="16"/>
        <v>0</v>
      </c>
      <c r="AV22" s="514">
        <f>SUM(AR22:AU22)</f>
        <v>0</v>
      </c>
      <c r="AW22" s="556">
        <f t="shared" si="12"/>
        <v>0</v>
      </c>
      <c r="AX22" s="559">
        <f t="shared" si="0"/>
        <v>0</v>
      </c>
      <c r="AY22" s="514" t="s">
        <v>1034</v>
      </c>
      <c r="AZ22" s="483">
        <f t="shared" si="7"/>
        <v>0</v>
      </c>
      <c r="BA22" s="482">
        <v>0</v>
      </c>
      <c r="BB22" s="482">
        <v>0</v>
      </c>
      <c r="BC22" s="482">
        <v>0</v>
      </c>
      <c r="BD22" s="482">
        <v>0</v>
      </c>
      <c r="BE22" s="482">
        <v>0</v>
      </c>
      <c r="BF22" s="483">
        <f t="shared" si="8"/>
        <v>0</v>
      </c>
      <c r="BG22" s="482">
        <v>0</v>
      </c>
      <c r="BH22" s="482">
        <v>0</v>
      </c>
      <c r="BI22" s="482">
        <v>0</v>
      </c>
      <c r="BJ22" s="482">
        <v>0</v>
      </c>
      <c r="BK22" s="482">
        <v>0</v>
      </c>
      <c r="BL22" s="483">
        <f t="shared" si="1"/>
        <v>0</v>
      </c>
      <c r="BM22" s="482">
        <v>0</v>
      </c>
      <c r="BN22" s="482">
        <v>0</v>
      </c>
      <c r="BO22" s="482">
        <v>0</v>
      </c>
      <c r="BP22" s="482">
        <v>0</v>
      </c>
      <c r="BQ22" s="482">
        <v>0</v>
      </c>
      <c r="BR22" s="318"/>
      <c r="BS22" s="318"/>
      <c r="BT22" s="318"/>
      <c r="BU22" s="318"/>
      <c r="BV22" s="318"/>
      <c r="BW22" s="318"/>
      <c r="BX22" s="318"/>
      <c r="BY22" s="318"/>
      <c r="BZ22" s="318" t="s">
        <v>1488</v>
      </c>
      <c r="CA22" s="318"/>
      <c r="CB22" s="318"/>
      <c r="CC22" s="318"/>
      <c r="CD22" s="318"/>
      <c r="CE22" s="457" t="s">
        <v>1486</v>
      </c>
      <c r="CF22" s="443">
        <f>(555*60%)+(181*40%)</f>
        <v>405.4</v>
      </c>
      <c r="CG22" s="360" t="s">
        <v>460</v>
      </c>
      <c r="CH22" s="430">
        <v>0.6</v>
      </c>
      <c r="CI22" s="360" t="s">
        <v>1197</v>
      </c>
      <c r="CJ22" s="430">
        <v>0.4</v>
      </c>
      <c r="CK22" s="360"/>
      <c r="CL22" s="360"/>
      <c r="CM22" s="360"/>
      <c r="CN22" s="360"/>
      <c r="CO22" s="360"/>
      <c r="CP22" s="360"/>
      <c r="CR22" s="315" t="str">
        <f t="shared" si="9"/>
        <v>Australia</v>
      </c>
      <c r="CS22" s="315" t="str">
        <f t="shared" si="10"/>
        <v>Western Australia</v>
      </c>
      <c r="CT22" s="315">
        <v>11</v>
      </c>
      <c r="CU22" s="315" t="s">
        <v>587</v>
      </c>
      <c r="CV22" s="315" t="s">
        <v>556</v>
      </c>
      <c r="CW22" s="315" t="s">
        <v>247</v>
      </c>
      <c r="CX22" s="315" t="s">
        <v>1214</v>
      </c>
      <c r="CY22" s="315" t="str">
        <f t="shared" si="2"/>
        <v>Western Australia</v>
      </c>
    </row>
    <row r="23" spans="1:103" s="315" customFormat="1" ht="13" hidden="1" x14ac:dyDescent="0.25">
      <c r="A23" s="403">
        <v>12</v>
      </c>
      <c r="B23" s="313" t="s">
        <v>601</v>
      </c>
      <c r="C23" s="313" t="s">
        <v>1070</v>
      </c>
      <c r="D23" s="318" t="s">
        <v>594</v>
      </c>
      <c r="E23" s="318"/>
      <c r="F23" s="313" t="s">
        <v>244</v>
      </c>
      <c r="G23" s="313" t="s">
        <v>576</v>
      </c>
      <c r="H23" s="305"/>
      <c r="I23" s="305"/>
      <c r="J23" s="370" t="e">
        <f>5000*V23/(IF(#REF!="yes",0.188,1))</f>
        <v>#REF!</v>
      </c>
      <c r="K23" s="370" t="e">
        <f>J23</f>
        <v>#REF!</v>
      </c>
      <c r="L23" s="370">
        <v>5000</v>
      </c>
      <c r="M23" s="316" t="s">
        <v>483</v>
      </c>
      <c r="N23" s="398"/>
      <c r="O23" s="398">
        <v>2015</v>
      </c>
      <c r="P23" s="305" t="s">
        <v>519</v>
      </c>
      <c r="Q23" s="304"/>
      <c r="R23" s="305"/>
      <c r="S23" s="305"/>
      <c r="T23" s="305"/>
      <c r="U23" s="305" t="s">
        <v>579</v>
      </c>
      <c r="V23" s="426">
        <v>0.188</v>
      </c>
      <c r="W23" s="443">
        <v>5</v>
      </c>
      <c r="X23" s="414"/>
      <c r="Y23" s="412" t="e">
        <f t="shared" si="3"/>
        <v>#REF!</v>
      </c>
      <c r="Z23" s="318">
        <v>5</v>
      </c>
      <c r="AA23" s="318">
        <v>5</v>
      </c>
      <c r="AB23" s="318">
        <v>5</v>
      </c>
      <c r="AC23" s="318">
        <v>5</v>
      </c>
      <c r="AD23" s="318" t="s">
        <v>602</v>
      </c>
      <c r="AE23" s="483">
        <v>5000</v>
      </c>
      <c r="AF23" s="482" t="s">
        <v>1524</v>
      </c>
      <c r="AG23" s="482" t="s">
        <v>1524</v>
      </c>
      <c r="AH23" s="482" t="s">
        <v>1524</v>
      </c>
      <c r="AI23" s="557" t="s">
        <v>1524</v>
      </c>
      <c r="AJ23" s="557" t="str">
        <f>IF(OR(M23="Exploration", M23="Pre-feasibility", O23&gt;2017), 0, "check")</f>
        <v>check</v>
      </c>
      <c r="AK23" s="556">
        <v>5000</v>
      </c>
      <c r="AL23" s="557" t="s">
        <v>1524</v>
      </c>
      <c r="AM23" s="557" t="s">
        <v>1524</v>
      </c>
      <c r="AN23" s="557" t="s">
        <v>1524</v>
      </c>
      <c r="AO23" s="557" t="s">
        <v>1524</v>
      </c>
      <c r="AP23" s="482" t="str">
        <f>IF(OR(M23="Exploration", M23="Pre-feasibility", O23&gt;2018), 0, "check")</f>
        <v>check</v>
      </c>
      <c r="AQ23" s="483">
        <v>5000</v>
      </c>
      <c r="AR23" s="482" t="s">
        <v>1524</v>
      </c>
      <c r="AS23" s="482" t="s">
        <v>1524</v>
      </c>
      <c r="AT23" s="482" t="s">
        <v>1524</v>
      </c>
      <c r="AU23" s="482" t="s">
        <v>1524</v>
      </c>
      <c r="AV23" s="482" t="str">
        <f>IF(OR(M23="Exploration", M23="Pre-feasibility", O23&gt;2019), 0, "check")</f>
        <v>check</v>
      </c>
      <c r="AW23" s="556">
        <f t="shared" si="12"/>
        <v>5000</v>
      </c>
      <c r="AX23" s="559" t="str">
        <f t="shared" si="0"/>
        <v>check</v>
      </c>
      <c r="AY23" s="514" t="s">
        <v>1559</v>
      </c>
      <c r="AZ23" s="483">
        <f t="shared" si="7"/>
        <v>5000</v>
      </c>
      <c r="BA23" s="482" t="s">
        <v>1524</v>
      </c>
      <c r="BB23" s="482" t="s">
        <v>1524</v>
      </c>
      <c r="BC23" s="482" t="s">
        <v>1524</v>
      </c>
      <c r="BD23" s="482" t="s">
        <v>1524</v>
      </c>
      <c r="BE23" s="482" t="s">
        <v>1524</v>
      </c>
      <c r="BF23" s="483">
        <f t="shared" si="8"/>
        <v>5000</v>
      </c>
      <c r="BG23" s="482" t="s">
        <v>1524</v>
      </c>
      <c r="BH23" s="482" t="s">
        <v>1524</v>
      </c>
      <c r="BI23" s="482" t="s">
        <v>1524</v>
      </c>
      <c r="BJ23" s="482" t="s">
        <v>1524</v>
      </c>
      <c r="BK23" s="482" t="s">
        <v>1524</v>
      </c>
      <c r="BL23" s="483">
        <f t="shared" si="1"/>
        <v>5000</v>
      </c>
      <c r="BM23" s="482" t="s">
        <v>1524</v>
      </c>
      <c r="BN23" s="482" t="s">
        <v>1524</v>
      </c>
      <c r="BO23" s="482" t="s">
        <v>1524</v>
      </c>
      <c r="BP23" s="482" t="s">
        <v>1524</v>
      </c>
      <c r="BQ23" s="482" t="s">
        <v>1524</v>
      </c>
      <c r="BR23" s="318"/>
      <c r="BS23" s="318"/>
      <c r="BT23" s="318"/>
      <c r="BU23" s="318"/>
      <c r="BV23" s="318"/>
      <c r="BW23" s="318"/>
      <c r="BX23" s="318"/>
      <c r="BY23" s="318"/>
      <c r="BZ23" s="318" t="s">
        <v>1512</v>
      </c>
      <c r="CA23" s="318"/>
      <c r="CB23" s="318"/>
      <c r="CC23" s="318"/>
      <c r="CD23" s="318"/>
      <c r="CE23" s="457"/>
      <c r="CF23" s="443">
        <v>555</v>
      </c>
      <c r="CG23" s="360" t="s">
        <v>460</v>
      </c>
      <c r="CH23" s="430">
        <v>1</v>
      </c>
      <c r="CI23" s="360"/>
      <c r="CJ23" s="360"/>
      <c r="CK23" s="360"/>
      <c r="CL23" s="360"/>
      <c r="CM23" s="360"/>
      <c r="CN23" s="360"/>
      <c r="CO23" s="360"/>
      <c r="CP23" s="360"/>
      <c r="CR23" s="315" t="str">
        <f t="shared" si="9"/>
        <v>China</v>
      </c>
      <c r="CS23" s="315" t="str">
        <f t="shared" si="10"/>
        <v>Sichuan</v>
      </c>
      <c r="CT23" s="315">
        <v>12</v>
      </c>
      <c r="CU23" s="315" t="s">
        <v>1070</v>
      </c>
      <c r="CV23" s="315" t="s">
        <v>32</v>
      </c>
      <c r="CW23" s="315" t="s">
        <v>244</v>
      </c>
      <c r="CX23" s="315" t="s">
        <v>576</v>
      </c>
      <c r="CY23" s="315" t="str">
        <f t="shared" si="2"/>
        <v>Sichuan</v>
      </c>
    </row>
    <row r="24" spans="1:103" s="315" customFormat="1" ht="13" hidden="1" x14ac:dyDescent="0.25">
      <c r="A24" s="403">
        <v>13</v>
      </c>
      <c r="B24" s="313" t="s">
        <v>601</v>
      </c>
      <c r="C24" s="313" t="s">
        <v>1453</v>
      </c>
      <c r="D24" s="318" t="s">
        <v>594</v>
      </c>
      <c r="E24" s="318" t="s">
        <v>552</v>
      </c>
      <c r="F24" s="313" t="s">
        <v>244</v>
      </c>
      <c r="G24" s="313" t="s">
        <v>550</v>
      </c>
      <c r="H24" s="305"/>
      <c r="I24" s="305"/>
      <c r="J24" s="370" t="e">
        <f>10000*V23/(IF(#REF!="yes",0.188,1))</f>
        <v>#REF!</v>
      </c>
      <c r="K24" s="370">
        <v>0</v>
      </c>
      <c r="L24" s="370">
        <v>10000</v>
      </c>
      <c r="M24" s="316" t="s">
        <v>483</v>
      </c>
      <c r="N24" s="398"/>
      <c r="O24" s="398">
        <v>2017</v>
      </c>
      <c r="P24" s="305" t="s">
        <v>519</v>
      </c>
      <c r="Q24" s="304"/>
      <c r="R24" s="305"/>
      <c r="S24" s="305"/>
      <c r="T24" s="305"/>
      <c r="U24" s="305" t="s">
        <v>579</v>
      </c>
      <c r="V24" s="426">
        <v>0.188</v>
      </c>
      <c r="W24" s="443">
        <v>5</v>
      </c>
      <c r="X24" s="414"/>
      <c r="Y24" s="412" t="e">
        <f t="shared" si="3"/>
        <v>#REF!</v>
      </c>
      <c r="Z24" s="318">
        <v>5</v>
      </c>
      <c r="AA24" s="318">
        <v>5</v>
      </c>
      <c r="AB24" s="318">
        <v>5</v>
      </c>
      <c r="AC24" s="318">
        <v>5</v>
      </c>
      <c r="AD24" s="458" t="s">
        <v>1454</v>
      </c>
      <c r="AE24" s="483">
        <v>10000</v>
      </c>
      <c r="AF24" s="482" t="s">
        <v>1524</v>
      </c>
      <c r="AG24" s="482" t="s">
        <v>1524</v>
      </c>
      <c r="AH24" s="482" t="s">
        <v>1524</v>
      </c>
      <c r="AI24" s="557" t="s">
        <v>1524</v>
      </c>
      <c r="AJ24" s="557" t="str">
        <f>IF(OR(M24="Exploration", M24="Pre-feasibility", O24&gt;2017), 0, "check")</f>
        <v>check</v>
      </c>
      <c r="AK24" s="556">
        <v>10000</v>
      </c>
      <c r="AL24" s="557" t="s">
        <v>1524</v>
      </c>
      <c r="AM24" s="557" t="s">
        <v>1524</v>
      </c>
      <c r="AN24" s="557" t="s">
        <v>1524</v>
      </c>
      <c r="AO24" s="557" t="s">
        <v>1524</v>
      </c>
      <c r="AP24" s="482" t="str">
        <f>IF(OR(M24="Exploration", M24="Pre-feasibility", O24&gt;2018), 0, "check")</f>
        <v>check</v>
      </c>
      <c r="AQ24" s="483">
        <v>10000</v>
      </c>
      <c r="AR24" s="482" t="s">
        <v>1524</v>
      </c>
      <c r="AS24" s="482" t="s">
        <v>1524</v>
      </c>
      <c r="AT24" s="482" t="s">
        <v>1524</v>
      </c>
      <c r="AU24" s="482" t="s">
        <v>1524</v>
      </c>
      <c r="AV24" s="482" t="str">
        <f>IF(OR(M24="Exploration", M24="Pre-feasibility", O24&gt;2019), 0, "check")</f>
        <v>check</v>
      </c>
      <c r="AW24" s="556">
        <f t="shared" si="12"/>
        <v>10000</v>
      </c>
      <c r="AX24" s="559" t="str">
        <f t="shared" si="0"/>
        <v>check</v>
      </c>
      <c r="AY24" s="514" t="s">
        <v>1559</v>
      </c>
      <c r="AZ24" s="483">
        <f t="shared" si="7"/>
        <v>10000</v>
      </c>
      <c r="BA24" s="482" t="s">
        <v>1524</v>
      </c>
      <c r="BB24" s="482" t="s">
        <v>1524</v>
      </c>
      <c r="BC24" s="482" t="s">
        <v>1524</v>
      </c>
      <c r="BD24" s="482" t="s">
        <v>1524</v>
      </c>
      <c r="BE24" s="482" t="s">
        <v>1524</v>
      </c>
      <c r="BF24" s="483">
        <f t="shared" si="8"/>
        <v>10000</v>
      </c>
      <c r="BG24" s="482" t="s">
        <v>1524</v>
      </c>
      <c r="BH24" s="482" t="s">
        <v>1524</v>
      </c>
      <c r="BI24" s="482" t="s">
        <v>1524</v>
      </c>
      <c r="BJ24" s="482" t="s">
        <v>1524</v>
      </c>
      <c r="BK24" s="482" t="s">
        <v>1524</v>
      </c>
      <c r="BL24" s="483">
        <f t="shared" si="1"/>
        <v>10000</v>
      </c>
      <c r="BM24" s="482" t="s">
        <v>1524</v>
      </c>
      <c r="BN24" s="482" t="s">
        <v>1524</v>
      </c>
      <c r="BO24" s="482" t="s">
        <v>1524</v>
      </c>
      <c r="BP24" s="482" t="s">
        <v>1524</v>
      </c>
      <c r="BQ24" s="482" t="s">
        <v>1524</v>
      </c>
      <c r="BR24" s="318"/>
      <c r="BS24" s="318"/>
      <c r="BT24" s="318"/>
      <c r="BU24" s="318"/>
      <c r="BV24" s="318"/>
      <c r="BW24" s="318"/>
      <c r="BX24" s="318"/>
      <c r="BY24" s="318"/>
      <c r="BZ24" s="318" t="s">
        <v>1512</v>
      </c>
      <c r="CA24" s="318"/>
      <c r="CB24" s="318"/>
      <c r="CC24" s="318"/>
      <c r="CD24" s="318"/>
      <c r="CE24" s="457"/>
      <c r="CF24" s="443">
        <v>555</v>
      </c>
      <c r="CG24" s="360" t="s">
        <v>460</v>
      </c>
      <c r="CH24" s="430">
        <v>1</v>
      </c>
      <c r="CI24" s="360"/>
      <c r="CJ24" s="360"/>
      <c r="CK24" s="360"/>
      <c r="CL24" s="360"/>
      <c r="CM24" s="360"/>
      <c r="CN24" s="360"/>
      <c r="CO24" s="360"/>
      <c r="CP24" s="360"/>
      <c r="CR24" s="315" t="str">
        <f t="shared" si="9"/>
        <v>China</v>
      </c>
      <c r="CS24" s="315" t="str">
        <f t="shared" si="10"/>
        <v>Jiangxi</v>
      </c>
      <c r="CT24" s="315">
        <v>13</v>
      </c>
      <c r="CU24" s="315" t="s">
        <v>1071</v>
      </c>
      <c r="CV24" s="315" t="s">
        <v>552</v>
      </c>
      <c r="CW24" s="315" t="s">
        <v>244</v>
      </c>
      <c r="CX24" s="315" t="s">
        <v>550</v>
      </c>
      <c r="CY24" s="315" t="str">
        <f t="shared" si="2"/>
        <v>Jiangxi</v>
      </c>
    </row>
    <row r="25" spans="1:103" s="315" customFormat="1" ht="13" hidden="1" x14ac:dyDescent="0.25">
      <c r="A25" s="403">
        <v>14</v>
      </c>
      <c r="B25" s="313" t="s">
        <v>601</v>
      </c>
      <c r="C25" s="313" t="s">
        <v>1453</v>
      </c>
      <c r="D25" s="318" t="s">
        <v>594</v>
      </c>
      <c r="E25" s="318" t="s">
        <v>553</v>
      </c>
      <c r="F25" s="313" t="s">
        <v>244</v>
      </c>
      <c r="G25" s="313" t="s">
        <v>550</v>
      </c>
      <c r="H25" s="305"/>
      <c r="I25" s="305" t="s">
        <v>933</v>
      </c>
      <c r="J25" s="370">
        <v>0</v>
      </c>
      <c r="K25" s="370">
        <v>30000</v>
      </c>
      <c r="L25" s="370" t="e">
        <f>K25-J24</f>
        <v>#REF!</v>
      </c>
      <c r="M25" s="316" t="s">
        <v>483</v>
      </c>
      <c r="N25" s="398">
        <v>2017</v>
      </c>
      <c r="O25" s="398">
        <v>2019</v>
      </c>
      <c r="P25" s="305" t="s">
        <v>519</v>
      </c>
      <c r="Q25" s="304"/>
      <c r="R25" s="305"/>
      <c r="S25" s="305"/>
      <c r="T25" s="305"/>
      <c r="U25" s="305" t="s">
        <v>579</v>
      </c>
      <c r="V25" s="426">
        <v>0.188</v>
      </c>
      <c r="W25" s="443">
        <v>5</v>
      </c>
      <c r="X25" s="414"/>
      <c r="Y25" s="412" t="e">
        <f t="shared" si="3"/>
        <v>#REF!</v>
      </c>
      <c r="Z25" s="318">
        <v>5</v>
      </c>
      <c r="AA25" s="318">
        <v>5</v>
      </c>
      <c r="AB25" s="318">
        <v>5</v>
      </c>
      <c r="AC25" s="318">
        <v>5</v>
      </c>
      <c r="AD25" s="458" t="s">
        <v>1454</v>
      </c>
      <c r="AE25" s="483">
        <f t="shared" ref="AE25:AJ25" si="17">IF(OR($M25="Exploration", $M25="Pre-feasibility", $O25&gt;2017), 0, "check")</f>
        <v>0</v>
      </c>
      <c r="AF25" s="482">
        <f t="shared" si="17"/>
        <v>0</v>
      </c>
      <c r="AG25" s="482">
        <f t="shared" si="17"/>
        <v>0</v>
      </c>
      <c r="AH25" s="482">
        <f t="shared" si="17"/>
        <v>0</v>
      </c>
      <c r="AI25" s="557">
        <f t="shared" si="17"/>
        <v>0</v>
      </c>
      <c r="AJ25" s="557">
        <f t="shared" si="17"/>
        <v>0</v>
      </c>
      <c r="AK25" s="554">
        <v>5000</v>
      </c>
      <c r="AL25" s="557">
        <f t="shared" ref="AK25:AP25" si="18">IF(OR($M25="Exploration", $M25="Pre-feasibility", $O25&gt;2018), 0, "check")</f>
        <v>0</v>
      </c>
      <c r="AM25" s="557">
        <f t="shared" si="18"/>
        <v>0</v>
      </c>
      <c r="AN25" s="557">
        <f t="shared" si="18"/>
        <v>0</v>
      </c>
      <c r="AO25" s="557">
        <f t="shared" si="18"/>
        <v>0</v>
      </c>
      <c r="AP25" s="482">
        <f t="shared" si="18"/>
        <v>0</v>
      </c>
      <c r="AQ25" s="483">
        <v>20000</v>
      </c>
      <c r="AR25" s="482" t="s">
        <v>1524</v>
      </c>
      <c r="AS25" s="482" t="s">
        <v>1524</v>
      </c>
      <c r="AT25" s="482" t="s">
        <v>1524</v>
      </c>
      <c r="AU25" s="482" t="s">
        <v>1524</v>
      </c>
      <c r="AV25" s="482" t="str">
        <f>IF(OR(M25="Exploration", M25="Pre-feasibility", O25&gt;2019), 0, "check")</f>
        <v>check</v>
      </c>
      <c r="AW25" s="556">
        <v>20000</v>
      </c>
      <c r="AX25" s="559" t="str">
        <f t="shared" si="0"/>
        <v>check</v>
      </c>
      <c r="AY25" s="514" t="s">
        <v>1559</v>
      </c>
      <c r="AZ25" s="483">
        <f t="shared" si="7"/>
        <v>0</v>
      </c>
      <c r="BA25" s="482">
        <v>0</v>
      </c>
      <c r="BB25" s="482">
        <v>0</v>
      </c>
      <c r="BC25" s="482">
        <v>0</v>
      </c>
      <c r="BD25" s="482">
        <v>0</v>
      </c>
      <c r="BE25" s="482">
        <v>0</v>
      </c>
      <c r="BF25" s="483">
        <f t="shared" si="8"/>
        <v>5000</v>
      </c>
      <c r="BG25" s="482">
        <v>0</v>
      </c>
      <c r="BH25" s="482">
        <v>0</v>
      </c>
      <c r="BI25" s="482">
        <v>0</v>
      </c>
      <c r="BJ25" s="482">
        <v>0</v>
      </c>
      <c r="BK25" s="482">
        <v>0</v>
      </c>
      <c r="BL25" s="483">
        <f t="shared" si="1"/>
        <v>20000</v>
      </c>
      <c r="BM25" s="482" t="s">
        <v>1524</v>
      </c>
      <c r="BN25" s="482" t="s">
        <v>1524</v>
      </c>
      <c r="BO25" s="482" t="s">
        <v>1524</v>
      </c>
      <c r="BP25" s="482" t="s">
        <v>1524</v>
      </c>
      <c r="BQ25" s="482" t="s">
        <v>1524</v>
      </c>
      <c r="BR25" s="318"/>
      <c r="BS25" s="318"/>
      <c r="BT25" s="318"/>
      <c r="BU25" s="318"/>
      <c r="BV25" s="318"/>
      <c r="BW25" s="318"/>
      <c r="BX25" s="318"/>
      <c r="BY25" s="318"/>
      <c r="BZ25" s="318" t="s">
        <v>1512</v>
      </c>
      <c r="CA25" s="318"/>
      <c r="CB25" s="318"/>
      <c r="CC25" s="318"/>
      <c r="CD25" s="318"/>
      <c r="CE25" s="457"/>
      <c r="CF25" s="443">
        <v>555</v>
      </c>
      <c r="CG25" s="360" t="s">
        <v>460</v>
      </c>
      <c r="CH25" s="430">
        <v>1</v>
      </c>
      <c r="CI25" s="360"/>
      <c r="CJ25" s="360"/>
      <c r="CK25" s="360"/>
      <c r="CL25" s="360"/>
      <c r="CM25" s="360"/>
      <c r="CN25" s="360"/>
      <c r="CO25" s="360"/>
      <c r="CP25" s="360"/>
      <c r="CR25" s="315" t="str">
        <f t="shared" si="9"/>
        <v>China</v>
      </c>
      <c r="CS25" s="315" t="str">
        <f t="shared" si="10"/>
        <v>Jiangxi</v>
      </c>
      <c r="CT25" s="315">
        <v>14</v>
      </c>
      <c r="CU25" s="315" t="s">
        <v>1071</v>
      </c>
      <c r="CV25" s="315" t="s">
        <v>553</v>
      </c>
      <c r="CW25" s="315" t="s">
        <v>244</v>
      </c>
      <c r="CX25" s="315" t="s">
        <v>550</v>
      </c>
      <c r="CY25" s="315" t="str">
        <f t="shared" si="2"/>
        <v>Jiangxi</v>
      </c>
    </row>
    <row r="26" spans="1:103" s="315" customFormat="1" ht="19.5" customHeight="1" x14ac:dyDescent="0.25">
      <c r="A26" s="403">
        <v>15</v>
      </c>
      <c r="B26" s="313" t="s">
        <v>541</v>
      </c>
      <c r="C26" s="313" t="s">
        <v>469</v>
      </c>
      <c r="D26" s="318" t="s">
        <v>457</v>
      </c>
      <c r="E26" s="318" t="s">
        <v>552</v>
      </c>
      <c r="F26" s="313" t="s">
        <v>247</v>
      </c>
      <c r="G26" s="313" t="s">
        <v>1214</v>
      </c>
      <c r="H26" s="305"/>
      <c r="I26" s="305" t="s">
        <v>605</v>
      </c>
      <c r="J26" s="370" t="e">
        <f>(220000*V26)/(IF(#REF!="yes",0.188,1))</f>
        <v>#REF!</v>
      </c>
      <c r="K26" s="370">
        <v>0</v>
      </c>
      <c r="L26" s="370">
        <v>27148.936170212764</v>
      </c>
      <c r="M26" s="316" t="s">
        <v>483</v>
      </c>
      <c r="N26" s="398">
        <v>2017</v>
      </c>
      <c r="O26" s="398">
        <v>2018</v>
      </c>
      <c r="P26" s="305" t="s">
        <v>519</v>
      </c>
      <c r="Q26" s="354">
        <v>1.0800000000000001E-2</v>
      </c>
      <c r="R26" s="305"/>
      <c r="S26" s="305" t="s">
        <v>1425</v>
      </c>
      <c r="T26" s="305" t="s">
        <v>1426</v>
      </c>
      <c r="U26" s="358" t="s">
        <v>815</v>
      </c>
      <c r="V26" s="426">
        <f>5%*46.4%</f>
        <v>2.3199999999999998E-2</v>
      </c>
      <c r="W26" s="443" t="e">
        <f>316*0.75/#REF!/10^3</f>
        <v>#REF!</v>
      </c>
      <c r="X26" s="445" t="e">
        <f>324*0.75/10^3/#REF!</f>
        <v>#REF!</v>
      </c>
      <c r="Y26" s="317" t="e">
        <f t="shared" si="3"/>
        <v>#REF!</v>
      </c>
      <c r="Z26" s="318">
        <v>2</v>
      </c>
      <c r="AA26" s="318">
        <v>5</v>
      </c>
      <c r="AB26" s="318">
        <v>3</v>
      </c>
      <c r="AC26" s="318">
        <v>3</v>
      </c>
      <c r="AD26" s="318" t="s">
        <v>688</v>
      </c>
      <c r="AE26" s="483">
        <v>10000</v>
      </c>
      <c r="AF26" s="482">
        <v>0</v>
      </c>
      <c r="AG26" s="482">
        <v>0</v>
      </c>
      <c r="AH26" s="482">
        <v>0</v>
      </c>
      <c r="AI26" s="557">
        <v>0</v>
      </c>
      <c r="AJ26" s="557">
        <v>0</v>
      </c>
      <c r="AK26" s="556">
        <v>27148.936170212764</v>
      </c>
      <c r="AL26" s="557">
        <v>0</v>
      </c>
      <c r="AM26" s="557">
        <v>0</v>
      </c>
      <c r="AN26" s="557">
        <f>7379*0.023/0.188</f>
        <v>902.74999999999989</v>
      </c>
      <c r="AO26" s="557">
        <f>(25419-6427)*0.023/0.188</f>
        <v>2323.4893617021276</v>
      </c>
      <c r="AP26" s="482">
        <f>SUM(AL26:AO26)</f>
        <v>3226.2393617021276</v>
      </c>
      <c r="AQ26" s="483">
        <v>27148.936170212764</v>
      </c>
      <c r="AR26" s="482">
        <f>29627*0.023/0.188</f>
        <v>3624.5797872340422</v>
      </c>
      <c r="AS26" s="482">
        <f>42402*0.023/0.188</f>
        <v>5187.4787234042551</v>
      </c>
      <c r="AT26" s="482">
        <f>45484*0.023/0.188</f>
        <v>5564.5319148936169</v>
      </c>
      <c r="AU26" s="482">
        <f>47181*0.023/0.188</f>
        <v>5772.1436170212764</v>
      </c>
      <c r="AV26" s="494">
        <f>SUM(AR26:AU26)</f>
        <v>20148.734042553191</v>
      </c>
      <c r="AW26" s="556">
        <v>27148.936170212764</v>
      </c>
      <c r="AX26" s="559">
        <v>20000</v>
      </c>
      <c r="AY26" s="514" t="s">
        <v>1555</v>
      </c>
      <c r="AZ26" s="483">
        <f t="shared" si="7"/>
        <v>10000</v>
      </c>
      <c r="BA26" s="482">
        <v>0</v>
      </c>
      <c r="BB26" s="482">
        <v>0</v>
      </c>
      <c r="BC26" s="482">
        <v>0</v>
      </c>
      <c r="BD26" s="482">
        <v>0</v>
      </c>
      <c r="BE26" s="482">
        <v>0</v>
      </c>
      <c r="BF26" s="483">
        <f t="shared" si="8"/>
        <v>27148.936170212764</v>
      </c>
      <c r="BG26" s="482">
        <v>0</v>
      </c>
      <c r="BH26" s="482">
        <v>0</v>
      </c>
      <c r="BI26" s="482">
        <v>0</v>
      </c>
      <c r="BJ26" s="482">
        <f>24419*0.023/0.188</f>
        <v>2987.4308510638293</v>
      </c>
      <c r="BK26" s="482">
        <f>SUM(BG26:BJ26)</f>
        <v>2987.4308510638293</v>
      </c>
      <c r="BL26" s="483">
        <f t="shared" si="1"/>
        <v>27148.936170212764</v>
      </c>
      <c r="BM26" s="482">
        <f>14770*0.023/0.188</f>
        <v>1806.9680851063829</v>
      </c>
      <c r="BN26" s="482">
        <f>38491*0.023/0.188</f>
        <v>4709.005319148936</v>
      </c>
      <c r="BO26" s="482">
        <f>25601*0.023/0.188</f>
        <v>3132.0372340425529</v>
      </c>
      <c r="BP26" s="482">
        <f>41680*0.023/0.188</f>
        <v>5099.1489361702124</v>
      </c>
      <c r="BQ26" s="482">
        <f>SUM(BM26:BP26)</f>
        <v>14747.159574468085</v>
      </c>
      <c r="BR26" s="318" t="s">
        <v>1273</v>
      </c>
      <c r="BS26" s="318" t="s">
        <v>1460</v>
      </c>
      <c r="BT26" s="318"/>
      <c r="BU26" s="318">
        <v>13.5</v>
      </c>
      <c r="BV26" s="318" t="s">
        <v>1136</v>
      </c>
      <c r="BW26" s="318" t="s">
        <v>1462</v>
      </c>
      <c r="BX26" s="318" t="s">
        <v>1271</v>
      </c>
      <c r="BY26" s="318"/>
      <c r="BZ26" s="318" t="s">
        <v>1458</v>
      </c>
      <c r="CA26" s="318" t="s">
        <v>1459</v>
      </c>
      <c r="CB26" s="318"/>
      <c r="CC26" s="318"/>
      <c r="CD26" s="318"/>
      <c r="CE26" s="457" t="s">
        <v>1461</v>
      </c>
      <c r="CF26" s="443">
        <v>19.600000000000001</v>
      </c>
      <c r="CG26" s="360" t="s">
        <v>541</v>
      </c>
      <c r="CH26" s="430">
        <v>1</v>
      </c>
      <c r="CI26" s="360"/>
      <c r="CJ26" s="360"/>
      <c r="CK26" s="360"/>
      <c r="CL26" s="360"/>
      <c r="CM26" s="360"/>
      <c r="CN26" s="360"/>
      <c r="CO26" s="360"/>
      <c r="CP26" s="360"/>
      <c r="CR26" s="315" t="str">
        <f t="shared" si="9"/>
        <v>Australia</v>
      </c>
      <c r="CS26" s="315" t="str">
        <f t="shared" si="10"/>
        <v>Western Australia</v>
      </c>
      <c r="CT26" s="315">
        <v>15</v>
      </c>
      <c r="CU26" s="315" t="s">
        <v>469</v>
      </c>
      <c r="CV26" s="315" t="s">
        <v>552</v>
      </c>
      <c r="CW26" s="315" t="s">
        <v>247</v>
      </c>
      <c r="CX26" s="315" t="s">
        <v>1214</v>
      </c>
      <c r="CY26" s="315" t="str">
        <f t="shared" si="2"/>
        <v>Western Australia</v>
      </c>
    </row>
    <row r="27" spans="1:103" s="315" customFormat="1" ht="19.5" customHeight="1" x14ac:dyDescent="0.25">
      <c r="A27" s="403">
        <v>16</v>
      </c>
      <c r="B27" s="313" t="s">
        <v>541</v>
      </c>
      <c r="C27" s="313" t="s">
        <v>469</v>
      </c>
      <c r="D27" s="318" t="s">
        <v>457</v>
      </c>
      <c r="E27" s="318" t="s">
        <v>553</v>
      </c>
      <c r="F27" s="313" t="s">
        <v>247</v>
      </c>
      <c r="G27" s="313" t="s">
        <v>1214</v>
      </c>
      <c r="H27" s="305"/>
      <c r="I27" s="305" t="s">
        <v>606</v>
      </c>
      <c r="J27" s="370">
        <v>0</v>
      </c>
      <c r="K27" s="370" t="e">
        <f>(440000*V27)/(IF(#REF!="yes",0.188,1))</f>
        <v>#REF!</v>
      </c>
      <c r="L27" s="370" t="e">
        <f>K27-J26</f>
        <v>#REF!</v>
      </c>
      <c r="M27" s="316" t="s">
        <v>484</v>
      </c>
      <c r="N27" s="398">
        <v>2018</v>
      </c>
      <c r="O27" s="490">
        <v>2020</v>
      </c>
      <c r="P27" s="305" t="s">
        <v>519</v>
      </c>
      <c r="Q27" s="354">
        <v>1.0800000000000001E-2</v>
      </c>
      <c r="R27" s="305"/>
      <c r="S27" s="305" t="s">
        <v>1425</v>
      </c>
      <c r="T27" s="305" t="s">
        <v>1426</v>
      </c>
      <c r="U27" s="305" t="s">
        <v>815</v>
      </c>
      <c r="V27" s="426">
        <f>5%*46.4%</f>
        <v>2.3199999999999998E-2</v>
      </c>
      <c r="W27" s="443" t="e">
        <f>316*0.75/#REF!/10^3</f>
        <v>#REF!</v>
      </c>
      <c r="X27" s="445" t="e">
        <f>324*0.75/10^3/#REF!</f>
        <v>#REF!</v>
      </c>
      <c r="Y27" s="317" t="e">
        <f t="shared" si="3"/>
        <v>#REF!</v>
      </c>
      <c r="Z27" s="318">
        <v>2</v>
      </c>
      <c r="AA27" s="318">
        <v>5</v>
      </c>
      <c r="AB27" s="318">
        <v>3</v>
      </c>
      <c r="AC27" s="318">
        <v>3</v>
      </c>
      <c r="AD27" s="318" t="s">
        <v>607</v>
      </c>
      <c r="AE27" s="483">
        <f t="shared" ref="AE27:AI30" si="19">IF(OR($M27="Exploration", $M27="Pre-feasibility", $O27&gt;2017), 0, "check")</f>
        <v>0</v>
      </c>
      <c r="AF27" s="482">
        <f t="shared" si="19"/>
        <v>0</v>
      </c>
      <c r="AG27" s="482">
        <f t="shared" si="19"/>
        <v>0</v>
      </c>
      <c r="AH27" s="482">
        <f t="shared" si="19"/>
        <v>0</v>
      </c>
      <c r="AI27" s="557">
        <f t="shared" si="19"/>
        <v>0</v>
      </c>
      <c r="AJ27" s="557">
        <f>IF(OR($M27="Exploration", $M27="Pre-feasibility", $O27&gt;2017), 0, "check")</f>
        <v>0</v>
      </c>
      <c r="AK27" s="556">
        <f t="shared" ref="AK27:AP30" si="20">IF(OR($M27="Exploration", $M27="Pre-feasibility", $O27&gt;2018), 0, "check")</f>
        <v>0</v>
      </c>
      <c r="AL27" s="557">
        <f t="shared" si="20"/>
        <v>0</v>
      </c>
      <c r="AM27" s="557">
        <f t="shared" si="20"/>
        <v>0</v>
      </c>
      <c r="AN27" s="557">
        <f t="shared" si="20"/>
        <v>0</v>
      </c>
      <c r="AO27" s="557">
        <f t="shared" si="20"/>
        <v>0</v>
      </c>
      <c r="AP27" s="482">
        <f t="shared" si="20"/>
        <v>0</v>
      </c>
      <c r="AQ27" s="493">
        <f t="shared" ref="AQ27:AU32" si="21">IF(OR($M27="Exploration", $M27="Pre-feasibility", $O27&gt;2019), 0, "check")</f>
        <v>0</v>
      </c>
      <c r="AR27" s="482">
        <f t="shared" si="21"/>
        <v>0</v>
      </c>
      <c r="AS27" s="482">
        <f t="shared" si="21"/>
        <v>0</v>
      </c>
      <c r="AT27" s="482">
        <f t="shared" si="21"/>
        <v>0</v>
      </c>
      <c r="AU27" s="482">
        <f t="shared" si="21"/>
        <v>0</v>
      </c>
      <c r="AV27" s="514">
        <f t="shared" ref="AV27:AV32" si="22">SUM(AR27:AU27)</f>
        <v>0</v>
      </c>
      <c r="AW27" s="556" t="str">
        <f t="shared" ref="AW26:AW89" si="23">IF(OR(ISBLANK($O27),$O27&gt;2022,$M27="Cancelled",$N27&gt;2020),0,IF($M27="Pre-feasibility",0,IF($O27&lt;2018,$L27,"check")))</f>
        <v>check</v>
      </c>
      <c r="AX27" s="559" t="str">
        <f t="shared" si="0"/>
        <v>check</v>
      </c>
      <c r="AY27" s="514" t="s">
        <v>1555</v>
      </c>
      <c r="AZ27" s="483">
        <f>AE27</f>
        <v>0</v>
      </c>
      <c r="BA27" s="482">
        <v>0</v>
      </c>
      <c r="BB27" s="482">
        <v>0</v>
      </c>
      <c r="BC27" s="482">
        <v>0</v>
      </c>
      <c r="BD27" s="482">
        <v>0</v>
      </c>
      <c r="BE27" s="482">
        <v>0</v>
      </c>
      <c r="BF27" s="483">
        <f t="shared" si="8"/>
        <v>0</v>
      </c>
      <c r="BG27" s="482">
        <v>0</v>
      </c>
      <c r="BH27" s="482">
        <v>0</v>
      </c>
      <c r="BI27" s="482">
        <v>0</v>
      </c>
      <c r="BJ27" s="482">
        <v>0</v>
      </c>
      <c r="BK27" s="482">
        <v>0</v>
      </c>
      <c r="BL27" s="483">
        <f t="shared" si="1"/>
        <v>0</v>
      </c>
      <c r="BM27" s="482">
        <v>0</v>
      </c>
      <c r="BN27" s="482">
        <v>0</v>
      </c>
      <c r="BO27" s="482">
        <v>0</v>
      </c>
      <c r="BP27" s="482">
        <v>0</v>
      </c>
      <c r="BQ27" s="482">
        <f>SUM(BM27:BP27)</f>
        <v>0</v>
      </c>
      <c r="BR27" s="318" t="s">
        <v>1273</v>
      </c>
      <c r="BS27" s="459">
        <v>0.12569444444444444</v>
      </c>
      <c r="BT27" s="318"/>
      <c r="BU27" s="318">
        <v>13</v>
      </c>
      <c r="BV27" s="318" t="s">
        <v>1136</v>
      </c>
      <c r="BW27" s="318" t="s">
        <v>1462</v>
      </c>
      <c r="BX27" s="318" t="s">
        <v>1271</v>
      </c>
      <c r="BY27" s="318"/>
      <c r="BZ27" s="318" t="s">
        <v>1458</v>
      </c>
      <c r="CA27" s="318" t="s">
        <v>1459</v>
      </c>
      <c r="CB27" s="318"/>
      <c r="CC27" s="318"/>
      <c r="CD27" s="318"/>
      <c r="CE27" s="457" t="s">
        <v>1272</v>
      </c>
      <c r="CF27" s="443">
        <v>19.600000000000001</v>
      </c>
      <c r="CG27" s="360" t="s">
        <v>541</v>
      </c>
      <c r="CH27" s="430">
        <v>1</v>
      </c>
      <c r="CI27" s="360"/>
      <c r="CJ27" s="360"/>
      <c r="CK27" s="360"/>
      <c r="CL27" s="360"/>
      <c r="CM27" s="360"/>
      <c r="CN27" s="360"/>
      <c r="CO27" s="360"/>
      <c r="CP27" s="360"/>
      <c r="CR27" s="315" t="str">
        <f t="shared" si="9"/>
        <v>Australia</v>
      </c>
      <c r="CS27" s="315" t="str">
        <f t="shared" si="10"/>
        <v>Western Australia</v>
      </c>
      <c r="CT27" s="315">
        <v>16</v>
      </c>
      <c r="CU27" s="315" t="s">
        <v>469</v>
      </c>
      <c r="CV27" s="315" t="s">
        <v>553</v>
      </c>
      <c r="CW27" s="315" t="s">
        <v>247</v>
      </c>
      <c r="CX27" s="315" t="s">
        <v>1214</v>
      </c>
      <c r="CY27" s="315" t="str">
        <f t="shared" si="2"/>
        <v>Western Australia</v>
      </c>
    </row>
    <row r="28" spans="1:103" s="315" customFormat="1" ht="19.5" hidden="1" customHeight="1" x14ac:dyDescent="0.25">
      <c r="A28" s="403">
        <v>17</v>
      </c>
      <c r="B28" s="313" t="s">
        <v>472</v>
      </c>
      <c r="C28" s="313" t="s">
        <v>609</v>
      </c>
      <c r="D28" s="318" t="s">
        <v>457</v>
      </c>
      <c r="E28" s="318" t="s">
        <v>552</v>
      </c>
      <c r="F28" s="313" t="s">
        <v>380</v>
      </c>
      <c r="G28" s="313" t="s">
        <v>1519</v>
      </c>
      <c r="H28" s="305"/>
      <c r="I28" s="305" t="s">
        <v>996</v>
      </c>
      <c r="J28" s="370">
        <v>0</v>
      </c>
      <c r="K28" s="370" t="e">
        <f>(5112*V28)/(IF(#REF!="yes",0.188,1))</f>
        <v>#REF!</v>
      </c>
      <c r="L28" s="370" t="e">
        <f>K28-J28</f>
        <v>#REF!</v>
      </c>
      <c r="M28" s="316" t="s">
        <v>619</v>
      </c>
      <c r="N28" s="398"/>
      <c r="O28" s="398"/>
      <c r="P28" s="523" t="s">
        <v>519</v>
      </c>
      <c r="Q28" s="324" t="s">
        <v>1520</v>
      </c>
      <c r="R28" s="305"/>
      <c r="S28" s="305"/>
      <c r="T28" s="305" t="s">
        <v>1280</v>
      </c>
      <c r="U28" s="305" t="s">
        <v>989</v>
      </c>
      <c r="V28" s="426">
        <v>0.26800000000000002</v>
      </c>
      <c r="W28" s="433">
        <f>(13058/1)*(1/1000)*(5112/7287)*(1/1.12)</f>
        <v>8.1790095865435504</v>
      </c>
      <c r="X28" s="433">
        <f>(13665/1)*(1/1000)*(5112/7287)*(1/1.12)</f>
        <v>8.5592101393871669</v>
      </c>
      <c r="Y28" s="317" t="e">
        <f>IF(W28="","",5-((W28-(MIN($W$12:$W$261)))/(MAX($W$12:$W$261)-MIN($W$12:$W$261)))*5)</f>
        <v>#REF!</v>
      </c>
      <c r="Z28" s="318">
        <v>2</v>
      </c>
      <c r="AA28" s="318"/>
      <c r="AB28" s="318">
        <v>1</v>
      </c>
      <c r="AC28" s="318">
        <v>3</v>
      </c>
      <c r="AD28" s="318" t="s">
        <v>959</v>
      </c>
      <c r="AE28" s="483">
        <v>0</v>
      </c>
      <c r="AF28" s="482">
        <v>0</v>
      </c>
      <c r="AG28" s="482">
        <v>0</v>
      </c>
      <c r="AH28" s="482">
        <v>0</v>
      </c>
      <c r="AI28" s="557">
        <v>0</v>
      </c>
      <c r="AJ28" s="557">
        <v>0</v>
      </c>
      <c r="AK28" s="556">
        <v>0</v>
      </c>
      <c r="AL28" s="557">
        <v>0</v>
      </c>
      <c r="AM28" s="557">
        <v>0</v>
      </c>
      <c r="AN28" s="557">
        <v>0</v>
      </c>
      <c r="AO28" s="557">
        <v>0</v>
      </c>
      <c r="AP28" s="482">
        <v>0</v>
      </c>
      <c r="AQ28" s="483">
        <v>0</v>
      </c>
      <c r="AR28" s="482">
        <v>0</v>
      </c>
      <c r="AS28" s="482">
        <v>0</v>
      </c>
      <c r="AT28" s="482">
        <v>0</v>
      </c>
      <c r="AU28" s="482">
        <v>0</v>
      </c>
      <c r="AV28" s="514">
        <v>0</v>
      </c>
      <c r="AW28" s="556">
        <f t="shared" si="23"/>
        <v>0</v>
      </c>
      <c r="AX28" s="559">
        <f t="shared" si="0"/>
        <v>0</v>
      </c>
      <c r="AY28" s="514" t="s">
        <v>1034</v>
      </c>
      <c r="AZ28" s="483">
        <f t="shared" si="7"/>
        <v>0</v>
      </c>
      <c r="BA28" s="482">
        <v>0</v>
      </c>
      <c r="BB28" s="482">
        <v>0</v>
      </c>
      <c r="BC28" s="482">
        <v>0</v>
      </c>
      <c r="BD28" s="482">
        <v>0</v>
      </c>
      <c r="BE28" s="482">
        <v>0</v>
      </c>
      <c r="BF28" s="483">
        <f t="shared" si="8"/>
        <v>0</v>
      </c>
      <c r="BG28" s="482">
        <v>0</v>
      </c>
      <c r="BH28" s="482">
        <v>0</v>
      </c>
      <c r="BI28" s="482">
        <v>0</v>
      </c>
      <c r="BJ28" s="482">
        <v>0</v>
      </c>
      <c r="BK28" s="482">
        <v>0</v>
      </c>
      <c r="BL28" s="483">
        <f t="shared" si="1"/>
        <v>0</v>
      </c>
      <c r="BM28" s="482">
        <v>0</v>
      </c>
      <c r="BN28" s="482">
        <v>0</v>
      </c>
      <c r="BO28" s="482">
        <v>0</v>
      </c>
      <c r="BP28" s="482">
        <v>0</v>
      </c>
      <c r="BQ28" s="482">
        <v>0</v>
      </c>
      <c r="BR28" s="318"/>
      <c r="BS28" s="318"/>
      <c r="BT28" s="318"/>
      <c r="BU28" s="318"/>
      <c r="BV28" s="318"/>
      <c r="BW28" s="318"/>
      <c r="BX28" s="318"/>
      <c r="BY28" s="318"/>
      <c r="BZ28" s="318"/>
      <c r="CA28" s="318"/>
      <c r="CB28" s="318"/>
      <c r="CC28" s="318"/>
      <c r="CD28" s="318"/>
      <c r="CE28" s="457"/>
      <c r="CF28" s="318">
        <f>(121.42*50%)+(13.2*50%)</f>
        <v>67.31</v>
      </c>
      <c r="CG28" s="360" t="s">
        <v>472</v>
      </c>
      <c r="CH28" s="430">
        <v>0.5</v>
      </c>
      <c r="CI28" s="360" t="s">
        <v>1200</v>
      </c>
      <c r="CJ28" s="430">
        <v>0.5</v>
      </c>
      <c r="CK28" s="360"/>
      <c r="CL28" s="360"/>
      <c r="CM28" s="360"/>
      <c r="CN28" s="360"/>
      <c r="CO28" s="360"/>
      <c r="CP28" s="360"/>
      <c r="CR28" s="315" t="str">
        <f t="shared" si="9"/>
        <v>Germany</v>
      </c>
      <c r="CS28" s="315" t="str">
        <f t="shared" si="10"/>
        <v/>
      </c>
      <c r="CT28" s="315">
        <v>17</v>
      </c>
      <c r="CU28" s="315" t="s">
        <v>609</v>
      </c>
      <c r="CV28" s="315" t="s">
        <v>552</v>
      </c>
      <c r="CW28" s="315" t="s">
        <v>380</v>
      </c>
      <c r="CY28" s="315" t="str">
        <f t="shared" si="2"/>
        <v>Saxony</v>
      </c>
    </row>
    <row r="29" spans="1:103" s="315" customFormat="1" ht="29.25" hidden="1" customHeight="1" x14ac:dyDescent="0.25">
      <c r="A29" s="403">
        <v>18</v>
      </c>
      <c r="B29" s="313" t="s">
        <v>472</v>
      </c>
      <c r="C29" s="313" t="s">
        <v>473</v>
      </c>
      <c r="D29" s="318" t="s">
        <v>457</v>
      </c>
      <c r="E29" s="318" t="s">
        <v>552</v>
      </c>
      <c r="F29" s="313" t="s">
        <v>253</v>
      </c>
      <c r="G29" s="313" t="s">
        <v>473</v>
      </c>
      <c r="H29" s="305"/>
      <c r="I29" s="305" t="s">
        <v>612</v>
      </c>
      <c r="J29" s="370" t="e">
        <f>0/(IF(#REF!="yes",0.188,1))</f>
        <v>#REF!</v>
      </c>
      <c r="K29" s="370" t="e">
        <f>17500*V29/(IF(#REF!="yes",0.188,1))</f>
        <v>#REF!</v>
      </c>
      <c r="L29" s="370" t="e">
        <f>K29-J29</f>
        <v>#REF!</v>
      </c>
      <c r="M29" s="316" t="s">
        <v>484</v>
      </c>
      <c r="N29" s="398">
        <v>2020</v>
      </c>
      <c r="O29" s="398">
        <v>2021</v>
      </c>
      <c r="P29" s="305" t="s">
        <v>474</v>
      </c>
      <c r="Q29" s="305" t="s">
        <v>537</v>
      </c>
      <c r="R29" s="305"/>
      <c r="S29" s="305" t="s">
        <v>1009</v>
      </c>
      <c r="T29" s="305" t="s">
        <v>1464</v>
      </c>
      <c r="U29" s="305" t="s">
        <v>528</v>
      </c>
      <c r="V29" s="426">
        <v>0.188</v>
      </c>
      <c r="W29" s="443">
        <v>3</v>
      </c>
      <c r="X29" s="445"/>
      <c r="Y29" s="317" t="e">
        <f t="shared" si="3"/>
        <v>#REF!</v>
      </c>
      <c r="Z29" s="318">
        <v>5</v>
      </c>
      <c r="AA29" s="318">
        <v>3</v>
      </c>
      <c r="AB29" s="318">
        <v>1</v>
      </c>
      <c r="AC29" s="318">
        <v>4</v>
      </c>
      <c r="AD29" s="318" t="s">
        <v>960</v>
      </c>
      <c r="AE29" s="483">
        <v>0</v>
      </c>
      <c r="AF29" s="482">
        <f t="shared" si="19"/>
        <v>0</v>
      </c>
      <c r="AG29" s="482">
        <f t="shared" si="19"/>
        <v>0</v>
      </c>
      <c r="AH29" s="482">
        <f t="shared" si="19"/>
        <v>0</v>
      </c>
      <c r="AI29" s="557">
        <f t="shared" si="19"/>
        <v>0</v>
      </c>
      <c r="AJ29" s="557">
        <f>IF(OR($M29="Exploration", $M29="Pre-feasibility", $O29&gt;2017), 0, "check")</f>
        <v>0</v>
      </c>
      <c r="AK29" s="556">
        <f t="shared" si="20"/>
        <v>0</v>
      </c>
      <c r="AL29" s="557">
        <f t="shared" si="20"/>
        <v>0</v>
      </c>
      <c r="AM29" s="557">
        <f t="shared" si="20"/>
        <v>0</v>
      </c>
      <c r="AN29" s="557">
        <f t="shared" si="20"/>
        <v>0</v>
      </c>
      <c r="AO29" s="557">
        <f t="shared" si="20"/>
        <v>0</v>
      </c>
      <c r="AP29" s="482">
        <f t="shared" si="20"/>
        <v>0</v>
      </c>
      <c r="AQ29" s="483">
        <f t="shared" si="21"/>
        <v>0</v>
      </c>
      <c r="AR29" s="482">
        <f t="shared" si="21"/>
        <v>0</v>
      </c>
      <c r="AS29" s="482">
        <f t="shared" si="21"/>
        <v>0</v>
      </c>
      <c r="AT29" s="482">
        <f t="shared" si="21"/>
        <v>0</v>
      </c>
      <c r="AU29" s="482">
        <f t="shared" si="21"/>
        <v>0</v>
      </c>
      <c r="AV29" s="514">
        <f t="shared" si="22"/>
        <v>0</v>
      </c>
      <c r="AW29" s="556" t="str">
        <f t="shared" si="23"/>
        <v>check</v>
      </c>
      <c r="AX29" s="559">
        <f t="shared" si="0"/>
        <v>0</v>
      </c>
      <c r="AY29" s="514" t="s">
        <v>1034</v>
      </c>
      <c r="AZ29" s="483">
        <f t="shared" si="7"/>
        <v>0</v>
      </c>
      <c r="BA29" s="482">
        <v>0</v>
      </c>
      <c r="BB29" s="482">
        <v>0</v>
      </c>
      <c r="BC29" s="482">
        <v>0</v>
      </c>
      <c r="BD29" s="482">
        <v>0</v>
      </c>
      <c r="BE29" s="482">
        <v>0</v>
      </c>
      <c r="BF29" s="483">
        <f t="shared" si="8"/>
        <v>0</v>
      </c>
      <c r="BG29" s="482">
        <v>0</v>
      </c>
      <c r="BH29" s="482">
        <v>0</v>
      </c>
      <c r="BI29" s="482">
        <v>0</v>
      </c>
      <c r="BJ29" s="482">
        <v>0</v>
      </c>
      <c r="BK29" s="482">
        <v>0</v>
      </c>
      <c r="BL29" s="483">
        <f t="shared" si="1"/>
        <v>0</v>
      </c>
      <c r="BM29" s="482">
        <v>0</v>
      </c>
      <c r="BN29" s="482">
        <v>0</v>
      </c>
      <c r="BO29" s="482">
        <v>0</v>
      </c>
      <c r="BP29" s="482">
        <v>0</v>
      </c>
      <c r="BQ29" s="482">
        <v>0</v>
      </c>
      <c r="BR29" s="318"/>
      <c r="BS29" s="318"/>
      <c r="BT29" s="318"/>
      <c r="BU29" s="318"/>
      <c r="BV29" s="318"/>
      <c r="BW29" s="318"/>
      <c r="BX29" s="318"/>
      <c r="BY29" s="318"/>
      <c r="BZ29" s="318" t="s">
        <v>1465</v>
      </c>
      <c r="CA29" s="318"/>
      <c r="CB29" s="318"/>
      <c r="CC29" s="318" t="s">
        <v>1467</v>
      </c>
      <c r="CD29" s="318"/>
      <c r="CE29" s="457" t="s">
        <v>1315</v>
      </c>
      <c r="CF29" s="443">
        <f>(13.2*78%)+(22.5%*480)</f>
        <v>118.29599999999999</v>
      </c>
      <c r="CG29" s="360" t="s">
        <v>472</v>
      </c>
      <c r="CH29" s="430">
        <v>0.77500000000000002</v>
      </c>
      <c r="CI29" s="360" t="s">
        <v>562</v>
      </c>
      <c r="CJ29" s="460">
        <v>0.22500000000000001</v>
      </c>
      <c r="CK29" s="360"/>
      <c r="CL29" s="360"/>
      <c r="CM29" s="360"/>
      <c r="CN29" s="360"/>
      <c r="CO29" s="360"/>
      <c r="CP29" s="360"/>
      <c r="CR29" s="315" t="str">
        <f t="shared" si="9"/>
        <v>Mexico</v>
      </c>
      <c r="CS29" s="315" t="str">
        <f t="shared" si="10"/>
        <v/>
      </c>
      <c r="CT29" s="315">
        <v>18</v>
      </c>
      <c r="CU29" s="315" t="s">
        <v>473</v>
      </c>
      <c r="CV29" s="315" t="s">
        <v>552</v>
      </c>
      <c r="CW29" s="315" t="s">
        <v>253</v>
      </c>
      <c r="CY29" s="315" t="str">
        <f t="shared" si="2"/>
        <v>Sonora</v>
      </c>
    </row>
    <row r="30" spans="1:103" s="315" customFormat="1" ht="13" hidden="1" x14ac:dyDescent="0.25">
      <c r="A30" s="403">
        <v>19</v>
      </c>
      <c r="B30" s="313" t="s">
        <v>472</v>
      </c>
      <c r="C30" s="313" t="s">
        <v>1544</v>
      </c>
      <c r="D30" s="318" t="s">
        <v>594</v>
      </c>
      <c r="E30" s="318" t="s">
        <v>552</v>
      </c>
      <c r="F30" s="313" t="s">
        <v>253</v>
      </c>
      <c r="G30" s="313" t="s">
        <v>473</v>
      </c>
      <c r="H30" s="305"/>
      <c r="I30" s="305" t="s">
        <v>612</v>
      </c>
      <c r="J30" s="370">
        <v>0</v>
      </c>
      <c r="K30" s="370" t="e">
        <f>17500*V30/(IF(#REF!="yes",0.188,1))</f>
        <v>#REF!</v>
      </c>
      <c r="L30" s="370" t="e">
        <f>K30-J30</f>
        <v>#REF!</v>
      </c>
      <c r="M30" s="316" t="s">
        <v>484</v>
      </c>
      <c r="N30" s="398">
        <v>2018</v>
      </c>
      <c r="O30" s="398">
        <v>2021</v>
      </c>
      <c r="P30" s="305" t="s">
        <v>474</v>
      </c>
      <c r="Q30" s="304" t="s">
        <v>537</v>
      </c>
      <c r="R30" s="305"/>
      <c r="S30" s="305" t="s">
        <v>1009</v>
      </c>
      <c r="T30" s="305" t="s">
        <v>1464</v>
      </c>
      <c r="U30" s="305" t="s">
        <v>536</v>
      </c>
      <c r="V30" s="426">
        <v>0.188</v>
      </c>
      <c r="W30" s="443">
        <f>4039/10^3</f>
        <v>4.0389999999999997</v>
      </c>
      <c r="X30" s="445"/>
      <c r="Y30" s="317" t="e">
        <f t="shared" si="3"/>
        <v>#REF!</v>
      </c>
      <c r="Z30" s="318">
        <v>4</v>
      </c>
      <c r="AA30" s="318">
        <v>3</v>
      </c>
      <c r="AB30" s="318">
        <v>1</v>
      </c>
      <c r="AC30" s="318">
        <v>3</v>
      </c>
      <c r="AD30" s="318" t="s">
        <v>960</v>
      </c>
      <c r="AE30" s="483">
        <f t="shared" si="19"/>
        <v>0</v>
      </c>
      <c r="AF30" s="482">
        <f t="shared" si="19"/>
        <v>0</v>
      </c>
      <c r="AG30" s="482">
        <f t="shared" si="19"/>
        <v>0</v>
      </c>
      <c r="AH30" s="482">
        <f t="shared" si="19"/>
        <v>0</v>
      </c>
      <c r="AI30" s="557">
        <f t="shared" si="19"/>
        <v>0</v>
      </c>
      <c r="AJ30" s="557">
        <f>IF(OR($M30="Exploration", $M30="Pre-feasibility", $O30&gt;2017), 0, "check")</f>
        <v>0</v>
      </c>
      <c r="AK30" s="556">
        <f t="shared" si="20"/>
        <v>0</v>
      </c>
      <c r="AL30" s="557">
        <f t="shared" si="20"/>
        <v>0</v>
      </c>
      <c r="AM30" s="557">
        <f t="shared" si="20"/>
        <v>0</v>
      </c>
      <c r="AN30" s="557">
        <f t="shared" si="20"/>
        <v>0</v>
      </c>
      <c r="AO30" s="557">
        <f t="shared" si="20"/>
        <v>0</v>
      </c>
      <c r="AP30" s="557">
        <f t="shared" si="20"/>
        <v>0</v>
      </c>
      <c r="AQ30" s="556">
        <f t="shared" si="21"/>
        <v>0</v>
      </c>
      <c r="AR30" s="557">
        <f t="shared" si="21"/>
        <v>0</v>
      </c>
      <c r="AS30" s="557">
        <f t="shared" si="21"/>
        <v>0</v>
      </c>
      <c r="AT30" s="557">
        <f t="shared" si="21"/>
        <v>0</v>
      </c>
      <c r="AU30" s="557">
        <f t="shared" si="21"/>
        <v>0</v>
      </c>
      <c r="AV30" s="559">
        <f t="shared" si="22"/>
        <v>0</v>
      </c>
      <c r="AW30" s="556" t="str">
        <f t="shared" si="23"/>
        <v>check</v>
      </c>
      <c r="AX30" s="559">
        <f t="shared" si="0"/>
        <v>0</v>
      </c>
      <c r="AY30" s="514" t="s">
        <v>1034</v>
      </c>
      <c r="AZ30" s="483">
        <f t="shared" si="7"/>
        <v>0</v>
      </c>
      <c r="BA30" s="482">
        <v>0</v>
      </c>
      <c r="BB30" s="482">
        <v>0</v>
      </c>
      <c r="BC30" s="482">
        <v>0</v>
      </c>
      <c r="BD30" s="482">
        <v>0</v>
      </c>
      <c r="BE30" s="482">
        <v>0</v>
      </c>
      <c r="BF30" s="483">
        <f t="shared" si="8"/>
        <v>0</v>
      </c>
      <c r="BG30" s="482">
        <v>0</v>
      </c>
      <c r="BH30" s="482">
        <v>0</v>
      </c>
      <c r="BI30" s="482">
        <v>0</v>
      </c>
      <c r="BJ30" s="482">
        <v>0</v>
      </c>
      <c r="BK30" s="482">
        <v>0</v>
      </c>
      <c r="BL30" s="483">
        <f t="shared" si="1"/>
        <v>0</v>
      </c>
      <c r="BM30" s="482">
        <v>0</v>
      </c>
      <c r="BN30" s="482">
        <v>0</v>
      </c>
      <c r="BO30" s="482">
        <v>0</v>
      </c>
      <c r="BP30" s="482">
        <v>0</v>
      </c>
      <c r="BQ30" s="482">
        <v>0</v>
      </c>
      <c r="BR30" s="318"/>
      <c r="BS30" s="318"/>
      <c r="BT30" s="318"/>
      <c r="BU30" s="318"/>
      <c r="BV30" s="318"/>
      <c r="BW30" s="318"/>
      <c r="BX30" s="318"/>
      <c r="BY30" s="318"/>
      <c r="BZ30" s="318" t="s">
        <v>1466</v>
      </c>
      <c r="CA30" s="318"/>
      <c r="CB30" s="318"/>
      <c r="CC30" s="318" t="s">
        <v>1467</v>
      </c>
      <c r="CD30" s="318"/>
      <c r="CE30" s="457" t="s">
        <v>1315</v>
      </c>
      <c r="CF30" s="443">
        <v>13.2</v>
      </c>
      <c r="CG30" s="360" t="s">
        <v>472</v>
      </c>
      <c r="CH30" s="430">
        <v>1</v>
      </c>
      <c r="CI30" s="360"/>
      <c r="CJ30" s="360"/>
      <c r="CK30" s="360"/>
      <c r="CL30" s="360"/>
      <c r="CM30" s="360"/>
      <c r="CN30" s="360"/>
      <c r="CO30" s="360"/>
      <c r="CP30" s="360"/>
      <c r="CR30" s="315" t="str">
        <f t="shared" si="9"/>
        <v>Mexico</v>
      </c>
      <c r="CS30" s="315" t="str">
        <f t="shared" si="10"/>
        <v>Sonora</v>
      </c>
      <c r="CT30" s="315">
        <v>19</v>
      </c>
      <c r="CU30" s="315" t="s">
        <v>882</v>
      </c>
      <c r="CV30" s="315" t="s">
        <v>552</v>
      </c>
      <c r="CW30" s="315" t="s">
        <v>253</v>
      </c>
      <c r="CX30" s="315" t="s">
        <v>473</v>
      </c>
      <c r="CY30" s="315" t="str">
        <f t="shared" si="2"/>
        <v>Sonora</v>
      </c>
    </row>
    <row r="31" spans="1:103" s="425" customFormat="1" ht="19.5" hidden="1" customHeight="1" x14ac:dyDescent="0.25">
      <c r="A31" s="424">
        <v>20</v>
      </c>
      <c r="B31" s="313" t="s">
        <v>542</v>
      </c>
      <c r="C31" s="313" t="s">
        <v>543</v>
      </c>
      <c r="D31" s="318" t="s">
        <v>457</v>
      </c>
      <c r="E31" s="318" t="s">
        <v>552</v>
      </c>
      <c r="F31" s="313" t="s">
        <v>517</v>
      </c>
      <c r="G31" s="313" t="s">
        <v>32</v>
      </c>
      <c r="H31" s="305" t="s">
        <v>1148</v>
      </c>
      <c r="I31" s="305"/>
      <c r="J31" s="370" t="e">
        <f>752/(IF(#REF!="yes",0.188,1))</f>
        <v>#REF!</v>
      </c>
      <c r="K31" s="370"/>
      <c r="L31" s="370">
        <v>4000</v>
      </c>
      <c r="M31" s="316" t="s">
        <v>483</v>
      </c>
      <c r="N31" s="398"/>
      <c r="O31" s="398">
        <v>2015</v>
      </c>
      <c r="P31" s="305" t="s">
        <v>1150</v>
      </c>
      <c r="Q31" s="354">
        <v>1.4E-2</v>
      </c>
      <c r="R31" s="305"/>
      <c r="S31" s="27" t="s">
        <v>1152</v>
      </c>
      <c r="T31" s="305"/>
      <c r="U31" s="305" t="s">
        <v>815</v>
      </c>
      <c r="V31" s="426">
        <f>752/40000</f>
        <v>1.8800000000000001E-2</v>
      </c>
      <c r="W31" s="443">
        <f>2050/1000</f>
        <v>2.0499999999999998</v>
      </c>
      <c r="X31" s="445"/>
      <c r="Y31" s="317" t="e">
        <f t="shared" si="3"/>
        <v>#REF!</v>
      </c>
      <c r="Z31" s="318">
        <v>2</v>
      </c>
      <c r="AA31" s="318">
        <v>5</v>
      </c>
      <c r="AB31" s="318">
        <v>2</v>
      </c>
      <c r="AC31" s="318">
        <v>1</v>
      </c>
      <c r="AD31" s="318" t="s">
        <v>1153</v>
      </c>
      <c r="AE31" s="483">
        <v>4000</v>
      </c>
      <c r="AF31" s="482" t="s">
        <v>1524</v>
      </c>
      <c r="AG31" s="482" t="s">
        <v>1524</v>
      </c>
      <c r="AH31" s="482" t="s">
        <v>1524</v>
      </c>
      <c r="AI31" s="557" t="s">
        <v>1524</v>
      </c>
      <c r="AJ31" s="557" t="str">
        <f>IF(OR(M31="Exploration", M31="Pre-feasibility", O31&gt;2017), 0, "check")</f>
        <v>check</v>
      </c>
      <c r="AK31" s="556">
        <v>4000</v>
      </c>
      <c r="AL31" s="557" t="s">
        <v>1524</v>
      </c>
      <c r="AM31" s="557" t="s">
        <v>1524</v>
      </c>
      <c r="AN31" s="557" t="s">
        <v>1524</v>
      </c>
      <c r="AO31" s="557" t="s">
        <v>1524</v>
      </c>
      <c r="AP31" s="557" t="s">
        <v>1524</v>
      </c>
      <c r="AQ31" s="556" t="str">
        <f t="shared" si="21"/>
        <v>check</v>
      </c>
      <c r="AR31" s="557" t="str">
        <f t="shared" si="21"/>
        <v>check</v>
      </c>
      <c r="AS31" s="557" t="str">
        <f t="shared" si="21"/>
        <v>check</v>
      </c>
      <c r="AT31" s="557" t="str">
        <f t="shared" si="21"/>
        <v>check</v>
      </c>
      <c r="AU31" s="557" t="str">
        <f t="shared" si="21"/>
        <v>check</v>
      </c>
      <c r="AV31" s="559" t="s">
        <v>1524</v>
      </c>
      <c r="AW31" s="554">
        <f t="shared" si="23"/>
        <v>4000</v>
      </c>
      <c r="AX31" s="559" t="str">
        <f t="shared" si="0"/>
        <v>check</v>
      </c>
      <c r="AY31" s="514" t="s">
        <v>1555</v>
      </c>
      <c r="AZ31" s="483">
        <f t="shared" si="7"/>
        <v>4000</v>
      </c>
      <c r="BA31" s="482" t="s">
        <v>1524</v>
      </c>
      <c r="BB31" s="482" t="s">
        <v>1524</v>
      </c>
      <c r="BC31" s="482" t="s">
        <v>1524</v>
      </c>
      <c r="BD31" s="482" t="s">
        <v>1524</v>
      </c>
      <c r="BE31" s="482" t="s">
        <v>1524</v>
      </c>
      <c r="BF31" s="483">
        <f t="shared" si="8"/>
        <v>4000</v>
      </c>
      <c r="BG31" s="482" t="s">
        <v>1524</v>
      </c>
      <c r="BH31" s="482" t="s">
        <v>1524</v>
      </c>
      <c r="BI31" s="482" t="s">
        <v>1524</v>
      </c>
      <c r="BJ31" s="482" t="s">
        <v>1524</v>
      </c>
      <c r="BK31" s="482" t="s">
        <v>1524</v>
      </c>
      <c r="BL31" s="483" t="str">
        <f t="shared" si="1"/>
        <v>check</v>
      </c>
      <c r="BM31" s="482" t="s">
        <v>1524</v>
      </c>
      <c r="BN31" s="482" t="s">
        <v>1524</v>
      </c>
      <c r="BO31" s="482" t="s">
        <v>1524</v>
      </c>
      <c r="BP31" s="482" t="s">
        <v>1524</v>
      </c>
      <c r="BQ31" s="482" t="s">
        <v>1524</v>
      </c>
      <c r="BR31" s="318" t="s">
        <v>1154</v>
      </c>
      <c r="BS31" s="318"/>
      <c r="BT31" s="318"/>
      <c r="BU31" s="318"/>
      <c r="BV31" s="318"/>
      <c r="BW31" s="318"/>
      <c r="BX31" s="318"/>
      <c r="BY31" s="318"/>
      <c r="BZ31" s="318"/>
      <c r="CA31" s="318"/>
      <c r="CB31" s="318"/>
      <c r="CC31" s="318"/>
      <c r="CD31" s="318"/>
      <c r="CE31" s="457"/>
      <c r="CF31" s="443"/>
      <c r="CG31" s="360" t="s">
        <v>1167</v>
      </c>
      <c r="CH31" s="460">
        <v>0.55400000000000005</v>
      </c>
      <c r="CI31" s="360" t="s">
        <v>1168</v>
      </c>
      <c r="CJ31" s="460">
        <v>0.186</v>
      </c>
      <c r="CK31" s="360" t="s">
        <v>1169</v>
      </c>
      <c r="CL31" s="430">
        <v>0.16</v>
      </c>
      <c r="CM31" s="360" t="s">
        <v>1170</v>
      </c>
      <c r="CN31" s="460">
        <v>5.2499999999999998E-2</v>
      </c>
      <c r="CO31" s="360" t="s">
        <v>1171</v>
      </c>
      <c r="CP31" s="460">
        <v>4.7500000000000001E-2</v>
      </c>
      <c r="CR31" s="315" t="str">
        <f t="shared" si="9"/>
        <v>Zimbabwe</v>
      </c>
      <c r="CS31" s="315" t="str">
        <f t="shared" si="10"/>
        <v/>
      </c>
      <c r="CT31" s="425">
        <v>20</v>
      </c>
      <c r="CU31" s="425" t="s">
        <v>543</v>
      </c>
      <c r="CV31" s="425" t="s">
        <v>552</v>
      </c>
      <c r="CW31" s="425" t="s">
        <v>517</v>
      </c>
      <c r="CY31" s="315" t="str">
        <f t="shared" si="2"/>
        <v/>
      </c>
    </row>
    <row r="32" spans="1:103" s="425" customFormat="1" ht="33" hidden="1" customHeight="1" x14ac:dyDescent="0.25">
      <c r="A32" s="424">
        <v>21</v>
      </c>
      <c r="B32" s="313" t="s">
        <v>542</v>
      </c>
      <c r="C32" s="313" t="s">
        <v>543</v>
      </c>
      <c r="D32" s="318" t="s">
        <v>457</v>
      </c>
      <c r="E32" s="318" t="s">
        <v>553</v>
      </c>
      <c r="F32" s="313" t="s">
        <v>517</v>
      </c>
      <c r="G32" s="313" t="s">
        <v>32</v>
      </c>
      <c r="H32" s="305"/>
      <c r="I32" s="305" t="s">
        <v>1149</v>
      </c>
      <c r="J32" s="370">
        <v>0</v>
      </c>
      <c r="K32" s="370" t="e">
        <f>1504/(IF(#REF!="yes",0.188,1))</f>
        <v>#REF!</v>
      </c>
      <c r="L32" s="370" t="e">
        <f>K32-J31</f>
        <v>#REF!</v>
      </c>
      <c r="M32" s="316" t="s">
        <v>807</v>
      </c>
      <c r="N32" s="398"/>
      <c r="O32" s="398">
        <v>2022</v>
      </c>
      <c r="P32" s="305" t="s">
        <v>1198</v>
      </c>
      <c r="Q32" s="324">
        <v>1.4E-2</v>
      </c>
      <c r="R32" s="305"/>
      <c r="S32" s="29" t="s">
        <v>1152</v>
      </c>
      <c r="T32" s="305"/>
      <c r="U32" s="305" t="s">
        <v>815</v>
      </c>
      <c r="V32" s="426">
        <f>11%/100</f>
        <v>1.1000000000000001E-3</v>
      </c>
      <c r="W32" s="317">
        <f>2050/1000</f>
        <v>2.0499999999999998</v>
      </c>
      <c r="X32" s="317"/>
      <c r="Y32" s="317" t="e">
        <f t="shared" si="3"/>
        <v>#REF!</v>
      </c>
      <c r="Z32" s="318">
        <v>2</v>
      </c>
      <c r="AA32" s="318">
        <v>1</v>
      </c>
      <c r="AB32" s="318">
        <v>2</v>
      </c>
      <c r="AC32" s="318">
        <v>1</v>
      </c>
      <c r="AD32" s="461" t="s">
        <v>1151</v>
      </c>
      <c r="AE32" s="483">
        <f t="shared" ref="AE32:AJ32" si="24">IF(OR($M32="Exploration", $M32="Pre-feasibility", $O32&gt;2017), 0, "check")</f>
        <v>0</v>
      </c>
      <c r="AF32" s="482">
        <f t="shared" si="24"/>
        <v>0</v>
      </c>
      <c r="AG32" s="482">
        <f t="shared" si="24"/>
        <v>0</v>
      </c>
      <c r="AH32" s="482">
        <f t="shared" si="24"/>
        <v>0</v>
      </c>
      <c r="AI32" s="557">
        <f t="shared" si="24"/>
        <v>0</v>
      </c>
      <c r="AJ32" s="557">
        <f t="shared" si="24"/>
        <v>0</v>
      </c>
      <c r="AK32" s="556">
        <f t="shared" ref="AK32:AP32" si="25">IF(OR($M32="Exploration", $M32="Pre-feasibility", $O32&gt;2018), 0, "check")</f>
        <v>0</v>
      </c>
      <c r="AL32" s="557">
        <f t="shared" si="25"/>
        <v>0</v>
      </c>
      <c r="AM32" s="557">
        <f t="shared" si="25"/>
        <v>0</v>
      </c>
      <c r="AN32" s="557">
        <f t="shared" si="25"/>
        <v>0</v>
      </c>
      <c r="AO32" s="557">
        <f t="shared" si="25"/>
        <v>0</v>
      </c>
      <c r="AP32" s="557">
        <f t="shared" si="25"/>
        <v>0</v>
      </c>
      <c r="AQ32" s="556">
        <f t="shared" si="21"/>
        <v>0</v>
      </c>
      <c r="AR32" s="557">
        <f t="shared" si="21"/>
        <v>0</v>
      </c>
      <c r="AS32" s="557">
        <f t="shared" si="21"/>
        <v>0</v>
      </c>
      <c r="AT32" s="557">
        <f t="shared" si="21"/>
        <v>0</v>
      </c>
      <c r="AU32" s="557">
        <f t="shared" si="21"/>
        <v>0</v>
      </c>
      <c r="AV32" s="559">
        <f t="shared" si="22"/>
        <v>0</v>
      </c>
      <c r="AW32" s="556">
        <f t="shared" si="23"/>
        <v>0</v>
      </c>
      <c r="AX32" s="514">
        <f t="shared" si="0"/>
        <v>0</v>
      </c>
      <c r="AY32" s="514" t="s">
        <v>1034</v>
      </c>
      <c r="AZ32" s="483">
        <f t="shared" si="7"/>
        <v>0</v>
      </c>
      <c r="BA32" s="482">
        <v>0</v>
      </c>
      <c r="BB32" s="482">
        <v>0</v>
      </c>
      <c r="BC32" s="482">
        <v>0</v>
      </c>
      <c r="BD32" s="482">
        <v>0</v>
      </c>
      <c r="BE32" s="482">
        <v>0</v>
      </c>
      <c r="BF32" s="483">
        <f t="shared" si="8"/>
        <v>0</v>
      </c>
      <c r="BG32" s="482">
        <v>0</v>
      </c>
      <c r="BH32" s="482">
        <v>0</v>
      </c>
      <c r="BI32" s="482">
        <v>0</v>
      </c>
      <c r="BJ32" s="482">
        <v>0</v>
      </c>
      <c r="BK32" s="482">
        <v>0</v>
      </c>
      <c r="BL32" s="483">
        <f t="shared" si="1"/>
        <v>0</v>
      </c>
      <c r="BM32" s="482">
        <v>0</v>
      </c>
      <c r="BN32" s="482">
        <v>0</v>
      </c>
      <c r="BO32" s="482">
        <v>0</v>
      </c>
      <c r="BP32" s="482">
        <v>0</v>
      </c>
      <c r="BQ32" s="482">
        <v>0</v>
      </c>
      <c r="BR32" s="318"/>
      <c r="BS32" s="318"/>
      <c r="BT32" s="318"/>
      <c r="BU32" s="318"/>
      <c r="BV32" s="318"/>
      <c r="BW32" s="318"/>
      <c r="BX32" s="318"/>
      <c r="BY32" s="318"/>
      <c r="BZ32" s="318"/>
      <c r="CA32" s="318"/>
      <c r="CB32" s="318"/>
      <c r="CC32" s="318"/>
      <c r="CD32" s="318"/>
      <c r="CE32" s="457" t="s">
        <v>1147</v>
      </c>
      <c r="CF32" s="318"/>
      <c r="CG32" s="360" t="s">
        <v>1167</v>
      </c>
      <c r="CH32" s="460">
        <v>0.55400000000000005</v>
      </c>
      <c r="CI32" s="360" t="s">
        <v>1168</v>
      </c>
      <c r="CJ32" s="460">
        <v>0.186</v>
      </c>
      <c r="CK32" s="360" t="s">
        <v>1169</v>
      </c>
      <c r="CL32" s="430">
        <v>0.16</v>
      </c>
      <c r="CM32" s="360" t="s">
        <v>1170</v>
      </c>
      <c r="CN32" s="460">
        <v>5.2499999999999998E-2</v>
      </c>
      <c r="CO32" s="360" t="s">
        <v>1171</v>
      </c>
      <c r="CP32" s="460">
        <v>4.7500000000000001E-2</v>
      </c>
      <c r="CR32" s="315" t="str">
        <f t="shared" si="9"/>
        <v>Zimbabwe</v>
      </c>
      <c r="CS32" s="315" t="str">
        <f t="shared" si="10"/>
        <v/>
      </c>
      <c r="CT32" s="425">
        <v>21</v>
      </c>
      <c r="CU32" s="425" t="s">
        <v>543</v>
      </c>
      <c r="CV32" s="425" t="s">
        <v>553</v>
      </c>
      <c r="CW32" s="425" t="s">
        <v>517</v>
      </c>
      <c r="CY32" s="315" t="str">
        <f t="shared" si="2"/>
        <v/>
      </c>
    </row>
    <row r="33" spans="1:103" s="315" customFormat="1" ht="19.5" hidden="1" customHeight="1" x14ac:dyDescent="0.25">
      <c r="A33" s="403">
        <v>22</v>
      </c>
      <c r="B33" s="313" t="s">
        <v>690</v>
      </c>
      <c r="C33" s="313" t="s">
        <v>747</v>
      </c>
      <c r="D33" s="318" t="s">
        <v>457</v>
      </c>
      <c r="E33" s="318"/>
      <c r="F33" s="313" t="s">
        <v>252</v>
      </c>
      <c r="G33" s="313" t="s">
        <v>32</v>
      </c>
      <c r="H33" s="305" t="s">
        <v>1006</v>
      </c>
      <c r="I33" s="305"/>
      <c r="J33" s="370" t="e">
        <f>30000*V33/(IF(#REF!="yes",0.188,1))</f>
        <v>#REF!</v>
      </c>
      <c r="K33" s="370" t="e">
        <f>J33</f>
        <v>#REF!</v>
      </c>
      <c r="L33" s="370" t="e">
        <f>K33</f>
        <v>#REF!</v>
      </c>
      <c r="M33" s="316" t="s">
        <v>483</v>
      </c>
      <c r="N33" s="398"/>
      <c r="O33" s="398">
        <v>2016</v>
      </c>
      <c r="P33" s="305" t="s">
        <v>519</v>
      </c>
      <c r="Q33" s="305"/>
      <c r="R33" s="305"/>
      <c r="S33" s="305" t="s">
        <v>1010</v>
      </c>
      <c r="T33" s="305"/>
      <c r="U33" s="305" t="s">
        <v>528</v>
      </c>
      <c r="V33" s="426">
        <f>5.5%*46.4%</f>
        <v>2.5519999999999998E-2</v>
      </c>
      <c r="W33" s="443"/>
      <c r="X33" s="445"/>
      <c r="Y33" s="317" t="str">
        <f t="shared" si="3"/>
        <v/>
      </c>
      <c r="Z33" s="318">
        <v>3</v>
      </c>
      <c r="AA33" s="318">
        <v>2</v>
      </c>
      <c r="AB33" s="318">
        <v>1</v>
      </c>
      <c r="AC33" s="318">
        <v>1</v>
      </c>
      <c r="AD33" s="318" t="s">
        <v>1007</v>
      </c>
      <c r="AE33" s="483">
        <v>3000</v>
      </c>
      <c r="AF33" s="482" t="s">
        <v>1524</v>
      </c>
      <c r="AG33" s="482" t="s">
        <v>1524</v>
      </c>
      <c r="AH33" s="482" t="s">
        <v>1524</v>
      </c>
      <c r="AI33" s="557" t="s">
        <v>1524</v>
      </c>
      <c r="AJ33" s="557" t="str">
        <f>IF(OR(M33="Exploration", M33="Pre-feasibility", O33&gt;2017), 0, "check")</f>
        <v>check</v>
      </c>
      <c r="AK33" s="556">
        <v>4072.3404255319142</v>
      </c>
      <c r="AL33" s="557" t="s">
        <v>1524</v>
      </c>
      <c r="AM33" s="557" t="s">
        <v>1524</v>
      </c>
      <c r="AN33" s="557" t="s">
        <v>1524</v>
      </c>
      <c r="AO33" s="557" t="s">
        <v>1524</v>
      </c>
      <c r="AP33" s="557" t="str">
        <f>IF(OR(M33="Exploration", M33="Pre-feasibility", O33&gt;2018), 0, "check")</f>
        <v>check</v>
      </c>
      <c r="AQ33" s="556">
        <v>4072.3404255319142</v>
      </c>
      <c r="AR33" s="557" t="s">
        <v>1524</v>
      </c>
      <c r="AS33" s="557" t="s">
        <v>1524</v>
      </c>
      <c r="AT33" s="557" t="s">
        <v>1524</v>
      </c>
      <c r="AU33" s="557" t="s">
        <v>1524</v>
      </c>
      <c r="AV33" s="557" t="str">
        <f>IF(OR(M33="Exploration", M33="Pre-feasibility", O33&gt;2019), 0, "check")</f>
        <v>check</v>
      </c>
      <c r="AW33" s="556" t="e">
        <f t="shared" si="23"/>
        <v>#REF!</v>
      </c>
      <c r="AX33" s="514" t="e">
        <f t="shared" si="0"/>
        <v>#REF!</v>
      </c>
      <c r="AY33" s="514" t="s">
        <v>1524</v>
      </c>
      <c r="AZ33" s="483">
        <f t="shared" si="7"/>
        <v>3000</v>
      </c>
      <c r="BA33" s="482" t="s">
        <v>1524</v>
      </c>
      <c r="BB33" s="482" t="s">
        <v>1524</v>
      </c>
      <c r="BC33" s="482" t="s">
        <v>1524</v>
      </c>
      <c r="BD33" s="482" t="s">
        <v>1524</v>
      </c>
      <c r="BE33" s="482" t="s">
        <v>1524</v>
      </c>
      <c r="BF33" s="483">
        <f t="shared" si="8"/>
        <v>4072.3404255319142</v>
      </c>
      <c r="BG33" s="482" t="s">
        <v>1524</v>
      </c>
      <c r="BH33" s="482" t="s">
        <v>1524</v>
      </c>
      <c r="BI33" s="482" t="s">
        <v>1524</v>
      </c>
      <c r="BJ33" s="482" t="s">
        <v>1524</v>
      </c>
      <c r="BK33" s="482" t="s">
        <v>1524</v>
      </c>
      <c r="BL33" s="483">
        <f t="shared" si="1"/>
        <v>4072.3404255319142</v>
      </c>
      <c r="BM33" s="482" t="s">
        <v>1524</v>
      </c>
      <c r="BN33" s="482" t="s">
        <v>1524</v>
      </c>
      <c r="BO33" s="482" t="s">
        <v>1524</v>
      </c>
      <c r="BP33" s="482" t="s">
        <v>1524</v>
      </c>
      <c r="BQ33" s="482" t="s">
        <v>1524</v>
      </c>
      <c r="BR33" s="388"/>
      <c r="BS33" s="388"/>
      <c r="BT33" s="388"/>
      <c r="BU33" s="388"/>
      <c r="BV33" s="388"/>
      <c r="BW33" s="388"/>
      <c r="BX33" s="388"/>
      <c r="BY33" s="388"/>
      <c r="BZ33" s="318"/>
      <c r="CA33" s="318"/>
      <c r="CB33" s="318"/>
      <c r="CC33" s="318"/>
      <c r="CD33" s="318"/>
      <c r="CE33" s="457"/>
      <c r="CF33" s="450"/>
      <c r="CG33" s="360" t="s">
        <v>1219</v>
      </c>
      <c r="CH33" s="430">
        <v>1</v>
      </c>
      <c r="CI33" s="360"/>
      <c r="CJ33" s="360"/>
      <c r="CK33" s="360"/>
      <c r="CL33" s="360"/>
      <c r="CM33" s="360"/>
      <c r="CN33" s="360"/>
      <c r="CO33" s="360"/>
      <c r="CP33" s="360"/>
      <c r="CR33" s="315" t="str">
        <f t="shared" si="9"/>
        <v>Brazil</v>
      </c>
      <c r="CS33" s="315" t="str">
        <f t="shared" si="10"/>
        <v/>
      </c>
      <c r="CT33" s="315">
        <v>22</v>
      </c>
      <c r="CU33" s="315" t="s">
        <v>747</v>
      </c>
      <c r="CW33" s="315" t="s">
        <v>252</v>
      </c>
      <c r="CY33" s="315" t="str">
        <f t="shared" si="2"/>
        <v/>
      </c>
    </row>
    <row r="34" spans="1:103" s="315" customFormat="1" ht="19.5" hidden="1" customHeight="1" x14ac:dyDescent="0.25">
      <c r="A34" s="403">
        <v>23</v>
      </c>
      <c r="B34" s="313" t="s">
        <v>477</v>
      </c>
      <c r="C34" s="313" t="s">
        <v>478</v>
      </c>
      <c r="D34" s="318" t="s">
        <v>457</v>
      </c>
      <c r="E34" s="318"/>
      <c r="F34" s="313" t="s">
        <v>465</v>
      </c>
      <c r="G34" s="313" t="s">
        <v>1396</v>
      </c>
      <c r="H34" s="305"/>
      <c r="I34" s="305" t="s">
        <v>1036</v>
      </c>
      <c r="J34" s="370" t="e">
        <f>0/(IF(#REF!="yes",0.188,1))</f>
        <v>#REF!</v>
      </c>
      <c r="K34" s="370">
        <v>20000</v>
      </c>
      <c r="L34" s="370" t="e">
        <f>K34-J34</f>
        <v>#REF!</v>
      </c>
      <c r="M34" s="316" t="s">
        <v>619</v>
      </c>
      <c r="N34" s="398">
        <v>2020</v>
      </c>
      <c r="O34" s="398">
        <v>2022</v>
      </c>
      <c r="P34" s="305" t="s">
        <v>463</v>
      </c>
      <c r="Q34" s="305"/>
      <c r="R34" s="305"/>
      <c r="S34" s="305"/>
      <c r="T34" s="305" t="s">
        <v>1039</v>
      </c>
      <c r="U34" s="305" t="s">
        <v>528</v>
      </c>
      <c r="V34" s="426">
        <v>0.188</v>
      </c>
      <c r="W34" s="443">
        <v>3.5</v>
      </c>
      <c r="X34" s="445"/>
      <c r="Y34" s="317" t="e">
        <f t="shared" si="3"/>
        <v>#REF!</v>
      </c>
      <c r="Z34" s="318">
        <v>3</v>
      </c>
      <c r="AA34" s="318">
        <v>3</v>
      </c>
      <c r="AB34" s="318">
        <v>2</v>
      </c>
      <c r="AC34" s="318">
        <v>5</v>
      </c>
      <c r="AD34" s="318" t="s">
        <v>615</v>
      </c>
      <c r="AE34" s="483">
        <f t="shared" ref="AE34:AJ34" si="26">IF(OR($M34="Exploration", $M34="Pre-feasibility", $O34&gt;2017), 0, "check")</f>
        <v>0</v>
      </c>
      <c r="AF34" s="482">
        <f t="shared" si="26"/>
        <v>0</v>
      </c>
      <c r="AG34" s="482">
        <f t="shared" si="26"/>
        <v>0</v>
      </c>
      <c r="AH34" s="482">
        <f t="shared" si="26"/>
        <v>0</v>
      </c>
      <c r="AI34" s="557">
        <f t="shared" si="26"/>
        <v>0</v>
      </c>
      <c r="AJ34" s="557">
        <f t="shared" si="26"/>
        <v>0</v>
      </c>
      <c r="AK34" s="556">
        <f t="shared" ref="AK34:AP38" si="27">IF(OR($M34="Exploration", $M34="Pre-feasibility", $O34&gt;2018), 0, "check")</f>
        <v>0</v>
      </c>
      <c r="AL34" s="557">
        <f t="shared" si="27"/>
        <v>0</v>
      </c>
      <c r="AM34" s="557">
        <f t="shared" si="27"/>
        <v>0</v>
      </c>
      <c r="AN34" s="557">
        <f t="shared" si="27"/>
        <v>0</v>
      </c>
      <c r="AO34" s="557">
        <f t="shared" si="27"/>
        <v>0</v>
      </c>
      <c r="AP34" s="557">
        <f t="shared" si="27"/>
        <v>0</v>
      </c>
      <c r="AQ34" s="556">
        <f t="shared" ref="AQ34:AU38" si="28">IF(OR($M34="Exploration", $M34="Pre-feasibility", $O34&gt;2019), 0, "check")</f>
        <v>0</v>
      </c>
      <c r="AR34" s="557">
        <f t="shared" si="28"/>
        <v>0</v>
      </c>
      <c r="AS34" s="557">
        <f t="shared" si="28"/>
        <v>0</v>
      </c>
      <c r="AT34" s="557">
        <f t="shared" si="28"/>
        <v>0</v>
      </c>
      <c r="AU34" s="557">
        <f t="shared" si="28"/>
        <v>0</v>
      </c>
      <c r="AV34" s="559">
        <f t="shared" ref="AV34:AV42" si="29">SUM(AR34:AU34)</f>
        <v>0</v>
      </c>
      <c r="AW34" s="556">
        <v>0</v>
      </c>
      <c r="AX34" s="514">
        <f t="shared" si="0"/>
        <v>0</v>
      </c>
      <c r="AY34" s="514" t="s">
        <v>1034</v>
      </c>
      <c r="AZ34" s="483">
        <f t="shared" si="7"/>
        <v>0</v>
      </c>
      <c r="BA34" s="482">
        <v>0</v>
      </c>
      <c r="BB34" s="482">
        <v>0</v>
      </c>
      <c r="BC34" s="482">
        <v>0</v>
      </c>
      <c r="BD34" s="482">
        <v>0</v>
      </c>
      <c r="BE34" s="482">
        <v>0</v>
      </c>
      <c r="BF34" s="483">
        <f t="shared" si="8"/>
        <v>0</v>
      </c>
      <c r="BG34" s="482">
        <v>0</v>
      </c>
      <c r="BH34" s="482">
        <v>0</v>
      </c>
      <c r="BI34" s="482">
        <v>0</v>
      </c>
      <c r="BJ34" s="482">
        <v>0</v>
      </c>
      <c r="BK34" s="482">
        <v>0</v>
      </c>
      <c r="BL34" s="483">
        <f t="shared" si="1"/>
        <v>0</v>
      </c>
      <c r="BM34" s="482">
        <v>0</v>
      </c>
      <c r="BN34" s="482">
        <v>0</v>
      </c>
      <c r="BO34" s="482">
        <v>0</v>
      </c>
      <c r="BP34" s="482">
        <v>0</v>
      </c>
      <c r="BQ34" s="482">
        <v>0</v>
      </c>
      <c r="BR34" s="388"/>
      <c r="BS34" s="388"/>
      <c r="BT34" s="388"/>
      <c r="BU34" s="388"/>
      <c r="BV34" s="388"/>
      <c r="BW34" s="388"/>
      <c r="BX34" s="388"/>
      <c r="BY34" s="388"/>
      <c r="BZ34" s="318"/>
      <c r="CA34" s="318"/>
      <c r="CB34" s="318"/>
      <c r="CC34" s="318"/>
      <c r="CD34" s="318"/>
      <c r="CE34" s="457" t="s">
        <v>1215</v>
      </c>
      <c r="CF34" s="443">
        <v>1530</v>
      </c>
      <c r="CG34" s="360" t="s">
        <v>477</v>
      </c>
      <c r="CH34" s="430">
        <v>1</v>
      </c>
      <c r="CI34" s="360"/>
      <c r="CJ34" s="360"/>
      <c r="CK34" s="360"/>
      <c r="CL34" s="360"/>
      <c r="CM34" s="360"/>
      <c r="CN34" s="360"/>
      <c r="CO34" s="360"/>
      <c r="CP34" s="360"/>
      <c r="CR34" s="315" t="str">
        <f t="shared" si="9"/>
        <v>Argentina</v>
      </c>
      <c r="CS34" s="315" t="str">
        <f t="shared" si="10"/>
        <v>Salta</v>
      </c>
      <c r="CT34" s="315">
        <v>23</v>
      </c>
      <c r="CU34" s="315" t="s">
        <v>478</v>
      </c>
      <c r="CW34" s="315" t="s">
        <v>465</v>
      </c>
      <c r="CX34" s="315" t="s">
        <v>1396</v>
      </c>
      <c r="CY34" s="315" t="str">
        <f t="shared" si="2"/>
        <v>Salta</v>
      </c>
    </row>
    <row r="35" spans="1:103" s="362" customFormat="1" ht="19.5" hidden="1" customHeight="1" x14ac:dyDescent="0.25">
      <c r="A35" s="403">
        <v>24</v>
      </c>
      <c r="B35" s="328" t="s">
        <v>693</v>
      </c>
      <c r="C35" s="328" t="s">
        <v>545</v>
      </c>
      <c r="D35" s="388" t="s">
        <v>457</v>
      </c>
      <c r="E35" s="388"/>
      <c r="F35" s="328" t="s">
        <v>504</v>
      </c>
      <c r="G35" s="328" t="s">
        <v>1397</v>
      </c>
      <c r="H35" s="386" t="s">
        <v>692</v>
      </c>
      <c r="I35" s="386"/>
      <c r="J35" s="382" t="e">
        <f>0/(IF(#REF!="yes",0.188,1))</f>
        <v>#REF!</v>
      </c>
      <c r="K35" s="382" t="e">
        <f>J35</f>
        <v>#REF!</v>
      </c>
      <c r="L35" s="382" t="e">
        <f>K35</f>
        <v>#REF!</v>
      </c>
      <c r="M35" s="371" t="s">
        <v>611</v>
      </c>
      <c r="N35" s="399"/>
      <c r="O35" s="399">
        <v>2016</v>
      </c>
      <c r="P35" s="386" t="s">
        <v>519</v>
      </c>
      <c r="Q35" s="389"/>
      <c r="R35" s="386"/>
      <c r="S35" s="386"/>
      <c r="T35" s="386"/>
      <c r="U35" s="386" t="s">
        <v>235</v>
      </c>
      <c r="V35" s="434"/>
      <c r="W35" s="450"/>
      <c r="X35" s="446"/>
      <c r="Y35" s="390" t="str">
        <f t="shared" si="3"/>
        <v/>
      </c>
      <c r="Z35" s="388">
        <v>2</v>
      </c>
      <c r="AA35" s="388">
        <v>2</v>
      </c>
      <c r="AB35" s="388">
        <v>2</v>
      </c>
      <c r="AC35" s="388">
        <v>2</v>
      </c>
      <c r="AD35" s="388" t="s">
        <v>691</v>
      </c>
      <c r="AE35" s="560" t="str">
        <f t="shared" ref="AE35:AJ52" si="30">IF(OR($M35="Exploration", $M35="Pre-feasibility", $O35&gt;2017), 0, "check")</f>
        <v>check</v>
      </c>
      <c r="AF35" s="561" t="str">
        <f t="shared" si="30"/>
        <v>check</v>
      </c>
      <c r="AG35" s="561" t="str">
        <f t="shared" si="30"/>
        <v>check</v>
      </c>
      <c r="AH35" s="561" t="str">
        <f t="shared" si="30"/>
        <v>check</v>
      </c>
      <c r="AI35" s="561" t="str">
        <f t="shared" si="30"/>
        <v>check</v>
      </c>
      <c r="AJ35" s="561" t="str">
        <f>IF(OR($M35="Exploration", $M35="Pre-feasibility", $O35&gt;2017), 0, "check")</f>
        <v>check</v>
      </c>
      <c r="AK35" s="560" t="str">
        <f t="shared" si="27"/>
        <v>check</v>
      </c>
      <c r="AL35" s="561" t="str">
        <f t="shared" si="27"/>
        <v>check</v>
      </c>
      <c r="AM35" s="561" t="str">
        <f t="shared" si="27"/>
        <v>check</v>
      </c>
      <c r="AN35" s="561" t="str">
        <f t="shared" si="27"/>
        <v>check</v>
      </c>
      <c r="AO35" s="561" t="str">
        <f t="shared" si="27"/>
        <v>check</v>
      </c>
      <c r="AP35" s="561" t="str">
        <f t="shared" si="27"/>
        <v>check</v>
      </c>
      <c r="AQ35" s="560" t="str">
        <f t="shared" si="28"/>
        <v>check</v>
      </c>
      <c r="AR35" s="561" t="str">
        <f t="shared" si="28"/>
        <v>check</v>
      </c>
      <c r="AS35" s="561" t="str">
        <f t="shared" si="28"/>
        <v>check</v>
      </c>
      <c r="AT35" s="561" t="str">
        <f t="shared" si="28"/>
        <v>check</v>
      </c>
      <c r="AU35" s="561" t="str">
        <f t="shared" si="28"/>
        <v>check</v>
      </c>
      <c r="AV35" s="562">
        <f t="shared" si="29"/>
        <v>0</v>
      </c>
      <c r="AW35" s="560" t="e">
        <f t="shared" si="23"/>
        <v>#REF!</v>
      </c>
      <c r="AX35" s="562" t="e">
        <f t="shared" si="0"/>
        <v>#REF!</v>
      </c>
      <c r="AY35" s="562" t="s">
        <v>1524</v>
      </c>
      <c r="AZ35" s="560" t="str">
        <f t="shared" si="7"/>
        <v>check</v>
      </c>
      <c r="BA35" s="561" t="s">
        <v>1524</v>
      </c>
      <c r="BB35" s="561" t="s">
        <v>1524</v>
      </c>
      <c r="BC35" s="561" t="s">
        <v>1524</v>
      </c>
      <c r="BD35" s="561" t="s">
        <v>1524</v>
      </c>
      <c r="BE35" s="561" t="s">
        <v>1524</v>
      </c>
      <c r="BF35" s="560" t="str">
        <f t="shared" si="8"/>
        <v>check</v>
      </c>
      <c r="BG35" s="561" t="s">
        <v>1524</v>
      </c>
      <c r="BH35" s="561" t="s">
        <v>1524</v>
      </c>
      <c r="BI35" s="561" t="s">
        <v>1524</v>
      </c>
      <c r="BJ35" s="561" t="s">
        <v>1524</v>
      </c>
      <c r="BK35" s="561" t="s">
        <v>1524</v>
      </c>
      <c r="BL35" s="560" t="str">
        <f t="shared" si="1"/>
        <v>check</v>
      </c>
      <c r="BM35" s="561" t="s">
        <v>1524</v>
      </c>
      <c r="BN35" s="561" t="s">
        <v>1524</v>
      </c>
      <c r="BO35" s="561" t="s">
        <v>1524</v>
      </c>
      <c r="BP35" s="561" t="s">
        <v>1524</v>
      </c>
      <c r="BQ35" s="561" t="s">
        <v>1524</v>
      </c>
      <c r="BR35" s="388"/>
      <c r="BS35" s="388"/>
      <c r="BT35" s="388"/>
      <c r="BU35" s="388"/>
      <c r="BV35" s="388"/>
      <c r="BW35" s="388"/>
      <c r="BX35" s="388"/>
      <c r="BY35" s="388"/>
      <c r="BZ35" s="388"/>
      <c r="CA35" s="388"/>
      <c r="CB35" s="388"/>
      <c r="CC35" s="388"/>
      <c r="CD35" s="388"/>
      <c r="CE35" s="462"/>
      <c r="CF35" s="388"/>
      <c r="CG35" s="470"/>
      <c r="CH35" s="470"/>
      <c r="CI35" s="470"/>
      <c r="CJ35" s="470"/>
      <c r="CK35" s="470"/>
      <c r="CL35" s="470"/>
      <c r="CM35" s="470"/>
      <c r="CN35" s="470"/>
      <c r="CO35" s="470"/>
      <c r="CP35" s="470"/>
      <c r="CR35" s="362" t="str">
        <f t="shared" si="9"/>
        <v>Portugal</v>
      </c>
      <c r="CS35" s="362" t="str">
        <f t="shared" si="10"/>
        <v>Mangualde</v>
      </c>
      <c r="CT35" s="362">
        <v>24</v>
      </c>
      <c r="CU35" s="362" t="s">
        <v>545</v>
      </c>
      <c r="CW35" s="362" t="s">
        <v>504</v>
      </c>
      <c r="CX35" s="362" t="s">
        <v>1397</v>
      </c>
      <c r="CY35" s="362" t="str">
        <f t="shared" si="2"/>
        <v>Mangualde</v>
      </c>
    </row>
    <row r="36" spans="1:103" s="315" customFormat="1" ht="19.5" hidden="1" customHeight="1" x14ac:dyDescent="0.25">
      <c r="A36" s="403">
        <v>25</v>
      </c>
      <c r="B36" s="313" t="s">
        <v>503</v>
      </c>
      <c r="C36" s="313" t="s">
        <v>694</v>
      </c>
      <c r="D36" s="318" t="s">
        <v>457</v>
      </c>
      <c r="E36" s="318"/>
      <c r="F36" s="313" t="s">
        <v>504</v>
      </c>
      <c r="G36" s="313" t="s">
        <v>32</v>
      </c>
      <c r="H36" s="305"/>
      <c r="I36" s="305" t="s">
        <v>1216</v>
      </c>
      <c r="J36" s="370">
        <v>0</v>
      </c>
      <c r="K36" s="370" t="e">
        <f>(175000*V36)/(IF(#REF!="yes",0.188,1))</f>
        <v>#REF!</v>
      </c>
      <c r="L36" s="370" t="e">
        <f>K36-J36</f>
        <v>#REF!</v>
      </c>
      <c r="M36" s="316" t="s">
        <v>619</v>
      </c>
      <c r="N36" s="398">
        <v>2020</v>
      </c>
      <c r="O36" s="398">
        <v>2021</v>
      </c>
      <c r="P36" s="305" t="s">
        <v>519</v>
      </c>
      <c r="Q36" s="354">
        <v>1.04E-2</v>
      </c>
      <c r="R36" s="305"/>
      <c r="S36" s="305"/>
      <c r="T36" s="153" t="s">
        <v>1217</v>
      </c>
      <c r="U36" s="305" t="s">
        <v>528</v>
      </c>
      <c r="V36" s="426">
        <f>5%*46.4%</f>
        <v>2.3199999999999998E-2</v>
      </c>
      <c r="W36" s="443" t="e">
        <f>271/#REF!/10^3</f>
        <v>#REF!</v>
      </c>
      <c r="X36" s="445"/>
      <c r="Y36" s="317" t="e">
        <f t="shared" si="3"/>
        <v>#REF!</v>
      </c>
      <c r="Z36" s="318">
        <v>2</v>
      </c>
      <c r="AA36" s="318">
        <v>1</v>
      </c>
      <c r="AB36" s="318">
        <v>2</v>
      </c>
      <c r="AC36" s="318">
        <v>2</v>
      </c>
      <c r="AD36" s="318" t="s">
        <v>1037</v>
      </c>
      <c r="AE36" s="483">
        <f t="shared" si="30"/>
        <v>0</v>
      </c>
      <c r="AF36" s="482">
        <f t="shared" si="30"/>
        <v>0</v>
      </c>
      <c r="AG36" s="482">
        <f t="shared" si="30"/>
        <v>0</v>
      </c>
      <c r="AH36" s="482">
        <f t="shared" si="30"/>
        <v>0</v>
      </c>
      <c r="AI36" s="557">
        <f t="shared" si="30"/>
        <v>0</v>
      </c>
      <c r="AJ36" s="557">
        <f>IF(OR($M36="Exploration", $M36="Pre-feasibility", $O36&gt;2017), 0, "check")</f>
        <v>0</v>
      </c>
      <c r="AK36" s="556">
        <f t="shared" si="27"/>
        <v>0</v>
      </c>
      <c r="AL36" s="557">
        <f t="shared" si="27"/>
        <v>0</v>
      </c>
      <c r="AM36" s="557">
        <f t="shared" si="27"/>
        <v>0</v>
      </c>
      <c r="AN36" s="557">
        <f t="shared" si="27"/>
        <v>0</v>
      </c>
      <c r="AO36" s="557">
        <f t="shared" si="27"/>
        <v>0</v>
      </c>
      <c r="AP36" s="557">
        <f t="shared" si="27"/>
        <v>0</v>
      </c>
      <c r="AQ36" s="556">
        <f t="shared" si="28"/>
        <v>0</v>
      </c>
      <c r="AR36" s="557">
        <f t="shared" si="28"/>
        <v>0</v>
      </c>
      <c r="AS36" s="557">
        <f t="shared" si="28"/>
        <v>0</v>
      </c>
      <c r="AT36" s="557">
        <f t="shared" si="28"/>
        <v>0</v>
      </c>
      <c r="AU36" s="557">
        <f t="shared" si="28"/>
        <v>0</v>
      </c>
      <c r="AV36" s="559">
        <f t="shared" si="29"/>
        <v>0</v>
      </c>
      <c r="AW36" s="556" t="str">
        <f t="shared" si="23"/>
        <v>check</v>
      </c>
      <c r="AX36" s="514">
        <f t="shared" si="0"/>
        <v>0</v>
      </c>
      <c r="AY36" s="514" t="s">
        <v>1034</v>
      </c>
      <c r="AZ36" s="483">
        <f t="shared" si="7"/>
        <v>0</v>
      </c>
      <c r="BA36" s="482">
        <v>0</v>
      </c>
      <c r="BB36" s="482">
        <v>0</v>
      </c>
      <c r="BC36" s="482">
        <v>0</v>
      </c>
      <c r="BD36" s="482">
        <v>0</v>
      </c>
      <c r="BE36" s="482">
        <v>0</v>
      </c>
      <c r="BF36" s="483">
        <f t="shared" si="8"/>
        <v>0</v>
      </c>
      <c r="BG36" s="482">
        <v>0</v>
      </c>
      <c r="BH36" s="482">
        <v>0</v>
      </c>
      <c r="BI36" s="482">
        <v>0</v>
      </c>
      <c r="BJ36" s="482">
        <v>0</v>
      </c>
      <c r="BK36" s="482">
        <v>0</v>
      </c>
      <c r="BL36" s="483">
        <f t="shared" si="1"/>
        <v>0</v>
      </c>
      <c r="BM36" s="482">
        <v>0</v>
      </c>
      <c r="BN36" s="482">
        <v>0</v>
      </c>
      <c r="BO36" s="482">
        <v>0</v>
      </c>
      <c r="BP36" s="482">
        <v>0</v>
      </c>
      <c r="BQ36" s="482">
        <v>0</v>
      </c>
      <c r="BR36" s="388"/>
      <c r="BS36" s="388"/>
      <c r="BT36" s="388"/>
      <c r="BU36" s="388"/>
      <c r="BV36" s="388"/>
      <c r="BW36" s="388"/>
      <c r="BX36" s="388"/>
      <c r="BY36" s="388"/>
      <c r="BZ36" s="318" t="s">
        <v>1471</v>
      </c>
      <c r="CA36" s="318"/>
      <c r="CB36" s="318"/>
      <c r="CC36" s="318"/>
      <c r="CD36" s="318"/>
      <c r="CE36" s="457" t="s">
        <v>1218</v>
      </c>
      <c r="CF36" s="443">
        <v>9.61</v>
      </c>
      <c r="CG36" s="360" t="s">
        <v>1209</v>
      </c>
      <c r="CH36" s="430">
        <v>1</v>
      </c>
      <c r="CI36" s="360"/>
      <c r="CJ36" s="360"/>
      <c r="CK36" s="360"/>
      <c r="CL36" s="360"/>
      <c r="CM36" s="360"/>
      <c r="CN36" s="360"/>
      <c r="CO36" s="360"/>
      <c r="CP36" s="360"/>
      <c r="CR36" s="315" t="str">
        <f t="shared" si="9"/>
        <v>Portugal</v>
      </c>
      <c r="CS36" s="315" t="str">
        <f t="shared" si="10"/>
        <v/>
      </c>
      <c r="CT36" s="315">
        <v>25</v>
      </c>
      <c r="CU36" s="315" t="s">
        <v>694</v>
      </c>
      <c r="CW36" s="315" t="s">
        <v>504</v>
      </c>
      <c r="CY36" s="315" t="str">
        <f t="shared" si="2"/>
        <v/>
      </c>
    </row>
    <row r="37" spans="1:103" s="315" customFormat="1" ht="19.5" hidden="1" customHeight="1" x14ac:dyDescent="0.25">
      <c r="A37" s="403">
        <v>26</v>
      </c>
      <c r="B37" s="313" t="s">
        <v>695</v>
      </c>
      <c r="C37" s="313" t="s">
        <v>696</v>
      </c>
      <c r="D37" s="318" t="s">
        <v>457</v>
      </c>
      <c r="E37" s="318"/>
      <c r="F37" s="313" t="s">
        <v>504</v>
      </c>
      <c r="G37" s="313" t="s">
        <v>32</v>
      </c>
      <c r="H37" s="305"/>
      <c r="I37" s="305"/>
      <c r="J37" s="370">
        <v>0</v>
      </c>
      <c r="K37" s="370">
        <v>0</v>
      </c>
      <c r="L37" s="370">
        <f>K37-J37</f>
        <v>0</v>
      </c>
      <c r="M37" s="316" t="s">
        <v>807</v>
      </c>
      <c r="N37" s="398"/>
      <c r="O37" s="398"/>
      <c r="P37" s="305" t="s">
        <v>519</v>
      </c>
      <c r="Q37" s="324">
        <v>1.1599999999999999E-2</v>
      </c>
      <c r="R37" s="305"/>
      <c r="S37" s="305"/>
      <c r="T37" s="305" t="s">
        <v>1038</v>
      </c>
      <c r="U37" s="305" t="s">
        <v>536</v>
      </c>
      <c r="V37" s="426">
        <v>0.188</v>
      </c>
      <c r="W37" s="317"/>
      <c r="X37" s="317"/>
      <c r="Y37" s="317" t="str">
        <f t="shared" si="3"/>
        <v/>
      </c>
      <c r="Z37" s="318"/>
      <c r="AA37" s="318"/>
      <c r="AB37" s="318"/>
      <c r="AC37" s="318">
        <v>2</v>
      </c>
      <c r="AD37" s="318" t="s">
        <v>1040</v>
      </c>
      <c r="AE37" s="483">
        <f t="shared" si="30"/>
        <v>0</v>
      </c>
      <c r="AF37" s="482">
        <f t="shared" si="30"/>
        <v>0</v>
      </c>
      <c r="AG37" s="482">
        <f t="shared" si="30"/>
        <v>0</v>
      </c>
      <c r="AH37" s="482">
        <f t="shared" si="30"/>
        <v>0</v>
      </c>
      <c r="AI37" s="557">
        <f t="shared" si="30"/>
        <v>0</v>
      </c>
      <c r="AJ37" s="557">
        <f>IF(OR($M37="Exploration", $M37="Pre-feasibility", $O37&gt;2017), 0, "check")</f>
        <v>0</v>
      </c>
      <c r="AK37" s="556">
        <f t="shared" si="27"/>
        <v>0</v>
      </c>
      <c r="AL37" s="557">
        <f t="shared" si="27"/>
        <v>0</v>
      </c>
      <c r="AM37" s="557">
        <f t="shared" si="27"/>
        <v>0</v>
      </c>
      <c r="AN37" s="557">
        <f t="shared" si="27"/>
        <v>0</v>
      </c>
      <c r="AO37" s="557">
        <f t="shared" si="27"/>
        <v>0</v>
      </c>
      <c r="AP37" s="557">
        <f t="shared" si="27"/>
        <v>0</v>
      </c>
      <c r="AQ37" s="556">
        <f t="shared" si="28"/>
        <v>0</v>
      </c>
      <c r="AR37" s="557">
        <f t="shared" si="28"/>
        <v>0</v>
      </c>
      <c r="AS37" s="557">
        <f t="shared" si="28"/>
        <v>0</v>
      </c>
      <c r="AT37" s="557">
        <f t="shared" si="28"/>
        <v>0</v>
      </c>
      <c r="AU37" s="557">
        <f t="shared" si="28"/>
        <v>0</v>
      </c>
      <c r="AV37" s="559">
        <f t="shared" si="29"/>
        <v>0</v>
      </c>
      <c r="AW37" s="556">
        <f t="shared" si="23"/>
        <v>0</v>
      </c>
      <c r="AX37" s="514">
        <f t="shared" si="0"/>
        <v>0</v>
      </c>
      <c r="AY37" s="514" t="s">
        <v>1034</v>
      </c>
      <c r="AZ37" s="483">
        <f t="shared" si="7"/>
        <v>0</v>
      </c>
      <c r="BA37" s="482">
        <v>0</v>
      </c>
      <c r="BB37" s="482">
        <v>0</v>
      </c>
      <c r="BC37" s="482">
        <v>0</v>
      </c>
      <c r="BD37" s="482">
        <v>0</v>
      </c>
      <c r="BE37" s="482">
        <v>0</v>
      </c>
      <c r="BF37" s="483">
        <f t="shared" si="8"/>
        <v>0</v>
      </c>
      <c r="BG37" s="482">
        <v>0</v>
      </c>
      <c r="BH37" s="482">
        <v>0</v>
      </c>
      <c r="BI37" s="482">
        <v>0</v>
      </c>
      <c r="BJ37" s="482">
        <v>0</v>
      </c>
      <c r="BK37" s="482">
        <v>0</v>
      </c>
      <c r="BL37" s="483">
        <f t="shared" si="1"/>
        <v>0</v>
      </c>
      <c r="BM37" s="482">
        <v>0</v>
      </c>
      <c r="BN37" s="482">
        <v>0</v>
      </c>
      <c r="BO37" s="482">
        <v>0</v>
      </c>
      <c r="BP37" s="482">
        <v>0</v>
      </c>
      <c r="BQ37" s="482">
        <v>0</v>
      </c>
      <c r="BR37" s="388"/>
      <c r="BS37" s="388"/>
      <c r="BT37" s="388"/>
      <c r="BU37" s="388"/>
      <c r="BV37" s="388"/>
      <c r="BW37" s="388"/>
      <c r="BX37" s="388"/>
      <c r="BY37" s="388"/>
      <c r="BZ37" s="388"/>
      <c r="CA37" s="388"/>
      <c r="CB37" s="388"/>
      <c r="CC37" s="388"/>
      <c r="CD37" s="388"/>
      <c r="CE37" s="462"/>
      <c r="CF37" s="318">
        <v>9</v>
      </c>
      <c r="CG37" s="360"/>
      <c r="CH37" s="360"/>
      <c r="CI37" s="360"/>
      <c r="CJ37" s="360"/>
      <c r="CK37" s="360"/>
      <c r="CL37" s="360"/>
      <c r="CM37" s="360"/>
      <c r="CN37" s="360"/>
      <c r="CO37" s="360"/>
      <c r="CP37" s="360"/>
      <c r="CR37" s="315" t="str">
        <f t="shared" si="9"/>
        <v>Portugal</v>
      </c>
      <c r="CS37" s="315" t="str">
        <f t="shared" si="10"/>
        <v/>
      </c>
      <c r="CT37" s="315">
        <v>26</v>
      </c>
      <c r="CU37" s="315" t="s">
        <v>696</v>
      </c>
      <c r="CW37" s="315" t="s">
        <v>504</v>
      </c>
      <c r="CY37" s="315" t="str">
        <f t="shared" si="2"/>
        <v/>
      </c>
    </row>
    <row r="38" spans="1:103" s="362" customFormat="1" ht="19.5" hidden="1" customHeight="1" x14ac:dyDescent="0.25">
      <c r="A38" s="403">
        <v>27</v>
      </c>
      <c r="B38" s="328" t="s">
        <v>506</v>
      </c>
      <c r="C38" s="328" t="s">
        <v>697</v>
      </c>
      <c r="D38" s="388" t="s">
        <v>457</v>
      </c>
      <c r="E38" s="388"/>
      <c r="F38" s="328" t="s">
        <v>504</v>
      </c>
      <c r="G38" s="328" t="s">
        <v>32</v>
      </c>
      <c r="H38" s="386"/>
      <c r="I38" s="386"/>
      <c r="J38" s="417">
        <v>0</v>
      </c>
      <c r="K38" s="382">
        <v>0</v>
      </c>
      <c r="L38" s="382">
        <f>K38-J38</f>
        <v>0</v>
      </c>
      <c r="M38" s="371" t="s">
        <v>487</v>
      </c>
      <c r="N38" s="399"/>
      <c r="O38" s="399"/>
      <c r="P38" s="386" t="s">
        <v>519</v>
      </c>
      <c r="Q38" s="409">
        <v>0.01</v>
      </c>
      <c r="R38" s="386"/>
      <c r="S38" s="386"/>
      <c r="T38" s="386" t="s">
        <v>1041</v>
      </c>
      <c r="U38" s="389" t="s">
        <v>235</v>
      </c>
      <c r="V38" s="434"/>
      <c r="W38" s="390"/>
      <c r="X38" s="390"/>
      <c r="Y38" s="390" t="str">
        <f t="shared" si="3"/>
        <v/>
      </c>
      <c r="Z38" s="388"/>
      <c r="AA38" s="388"/>
      <c r="AB38" s="388"/>
      <c r="AC38" s="388">
        <v>1</v>
      </c>
      <c r="AD38" s="388" t="s">
        <v>1042</v>
      </c>
      <c r="AE38" s="560">
        <f t="shared" si="30"/>
        <v>0</v>
      </c>
      <c r="AF38" s="561">
        <f t="shared" si="30"/>
        <v>0</v>
      </c>
      <c r="AG38" s="561">
        <f t="shared" si="30"/>
        <v>0</v>
      </c>
      <c r="AH38" s="561">
        <f t="shared" si="30"/>
        <v>0</v>
      </c>
      <c r="AI38" s="561">
        <f t="shared" si="30"/>
        <v>0</v>
      </c>
      <c r="AJ38" s="561">
        <f>IF(OR($M38="Exploration", $M38="Pre-feasibility", $O38&gt;2017), 0, "check")</f>
        <v>0</v>
      </c>
      <c r="AK38" s="560">
        <f t="shared" si="27"/>
        <v>0</v>
      </c>
      <c r="AL38" s="561">
        <f t="shared" si="27"/>
        <v>0</v>
      </c>
      <c r="AM38" s="561">
        <f t="shared" si="27"/>
        <v>0</v>
      </c>
      <c r="AN38" s="561">
        <f t="shared" si="27"/>
        <v>0</v>
      </c>
      <c r="AO38" s="561">
        <f t="shared" si="27"/>
        <v>0</v>
      </c>
      <c r="AP38" s="561">
        <f t="shared" si="27"/>
        <v>0</v>
      </c>
      <c r="AQ38" s="560">
        <f t="shared" si="28"/>
        <v>0</v>
      </c>
      <c r="AR38" s="561">
        <f t="shared" si="28"/>
        <v>0</v>
      </c>
      <c r="AS38" s="561">
        <f t="shared" si="28"/>
        <v>0</v>
      </c>
      <c r="AT38" s="561">
        <f t="shared" si="28"/>
        <v>0</v>
      </c>
      <c r="AU38" s="561">
        <f t="shared" si="28"/>
        <v>0</v>
      </c>
      <c r="AV38" s="562">
        <f t="shared" si="29"/>
        <v>0</v>
      </c>
      <c r="AW38" s="560">
        <f t="shared" si="23"/>
        <v>0</v>
      </c>
      <c r="AX38" s="562">
        <f t="shared" si="0"/>
        <v>0</v>
      </c>
      <c r="AY38" s="562" t="s">
        <v>1034</v>
      </c>
      <c r="AZ38" s="560">
        <f t="shared" si="7"/>
        <v>0</v>
      </c>
      <c r="BA38" s="561">
        <v>0</v>
      </c>
      <c r="BB38" s="561">
        <v>0</v>
      </c>
      <c r="BC38" s="561">
        <v>0</v>
      </c>
      <c r="BD38" s="561">
        <v>0</v>
      </c>
      <c r="BE38" s="561">
        <v>0</v>
      </c>
      <c r="BF38" s="560">
        <f t="shared" si="8"/>
        <v>0</v>
      </c>
      <c r="BG38" s="561">
        <v>0</v>
      </c>
      <c r="BH38" s="561">
        <v>0</v>
      </c>
      <c r="BI38" s="561">
        <v>0</v>
      </c>
      <c r="BJ38" s="561">
        <v>0</v>
      </c>
      <c r="BK38" s="561">
        <v>0</v>
      </c>
      <c r="BL38" s="560">
        <f t="shared" si="1"/>
        <v>0</v>
      </c>
      <c r="BM38" s="561">
        <v>0</v>
      </c>
      <c r="BN38" s="561">
        <v>0</v>
      </c>
      <c r="BO38" s="561">
        <v>0</v>
      </c>
      <c r="BP38" s="561">
        <v>0</v>
      </c>
      <c r="BQ38" s="561">
        <v>0</v>
      </c>
      <c r="BR38" s="388"/>
      <c r="BS38" s="388"/>
      <c r="BT38" s="388"/>
      <c r="BU38" s="388"/>
      <c r="BV38" s="388"/>
      <c r="BW38" s="388"/>
      <c r="BX38" s="388"/>
      <c r="BY38" s="388"/>
      <c r="BZ38" s="388"/>
      <c r="CA38" s="388"/>
      <c r="CB38" s="388"/>
      <c r="CC38" s="388"/>
      <c r="CD38" s="388"/>
      <c r="CE38" s="462"/>
      <c r="CF38" s="388"/>
      <c r="CG38" s="470"/>
      <c r="CH38" s="470"/>
      <c r="CI38" s="470"/>
      <c r="CJ38" s="470"/>
      <c r="CK38" s="470"/>
      <c r="CL38" s="470"/>
      <c r="CM38" s="470"/>
      <c r="CN38" s="470"/>
      <c r="CO38" s="470"/>
      <c r="CP38" s="470"/>
      <c r="CR38" s="362" t="str">
        <f t="shared" si="9"/>
        <v>Portugal</v>
      </c>
      <c r="CS38" s="362" t="str">
        <f t="shared" si="10"/>
        <v/>
      </c>
      <c r="CT38" s="362">
        <v>27</v>
      </c>
      <c r="CU38" s="362" t="s">
        <v>697</v>
      </c>
      <c r="CW38" s="362" t="s">
        <v>504</v>
      </c>
      <c r="CY38" s="362" t="str">
        <f t="shared" si="2"/>
        <v/>
      </c>
    </row>
    <row r="39" spans="1:103" s="315" customFormat="1" ht="28.5" hidden="1" customHeight="1" x14ac:dyDescent="0.25">
      <c r="A39" s="403">
        <v>28</v>
      </c>
      <c r="B39" s="313" t="s">
        <v>614</v>
      </c>
      <c r="C39" s="313" t="s">
        <v>540</v>
      </c>
      <c r="D39" s="318" t="s">
        <v>457</v>
      </c>
      <c r="E39" s="318"/>
      <c r="F39" s="313" t="s">
        <v>247</v>
      </c>
      <c r="G39" s="313" t="s">
        <v>1214</v>
      </c>
      <c r="H39" s="305" t="s">
        <v>999</v>
      </c>
      <c r="I39" s="305" t="s">
        <v>1000</v>
      </c>
      <c r="J39" s="382" t="e">
        <f>156689*V39/(IF(#REF!="yes",0.188,1))</f>
        <v>#REF!</v>
      </c>
      <c r="K39" s="382" t="e">
        <f>(210000*V39)/(IF(#REF!="yes",0.188,1))</f>
        <v>#REF!</v>
      </c>
      <c r="L39" s="382" t="e">
        <f>K39</f>
        <v>#REF!</v>
      </c>
      <c r="M39" s="316" t="s">
        <v>483</v>
      </c>
      <c r="N39" s="398"/>
      <c r="O39" s="398">
        <v>2017</v>
      </c>
      <c r="P39" s="305" t="s">
        <v>519</v>
      </c>
      <c r="Q39" s="354">
        <v>1.15E-2</v>
      </c>
      <c r="R39" s="305"/>
      <c r="S39" s="522" t="s">
        <v>1557</v>
      </c>
      <c r="T39" s="305" t="s">
        <v>1556</v>
      </c>
      <c r="U39" s="305" t="s">
        <v>528</v>
      </c>
      <c r="V39" s="426">
        <f>5%*46.4%</f>
        <v>2.3199999999999998E-2</v>
      </c>
      <c r="W39" s="443" t="e">
        <f>337/#REF!/10^3</f>
        <v>#REF!</v>
      </c>
      <c r="X39" s="445"/>
      <c r="Y39" s="317" t="e">
        <f t="shared" si="3"/>
        <v>#REF!</v>
      </c>
      <c r="Z39" s="318">
        <v>2</v>
      </c>
      <c r="AA39" s="318">
        <v>5</v>
      </c>
      <c r="AB39" s="318">
        <v>3</v>
      </c>
      <c r="AC39" s="318">
        <v>3</v>
      </c>
      <c r="AD39" s="463" t="s">
        <v>620</v>
      </c>
      <c r="AE39" s="483">
        <v>22212.765957446809</v>
      </c>
      <c r="AF39" s="482">
        <f>23467*0.023/0.188</f>
        <v>2870.9627659574467</v>
      </c>
      <c r="AG39" s="482">
        <f>32998*0.023/0.188</f>
        <v>4036.9893617021276</v>
      </c>
      <c r="AH39" s="482">
        <f>47075*0.023/0.188</f>
        <v>5759.1755319148933</v>
      </c>
      <c r="AI39" s="557">
        <f>52139*0.023/0.188</f>
        <v>6378.7074468085102</v>
      </c>
      <c r="AJ39" s="557">
        <f>SUM(AF39:AI39)</f>
        <v>19045.835106382976</v>
      </c>
      <c r="AK39" s="556">
        <v>22212.765957446809</v>
      </c>
      <c r="AL39" s="557">
        <f>43852*0.023/0.188</f>
        <v>5364.8723404255315</v>
      </c>
      <c r="AM39" s="557">
        <f>47901*0.023/0.188</f>
        <v>5860.2287234042551</v>
      </c>
      <c r="AN39" s="557">
        <f>31156*0.023/0.188</f>
        <v>3811.6382978723404</v>
      </c>
      <c r="AO39" s="557">
        <f>33780*0.023/0.188</f>
        <v>4132.6595744680844</v>
      </c>
      <c r="AP39" s="557">
        <f>SUM(AL39:AO39)</f>
        <v>19169.398936170212</v>
      </c>
      <c r="AQ39" s="556">
        <f>210000*0.023/0.188</f>
        <v>25691.489361702126</v>
      </c>
      <c r="AR39" s="557">
        <f>41874*0.023/0.188</f>
        <v>5122.8829787234044</v>
      </c>
      <c r="AS39" s="557">
        <f>56460*0.023/0.188</f>
        <v>6907.3404255319147</v>
      </c>
      <c r="AT39" s="557">
        <f>50014*0.023/0.188</f>
        <v>6118.7340425531911</v>
      </c>
      <c r="AU39" s="557">
        <f>43222*0.023/0.188</f>
        <v>5287.7978723404258</v>
      </c>
      <c r="AV39" s="557">
        <f t="shared" si="29"/>
        <v>23436.755319148939</v>
      </c>
      <c r="AW39" s="556" t="e">
        <f t="shared" si="23"/>
        <v>#REF!</v>
      </c>
      <c r="AX39" s="514">
        <f>105000*0.023/0.188</f>
        <v>12845.744680851063</v>
      </c>
      <c r="AY39" s="514" t="s">
        <v>1528</v>
      </c>
      <c r="AZ39" s="483">
        <f t="shared" si="7"/>
        <v>22212.765957446809</v>
      </c>
      <c r="BA39" s="482">
        <f>23455*0.023/0.188</f>
        <v>2869.494680851064</v>
      </c>
      <c r="BB39" s="482">
        <f>30135*0.023/0.188</f>
        <v>3686.7287234042556</v>
      </c>
      <c r="BC39" s="482">
        <f>41834*0.023/0.188</f>
        <v>5117.989361702128</v>
      </c>
      <c r="BD39" s="482">
        <f>58094*0.023/0.188</f>
        <v>7107.244680851064</v>
      </c>
      <c r="BE39" s="482">
        <f>SUM(BA39:BD39)</f>
        <v>18781.457446808512</v>
      </c>
      <c r="BF39" s="483">
        <f t="shared" si="8"/>
        <v>22212.765957446809</v>
      </c>
      <c r="BG39" s="482">
        <f>44258*0.023/0.188</f>
        <v>5414.5425531914889</v>
      </c>
      <c r="BH39" s="482">
        <f>45761*0.023/0.188</f>
        <v>5598.4202127659573</v>
      </c>
      <c r="BI39" s="482">
        <f>29555*0.023/0.188</f>
        <v>3615.7712765957444</v>
      </c>
      <c r="BJ39" s="482">
        <f>39682*0.023/0.188</f>
        <v>4854.7127659574471</v>
      </c>
      <c r="BK39" s="482">
        <f>SUM(BG39:BJ39)</f>
        <v>19483.446808510638</v>
      </c>
      <c r="BL39" s="483">
        <f t="shared" si="1"/>
        <v>25691.489361702126</v>
      </c>
      <c r="BM39" s="482">
        <f>15192*0.023/0.188</f>
        <v>1858.5957446808511</v>
      </c>
      <c r="BN39" s="482">
        <f>29439*0.023/0.188</f>
        <v>3601.5797872340422</v>
      </c>
      <c r="BO39" s="482">
        <f>58278*0.023/0.188</f>
        <v>7129.755319148936</v>
      </c>
      <c r="BP39" s="482">
        <f>29778*0.023/0.188</f>
        <v>3643.0531914893618</v>
      </c>
      <c r="BQ39" s="482">
        <f>SUM(BM39:BP39)</f>
        <v>16232.984042553191</v>
      </c>
      <c r="BR39" s="318"/>
      <c r="BS39" s="318"/>
      <c r="BT39" s="318"/>
      <c r="BU39" s="318"/>
      <c r="BV39" s="318"/>
      <c r="BW39" s="318"/>
      <c r="BX39" s="318"/>
      <c r="BY39" s="318"/>
      <c r="BZ39" s="318" t="s">
        <v>1308</v>
      </c>
      <c r="CA39" s="318"/>
      <c r="CB39" s="318"/>
      <c r="CC39" s="318"/>
      <c r="CD39" s="318"/>
      <c r="CE39" s="457"/>
      <c r="CF39" s="443">
        <v>24.75</v>
      </c>
      <c r="CG39" s="360" t="s">
        <v>779</v>
      </c>
      <c r="CH39" s="430">
        <v>1</v>
      </c>
      <c r="CI39" s="360"/>
      <c r="CJ39" s="360"/>
      <c r="CK39" s="360"/>
      <c r="CL39" s="360"/>
      <c r="CM39" s="360"/>
      <c r="CN39" s="360"/>
      <c r="CO39" s="360"/>
      <c r="CP39" s="360"/>
      <c r="CR39" s="315" t="str">
        <f t="shared" si="9"/>
        <v>Australia</v>
      </c>
      <c r="CS39" s="315" t="str">
        <f t="shared" si="10"/>
        <v>Western Australia</v>
      </c>
      <c r="CT39" s="315">
        <v>28</v>
      </c>
      <c r="CU39" s="315" t="s">
        <v>540</v>
      </c>
      <c r="CW39" s="315" t="s">
        <v>247</v>
      </c>
      <c r="CX39" s="315" t="s">
        <v>1214</v>
      </c>
      <c r="CY39" s="315" t="str">
        <f t="shared" si="2"/>
        <v>Western Australia</v>
      </c>
    </row>
    <row r="40" spans="1:103" s="315" customFormat="1" ht="19.5" hidden="1" customHeight="1" x14ac:dyDescent="0.25">
      <c r="A40" s="403">
        <v>29</v>
      </c>
      <c r="B40" s="313" t="s">
        <v>614</v>
      </c>
      <c r="C40" s="313" t="s">
        <v>616</v>
      </c>
      <c r="D40" s="318" t="s">
        <v>457</v>
      </c>
      <c r="E40" s="318"/>
      <c r="F40" s="313" t="s">
        <v>465</v>
      </c>
      <c r="G40" s="313" t="s">
        <v>1396</v>
      </c>
      <c r="H40" s="305"/>
      <c r="I40" s="305" t="s">
        <v>1072</v>
      </c>
      <c r="J40" s="370">
        <v>0</v>
      </c>
      <c r="K40" s="370" t="e">
        <f>25000*V40/(IF(#REF!="yes",0.188,1))</f>
        <v>#REF!</v>
      </c>
      <c r="L40" s="370" t="e">
        <f>K40-J40</f>
        <v>#REF!</v>
      </c>
      <c r="M40" s="316" t="s">
        <v>619</v>
      </c>
      <c r="N40" s="398"/>
      <c r="O40" s="398">
        <v>2023</v>
      </c>
      <c r="P40" s="305" t="s">
        <v>463</v>
      </c>
      <c r="Q40" s="354" t="s">
        <v>721</v>
      </c>
      <c r="R40" s="305"/>
      <c r="S40" s="305"/>
      <c r="T40" s="305"/>
      <c r="U40" s="305" t="s">
        <v>528</v>
      </c>
      <c r="V40" s="426">
        <v>0.188</v>
      </c>
      <c r="W40" s="443">
        <f>3144/10^3</f>
        <v>3.1440000000000001</v>
      </c>
      <c r="X40" s="445"/>
      <c r="Y40" s="317" t="e">
        <f t="shared" si="3"/>
        <v>#REF!</v>
      </c>
      <c r="Z40" s="318">
        <v>2</v>
      </c>
      <c r="AA40" s="318">
        <v>1</v>
      </c>
      <c r="AB40" s="318">
        <v>3</v>
      </c>
      <c r="AC40" s="318">
        <v>3</v>
      </c>
      <c r="AD40" s="318" t="s">
        <v>1203</v>
      </c>
      <c r="AE40" s="483">
        <f t="shared" si="30"/>
        <v>0</v>
      </c>
      <c r="AF40" s="482">
        <f t="shared" si="30"/>
        <v>0</v>
      </c>
      <c r="AG40" s="482">
        <f t="shared" si="30"/>
        <v>0</v>
      </c>
      <c r="AH40" s="482">
        <f t="shared" si="30"/>
        <v>0</v>
      </c>
      <c r="AI40" s="557">
        <f t="shared" si="30"/>
        <v>0</v>
      </c>
      <c r="AJ40" s="557">
        <f>IF(OR($M40="Exploration", $M40="Pre-feasibility", $O40&gt;2017), 0, "check")</f>
        <v>0</v>
      </c>
      <c r="AK40" s="556">
        <f t="shared" ref="AK40:AP41" si="31">IF(OR($M40="Exploration", $M40="Pre-feasibility", $O40&gt;2018), 0, "check")</f>
        <v>0</v>
      </c>
      <c r="AL40" s="557">
        <f t="shared" si="31"/>
        <v>0</v>
      </c>
      <c r="AM40" s="557">
        <f t="shared" si="31"/>
        <v>0</v>
      </c>
      <c r="AN40" s="557">
        <f t="shared" si="31"/>
        <v>0</v>
      </c>
      <c r="AO40" s="557">
        <f t="shared" si="31"/>
        <v>0</v>
      </c>
      <c r="AP40" s="557">
        <f t="shared" si="31"/>
        <v>0</v>
      </c>
      <c r="AQ40" s="556">
        <f t="shared" ref="AQ40:AU41" si="32">IF(OR($M40="Exploration", $M40="Pre-feasibility", $O40&gt;2019), 0, "check")</f>
        <v>0</v>
      </c>
      <c r="AR40" s="557">
        <f t="shared" si="32"/>
        <v>0</v>
      </c>
      <c r="AS40" s="557">
        <f t="shared" si="32"/>
        <v>0</v>
      </c>
      <c r="AT40" s="557">
        <f t="shared" si="32"/>
        <v>0</v>
      </c>
      <c r="AU40" s="557">
        <f t="shared" si="32"/>
        <v>0</v>
      </c>
      <c r="AV40" s="559">
        <f t="shared" si="29"/>
        <v>0</v>
      </c>
      <c r="AW40" s="556">
        <f t="shared" si="23"/>
        <v>0</v>
      </c>
      <c r="AX40" s="514">
        <f t="shared" ref="AX40:AX84" si="33">IF($O40&gt;2020,0,IF(AW40=0,0,"check"))</f>
        <v>0</v>
      </c>
      <c r="AY40" s="514" t="s">
        <v>1534</v>
      </c>
      <c r="AZ40" s="483">
        <f t="shared" si="7"/>
        <v>0</v>
      </c>
      <c r="BA40" s="482">
        <v>0</v>
      </c>
      <c r="BB40" s="482">
        <v>0</v>
      </c>
      <c r="BC40" s="482">
        <v>0</v>
      </c>
      <c r="BD40" s="482">
        <v>0</v>
      </c>
      <c r="BE40" s="482">
        <f t="shared" ref="BE40:BE41" si="34">SUM(BA40:BD40)</f>
        <v>0</v>
      </c>
      <c r="BF40" s="483">
        <f t="shared" si="8"/>
        <v>0</v>
      </c>
      <c r="BG40" s="482">
        <v>0</v>
      </c>
      <c r="BH40" s="482">
        <v>0</v>
      </c>
      <c r="BI40" s="482">
        <v>0</v>
      </c>
      <c r="BJ40" s="482">
        <v>0</v>
      </c>
      <c r="BK40" s="482">
        <f>SUM(BG40:BJ40)</f>
        <v>0</v>
      </c>
      <c r="BL40" s="483">
        <f t="shared" si="1"/>
        <v>0</v>
      </c>
      <c r="BM40" s="482">
        <v>0</v>
      </c>
      <c r="BN40" s="482">
        <v>0</v>
      </c>
      <c r="BO40" s="482">
        <v>0</v>
      </c>
      <c r="BP40" s="482">
        <v>0</v>
      </c>
      <c r="BQ40" s="482">
        <f>SUM(BM40:BP40)</f>
        <v>0</v>
      </c>
      <c r="BR40" s="318"/>
      <c r="BS40" s="318"/>
      <c r="BT40" s="318"/>
      <c r="BU40" s="318"/>
      <c r="BV40" s="318"/>
      <c r="BW40" s="318"/>
      <c r="BX40" s="318"/>
      <c r="BY40" s="318"/>
      <c r="BZ40" s="318" t="s">
        <v>1309</v>
      </c>
      <c r="CA40" s="318"/>
      <c r="CB40" s="318"/>
      <c r="CC40" s="318"/>
      <c r="CD40" s="318"/>
      <c r="CE40" s="457" t="s">
        <v>1310</v>
      </c>
      <c r="CF40" s="443">
        <v>24.75</v>
      </c>
      <c r="CG40" s="360" t="s">
        <v>779</v>
      </c>
      <c r="CH40" s="430">
        <v>1</v>
      </c>
      <c r="CI40" s="360"/>
      <c r="CJ40" s="360"/>
      <c r="CK40" s="360"/>
      <c r="CL40" s="360"/>
      <c r="CM40" s="360"/>
      <c r="CN40" s="360"/>
      <c r="CO40" s="360"/>
      <c r="CP40" s="360"/>
      <c r="CR40" s="315" t="str">
        <f t="shared" si="9"/>
        <v>Argentina</v>
      </c>
      <c r="CS40" s="315" t="str">
        <f t="shared" si="10"/>
        <v>Salta</v>
      </c>
      <c r="CT40" s="315">
        <v>29</v>
      </c>
      <c r="CU40" s="315" t="s">
        <v>616</v>
      </c>
      <c r="CW40" s="315" t="s">
        <v>465</v>
      </c>
      <c r="CX40" s="315" t="s">
        <v>1396</v>
      </c>
      <c r="CY40" s="315" t="str">
        <f t="shared" si="2"/>
        <v>Salta</v>
      </c>
    </row>
    <row r="41" spans="1:103" s="315" customFormat="1" ht="19.5" hidden="1" customHeight="1" x14ac:dyDescent="0.25">
      <c r="A41" s="403">
        <v>30</v>
      </c>
      <c r="B41" s="313" t="s">
        <v>614</v>
      </c>
      <c r="C41" s="313" t="s">
        <v>856</v>
      </c>
      <c r="D41" s="318" t="s">
        <v>457</v>
      </c>
      <c r="E41" s="318"/>
      <c r="F41" s="313" t="s">
        <v>397</v>
      </c>
      <c r="G41" s="313" t="s">
        <v>1398</v>
      </c>
      <c r="H41" s="305"/>
      <c r="I41" s="305"/>
      <c r="J41" s="370">
        <v>0</v>
      </c>
      <c r="K41" s="370">
        <v>0</v>
      </c>
      <c r="L41" s="370">
        <f>K41-J41</f>
        <v>0</v>
      </c>
      <c r="M41" s="316" t="s">
        <v>807</v>
      </c>
      <c r="N41" s="398"/>
      <c r="O41" s="398"/>
      <c r="P41" s="305" t="s">
        <v>519</v>
      </c>
      <c r="Q41" s="324">
        <v>1.4E-2</v>
      </c>
      <c r="R41" s="305"/>
      <c r="S41" s="305"/>
      <c r="T41" s="305" t="s">
        <v>1012</v>
      </c>
      <c r="U41" s="305" t="s">
        <v>235</v>
      </c>
      <c r="V41" s="426"/>
      <c r="W41" s="317"/>
      <c r="X41" s="317"/>
      <c r="Y41" s="317" t="str">
        <f t="shared" si="3"/>
        <v/>
      </c>
      <c r="Z41" s="318">
        <v>2</v>
      </c>
      <c r="AA41" s="318"/>
      <c r="AB41" s="318"/>
      <c r="AC41" s="318">
        <v>3</v>
      </c>
      <c r="AD41" s="318"/>
      <c r="AE41" s="483">
        <f t="shared" si="30"/>
        <v>0</v>
      </c>
      <c r="AF41" s="482">
        <f t="shared" si="30"/>
        <v>0</v>
      </c>
      <c r="AG41" s="482">
        <f t="shared" si="30"/>
        <v>0</v>
      </c>
      <c r="AH41" s="482">
        <f t="shared" si="30"/>
        <v>0</v>
      </c>
      <c r="AI41" s="557">
        <f t="shared" si="30"/>
        <v>0</v>
      </c>
      <c r="AJ41" s="557">
        <f>IF(OR($M41="Exploration", $M41="Pre-feasibility", $O41&gt;2017), 0, "check")</f>
        <v>0</v>
      </c>
      <c r="AK41" s="556">
        <f t="shared" si="31"/>
        <v>0</v>
      </c>
      <c r="AL41" s="557">
        <f t="shared" si="31"/>
        <v>0</v>
      </c>
      <c r="AM41" s="557">
        <f t="shared" si="31"/>
        <v>0</v>
      </c>
      <c r="AN41" s="557">
        <f t="shared" si="31"/>
        <v>0</v>
      </c>
      <c r="AO41" s="557">
        <f t="shared" si="31"/>
        <v>0</v>
      </c>
      <c r="AP41" s="557">
        <f t="shared" si="31"/>
        <v>0</v>
      </c>
      <c r="AQ41" s="556">
        <f t="shared" si="32"/>
        <v>0</v>
      </c>
      <c r="AR41" s="557">
        <f t="shared" si="32"/>
        <v>0</v>
      </c>
      <c r="AS41" s="557">
        <f t="shared" si="32"/>
        <v>0</v>
      </c>
      <c r="AT41" s="557">
        <f t="shared" si="32"/>
        <v>0</v>
      </c>
      <c r="AU41" s="557">
        <f t="shared" si="32"/>
        <v>0</v>
      </c>
      <c r="AV41" s="559">
        <f t="shared" si="29"/>
        <v>0</v>
      </c>
      <c r="AW41" s="556">
        <f t="shared" si="23"/>
        <v>0</v>
      </c>
      <c r="AX41" s="514">
        <f t="shared" si="33"/>
        <v>0</v>
      </c>
      <c r="AY41" s="514" t="s">
        <v>1034</v>
      </c>
      <c r="AZ41" s="483">
        <f t="shared" si="7"/>
        <v>0</v>
      </c>
      <c r="BA41" s="482">
        <v>0</v>
      </c>
      <c r="BB41" s="482">
        <v>0</v>
      </c>
      <c r="BC41" s="482">
        <v>0</v>
      </c>
      <c r="BD41" s="482">
        <v>0</v>
      </c>
      <c r="BE41" s="482">
        <f t="shared" si="34"/>
        <v>0</v>
      </c>
      <c r="BF41" s="483">
        <f t="shared" si="8"/>
        <v>0</v>
      </c>
      <c r="BG41" s="482">
        <v>0</v>
      </c>
      <c r="BH41" s="482">
        <v>0</v>
      </c>
      <c r="BI41" s="482">
        <v>0</v>
      </c>
      <c r="BJ41" s="482">
        <v>0</v>
      </c>
      <c r="BK41" s="482">
        <f>SUM(BG41:BJ41)</f>
        <v>0</v>
      </c>
      <c r="BL41" s="483">
        <f t="shared" si="1"/>
        <v>0</v>
      </c>
      <c r="BM41" s="482">
        <v>0</v>
      </c>
      <c r="BN41" s="482">
        <v>0</v>
      </c>
      <c r="BO41" s="482">
        <v>0</v>
      </c>
      <c r="BP41" s="482">
        <v>0</v>
      </c>
      <c r="BQ41" s="482">
        <f>SUM(BM41:BP41)</f>
        <v>0</v>
      </c>
      <c r="BR41" s="318"/>
      <c r="BS41" s="318"/>
      <c r="BT41" s="318"/>
      <c r="BU41" s="318"/>
      <c r="BV41" s="318"/>
      <c r="BW41" s="318"/>
      <c r="BX41" s="318"/>
      <c r="BY41" s="318"/>
      <c r="BZ41" s="318"/>
      <c r="CA41" s="318"/>
      <c r="CB41" s="318"/>
      <c r="CC41" s="318"/>
      <c r="CD41" s="318"/>
      <c r="CE41" s="457"/>
      <c r="CF41" s="318">
        <v>24.75</v>
      </c>
      <c r="CG41" s="360" t="s">
        <v>779</v>
      </c>
      <c r="CH41" s="430">
        <v>1</v>
      </c>
      <c r="CI41" s="360"/>
      <c r="CJ41" s="360"/>
      <c r="CK41" s="360"/>
      <c r="CL41" s="360"/>
      <c r="CM41" s="360"/>
      <c r="CN41" s="360"/>
      <c r="CO41" s="360"/>
      <c r="CP41" s="360"/>
      <c r="CR41" s="315" t="str">
        <f t="shared" si="9"/>
        <v>Canada</v>
      </c>
      <c r="CS41" s="315" t="str">
        <f t="shared" si="10"/>
        <v>Quebec</v>
      </c>
      <c r="CT41" s="315">
        <v>30</v>
      </c>
      <c r="CU41" s="315" t="s">
        <v>856</v>
      </c>
      <c r="CW41" s="315" t="s">
        <v>397</v>
      </c>
      <c r="CX41" s="315" t="s">
        <v>1398</v>
      </c>
      <c r="CY41" s="315" t="str">
        <f t="shared" si="2"/>
        <v>Quebec</v>
      </c>
    </row>
    <row r="42" spans="1:103" s="315" customFormat="1" ht="19.5" hidden="1" customHeight="1" x14ac:dyDescent="0.25">
      <c r="A42" s="403">
        <v>31</v>
      </c>
      <c r="B42" s="313" t="s">
        <v>1299</v>
      </c>
      <c r="C42" s="313" t="s">
        <v>768</v>
      </c>
      <c r="D42" s="318" t="s">
        <v>457</v>
      </c>
      <c r="E42" s="318" t="s">
        <v>552</v>
      </c>
      <c r="F42" s="313" t="s">
        <v>247</v>
      </c>
      <c r="G42" s="313" t="s">
        <v>1214</v>
      </c>
      <c r="H42" s="305" t="s">
        <v>1001</v>
      </c>
      <c r="I42" s="305" t="s">
        <v>869</v>
      </c>
      <c r="J42" s="382" t="e">
        <f>155000*V42/(IF(#REF!="yes",0.188,1))</f>
        <v>#REF!</v>
      </c>
      <c r="K42" s="382" t="e">
        <f>240000*V42/(IF(#REF!="yes",0.188,1))</f>
        <v>#REF!</v>
      </c>
      <c r="L42" s="382" t="e">
        <f>K42</f>
        <v>#REF!</v>
      </c>
      <c r="M42" s="491" t="s">
        <v>611</v>
      </c>
      <c r="N42" s="398">
        <v>2016</v>
      </c>
      <c r="O42" s="398">
        <v>2018</v>
      </c>
      <c r="P42" s="305" t="s">
        <v>519</v>
      </c>
      <c r="Q42" s="354">
        <v>1.18E-2</v>
      </c>
      <c r="R42" s="305"/>
      <c r="S42" s="305" t="s">
        <v>1011</v>
      </c>
      <c r="T42" s="305"/>
      <c r="U42" s="305" t="s">
        <v>528</v>
      </c>
      <c r="V42" s="426">
        <f>5%*46.4%</f>
        <v>2.3199999999999998E-2</v>
      </c>
      <c r="W42" s="451" t="e">
        <f>(648*0.75)/#REF!/10^3</f>
        <v>#REF!</v>
      </c>
      <c r="X42" s="447"/>
      <c r="Y42" s="317" t="e">
        <f t="shared" si="3"/>
        <v>#REF!</v>
      </c>
      <c r="Z42" s="318">
        <v>2</v>
      </c>
      <c r="AA42" s="318">
        <v>3</v>
      </c>
      <c r="AB42" s="318">
        <v>3</v>
      </c>
      <c r="AC42" s="318">
        <v>1</v>
      </c>
      <c r="AD42" s="318" t="s">
        <v>853</v>
      </c>
      <c r="AE42" s="556">
        <v>10000</v>
      </c>
      <c r="AF42" s="557">
        <v>0</v>
      </c>
      <c r="AG42" s="557">
        <v>0</v>
      </c>
      <c r="AH42" s="557">
        <v>0</v>
      </c>
      <c r="AI42" s="557">
        <v>0</v>
      </c>
      <c r="AJ42" s="557">
        <f>IF(OR(M42="Exploration", M42="Pre-feasibility", O42&gt;2017), 0, "check")</f>
        <v>0</v>
      </c>
      <c r="AK42" s="554">
        <v>19127.659574468082</v>
      </c>
      <c r="AL42" s="557">
        <v>0</v>
      </c>
      <c r="AM42" s="557">
        <f>17403*0.023/0.188</f>
        <v>2129.0904255319151</v>
      </c>
      <c r="AN42" s="557">
        <f>28429*0.023/0.188</f>
        <v>3478.0159574468084</v>
      </c>
      <c r="AO42" s="557">
        <f>22724*0.023/0.188</f>
        <v>2780.0638297872342</v>
      </c>
      <c r="AP42" s="557">
        <f>SUM(AL42:AO42)</f>
        <v>8387.1702127659573</v>
      </c>
      <c r="AQ42" s="554">
        <v>19127.659574468082</v>
      </c>
      <c r="AR42" s="557">
        <f>38291*0.023/0.188</f>
        <v>4684.5372340425529</v>
      </c>
      <c r="AS42" s="557">
        <f>38717*0.023/0.188</f>
        <v>4736.6542553191484</v>
      </c>
      <c r="AT42" s="557">
        <v>0</v>
      </c>
      <c r="AU42" s="557">
        <v>0</v>
      </c>
      <c r="AV42" s="557">
        <f t="shared" si="29"/>
        <v>9421.1914893617013</v>
      </c>
      <c r="AW42" s="554" t="s">
        <v>1524</v>
      </c>
      <c r="AX42" s="559" t="str">
        <f t="shared" si="33"/>
        <v>check</v>
      </c>
      <c r="AY42" s="514" t="s">
        <v>1034</v>
      </c>
      <c r="AZ42" s="483">
        <f t="shared" si="7"/>
        <v>10000</v>
      </c>
      <c r="BA42" s="482">
        <v>0</v>
      </c>
      <c r="BB42" s="482">
        <v>0</v>
      </c>
      <c r="BC42" s="482">
        <v>0</v>
      </c>
      <c r="BD42" s="482">
        <v>0</v>
      </c>
      <c r="BE42" s="482">
        <v>0</v>
      </c>
      <c r="BF42" s="483">
        <f t="shared" si="8"/>
        <v>19127.659574468082</v>
      </c>
      <c r="BG42" s="482" t="s">
        <v>1524</v>
      </c>
      <c r="BH42" s="482" t="s">
        <v>1524</v>
      </c>
      <c r="BI42" s="482" t="s">
        <v>1524</v>
      </c>
      <c r="BJ42" s="482">
        <f>22370*0.023/0.188</f>
        <v>2736.755319148936</v>
      </c>
      <c r="BK42" s="482" t="s">
        <v>1524</v>
      </c>
      <c r="BL42" s="483">
        <f t="shared" si="1"/>
        <v>19127.659574468082</v>
      </c>
      <c r="BM42" s="482" t="s">
        <v>1524</v>
      </c>
      <c r="BN42" s="482">
        <f>18669*0.023/0.188</f>
        <v>2283.9734042553191</v>
      </c>
      <c r="BO42" s="482" t="s">
        <v>1524</v>
      </c>
      <c r="BP42" s="482" t="s">
        <v>1524</v>
      </c>
      <c r="BQ42" s="482" t="s">
        <v>1524</v>
      </c>
      <c r="BR42" s="318"/>
      <c r="BS42" s="318"/>
      <c r="BT42" s="318"/>
      <c r="BU42" s="318"/>
      <c r="BV42" s="318"/>
      <c r="BW42" s="318"/>
      <c r="BX42" s="318"/>
      <c r="BY42" s="318"/>
      <c r="BZ42" s="318" t="s">
        <v>1472</v>
      </c>
      <c r="CA42" s="318"/>
      <c r="CB42" s="318"/>
      <c r="CC42" s="318"/>
      <c r="CD42" s="318"/>
      <c r="CE42" s="457"/>
      <c r="CF42" s="443"/>
      <c r="CG42" s="360" t="s">
        <v>1300</v>
      </c>
      <c r="CH42" s="430">
        <v>1</v>
      </c>
      <c r="CI42" s="360" t="s">
        <v>779</v>
      </c>
      <c r="CJ42" s="360"/>
      <c r="CK42" s="360"/>
      <c r="CL42" s="360"/>
      <c r="CM42" s="360"/>
      <c r="CN42" s="360"/>
      <c r="CO42" s="360"/>
      <c r="CP42" s="360"/>
      <c r="CR42" s="315" t="str">
        <f t="shared" si="9"/>
        <v>Australia</v>
      </c>
      <c r="CS42" s="315" t="str">
        <f t="shared" si="10"/>
        <v>Western Australia</v>
      </c>
      <c r="CT42" s="315">
        <v>31</v>
      </c>
      <c r="CU42" s="315" t="s">
        <v>768</v>
      </c>
      <c r="CV42" s="315" t="s">
        <v>552</v>
      </c>
      <c r="CW42" s="315" t="s">
        <v>247</v>
      </c>
      <c r="CX42" s="315" t="s">
        <v>1214</v>
      </c>
      <c r="CY42" s="315" t="str">
        <f t="shared" si="2"/>
        <v>Western Australia</v>
      </c>
    </row>
    <row r="43" spans="1:103" s="315" customFormat="1" ht="30" hidden="1" customHeight="1" x14ac:dyDescent="0.25">
      <c r="A43" s="403">
        <v>32</v>
      </c>
      <c r="B43" s="313" t="s">
        <v>1336</v>
      </c>
      <c r="C43" s="313" t="s">
        <v>964</v>
      </c>
      <c r="D43" s="318" t="s">
        <v>457</v>
      </c>
      <c r="E43" s="318"/>
      <c r="F43" s="313" t="s">
        <v>247</v>
      </c>
      <c r="G43" s="313" t="s">
        <v>1214</v>
      </c>
      <c r="H43" s="321"/>
      <c r="I43" s="305" t="s">
        <v>1326</v>
      </c>
      <c r="J43" s="370" t="e">
        <f>0/(IF(#REF!="yes",0.188,1))</f>
        <v>#REF!</v>
      </c>
      <c r="K43" s="370" t="e">
        <f>345000*V43/(IF(#REF!="yes",0.188,1))</f>
        <v>#REF!</v>
      </c>
      <c r="L43" s="370" t="e">
        <f>K43-J43</f>
        <v>#REF!</v>
      </c>
      <c r="M43" s="316" t="s">
        <v>619</v>
      </c>
      <c r="N43" s="398"/>
      <c r="O43" s="398">
        <v>2023</v>
      </c>
      <c r="P43" s="305" t="s">
        <v>519</v>
      </c>
      <c r="Q43" s="354">
        <v>1.4999999999999999E-2</v>
      </c>
      <c r="R43" s="305"/>
      <c r="S43" s="305" t="s">
        <v>1325</v>
      </c>
      <c r="T43" s="305" t="s">
        <v>1334</v>
      </c>
      <c r="U43" s="305" t="s">
        <v>528</v>
      </c>
      <c r="V43" s="426">
        <f>5.5%*46.4%</f>
        <v>2.5519999999999998E-2</v>
      </c>
      <c r="W43" s="443" t="e">
        <f>264/#REF!/10^3</f>
        <v>#REF!</v>
      </c>
      <c r="X43" s="445"/>
      <c r="Y43" s="317" t="e">
        <f t="shared" si="3"/>
        <v>#REF!</v>
      </c>
      <c r="Z43" s="318">
        <v>3</v>
      </c>
      <c r="AA43" s="318">
        <v>5</v>
      </c>
      <c r="AB43" s="318">
        <v>3</v>
      </c>
      <c r="AC43" s="318">
        <v>5</v>
      </c>
      <c r="AD43" s="463" t="s">
        <v>1323</v>
      </c>
      <c r="AE43" s="556">
        <f t="shared" si="30"/>
        <v>0</v>
      </c>
      <c r="AF43" s="557">
        <f t="shared" si="30"/>
        <v>0</v>
      </c>
      <c r="AG43" s="557">
        <f t="shared" si="30"/>
        <v>0</v>
      </c>
      <c r="AH43" s="557">
        <f t="shared" si="30"/>
        <v>0</v>
      </c>
      <c r="AI43" s="557">
        <f t="shared" si="30"/>
        <v>0</v>
      </c>
      <c r="AJ43" s="557">
        <f>IF(OR($M43="Exploration", $M43="Pre-feasibility", $O43&gt;2017), 0, "check")</f>
        <v>0</v>
      </c>
      <c r="AK43" s="556">
        <f t="shared" ref="AK43:AP52" si="35">IF(OR($M43="Exploration", $M43="Pre-feasibility", $O43&gt;2018), 0, "check")</f>
        <v>0</v>
      </c>
      <c r="AL43" s="557">
        <f t="shared" si="35"/>
        <v>0</v>
      </c>
      <c r="AM43" s="557">
        <f t="shared" si="35"/>
        <v>0</v>
      </c>
      <c r="AN43" s="557">
        <f t="shared" si="35"/>
        <v>0</v>
      </c>
      <c r="AO43" s="557">
        <f t="shared" si="35"/>
        <v>0</v>
      </c>
      <c r="AP43" s="557">
        <f t="shared" si="35"/>
        <v>0</v>
      </c>
      <c r="AQ43" s="556">
        <f t="shared" ref="AQ43:AU52" si="36">IF(OR($M43="Exploration", $M43="Pre-feasibility", $O43&gt;2019), 0, "check")</f>
        <v>0</v>
      </c>
      <c r="AR43" s="557">
        <f t="shared" si="36"/>
        <v>0</v>
      </c>
      <c r="AS43" s="557">
        <f t="shared" si="36"/>
        <v>0</v>
      </c>
      <c r="AT43" s="557">
        <f t="shared" si="36"/>
        <v>0</v>
      </c>
      <c r="AU43" s="557">
        <f t="shared" si="36"/>
        <v>0</v>
      </c>
      <c r="AV43" s="559">
        <f t="shared" ref="AV43:AV52" si="37">SUM(AR43:AU43)</f>
        <v>0</v>
      </c>
      <c r="AW43" s="556">
        <f t="shared" si="23"/>
        <v>0</v>
      </c>
      <c r="AX43" s="559">
        <f t="shared" si="33"/>
        <v>0</v>
      </c>
      <c r="AY43" s="514" t="s">
        <v>1034</v>
      </c>
      <c r="AZ43" s="483">
        <f t="shared" si="7"/>
        <v>0</v>
      </c>
      <c r="BA43" s="482">
        <v>0</v>
      </c>
      <c r="BB43" s="482">
        <v>0</v>
      </c>
      <c r="BC43" s="482">
        <v>0</v>
      </c>
      <c r="BD43" s="482">
        <v>0</v>
      </c>
      <c r="BE43" s="482">
        <v>0</v>
      </c>
      <c r="BF43" s="483">
        <f t="shared" si="8"/>
        <v>0</v>
      </c>
      <c r="BG43" s="482">
        <v>0</v>
      </c>
      <c r="BH43" s="482">
        <v>0</v>
      </c>
      <c r="BI43" s="482">
        <v>0</v>
      </c>
      <c r="BJ43" s="482">
        <v>0</v>
      </c>
      <c r="BK43" s="482">
        <v>0</v>
      </c>
      <c r="BL43" s="483">
        <f t="shared" si="1"/>
        <v>0</v>
      </c>
      <c r="BM43" s="482">
        <v>0</v>
      </c>
      <c r="BN43" s="482">
        <v>0</v>
      </c>
      <c r="BO43" s="482">
        <v>0</v>
      </c>
      <c r="BP43" s="482">
        <v>0</v>
      </c>
      <c r="BQ43" s="482">
        <v>0</v>
      </c>
      <c r="BR43" s="318" t="s">
        <v>1333</v>
      </c>
      <c r="BS43" s="318">
        <v>4.5</v>
      </c>
      <c r="BT43" s="464">
        <v>0.85</v>
      </c>
      <c r="BU43" s="318">
        <v>47</v>
      </c>
      <c r="BV43" s="318"/>
      <c r="BW43" s="318"/>
      <c r="BX43" s="318"/>
      <c r="BY43" s="318"/>
      <c r="BZ43" s="318" t="s">
        <v>1331</v>
      </c>
      <c r="CA43" s="318"/>
      <c r="CB43" s="318" t="s">
        <v>1322</v>
      </c>
      <c r="CC43" s="318" t="s">
        <v>1332</v>
      </c>
      <c r="CD43" s="318"/>
      <c r="CE43" s="457" t="s">
        <v>1329</v>
      </c>
      <c r="CF43" s="443">
        <f>(536*50%)+(850*50%)</f>
        <v>693</v>
      </c>
      <c r="CG43" s="360" t="s">
        <v>461</v>
      </c>
      <c r="CH43" s="430">
        <v>0.5</v>
      </c>
      <c r="CI43" s="360" t="s">
        <v>1335</v>
      </c>
      <c r="CJ43" s="430">
        <v>0.5</v>
      </c>
      <c r="CK43" s="360"/>
      <c r="CL43" s="360"/>
      <c r="CM43" s="360"/>
      <c r="CN43" s="360"/>
      <c r="CO43" s="360"/>
      <c r="CP43" s="360"/>
      <c r="CR43" s="315" t="str">
        <f t="shared" si="9"/>
        <v>Australia</v>
      </c>
      <c r="CS43" s="315" t="str">
        <f t="shared" si="10"/>
        <v>Western Australia</v>
      </c>
      <c r="CT43" s="315">
        <v>32</v>
      </c>
      <c r="CU43" s="315" t="s">
        <v>964</v>
      </c>
      <c r="CW43" s="315" t="s">
        <v>247</v>
      </c>
      <c r="CX43" s="315" t="s">
        <v>1214</v>
      </c>
      <c r="CY43" s="315" t="str">
        <f t="shared" si="2"/>
        <v>Western Australia</v>
      </c>
    </row>
    <row r="44" spans="1:103" s="315" customFormat="1" ht="25" hidden="1" x14ac:dyDescent="0.25">
      <c r="A44" s="403">
        <v>33</v>
      </c>
      <c r="B44" s="313" t="s">
        <v>1336</v>
      </c>
      <c r="C44" s="313" t="s">
        <v>935</v>
      </c>
      <c r="D44" s="318" t="s">
        <v>594</v>
      </c>
      <c r="E44" s="318"/>
      <c r="F44" s="313" t="s">
        <v>247</v>
      </c>
      <c r="G44" s="313" t="s">
        <v>1214</v>
      </c>
      <c r="H44" s="305"/>
      <c r="I44" s="305" t="s">
        <v>729</v>
      </c>
      <c r="J44" s="370" t="e">
        <f>0/(IF(#REF!="yes",0.188,1))</f>
        <v>#REF!</v>
      </c>
      <c r="K44" s="370" t="e">
        <f>(45254*V44)/(IF(#REF!="yes",0.188,1))</f>
        <v>#REF!</v>
      </c>
      <c r="L44" s="370" t="e">
        <f>K44-J44</f>
        <v>#REF!</v>
      </c>
      <c r="M44" s="316" t="s">
        <v>619</v>
      </c>
      <c r="N44" s="398">
        <v>2020</v>
      </c>
      <c r="O44" s="398">
        <v>2023</v>
      </c>
      <c r="P44" s="305" t="s">
        <v>519</v>
      </c>
      <c r="Q44" s="324">
        <v>1.4999999999999999E-2</v>
      </c>
      <c r="R44" s="305"/>
      <c r="S44" s="305" t="s">
        <v>1325</v>
      </c>
      <c r="T44" s="305" t="s">
        <v>1334</v>
      </c>
      <c r="U44" s="305" t="s">
        <v>579</v>
      </c>
      <c r="V44" s="426">
        <v>0.16600000000000001</v>
      </c>
      <c r="W44" s="443">
        <f>4507/10^3</f>
        <v>4.5069999999999997</v>
      </c>
      <c r="X44" s="445"/>
      <c r="Y44" s="317" t="e">
        <f t="shared" si="3"/>
        <v>#REF!</v>
      </c>
      <c r="Z44" s="318">
        <v>4</v>
      </c>
      <c r="AA44" s="318">
        <v>5</v>
      </c>
      <c r="AB44" s="318">
        <v>5</v>
      </c>
      <c r="AC44" s="318">
        <v>5</v>
      </c>
      <c r="AD44" s="458" t="s">
        <v>1321</v>
      </c>
      <c r="AE44" s="556">
        <f t="shared" si="30"/>
        <v>0</v>
      </c>
      <c r="AF44" s="557">
        <f t="shared" si="30"/>
        <v>0</v>
      </c>
      <c r="AG44" s="557">
        <f t="shared" si="30"/>
        <v>0</v>
      </c>
      <c r="AH44" s="557">
        <f t="shared" si="30"/>
        <v>0</v>
      </c>
      <c r="AI44" s="557">
        <f t="shared" si="30"/>
        <v>0</v>
      </c>
      <c r="AJ44" s="557">
        <f t="shared" si="30"/>
        <v>0</v>
      </c>
      <c r="AK44" s="556">
        <f t="shared" si="35"/>
        <v>0</v>
      </c>
      <c r="AL44" s="557">
        <f t="shared" si="35"/>
        <v>0</v>
      </c>
      <c r="AM44" s="557">
        <f t="shared" si="35"/>
        <v>0</v>
      </c>
      <c r="AN44" s="557">
        <f t="shared" si="35"/>
        <v>0</v>
      </c>
      <c r="AO44" s="557">
        <f t="shared" si="35"/>
        <v>0</v>
      </c>
      <c r="AP44" s="557">
        <f t="shared" si="35"/>
        <v>0</v>
      </c>
      <c r="AQ44" s="556">
        <f t="shared" si="36"/>
        <v>0</v>
      </c>
      <c r="AR44" s="557">
        <f t="shared" si="36"/>
        <v>0</v>
      </c>
      <c r="AS44" s="557">
        <f t="shared" si="36"/>
        <v>0</v>
      </c>
      <c r="AT44" s="557">
        <f t="shared" si="36"/>
        <v>0</v>
      </c>
      <c r="AU44" s="557">
        <f t="shared" si="36"/>
        <v>0</v>
      </c>
      <c r="AV44" s="559">
        <f t="shared" si="37"/>
        <v>0</v>
      </c>
      <c r="AW44" s="556">
        <f t="shared" si="23"/>
        <v>0</v>
      </c>
      <c r="AX44" s="559">
        <f t="shared" si="33"/>
        <v>0</v>
      </c>
      <c r="AY44" s="514" t="s">
        <v>1034</v>
      </c>
      <c r="AZ44" s="483">
        <f t="shared" si="7"/>
        <v>0</v>
      </c>
      <c r="BA44" s="482">
        <v>0</v>
      </c>
      <c r="BB44" s="482">
        <v>0</v>
      </c>
      <c r="BC44" s="482">
        <v>0</v>
      </c>
      <c r="BD44" s="482">
        <v>0</v>
      </c>
      <c r="BE44" s="482">
        <v>0</v>
      </c>
      <c r="BF44" s="483">
        <f t="shared" si="8"/>
        <v>0</v>
      </c>
      <c r="BG44" s="482">
        <v>0</v>
      </c>
      <c r="BH44" s="482">
        <v>0</v>
      </c>
      <c r="BI44" s="482">
        <v>0</v>
      </c>
      <c r="BJ44" s="482">
        <v>0</v>
      </c>
      <c r="BK44" s="482">
        <v>0</v>
      </c>
      <c r="BL44" s="483">
        <f t="shared" si="1"/>
        <v>0</v>
      </c>
      <c r="BM44" s="482">
        <v>0</v>
      </c>
      <c r="BN44" s="482">
        <v>0</v>
      </c>
      <c r="BO44" s="482">
        <v>0</v>
      </c>
      <c r="BP44" s="482">
        <v>0</v>
      </c>
      <c r="BQ44" s="482">
        <v>0</v>
      </c>
      <c r="BR44" s="318" t="s">
        <v>1333</v>
      </c>
      <c r="BS44" s="318">
        <v>4.5</v>
      </c>
      <c r="BT44" s="464">
        <v>0.85</v>
      </c>
      <c r="BU44" s="318">
        <v>47</v>
      </c>
      <c r="BV44" s="318"/>
      <c r="BW44" s="318"/>
      <c r="BX44" s="318"/>
      <c r="BY44" s="318"/>
      <c r="BZ44" s="318" t="s">
        <v>1320</v>
      </c>
      <c r="CA44" s="318"/>
      <c r="CB44" s="318" t="s">
        <v>1322</v>
      </c>
      <c r="CC44" s="318" t="s">
        <v>1332</v>
      </c>
      <c r="CD44" s="318"/>
      <c r="CE44" s="457" t="s">
        <v>1330</v>
      </c>
      <c r="CF44" s="443">
        <f>(536*50%)+(850*50%)</f>
        <v>693</v>
      </c>
      <c r="CG44" s="360" t="s">
        <v>461</v>
      </c>
      <c r="CH44" s="430">
        <v>0.5</v>
      </c>
      <c r="CI44" s="360" t="s">
        <v>1335</v>
      </c>
      <c r="CJ44" s="430">
        <v>0.5</v>
      </c>
      <c r="CK44" s="360"/>
      <c r="CL44" s="360"/>
      <c r="CM44" s="360"/>
      <c r="CN44" s="360"/>
      <c r="CO44" s="360"/>
      <c r="CP44" s="360"/>
      <c r="CR44" s="315" t="str">
        <f t="shared" si="9"/>
        <v>Australia</v>
      </c>
      <c r="CS44" s="315" t="str">
        <f t="shared" si="10"/>
        <v>Western Australia</v>
      </c>
      <c r="CT44" s="315">
        <v>33</v>
      </c>
      <c r="CU44" s="315" t="s">
        <v>935</v>
      </c>
      <c r="CV44" s="315" t="s">
        <v>32</v>
      </c>
      <c r="CW44" s="315" t="s">
        <v>247</v>
      </c>
      <c r="CX44" s="315" t="s">
        <v>1214</v>
      </c>
      <c r="CY44" s="315" t="str">
        <f t="shared" si="2"/>
        <v>Western Australia</v>
      </c>
    </row>
    <row r="45" spans="1:103" s="315" customFormat="1" ht="19.5" hidden="1" customHeight="1" x14ac:dyDescent="0.25">
      <c r="A45" s="403">
        <v>34</v>
      </c>
      <c r="B45" s="313" t="s">
        <v>479</v>
      </c>
      <c r="C45" s="313" t="s">
        <v>538</v>
      </c>
      <c r="D45" s="318" t="s">
        <v>457</v>
      </c>
      <c r="E45" s="318" t="s">
        <v>552</v>
      </c>
      <c r="F45" s="313" t="s">
        <v>395</v>
      </c>
      <c r="G45" s="313" t="s">
        <v>705</v>
      </c>
      <c r="H45" s="305"/>
      <c r="I45" s="305" t="s">
        <v>622</v>
      </c>
      <c r="J45" s="370" t="e">
        <f>0/(IF(#REF!="yes",0.188,1))</f>
        <v>#REF!</v>
      </c>
      <c r="K45" s="370" t="e">
        <f>30000*V45/(IF(#REF!="yes",0.188,1))</f>
        <v>#REF!</v>
      </c>
      <c r="L45" s="370" t="e">
        <f>K45-J45</f>
        <v>#REF!</v>
      </c>
      <c r="M45" s="316" t="s">
        <v>807</v>
      </c>
      <c r="N45" s="398"/>
      <c r="O45" s="398">
        <v>2022</v>
      </c>
      <c r="P45" s="305" t="s">
        <v>474</v>
      </c>
      <c r="Q45" s="304" t="s">
        <v>539</v>
      </c>
      <c r="R45" s="305" t="s">
        <v>625</v>
      </c>
      <c r="S45" s="305" t="s">
        <v>1377</v>
      </c>
      <c r="T45" s="305" t="s">
        <v>1378</v>
      </c>
      <c r="U45" s="305" t="s">
        <v>528</v>
      </c>
      <c r="V45" s="426">
        <v>0.188</v>
      </c>
      <c r="W45" s="317">
        <v>2.5099999999999998</v>
      </c>
      <c r="X45" s="317"/>
      <c r="Y45" s="317" t="e">
        <f t="shared" si="3"/>
        <v>#REF!</v>
      </c>
      <c r="Z45" s="318">
        <v>4</v>
      </c>
      <c r="AA45" s="318">
        <v>1</v>
      </c>
      <c r="AB45" s="318">
        <v>4</v>
      </c>
      <c r="AC45" s="318">
        <v>3</v>
      </c>
      <c r="AD45" s="458" t="s">
        <v>1380</v>
      </c>
      <c r="AE45" s="556">
        <f t="shared" si="30"/>
        <v>0</v>
      </c>
      <c r="AF45" s="557">
        <f t="shared" si="30"/>
        <v>0</v>
      </c>
      <c r="AG45" s="557">
        <f t="shared" si="30"/>
        <v>0</v>
      </c>
      <c r="AH45" s="557">
        <f t="shared" si="30"/>
        <v>0</v>
      </c>
      <c r="AI45" s="557">
        <f t="shared" si="30"/>
        <v>0</v>
      </c>
      <c r="AJ45" s="557">
        <f t="shared" si="30"/>
        <v>0</v>
      </c>
      <c r="AK45" s="556">
        <f t="shared" si="35"/>
        <v>0</v>
      </c>
      <c r="AL45" s="557">
        <f t="shared" si="35"/>
        <v>0</v>
      </c>
      <c r="AM45" s="557">
        <f t="shared" si="35"/>
        <v>0</v>
      </c>
      <c r="AN45" s="557">
        <f t="shared" si="35"/>
        <v>0</v>
      </c>
      <c r="AO45" s="557">
        <f t="shared" si="35"/>
        <v>0</v>
      </c>
      <c r="AP45" s="557">
        <f t="shared" si="35"/>
        <v>0</v>
      </c>
      <c r="AQ45" s="556">
        <f t="shared" si="36"/>
        <v>0</v>
      </c>
      <c r="AR45" s="557">
        <f t="shared" si="36"/>
        <v>0</v>
      </c>
      <c r="AS45" s="557">
        <f t="shared" si="36"/>
        <v>0</v>
      </c>
      <c r="AT45" s="557">
        <f t="shared" si="36"/>
        <v>0</v>
      </c>
      <c r="AU45" s="557">
        <f t="shared" si="36"/>
        <v>0</v>
      </c>
      <c r="AV45" s="559">
        <f t="shared" si="37"/>
        <v>0</v>
      </c>
      <c r="AW45" s="556">
        <f t="shared" si="23"/>
        <v>0</v>
      </c>
      <c r="AX45" s="559">
        <f t="shared" si="33"/>
        <v>0</v>
      </c>
      <c r="AY45" s="514" t="s">
        <v>1034</v>
      </c>
      <c r="AZ45" s="483">
        <f t="shared" si="7"/>
        <v>0</v>
      </c>
      <c r="BA45" s="482" t="s">
        <v>1524</v>
      </c>
      <c r="BB45" s="482" t="s">
        <v>1524</v>
      </c>
      <c r="BC45" s="482" t="s">
        <v>1524</v>
      </c>
      <c r="BD45" s="482" t="s">
        <v>1524</v>
      </c>
      <c r="BE45" s="482" t="s">
        <v>1524</v>
      </c>
      <c r="BF45" s="483">
        <f t="shared" si="8"/>
        <v>0</v>
      </c>
      <c r="BG45" s="482" t="s">
        <v>1524</v>
      </c>
      <c r="BH45" s="482" t="s">
        <v>1524</v>
      </c>
      <c r="BI45" s="482" t="s">
        <v>1524</v>
      </c>
      <c r="BJ45" s="482" t="s">
        <v>1524</v>
      </c>
      <c r="BK45" s="482" t="s">
        <v>1524</v>
      </c>
      <c r="BL45" s="483">
        <f t="shared" si="1"/>
        <v>0</v>
      </c>
      <c r="BM45" s="482" t="s">
        <v>1524</v>
      </c>
      <c r="BN45" s="482" t="s">
        <v>1524</v>
      </c>
      <c r="BO45" s="482" t="s">
        <v>1524</v>
      </c>
      <c r="BP45" s="482" t="s">
        <v>1524</v>
      </c>
      <c r="BQ45" s="482" t="s">
        <v>1524</v>
      </c>
      <c r="BR45" s="318" t="s">
        <v>1382</v>
      </c>
      <c r="BS45" s="318" t="s">
        <v>625</v>
      </c>
      <c r="BT45" s="318"/>
      <c r="BU45" s="318">
        <v>46</v>
      </c>
      <c r="BV45" s="318" t="s">
        <v>1136</v>
      </c>
      <c r="BW45" s="318"/>
      <c r="BX45" s="318"/>
      <c r="BY45" s="318"/>
      <c r="BZ45" s="318" t="s">
        <v>1379</v>
      </c>
      <c r="CA45" s="318"/>
      <c r="CB45" s="318"/>
      <c r="CC45" s="318" t="s">
        <v>1381</v>
      </c>
      <c r="CD45" s="318"/>
      <c r="CE45" s="457">
        <f>46+3+89+91</f>
        <v>229</v>
      </c>
      <c r="CF45" s="442">
        <v>41.6</v>
      </c>
      <c r="CG45" s="360" t="s">
        <v>748</v>
      </c>
      <c r="CH45" s="430">
        <v>1</v>
      </c>
      <c r="CI45" s="360"/>
      <c r="CJ45" s="360"/>
      <c r="CK45" s="360"/>
      <c r="CL45" s="360"/>
      <c r="CM45" s="360"/>
      <c r="CN45" s="360"/>
      <c r="CO45" s="360"/>
      <c r="CP45" s="360"/>
      <c r="CR45" s="315" t="str">
        <f t="shared" si="9"/>
        <v>U.S.</v>
      </c>
      <c r="CS45" s="315" t="str">
        <f t="shared" si="10"/>
        <v>Nevada</v>
      </c>
      <c r="CT45" s="315">
        <v>34</v>
      </c>
      <c r="CU45" s="315" t="s">
        <v>538</v>
      </c>
      <c r="CV45" s="315" t="s">
        <v>552</v>
      </c>
      <c r="CW45" s="315" t="s">
        <v>395</v>
      </c>
      <c r="CX45" s="315" t="s">
        <v>705</v>
      </c>
      <c r="CY45" s="315" t="str">
        <f t="shared" si="2"/>
        <v>Nevada</v>
      </c>
    </row>
    <row r="46" spans="1:103" s="315" customFormat="1" ht="19.5" hidden="1" customHeight="1" x14ac:dyDescent="0.25">
      <c r="A46" s="403">
        <v>35</v>
      </c>
      <c r="B46" s="313" t="s">
        <v>479</v>
      </c>
      <c r="C46" s="313" t="s">
        <v>538</v>
      </c>
      <c r="D46" s="318" t="s">
        <v>457</v>
      </c>
      <c r="E46" s="318" t="s">
        <v>553</v>
      </c>
      <c r="F46" s="313" t="s">
        <v>395</v>
      </c>
      <c r="G46" s="313" t="s">
        <v>705</v>
      </c>
      <c r="H46" s="305"/>
      <c r="I46" s="305" t="s">
        <v>624</v>
      </c>
      <c r="J46" s="370" t="e">
        <f>0/(IF(#REF!="yes",0.188,1))</f>
        <v>#REF!</v>
      </c>
      <c r="K46" s="370" t="e">
        <f>60000*V46/(IF(#REF!="yes",0.188,1))</f>
        <v>#REF!</v>
      </c>
      <c r="L46" s="370" t="e">
        <f>K46-K45</f>
        <v>#REF!</v>
      </c>
      <c r="M46" s="316" t="s">
        <v>807</v>
      </c>
      <c r="N46" s="398"/>
      <c r="O46" s="398">
        <v>2026</v>
      </c>
      <c r="P46" s="305" t="s">
        <v>474</v>
      </c>
      <c r="Q46" s="304" t="s">
        <v>539</v>
      </c>
      <c r="R46" s="305" t="s">
        <v>625</v>
      </c>
      <c r="S46" s="305" t="s">
        <v>1377</v>
      </c>
      <c r="T46" s="305" t="s">
        <v>1378</v>
      </c>
      <c r="U46" s="305" t="s">
        <v>528</v>
      </c>
      <c r="V46" s="426">
        <v>0.188</v>
      </c>
      <c r="W46" s="317">
        <v>2.5099999999999998</v>
      </c>
      <c r="X46" s="317"/>
      <c r="Y46" s="317" t="e">
        <f t="shared" si="3"/>
        <v>#REF!</v>
      </c>
      <c r="Z46" s="318">
        <v>4</v>
      </c>
      <c r="AA46" s="318">
        <v>1</v>
      </c>
      <c r="AB46" s="318">
        <v>4</v>
      </c>
      <c r="AC46" s="318">
        <v>3</v>
      </c>
      <c r="AD46" s="458" t="s">
        <v>1380</v>
      </c>
      <c r="AE46" s="556">
        <f t="shared" si="30"/>
        <v>0</v>
      </c>
      <c r="AF46" s="557">
        <f t="shared" si="30"/>
        <v>0</v>
      </c>
      <c r="AG46" s="557">
        <f t="shared" si="30"/>
        <v>0</v>
      </c>
      <c r="AH46" s="557">
        <f t="shared" si="30"/>
        <v>0</v>
      </c>
      <c r="AI46" s="557">
        <f t="shared" si="30"/>
        <v>0</v>
      </c>
      <c r="AJ46" s="557">
        <f t="shared" si="30"/>
        <v>0</v>
      </c>
      <c r="AK46" s="556">
        <f t="shared" si="35"/>
        <v>0</v>
      </c>
      <c r="AL46" s="557">
        <f t="shared" si="35"/>
        <v>0</v>
      </c>
      <c r="AM46" s="557">
        <f t="shared" si="35"/>
        <v>0</v>
      </c>
      <c r="AN46" s="557">
        <f t="shared" si="35"/>
        <v>0</v>
      </c>
      <c r="AO46" s="557">
        <f t="shared" si="35"/>
        <v>0</v>
      </c>
      <c r="AP46" s="557">
        <f t="shared" si="35"/>
        <v>0</v>
      </c>
      <c r="AQ46" s="556">
        <f t="shared" si="36"/>
        <v>0</v>
      </c>
      <c r="AR46" s="557">
        <f t="shared" si="36"/>
        <v>0</v>
      </c>
      <c r="AS46" s="557">
        <f t="shared" si="36"/>
        <v>0</v>
      </c>
      <c r="AT46" s="557">
        <f t="shared" si="36"/>
        <v>0</v>
      </c>
      <c r="AU46" s="557">
        <f t="shared" si="36"/>
        <v>0</v>
      </c>
      <c r="AV46" s="559">
        <f t="shared" si="37"/>
        <v>0</v>
      </c>
      <c r="AW46" s="556">
        <f t="shared" si="23"/>
        <v>0</v>
      </c>
      <c r="AX46" s="559">
        <f t="shared" si="33"/>
        <v>0</v>
      </c>
      <c r="AY46" s="514" t="s">
        <v>1034</v>
      </c>
      <c r="AZ46" s="483">
        <f t="shared" si="7"/>
        <v>0</v>
      </c>
      <c r="BA46" s="482" t="s">
        <v>1524</v>
      </c>
      <c r="BB46" s="482" t="s">
        <v>1524</v>
      </c>
      <c r="BC46" s="482" t="s">
        <v>1524</v>
      </c>
      <c r="BD46" s="482" t="s">
        <v>1524</v>
      </c>
      <c r="BE46" s="482" t="s">
        <v>1524</v>
      </c>
      <c r="BF46" s="483">
        <f t="shared" si="8"/>
        <v>0</v>
      </c>
      <c r="BG46" s="482" t="s">
        <v>1524</v>
      </c>
      <c r="BH46" s="482" t="s">
        <v>1524</v>
      </c>
      <c r="BI46" s="482" t="s">
        <v>1524</v>
      </c>
      <c r="BJ46" s="482" t="s">
        <v>1524</v>
      </c>
      <c r="BK46" s="482" t="s">
        <v>1524</v>
      </c>
      <c r="BL46" s="483">
        <f t="shared" si="1"/>
        <v>0</v>
      </c>
      <c r="BM46" s="482" t="s">
        <v>1524</v>
      </c>
      <c r="BN46" s="482" t="s">
        <v>1524</v>
      </c>
      <c r="BO46" s="482" t="s">
        <v>1524</v>
      </c>
      <c r="BP46" s="482" t="s">
        <v>1524</v>
      </c>
      <c r="BQ46" s="482" t="s">
        <v>1524</v>
      </c>
      <c r="BR46" s="318" t="s">
        <v>1382</v>
      </c>
      <c r="BS46" s="318" t="s">
        <v>625</v>
      </c>
      <c r="BT46" s="318"/>
      <c r="BU46" s="318">
        <v>46</v>
      </c>
      <c r="BV46" s="318" t="s">
        <v>1136</v>
      </c>
      <c r="BW46" s="318"/>
      <c r="BX46" s="318"/>
      <c r="BY46" s="318"/>
      <c r="BZ46" s="318" t="s">
        <v>1379</v>
      </c>
      <c r="CA46" s="318"/>
      <c r="CB46" s="318"/>
      <c r="CC46" s="318" t="s">
        <v>1381</v>
      </c>
      <c r="CD46" s="318"/>
      <c r="CE46" s="457">
        <f>1+81+65+77</f>
        <v>224</v>
      </c>
      <c r="CF46" s="442">
        <v>41.6</v>
      </c>
      <c r="CG46" s="360" t="s">
        <v>748</v>
      </c>
      <c r="CH46" s="430">
        <v>1</v>
      </c>
      <c r="CI46" s="360"/>
      <c r="CJ46" s="360"/>
      <c r="CK46" s="360"/>
      <c r="CL46" s="360"/>
      <c r="CM46" s="360"/>
      <c r="CN46" s="360"/>
      <c r="CO46" s="360"/>
      <c r="CP46" s="360"/>
      <c r="CR46" s="315" t="str">
        <f t="shared" si="9"/>
        <v>U.S.</v>
      </c>
      <c r="CS46" s="315" t="str">
        <f t="shared" si="10"/>
        <v>Nevada</v>
      </c>
      <c r="CT46" s="315">
        <v>35</v>
      </c>
      <c r="CU46" s="315" t="s">
        <v>538</v>
      </c>
      <c r="CV46" s="315" t="s">
        <v>553</v>
      </c>
      <c r="CW46" s="315" t="s">
        <v>395</v>
      </c>
      <c r="CX46" s="315" t="s">
        <v>705</v>
      </c>
      <c r="CY46" s="315" t="str">
        <f t="shared" si="2"/>
        <v>Nevada</v>
      </c>
    </row>
    <row r="47" spans="1:103" s="315" customFormat="1" ht="19.5" hidden="1" customHeight="1" x14ac:dyDescent="0.25">
      <c r="A47" s="403">
        <v>36</v>
      </c>
      <c r="B47" s="313" t="s">
        <v>621</v>
      </c>
      <c r="C47" s="313" t="s">
        <v>466</v>
      </c>
      <c r="D47" s="318" t="s">
        <v>457</v>
      </c>
      <c r="E47" s="318" t="s">
        <v>552</v>
      </c>
      <c r="F47" s="313" t="s">
        <v>465</v>
      </c>
      <c r="G47" s="313" t="s">
        <v>1298</v>
      </c>
      <c r="H47" s="305"/>
      <c r="I47" s="305" t="s">
        <v>618</v>
      </c>
      <c r="J47" s="370" t="e">
        <f>0/(IF(#REF!="yes",0.188,1))</f>
        <v>#REF!</v>
      </c>
      <c r="K47" s="370" t="e">
        <f>25000*V47/(IF(#REF!="yes",0.188,1))</f>
        <v>#REF!</v>
      </c>
      <c r="L47" s="370" t="e">
        <f>K47-J47</f>
        <v>#REF!</v>
      </c>
      <c r="M47" s="316" t="s">
        <v>484</v>
      </c>
      <c r="N47" s="398">
        <v>2018</v>
      </c>
      <c r="O47" s="398">
        <v>2021</v>
      </c>
      <c r="P47" s="305" t="s">
        <v>463</v>
      </c>
      <c r="Q47" s="305" t="s">
        <v>1367</v>
      </c>
      <c r="R47" s="305" t="s">
        <v>623</v>
      </c>
      <c r="S47" s="305" t="s">
        <v>1047</v>
      </c>
      <c r="T47" s="305" t="s">
        <v>1368</v>
      </c>
      <c r="U47" s="305" t="s">
        <v>528</v>
      </c>
      <c r="V47" s="426">
        <v>0.188</v>
      </c>
      <c r="W47" s="443">
        <v>2.4950000000000001</v>
      </c>
      <c r="X47" s="445"/>
      <c r="Y47" s="317" t="e">
        <f t="shared" si="3"/>
        <v>#REF!</v>
      </c>
      <c r="Z47" s="318">
        <v>1</v>
      </c>
      <c r="AA47" s="318">
        <v>5</v>
      </c>
      <c r="AB47" s="318">
        <v>3</v>
      </c>
      <c r="AC47" s="318">
        <v>4</v>
      </c>
      <c r="AD47" s="458" t="s">
        <v>1376</v>
      </c>
      <c r="AE47" s="556">
        <f t="shared" si="30"/>
        <v>0</v>
      </c>
      <c r="AF47" s="557">
        <f t="shared" si="30"/>
        <v>0</v>
      </c>
      <c r="AG47" s="557">
        <f t="shared" si="30"/>
        <v>0</v>
      </c>
      <c r="AH47" s="557">
        <f t="shared" si="30"/>
        <v>0</v>
      </c>
      <c r="AI47" s="557">
        <f t="shared" si="30"/>
        <v>0</v>
      </c>
      <c r="AJ47" s="557">
        <f t="shared" si="30"/>
        <v>0</v>
      </c>
      <c r="AK47" s="556">
        <f t="shared" si="35"/>
        <v>0</v>
      </c>
      <c r="AL47" s="557">
        <f t="shared" si="35"/>
        <v>0</v>
      </c>
      <c r="AM47" s="557">
        <f t="shared" si="35"/>
        <v>0</v>
      </c>
      <c r="AN47" s="557">
        <f t="shared" si="35"/>
        <v>0</v>
      </c>
      <c r="AO47" s="557">
        <f t="shared" si="35"/>
        <v>0</v>
      </c>
      <c r="AP47" s="557">
        <f t="shared" si="35"/>
        <v>0</v>
      </c>
      <c r="AQ47" s="556">
        <f t="shared" si="36"/>
        <v>0</v>
      </c>
      <c r="AR47" s="557">
        <f t="shared" si="36"/>
        <v>0</v>
      </c>
      <c r="AS47" s="557">
        <f t="shared" si="36"/>
        <v>0</v>
      </c>
      <c r="AT47" s="557">
        <f t="shared" si="36"/>
        <v>0</v>
      </c>
      <c r="AU47" s="557">
        <f t="shared" si="36"/>
        <v>0</v>
      </c>
      <c r="AV47" s="559">
        <f t="shared" si="37"/>
        <v>0</v>
      </c>
      <c r="AW47" s="556" t="str">
        <f t="shared" si="23"/>
        <v>check</v>
      </c>
      <c r="AX47" s="559">
        <f t="shared" si="33"/>
        <v>0</v>
      </c>
      <c r="AY47" s="514" t="s">
        <v>1529</v>
      </c>
      <c r="AZ47" s="483">
        <f t="shared" si="7"/>
        <v>0</v>
      </c>
      <c r="BA47" s="482">
        <v>0</v>
      </c>
      <c r="BB47" s="482">
        <v>0</v>
      </c>
      <c r="BC47" s="482">
        <v>0</v>
      </c>
      <c r="BD47" s="482">
        <v>0</v>
      </c>
      <c r="BE47" s="482">
        <v>0</v>
      </c>
      <c r="BF47" s="483">
        <f t="shared" si="8"/>
        <v>0</v>
      </c>
      <c r="BG47" s="482">
        <v>0</v>
      </c>
      <c r="BH47" s="482">
        <v>0</v>
      </c>
      <c r="BI47" s="482">
        <v>0</v>
      </c>
      <c r="BJ47" s="482">
        <v>0</v>
      </c>
      <c r="BK47" s="482">
        <v>0</v>
      </c>
      <c r="BL47" s="483">
        <f t="shared" si="1"/>
        <v>0</v>
      </c>
      <c r="BM47" s="482">
        <v>0</v>
      </c>
      <c r="BN47" s="482">
        <v>0</v>
      </c>
      <c r="BO47" s="482">
        <v>0</v>
      </c>
      <c r="BP47" s="482">
        <v>0</v>
      </c>
      <c r="BQ47" s="482">
        <v>0</v>
      </c>
      <c r="BR47" s="318" t="s">
        <v>1372</v>
      </c>
      <c r="BS47" s="318"/>
      <c r="BT47" s="318"/>
      <c r="BU47" s="318">
        <v>40</v>
      </c>
      <c r="BV47" s="318" t="s">
        <v>1136</v>
      </c>
      <c r="BW47" s="318"/>
      <c r="BX47" s="318"/>
      <c r="BY47" s="318"/>
      <c r="BZ47" s="318" t="s">
        <v>1370</v>
      </c>
      <c r="CA47" s="318"/>
      <c r="CB47" s="318"/>
      <c r="CC47" s="318" t="s">
        <v>1373</v>
      </c>
      <c r="CD47" s="318"/>
      <c r="CE47" s="457" t="s">
        <v>1369</v>
      </c>
      <c r="CF47" s="443">
        <f>(41.6*50%)+(480*50%)</f>
        <v>260.8</v>
      </c>
      <c r="CG47" s="360" t="s">
        <v>748</v>
      </c>
      <c r="CH47" s="430">
        <v>0.5</v>
      </c>
      <c r="CI47" s="360" t="s">
        <v>562</v>
      </c>
      <c r="CJ47" s="430">
        <v>0.5</v>
      </c>
      <c r="CK47" s="360"/>
      <c r="CL47" s="360"/>
      <c r="CM47" s="360"/>
      <c r="CN47" s="360"/>
      <c r="CO47" s="360"/>
      <c r="CP47" s="360"/>
      <c r="CR47" s="315" t="str">
        <f t="shared" si="9"/>
        <v>Argentina</v>
      </c>
      <c r="CS47" s="315" t="str">
        <f t="shared" si="10"/>
        <v>Jujuy</v>
      </c>
      <c r="CT47" s="315">
        <v>36</v>
      </c>
      <c r="CU47" s="315" t="s">
        <v>466</v>
      </c>
      <c r="CV47" s="315" t="s">
        <v>552</v>
      </c>
      <c r="CW47" s="315" t="s">
        <v>465</v>
      </c>
      <c r="CX47" s="315" t="s">
        <v>1298</v>
      </c>
      <c r="CY47" s="315" t="str">
        <f t="shared" si="2"/>
        <v>Jujuy</v>
      </c>
    </row>
    <row r="48" spans="1:103" s="315" customFormat="1" ht="19.5" hidden="1" customHeight="1" x14ac:dyDescent="0.25">
      <c r="A48" s="403">
        <v>37</v>
      </c>
      <c r="B48" s="313" t="s">
        <v>621</v>
      </c>
      <c r="C48" s="313" t="s">
        <v>466</v>
      </c>
      <c r="D48" s="318" t="s">
        <v>457</v>
      </c>
      <c r="E48" s="318" t="s">
        <v>553</v>
      </c>
      <c r="F48" s="313" t="s">
        <v>465</v>
      </c>
      <c r="G48" s="313" t="s">
        <v>1298</v>
      </c>
      <c r="H48" s="305"/>
      <c r="I48" s="305" t="s">
        <v>591</v>
      </c>
      <c r="J48" s="370" t="e">
        <f>0/(IF(#REF!="yes",0.188,1))</f>
        <v>#REF!</v>
      </c>
      <c r="K48" s="370" t="e">
        <f>40000*V48/(IF(#REF!="yes",0.188,1))</f>
        <v>#REF!</v>
      </c>
      <c r="L48" s="370" t="e">
        <f>K48-K47</f>
        <v>#REF!</v>
      </c>
      <c r="M48" s="316" t="s">
        <v>844</v>
      </c>
      <c r="N48" s="398">
        <v>2021</v>
      </c>
      <c r="O48" s="398">
        <v>2022</v>
      </c>
      <c r="P48" s="305" t="s">
        <v>463</v>
      </c>
      <c r="Q48" s="305" t="s">
        <v>1367</v>
      </c>
      <c r="R48" s="305" t="s">
        <v>623</v>
      </c>
      <c r="S48" s="305" t="s">
        <v>1047</v>
      </c>
      <c r="T48" s="305" t="s">
        <v>1368</v>
      </c>
      <c r="U48" s="305" t="s">
        <v>528</v>
      </c>
      <c r="V48" s="426">
        <v>0.188</v>
      </c>
      <c r="W48" s="443">
        <v>3.5760000000000001</v>
      </c>
      <c r="X48" s="445"/>
      <c r="Y48" s="317" t="e">
        <f t="shared" si="3"/>
        <v>#REF!</v>
      </c>
      <c r="Z48" s="318">
        <v>1</v>
      </c>
      <c r="AA48" s="318">
        <v>5</v>
      </c>
      <c r="AB48" s="318">
        <v>3</v>
      </c>
      <c r="AC48" s="318">
        <v>4</v>
      </c>
      <c r="AD48" s="458" t="s">
        <v>1375</v>
      </c>
      <c r="AE48" s="556">
        <f t="shared" si="30"/>
        <v>0</v>
      </c>
      <c r="AF48" s="557">
        <f t="shared" si="30"/>
        <v>0</v>
      </c>
      <c r="AG48" s="557">
        <f t="shared" si="30"/>
        <v>0</v>
      </c>
      <c r="AH48" s="557">
        <f t="shared" si="30"/>
        <v>0</v>
      </c>
      <c r="AI48" s="557">
        <f t="shared" si="30"/>
        <v>0</v>
      </c>
      <c r="AJ48" s="557">
        <f t="shared" si="30"/>
        <v>0</v>
      </c>
      <c r="AK48" s="556">
        <f t="shared" si="35"/>
        <v>0</v>
      </c>
      <c r="AL48" s="557">
        <f t="shared" si="35"/>
        <v>0</v>
      </c>
      <c r="AM48" s="557">
        <f t="shared" si="35"/>
        <v>0</v>
      </c>
      <c r="AN48" s="557">
        <f t="shared" si="35"/>
        <v>0</v>
      </c>
      <c r="AO48" s="557">
        <f t="shared" si="35"/>
        <v>0</v>
      </c>
      <c r="AP48" s="557">
        <f t="shared" si="35"/>
        <v>0</v>
      </c>
      <c r="AQ48" s="556">
        <f t="shared" si="36"/>
        <v>0</v>
      </c>
      <c r="AR48" s="557">
        <f t="shared" si="36"/>
        <v>0</v>
      </c>
      <c r="AS48" s="557">
        <f t="shared" si="36"/>
        <v>0</v>
      </c>
      <c r="AT48" s="557">
        <f t="shared" si="36"/>
        <v>0</v>
      </c>
      <c r="AU48" s="557">
        <f t="shared" si="36"/>
        <v>0</v>
      </c>
      <c r="AV48" s="559">
        <f t="shared" si="37"/>
        <v>0</v>
      </c>
      <c r="AW48" s="556">
        <f t="shared" si="23"/>
        <v>0</v>
      </c>
      <c r="AX48" s="559">
        <f t="shared" si="33"/>
        <v>0</v>
      </c>
      <c r="AY48" s="514" t="s">
        <v>1554</v>
      </c>
      <c r="AZ48" s="483">
        <f t="shared" si="7"/>
        <v>0</v>
      </c>
      <c r="BA48" s="482">
        <v>0</v>
      </c>
      <c r="BB48" s="482">
        <v>0</v>
      </c>
      <c r="BC48" s="482">
        <v>0</v>
      </c>
      <c r="BD48" s="482">
        <v>0</v>
      </c>
      <c r="BE48" s="482">
        <v>0</v>
      </c>
      <c r="BF48" s="483">
        <f t="shared" si="8"/>
        <v>0</v>
      </c>
      <c r="BG48" s="482">
        <v>0</v>
      </c>
      <c r="BH48" s="482">
        <v>0</v>
      </c>
      <c r="BI48" s="482">
        <v>0</v>
      </c>
      <c r="BJ48" s="482">
        <v>0</v>
      </c>
      <c r="BK48" s="482">
        <v>0</v>
      </c>
      <c r="BL48" s="483">
        <f t="shared" si="1"/>
        <v>0</v>
      </c>
      <c r="BM48" s="482">
        <v>0</v>
      </c>
      <c r="BN48" s="482">
        <v>0</v>
      </c>
      <c r="BO48" s="482">
        <v>0</v>
      </c>
      <c r="BP48" s="482">
        <v>0</v>
      </c>
      <c r="BQ48" s="482">
        <v>0</v>
      </c>
      <c r="BR48" s="318" t="s">
        <v>1372</v>
      </c>
      <c r="BS48" s="318"/>
      <c r="BT48" s="318"/>
      <c r="BU48" s="318">
        <v>40</v>
      </c>
      <c r="BV48" s="318" t="s">
        <v>1136</v>
      </c>
      <c r="BW48" s="318"/>
      <c r="BX48" s="318"/>
      <c r="BY48" s="318"/>
      <c r="BZ48" s="318" t="s">
        <v>1366</v>
      </c>
      <c r="CA48" s="318"/>
      <c r="CB48" s="318"/>
      <c r="CC48" s="318" t="s">
        <v>1374</v>
      </c>
      <c r="CD48" s="318"/>
      <c r="CE48" s="457" t="s">
        <v>1371</v>
      </c>
      <c r="CF48" s="443">
        <f>(41.6*50%)+(480*50%)</f>
        <v>260.8</v>
      </c>
      <c r="CG48" s="360" t="s">
        <v>748</v>
      </c>
      <c r="CH48" s="430">
        <v>0.5</v>
      </c>
      <c r="CI48" s="360" t="s">
        <v>562</v>
      </c>
      <c r="CJ48" s="430">
        <v>0.5</v>
      </c>
      <c r="CK48" s="360"/>
      <c r="CL48" s="360"/>
      <c r="CM48" s="360"/>
      <c r="CN48" s="360"/>
      <c r="CO48" s="360"/>
      <c r="CP48" s="360"/>
      <c r="CR48" s="315" t="str">
        <f t="shared" si="9"/>
        <v>Argentina</v>
      </c>
      <c r="CS48" s="315" t="str">
        <f t="shared" si="10"/>
        <v>Jujuy</v>
      </c>
      <c r="CT48" s="315">
        <v>37</v>
      </c>
      <c r="CU48" s="315" t="s">
        <v>466</v>
      </c>
      <c r="CV48" s="315" t="s">
        <v>553</v>
      </c>
      <c r="CW48" s="315" t="s">
        <v>465</v>
      </c>
      <c r="CX48" s="315" t="s">
        <v>1298</v>
      </c>
      <c r="CY48" s="315" t="str">
        <f t="shared" si="2"/>
        <v>Jujuy</v>
      </c>
    </row>
    <row r="49" spans="1:103" s="315" customFormat="1" ht="19.5" hidden="1" customHeight="1" x14ac:dyDescent="0.25">
      <c r="A49" s="403">
        <v>38</v>
      </c>
      <c r="B49" s="313" t="s">
        <v>613</v>
      </c>
      <c r="C49" s="313" t="s">
        <v>1212</v>
      </c>
      <c r="D49" s="318" t="s">
        <v>457</v>
      </c>
      <c r="E49" s="318" t="s">
        <v>552</v>
      </c>
      <c r="F49" s="313" t="s">
        <v>465</v>
      </c>
      <c r="G49" s="313" t="s">
        <v>1396</v>
      </c>
      <c r="H49" s="305" t="s">
        <v>1073</v>
      </c>
      <c r="I49" s="305"/>
      <c r="J49" s="370" t="e">
        <f>2500*V49/(IF(#REF!="yes",0.188,1))</f>
        <v>#REF!</v>
      </c>
      <c r="K49" s="370">
        <v>0</v>
      </c>
      <c r="L49" s="370">
        <v>2500</v>
      </c>
      <c r="M49" s="491" t="s">
        <v>619</v>
      </c>
      <c r="N49" s="398"/>
      <c r="P49" s="305" t="s">
        <v>463</v>
      </c>
      <c r="Q49" s="305" t="s">
        <v>628</v>
      </c>
      <c r="R49" s="305" t="s">
        <v>629</v>
      </c>
      <c r="S49" s="305"/>
      <c r="T49" s="305"/>
      <c r="U49" s="305" t="s">
        <v>528</v>
      </c>
      <c r="V49" s="426">
        <v>0.188</v>
      </c>
      <c r="W49" s="443">
        <v>2.1</v>
      </c>
      <c r="X49" s="445"/>
      <c r="Y49" s="317" t="e">
        <f t="shared" si="3"/>
        <v>#REF!</v>
      </c>
      <c r="Z49" s="318">
        <v>1</v>
      </c>
      <c r="AA49" s="318">
        <v>4</v>
      </c>
      <c r="AB49" s="318">
        <v>3</v>
      </c>
      <c r="AC49" s="318">
        <v>2</v>
      </c>
      <c r="AD49" s="318" t="s">
        <v>632</v>
      </c>
      <c r="AE49" s="556">
        <v>0</v>
      </c>
      <c r="AF49" s="557">
        <v>0</v>
      </c>
      <c r="AG49" s="557">
        <v>0</v>
      </c>
      <c r="AH49" s="557">
        <v>0</v>
      </c>
      <c r="AI49" s="557">
        <v>0</v>
      </c>
      <c r="AJ49" s="557">
        <v>0</v>
      </c>
      <c r="AK49" s="556" t="str">
        <f t="shared" si="35"/>
        <v>check</v>
      </c>
      <c r="AL49" s="557" t="str">
        <f t="shared" si="35"/>
        <v>check</v>
      </c>
      <c r="AM49" s="557" t="str">
        <f t="shared" si="35"/>
        <v>check</v>
      </c>
      <c r="AN49" s="557" t="str">
        <f t="shared" si="35"/>
        <v>check</v>
      </c>
      <c r="AO49" s="557" t="str">
        <f t="shared" si="35"/>
        <v>check</v>
      </c>
      <c r="AP49" s="557" t="str">
        <f t="shared" si="35"/>
        <v>check</v>
      </c>
      <c r="AQ49" s="556">
        <v>0</v>
      </c>
      <c r="AR49" s="557" t="str">
        <f t="shared" si="36"/>
        <v>check</v>
      </c>
      <c r="AS49" s="557" t="str">
        <f t="shared" si="36"/>
        <v>check</v>
      </c>
      <c r="AT49" s="557" t="str">
        <f t="shared" si="36"/>
        <v>check</v>
      </c>
      <c r="AU49" s="557" t="str">
        <f t="shared" si="36"/>
        <v>check</v>
      </c>
      <c r="AV49" s="559">
        <f t="shared" si="37"/>
        <v>0</v>
      </c>
      <c r="AW49" s="556">
        <f t="shared" si="23"/>
        <v>0</v>
      </c>
      <c r="AX49" s="559">
        <f t="shared" si="33"/>
        <v>0</v>
      </c>
      <c r="AY49" s="514" t="s">
        <v>1034</v>
      </c>
      <c r="AZ49" s="483">
        <f t="shared" si="7"/>
        <v>0</v>
      </c>
      <c r="BA49" s="482">
        <v>0</v>
      </c>
      <c r="BB49" s="482">
        <v>0</v>
      </c>
      <c r="BC49" s="482">
        <v>0</v>
      </c>
      <c r="BD49" s="482">
        <v>0</v>
      </c>
      <c r="BE49" s="482">
        <v>0</v>
      </c>
      <c r="BF49" s="483" t="str">
        <f t="shared" si="8"/>
        <v>check</v>
      </c>
      <c r="BG49" s="482" t="s">
        <v>1524</v>
      </c>
      <c r="BH49" s="482" t="s">
        <v>1524</v>
      </c>
      <c r="BI49" s="482" t="s">
        <v>1524</v>
      </c>
      <c r="BJ49" s="482" t="s">
        <v>1524</v>
      </c>
      <c r="BK49" s="482" t="s">
        <v>1524</v>
      </c>
      <c r="BL49" s="483">
        <f t="shared" si="1"/>
        <v>0</v>
      </c>
      <c r="BM49" s="482" t="s">
        <v>1524</v>
      </c>
      <c r="BN49" s="482" t="s">
        <v>1524</v>
      </c>
      <c r="BO49" s="482" t="s">
        <v>1524</v>
      </c>
      <c r="BP49" s="482" t="s">
        <v>1524</v>
      </c>
      <c r="BQ49" s="482">
        <v>0</v>
      </c>
      <c r="BR49" s="318"/>
      <c r="BS49" s="318"/>
      <c r="BT49" s="318"/>
      <c r="BU49" s="318"/>
      <c r="BV49" s="318"/>
      <c r="BW49" s="318"/>
      <c r="BX49" s="318"/>
      <c r="BY49" s="318"/>
      <c r="BZ49" s="318"/>
      <c r="CA49" s="318"/>
      <c r="CB49" s="318"/>
      <c r="CC49" s="318"/>
      <c r="CD49" s="318"/>
      <c r="CE49" s="457"/>
      <c r="CF49" s="443">
        <v>15</v>
      </c>
      <c r="CG49" s="360" t="s">
        <v>613</v>
      </c>
      <c r="CH49" s="430">
        <v>1</v>
      </c>
      <c r="CI49" s="360"/>
      <c r="CJ49" s="360"/>
      <c r="CK49" s="360"/>
      <c r="CL49" s="360"/>
      <c r="CM49" s="360"/>
      <c r="CN49" s="360"/>
      <c r="CO49" s="360"/>
      <c r="CP49" s="360"/>
      <c r="CR49" s="315" t="str">
        <f t="shared" si="9"/>
        <v>Argentina</v>
      </c>
      <c r="CS49" s="315" t="str">
        <f t="shared" si="10"/>
        <v>Salta</v>
      </c>
      <c r="CT49" s="315">
        <v>38</v>
      </c>
      <c r="CU49" s="315" t="s">
        <v>1195</v>
      </c>
      <c r="CV49" s="315" t="s">
        <v>552</v>
      </c>
      <c r="CW49" s="315" t="s">
        <v>465</v>
      </c>
      <c r="CX49" s="315" t="s">
        <v>1396</v>
      </c>
      <c r="CY49" s="315" t="str">
        <f t="shared" si="2"/>
        <v>Salta</v>
      </c>
    </row>
    <row r="50" spans="1:103" s="315" customFormat="1" ht="19.5" hidden="1" customHeight="1" x14ac:dyDescent="0.25">
      <c r="A50" s="403">
        <v>39</v>
      </c>
      <c r="B50" s="313" t="s">
        <v>613</v>
      </c>
      <c r="C50" s="313" t="s">
        <v>1212</v>
      </c>
      <c r="D50" s="318" t="s">
        <v>457</v>
      </c>
      <c r="E50" s="318" t="s">
        <v>553</v>
      </c>
      <c r="F50" s="313" t="s">
        <v>465</v>
      </c>
      <c r="G50" s="313" t="s">
        <v>1396</v>
      </c>
      <c r="H50" s="305"/>
      <c r="I50" s="305" t="s">
        <v>1074</v>
      </c>
      <c r="J50" s="370">
        <v>0</v>
      </c>
      <c r="K50" s="370" t="e">
        <f>5000*V50/(IF(#REF!="yes",0.188,1))</f>
        <v>#REF!</v>
      </c>
      <c r="L50" s="370" t="e">
        <f>K50-J49</f>
        <v>#REF!</v>
      </c>
      <c r="M50" s="316" t="s">
        <v>807</v>
      </c>
      <c r="N50" s="398"/>
      <c r="O50" s="398"/>
      <c r="P50" s="305" t="s">
        <v>463</v>
      </c>
      <c r="Q50" s="304" t="s">
        <v>628</v>
      </c>
      <c r="R50" s="305" t="s">
        <v>629</v>
      </c>
      <c r="S50" s="305"/>
      <c r="T50" s="305"/>
      <c r="U50" s="305" t="s">
        <v>528</v>
      </c>
      <c r="V50" s="426">
        <v>0.188</v>
      </c>
      <c r="W50" s="317">
        <v>2.1</v>
      </c>
      <c r="X50" s="317">
        <v>2.1</v>
      </c>
      <c r="Y50" s="317" t="e">
        <f t="shared" si="3"/>
        <v>#REF!</v>
      </c>
      <c r="Z50" s="318">
        <v>1</v>
      </c>
      <c r="AA50" s="318">
        <v>4</v>
      </c>
      <c r="AB50" s="318">
        <v>2</v>
      </c>
      <c r="AC50" s="318">
        <v>3</v>
      </c>
      <c r="AD50" s="318" t="s">
        <v>632</v>
      </c>
      <c r="AE50" s="556">
        <v>0</v>
      </c>
      <c r="AF50" s="557">
        <v>0</v>
      </c>
      <c r="AG50" s="557">
        <v>0</v>
      </c>
      <c r="AH50" s="557">
        <v>0</v>
      </c>
      <c r="AI50" s="557">
        <v>0</v>
      </c>
      <c r="AJ50" s="557">
        <v>0</v>
      </c>
      <c r="AK50" s="556">
        <f t="shared" si="35"/>
        <v>0</v>
      </c>
      <c r="AL50" s="557">
        <f t="shared" si="35"/>
        <v>0</v>
      </c>
      <c r="AM50" s="557">
        <f t="shared" si="35"/>
        <v>0</v>
      </c>
      <c r="AN50" s="557">
        <f t="shared" si="35"/>
        <v>0</v>
      </c>
      <c r="AO50" s="557">
        <f t="shared" si="35"/>
        <v>0</v>
      </c>
      <c r="AP50" s="557">
        <f t="shared" si="35"/>
        <v>0</v>
      </c>
      <c r="AQ50" s="556">
        <f t="shared" si="36"/>
        <v>0</v>
      </c>
      <c r="AR50" s="557">
        <f t="shared" si="36"/>
        <v>0</v>
      </c>
      <c r="AS50" s="557">
        <f t="shared" si="36"/>
        <v>0</v>
      </c>
      <c r="AT50" s="557">
        <f t="shared" si="36"/>
        <v>0</v>
      </c>
      <c r="AU50" s="557">
        <f t="shared" si="36"/>
        <v>0</v>
      </c>
      <c r="AV50" s="559">
        <f t="shared" si="37"/>
        <v>0</v>
      </c>
      <c r="AW50" s="556">
        <f t="shared" si="23"/>
        <v>0</v>
      </c>
      <c r="AX50" s="559">
        <f t="shared" si="33"/>
        <v>0</v>
      </c>
      <c r="AY50" s="514" t="s">
        <v>1034</v>
      </c>
      <c r="AZ50" s="483">
        <f t="shared" si="7"/>
        <v>0</v>
      </c>
      <c r="BA50" s="482">
        <v>0</v>
      </c>
      <c r="BB50" s="482">
        <v>0</v>
      </c>
      <c r="BC50" s="482">
        <v>0</v>
      </c>
      <c r="BD50" s="482">
        <v>0</v>
      </c>
      <c r="BE50" s="482">
        <v>0</v>
      </c>
      <c r="BF50" s="483">
        <f t="shared" si="8"/>
        <v>0</v>
      </c>
      <c r="BG50" s="482">
        <v>0</v>
      </c>
      <c r="BH50" s="482">
        <v>0</v>
      </c>
      <c r="BI50" s="482">
        <v>0</v>
      </c>
      <c r="BJ50" s="482">
        <v>0</v>
      </c>
      <c r="BK50" s="482">
        <v>0</v>
      </c>
      <c r="BL50" s="483">
        <f t="shared" si="1"/>
        <v>0</v>
      </c>
      <c r="BM50" s="482">
        <v>0</v>
      </c>
      <c r="BN50" s="482">
        <v>0</v>
      </c>
      <c r="BO50" s="482">
        <v>0</v>
      </c>
      <c r="BP50" s="482">
        <v>0</v>
      </c>
      <c r="BQ50" s="482">
        <v>0</v>
      </c>
      <c r="BR50" s="318"/>
      <c r="BS50" s="318"/>
      <c r="BT50" s="318"/>
      <c r="BU50" s="318"/>
      <c r="BV50" s="318"/>
      <c r="BW50" s="318"/>
      <c r="BX50" s="318"/>
      <c r="BY50" s="318"/>
      <c r="BZ50" s="318"/>
      <c r="CA50" s="318"/>
      <c r="CB50" s="318"/>
      <c r="CC50" s="318"/>
      <c r="CD50" s="318"/>
      <c r="CE50" s="457"/>
      <c r="CF50" s="318">
        <v>15</v>
      </c>
      <c r="CG50" s="360"/>
      <c r="CH50" s="360"/>
      <c r="CI50" s="360"/>
      <c r="CJ50" s="360"/>
      <c r="CK50" s="360"/>
      <c r="CL50" s="360"/>
      <c r="CM50" s="360"/>
      <c r="CN50" s="360"/>
      <c r="CO50" s="360"/>
      <c r="CP50" s="360"/>
      <c r="CR50" s="315" t="str">
        <f t="shared" si="9"/>
        <v>Argentina</v>
      </c>
      <c r="CS50" s="315" t="str">
        <f t="shared" si="10"/>
        <v>Salta</v>
      </c>
      <c r="CT50" s="315">
        <v>39</v>
      </c>
      <c r="CU50" s="315" t="s">
        <v>1195</v>
      </c>
      <c r="CV50" s="315" t="s">
        <v>553</v>
      </c>
      <c r="CW50" s="315" t="s">
        <v>465</v>
      </c>
      <c r="CX50" s="315" t="s">
        <v>1396</v>
      </c>
      <c r="CY50" s="315" t="str">
        <f t="shared" si="2"/>
        <v>Salta</v>
      </c>
    </row>
    <row r="51" spans="1:103" s="315" customFormat="1" ht="19.5" hidden="1" customHeight="1" x14ac:dyDescent="0.25">
      <c r="A51" s="403">
        <v>40</v>
      </c>
      <c r="B51" s="313" t="s">
        <v>630</v>
      </c>
      <c r="C51" s="313" t="s">
        <v>626</v>
      </c>
      <c r="D51" s="318" t="s">
        <v>457</v>
      </c>
      <c r="E51" s="318"/>
      <c r="F51" s="313" t="s">
        <v>395</v>
      </c>
      <c r="G51" s="313" t="s">
        <v>705</v>
      </c>
      <c r="H51" s="305"/>
      <c r="I51" s="305" t="s">
        <v>927</v>
      </c>
      <c r="J51" s="370">
        <v>0</v>
      </c>
      <c r="K51" s="370" t="e">
        <f>10300*V51/(IF(#REF!="yes",0.188,1))</f>
        <v>#REF!</v>
      </c>
      <c r="L51" s="370" t="e">
        <f>K51-J51</f>
        <v>#REF!</v>
      </c>
      <c r="M51" s="316" t="s">
        <v>807</v>
      </c>
      <c r="N51" s="398"/>
      <c r="O51" s="398"/>
      <c r="P51" s="305" t="s">
        <v>463</v>
      </c>
      <c r="Q51" s="304"/>
      <c r="R51" s="305"/>
      <c r="S51" s="305"/>
      <c r="T51" s="305"/>
      <c r="U51" s="305" t="s">
        <v>528</v>
      </c>
      <c r="V51" s="426">
        <v>0.16600000000000001</v>
      </c>
      <c r="W51" s="317"/>
      <c r="X51" s="317"/>
      <c r="Y51" s="317" t="str">
        <f t="shared" si="3"/>
        <v/>
      </c>
      <c r="Z51" s="318"/>
      <c r="AA51" s="318"/>
      <c r="AB51" s="318"/>
      <c r="AC51" s="318">
        <v>1</v>
      </c>
      <c r="AD51" s="318" t="s">
        <v>633</v>
      </c>
      <c r="AE51" s="556">
        <f t="shared" si="30"/>
        <v>0</v>
      </c>
      <c r="AF51" s="557">
        <f t="shared" si="30"/>
        <v>0</v>
      </c>
      <c r="AG51" s="557">
        <f t="shared" si="30"/>
        <v>0</v>
      </c>
      <c r="AH51" s="557">
        <f t="shared" si="30"/>
        <v>0</v>
      </c>
      <c r="AI51" s="557">
        <f t="shared" si="30"/>
        <v>0</v>
      </c>
      <c r="AJ51" s="557">
        <f t="shared" si="30"/>
        <v>0</v>
      </c>
      <c r="AK51" s="556">
        <f t="shared" si="35"/>
        <v>0</v>
      </c>
      <c r="AL51" s="557">
        <f t="shared" si="35"/>
        <v>0</v>
      </c>
      <c r="AM51" s="557">
        <f t="shared" si="35"/>
        <v>0</v>
      </c>
      <c r="AN51" s="557">
        <f t="shared" si="35"/>
        <v>0</v>
      </c>
      <c r="AO51" s="557">
        <f t="shared" si="35"/>
        <v>0</v>
      </c>
      <c r="AP51" s="557">
        <f t="shared" si="35"/>
        <v>0</v>
      </c>
      <c r="AQ51" s="556">
        <f t="shared" si="36"/>
        <v>0</v>
      </c>
      <c r="AR51" s="557">
        <f t="shared" si="36"/>
        <v>0</v>
      </c>
      <c r="AS51" s="557">
        <f t="shared" si="36"/>
        <v>0</v>
      </c>
      <c r="AT51" s="557">
        <f t="shared" si="36"/>
        <v>0</v>
      </c>
      <c r="AU51" s="557">
        <f t="shared" si="36"/>
        <v>0</v>
      </c>
      <c r="AV51" s="559">
        <f t="shared" si="37"/>
        <v>0</v>
      </c>
      <c r="AW51" s="556">
        <f t="shared" si="23"/>
        <v>0</v>
      </c>
      <c r="AX51" s="559">
        <f t="shared" si="33"/>
        <v>0</v>
      </c>
      <c r="AY51" s="514" t="s">
        <v>1034</v>
      </c>
      <c r="AZ51" s="483">
        <f t="shared" si="7"/>
        <v>0</v>
      </c>
      <c r="BA51" s="482">
        <v>0</v>
      </c>
      <c r="BB51" s="482">
        <v>0</v>
      </c>
      <c r="BC51" s="482">
        <v>0</v>
      </c>
      <c r="BD51" s="482">
        <v>0</v>
      </c>
      <c r="BE51" s="482">
        <v>0</v>
      </c>
      <c r="BF51" s="483">
        <f t="shared" si="8"/>
        <v>0</v>
      </c>
      <c r="BG51" s="482">
        <v>0</v>
      </c>
      <c r="BH51" s="482">
        <v>0</v>
      </c>
      <c r="BI51" s="482">
        <v>0</v>
      </c>
      <c r="BJ51" s="482">
        <v>0</v>
      </c>
      <c r="BK51" s="482">
        <v>0</v>
      </c>
      <c r="BL51" s="483">
        <f t="shared" si="1"/>
        <v>0</v>
      </c>
      <c r="BM51" s="482">
        <v>0</v>
      </c>
      <c r="BN51" s="482">
        <v>0</v>
      </c>
      <c r="BO51" s="482">
        <v>0</v>
      </c>
      <c r="BP51" s="482">
        <v>0</v>
      </c>
      <c r="BQ51" s="482">
        <v>0</v>
      </c>
      <c r="BR51" s="318"/>
      <c r="BS51" s="318"/>
      <c r="BT51" s="318"/>
      <c r="BU51" s="318"/>
      <c r="BV51" s="318"/>
      <c r="BW51" s="318"/>
      <c r="BX51" s="318"/>
      <c r="BY51" s="318"/>
      <c r="BZ51" s="318"/>
      <c r="CA51" s="318"/>
      <c r="CB51" s="318"/>
      <c r="CC51" s="318"/>
      <c r="CD51" s="318"/>
      <c r="CE51" s="457"/>
      <c r="CF51" s="318"/>
      <c r="CG51" s="360"/>
      <c r="CH51" s="360"/>
      <c r="CI51" s="360"/>
      <c r="CJ51" s="360"/>
      <c r="CK51" s="360"/>
      <c r="CL51" s="360"/>
      <c r="CM51" s="360"/>
      <c r="CN51" s="360"/>
      <c r="CO51" s="360"/>
      <c r="CP51" s="360"/>
      <c r="CR51" s="315" t="str">
        <f t="shared" si="9"/>
        <v>U.S.</v>
      </c>
      <c r="CS51" s="315" t="str">
        <f t="shared" si="10"/>
        <v>Nevada</v>
      </c>
      <c r="CT51" s="315">
        <v>40</v>
      </c>
      <c r="CU51" s="315" t="s">
        <v>626</v>
      </c>
      <c r="CW51" s="315" t="s">
        <v>395</v>
      </c>
      <c r="CX51" s="315" t="s">
        <v>705</v>
      </c>
      <c r="CY51" s="315" t="str">
        <f t="shared" si="2"/>
        <v>Nevada</v>
      </c>
    </row>
    <row r="52" spans="1:103" s="315" customFormat="1" ht="19.5" hidden="1" customHeight="1" x14ac:dyDescent="0.25">
      <c r="A52" s="403">
        <v>41</v>
      </c>
      <c r="B52" s="313" t="s">
        <v>613</v>
      </c>
      <c r="C52" s="313" t="s">
        <v>627</v>
      </c>
      <c r="D52" s="318" t="s">
        <v>457</v>
      </c>
      <c r="E52" s="318"/>
      <c r="F52" s="313" t="s">
        <v>465</v>
      </c>
      <c r="G52" s="313" t="s">
        <v>1399</v>
      </c>
      <c r="H52" s="305"/>
      <c r="I52" s="305"/>
      <c r="J52" s="370">
        <v>0</v>
      </c>
      <c r="K52" s="370">
        <v>0</v>
      </c>
      <c r="L52" s="370">
        <f>K52-J52</f>
        <v>0</v>
      </c>
      <c r="M52" s="316" t="s">
        <v>487</v>
      </c>
      <c r="N52" s="398"/>
      <c r="O52" s="398"/>
      <c r="P52" s="305" t="s">
        <v>463</v>
      </c>
      <c r="Q52" s="304"/>
      <c r="R52" s="305"/>
      <c r="S52" s="305"/>
      <c r="T52" s="305"/>
      <c r="U52" s="305" t="s">
        <v>528</v>
      </c>
      <c r="V52" s="426"/>
      <c r="W52" s="317"/>
      <c r="X52" s="317"/>
      <c r="Y52" s="317" t="str">
        <f t="shared" si="3"/>
        <v/>
      </c>
      <c r="Z52" s="318"/>
      <c r="AA52" s="318"/>
      <c r="AB52" s="318">
        <v>2</v>
      </c>
      <c r="AC52" s="318">
        <v>3</v>
      </c>
      <c r="AD52" s="318" t="s">
        <v>631</v>
      </c>
      <c r="AE52" s="556">
        <f t="shared" si="30"/>
        <v>0</v>
      </c>
      <c r="AF52" s="557">
        <f t="shared" si="30"/>
        <v>0</v>
      </c>
      <c r="AG52" s="557">
        <f t="shared" si="30"/>
        <v>0</v>
      </c>
      <c r="AH52" s="557">
        <f t="shared" si="30"/>
        <v>0</v>
      </c>
      <c r="AI52" s="557">
        <f t="shared" si="30"/>
        <v>0</v>
      </c>
      <c r="AJ52" s="557">
        <f t="shared" si="30"/>
        <v>0</v>
      </c>
      <c r="AK52" s="556">
        <f t="shared" si="35"/>
        <v>0</v>
      </c>
      <c r="AL52" s="557">
        <f t="shared" si="35"/>
        <v>0</v>
      </c>
      <c r="AM52" s="557">
        <f t="shared" si="35"/>
        <v>0</v>
      </c>
      <c r="AN52" s="557">
        <f t="shared" si="35"/>
        <v>0</v>
      </c>
      <c r="AO52" s="557">
        <f t="shared" si="35"/>
        <v>0</v>
      </c>
      <c r="AP52" s="557">
        <f t="shared" si="35"/>
        <v>0</v>
      </c>
      <c r="AQ52" s="556">
        <f t="shared" si="36"/>
        <v>0</v>
      </c>
      <c r="AR52" s="557">
        <f t="shared" si="36"/>
        <v>0</v>
      </c>
      <c r="AS52" s="557">
        <f t="shared" si="36"/>
        <v>0</v>
      </c>
      <c r="AT52" s="557">
        <f t="shared" si="36"/>
        <v>0</v>
      </c>
      <c r="AU52" s="557">
        <f t="shared" si="36"/>
        <v>0</v>
      </c>
      <c r="AV52" s="559">
        <f t="shared" si="37"/>
        <v>0</v>
      </c>
      <c r="AW52" s="556">
        <f t="shared" si="23"/>
        <v>0</v>
      </c>
      <c r="AX52" s="559">
        <f t="shared" si="33"/>
        <v>0</v>
      </c>
      <c r="AY52" s="514" t="s">
        <v>1034</v>
      </c>
      <c r="AZ52" s="483">
        <f t="shared" si="7"/>
        <v>0</v>
      </c>
      <c r="BA52" s="482">
        <v>0</v>
      </c>
      <c r="BB52" s="482">
        <v>0</v>
      </c>
      <c r="BC52" s="482">
        <v>0</v>
      </c>
      <c r="BD52" s="482">
        <v>0</v>
      </c>
      <c r="BE52" s="482">
        <v>0</v>
      </c>
      <c r="BF52" s="483">
        <f t="shared" si="8"/>
        <v>0</v>
      </c>
      <c r="BG52" s="482">
        <v>0</v>
      </c>
      <c r="BH52" s="482">
        <v>0</v>
      </c>
      <c r="BI52" s="482">
        <v>0</v>
      </c>
      <c r="BJ52" s="482">
        <v>0</v>
      </c>
      <c r="BK52" s="482">
        <v>0</v>
      </c>
      <c r="BL52" s="483">
        <f t="shared" si="1"/>
        <v>0</v>
      </c>
      <c r="BM52" s="482">
        <v>0</v>
      </c>
      <c r="BN52" s="482">
        <v>0</v>
      </c>
      <c r="BO52" s="482">
        <v>0</v>
      </c>
      <c r="BP52" s="482">
        <v>0</v>
      </c>
      <c r="BQ52" s="482">
        <v>0</v>
      </c>
      <c r="BR52" s="318"/>
      <c r="BS52" s="318"/>
      <c r="BT52" s="318"/>
      <c r="BU52" s="318"/>
      <c r="BV52" s="318"/>
      <c r="BW52" s="318"/>
      <c r="BX52" s="318"/>
      <c r="BY52" s="318"/>
      <c r="BZ52" s="318"/>
      <c r="CA52" s="318"/>
      <c r="CB52" s="318"/>
      <c r="CC52" s="318"/>
      <c r="CD52" s="318"/>
      <c r="CE52" s="457"/>
      <c r="CF52" s="318">
        <v>15</v>
      </c>
      <c r="CG52" s="360"/>
      <c r="CH52" s="360"/>
      <c r="CI52" s="360"/>
      <c r="CJ52" s="360"/>
      <c r="CK52" s="360"/>
      <c r="CL52" s="360"/>
      <c r="CM52" s="360"/>
      <c r="CN52" s="360"/>
      <c r="CO52" s="360"/>
      <c r="CP52" s="360"/>
      <c r="CR52" s="315" t="str">
        <f t="shared" si="9"/>
        <v>Argentina</v>
      </c>
      <c r="CS52" s="315" t="str">
        <f t="shared" si="10"/>
        <v xml:space="preserve">Salta </v>
      </c>
      <c r="CT52" s="315">
        <v>41</v>
      </c>
      <c r="CU52" s="315" t="s">
        <v>627</v>
      </c>
      <c r="CW52" s="315" t="s">
        <v>465</v>
      </c>
      <c r="CX52" s="315" t="s">
        <v>1399</v>
      </c>
      <c r="CY52" s="315" t="str">
        <f t="shared" si="2"/>
        <v xml:space="preserve">Salta </v>
      </c>
    </row>
    <row r="53" spans="1:103" s="315" customFormat="1" ht="19.5" hidden="1" customHeight="1" x14ac:dyDescent="0.25">
      <c r="A53" s="403">
        <v>42</v>
      </c>
      <c r="B53" s="313" t="s">
        <v>634</v>
      </c>
      <c r="C53" s="313" t="s">
        <v>968</v>
      </c>
      <c r="D53" s="318" t="s">
        <v>457</v>
      </c>
      <c r="E53" s="318" t="s">
        <v>552</v>
      </c>
      <c r="F53" s="313" t="s">
        <v>465</v>
      </c>
      <c r="G53" s="313" t="s">
        <v>1393</v>
      </c>
      <c r="H53" s="305" t="s">
        <v>1229</v>
      </c>
      <c r="I53" s="305"/>
      <c r="J53" s="370" t="e">
        <f>21000*$V53/(IF(#REF!="yes",0.188,1))</f>
        <v>#REF!</v>
      </c>
      <c r="K53" s="370">
        <v>0</v>
      </c>
      <c r="L53" s="370" t="e">
        <f>J53</f>
        <v>#REF!</v>
      </c>
      <c r="M53" s="316" t="s">
        <v>483</v>
      </c>
      <c r="N53" s="398">
        <v>2016</v>
      </c>
      <c r="O53" s="398">
        <v>2017</v>
      </c>
      <c r="P53" s="305" t="s">
        <v>463</v>
      </c>
      <c r="Q53" s="305" t="s">
        <v>533</v>
      </c>
      <c r="R53" s="305" t="s">
        <v>534</v>
      </c>
      <c r="S53" s="305"/>
      <c r="T53" s="305"/>
      <c r="U53" s="305" t="s">
        <v>528</v>
      </c>
      <c r="V53" s="426">
        <v>0.188</v>
      </c>
      <c r="W53" s="443">
        <v>3.5</v>
      </c>
      <c r="X53" s="445"/>
      <c r="Y53" s="317" t="e">
        <f t="shared" si="3"/>
        <v>#REF!</v>
      </c>
      <c r="Z53" s="318">
        <v>2</v>
      </c>
      <c r="AA53" s="318">
        <v>4</v>
      </c>
      <c r="AB53" s="318">
        <v>4</v>
      </c>
      <c r="AC53" s="318">
        <v>3</v>
      </c>
      <c r="AD53" s="318" t="s">
        <v>639</v>
      </c>
      <c r="AE53" s="556">
        <v>18000</v>
      </c>
      <c r="AF53" s="557" t="s">
        <v>1524</v>
      </c>
      <c r="AG53" s="557" t="s">
        <v>1524</v>
      </c>
      <c r="AH53" s="557" t="s">
        <v>1524</v>
      </c>
      <c r="AI53" s="557" t="s">
        <v>1524</v>
      </c>
      <c r="AJ53" s="557">
        <v>18000</v>
      </c>
      <c r="AK53" s="556">
        <v>21000</v>
      </c>
      <c r="AL53" s="557" t="s">
        <v>1524</v>
      </c>
      <c r="AM53" s="557" t="s">
        <v>1524</v>
      </c>
      <c r="AN53" s="557" t="s">
        <v>1524</v>
      </c>
      <c r="AO53" s="557" t="s">
        <v>1524</v>
      </c>
      <c r="AP53" s="557">
        <v>21000</v>
      </c>
      <c r="AQ53" s="556">
        <v>21000</v>
      </c>
      <c r="AR53" s="557" t="s">
        <v>1524</v>
      </c>
      <c r="AS53" s="557" t="s">
        <v>1524</v>
      </c>
      <c r="AT53" s="557" t="s">
        <v>1524</v>
      </c>
      <c r="AU53" s="557" t="s">
        <v>1524</v>
      </c>
      <c r="AV53" s="555">
        <v>20000</v>
      </c>
      <c r="AW53" s="556" t="e">
        <f t="shared" si="23"/>
        <v>#REF!</v>
      </c>
      <c r="AX53" s="559" t="e">
        <f t="shared" si="33"/>
        <v>#REF!</v>
      </c>
      <c r="AY53" s="514" t="s">
        <v>1532</v>
      </c>
      <c r="AZ53" s="483">
        <f t="shared" si="7"/>
        <v>18000</v>
      </c>
      <c r="BA53" s="482" t="s">
        <v>1524</v>
      </c>
      <c r="BB53" s="482" t="s">
        <v>1524</v>
      </c>
      <c r="BC53" s="482" t="s">
        <v>1524</v>
      </c>
      <c r="BD53" s="482" t="s">
        <v>1524</v>
      </c>
      <c r="BE53" s="482">
        <v>18000</v>
      </c>
      <c r="BF53" s="483">
        <f t="shared" si="8"/>
        <v>21000</v>
      </c>
      <c r="BG53" s="482" t="s">
        <v>1524</v>
      </c>
      <c r="BH53" s="482" t="s">
        <v>1524</v>
      </c>
      <c r="BI53" s="482" t="s">
        <v>1524</v>
      </c>
      <c r="BJ53" s="482" t="s">
        <v>1524</v>
      </c>
      <c r="BK53" s="482">
        <v>21000</v>
      </c>
      <c r="BL53" s="483">
        <f t="shared" si="1"/>
        <v>21000</v>
      </c>
      <c r="BM53" s="482" t="s">
        <v>1524</v>
      </c>
      <c r="BN53" s="482" t="s">
        <v>1524</v>
      </c>
      <c r="BO53" s="482" t="s">
        <v>1524</v>
      </c>
      <c r="BP53" s="482" t="s">
        <v>1524</v>
      </c>
      <c r="BQ53" s="482">
        <v>20000</v>
      </c>
      <c r="BR53" s="318"/>
      <c r="BS53" s="318"/>
      <c r="BT53" s="318"/>
      <c r="BU53" s="318"/>
      <c r="BV53" s="318"/>
      <c r="BW53" s="318"/>
      <c r="BX53" s="318"/>
      <c r="BY53" s="318"/>
      <c r="BZ53" s="318" t="s">
        <v>1475</v>
      </c>
      <c r="CA53" s="465"/>
      <c r="CB53" s="465"/>
      <c r="CC53" s="465"/>
      <c r="CD53" s="465"/>
      <c r="CE53" s="457" t="s">
        <v>1476</v>
      </c>
      <c r="CF53" s="443">
        <v>28.3</v>
      </c>
      <c r="CG53" s="360" t="s">
        <v>561</v>
      </c>
      <c r="CH53" s="430">
        <v>1</v>
      </c>
      <c r="CI53" s="360"/>
      <c r="CJ53" s="360"/>
      <c r="CK53" s="360"/>
      <c r="CL53" s="360"/>
      <c r="CM53" s="360"/>
      <c r="CN53" s="360"/>
      <c r="CO53" s="360"/>
      <c r="CP53" s="360"/>
      <c r="CR53" s="315" t="str">
        <f t="shared" si="9"/>
        <v>Argentina</v>
      </c>
      <c r="CS53" s="315" t="str">
        <f t="shared" si="10"/>
        <v>Catamarca</v>
      </c>
      <c r="CT53" s="315">
        <v>42</v>
      </c>
      <c r="CU53" s="315" t="s">
        <v>968</v>
      </c>
      <c r="CV53" s="315" t="s">
        <v>552</v>
      </c>
      <c r="CW53" s="315" t="s">
        <v>465</v>
      </c>
      <c r="CX53" s="315" t="s">
        <v>1393</v>
      </c>
      <c r="CY53" s="315" t="str">
        <f t="shared" si="2"/>
        <v>Catamarca</v>
      </c>
    </row>
    <row r="54" spans="1:103" s="315" customFormat="1" ht="19.5" hidden="1" customHeight="1" x14ac:dyDescent="0.25">
      <c r="A54" s="403">
        <v>43</v>
      </c>
      <c r="B54" s="313" t="s">
        <v>634</v>
      </c>
      <c r="C54" s="313" t="s">
        <v>968</v>
      </c>
      <c r="D54" s="318" t="s">
        <v>457</v>
      </c>
      <c r="E54" s="318" t="s">
        <v>553</v>
      </c>
      <c r="F54" s="313" t="s">
        <v>465</v>
      </c>
      <c r="G54" s="313" t="s">
        <v>1393</v>
      </c>
      <c r="H54" s="305"/>
      <c r="I54" s="305" t="s">
        <v>591</v>
      </c>
      <c r="J54" s="370"/>
      <c r="K54" s="370" t="e">
        <f>40000*$V54/(IF(#REF!="yes",0.188,1))</f>
        <v>#REF!</v>
      </c>
      <c r="L54" s="370" t="e">
        <f>K54-J53</f>
        <v>#REF!</v>
      </c>
      <c r="M54" s="316" t="s">
        <v>484</v>
      </c>
      <c r="N54" s="398"/>
      <c r="O54" s="398">
        <v>2022</v>
      </c>
      <c r="P54" s="305" t="s">
        <v>463</v>
      </c>
      <c r="Q54" s="305" t="s">
        <v>533</v>
      </c>
      <c r="R54" s="305" t="s">
        <v>534</v>
      </c>
      <c r="S54" s="305"/>
      <c r="T54" s="305"/>
      <c r="U54" s="305" t="s">
        <v>528</v>
      </c>
      <c r="V54" s="426">
        <v>0.188</v>
      </c>
      <c r="W54" s="443">
        <v>3.5</v>
      </c>
      <c r="X54" s="445"/>
      <c r="Y54" s="317" t="e">
        <f t="shared" si="3"/>
        <v>#REF!</v>
      </c>
      <c r="Z54" s="318">
        <v>2</v>
      </c>
      <c r="AA54" s="318">
        <v>4</v>
      </c>
      <c r="AB54" s="318">
        <v>4</v>
      </c>
      <c r="AC54" s="318">
        <v>3</v>
      </c>
      <c r="AD54" s="318" t="s">
        <v>969</v>
      </c>
      <c r="AE54" s="556">
        <v>0</v>
      </c>
      <c r="AF54" s="557">
        <f>IF(OR($M54="Exploration", $M54="Pre-feasibility", $O54&gt;2017), 0, "check")</f>
        <v>0</v>
      </c>
      <c r="AG54" s="557">
        <f>IF(OR($M54="Exploration", $M54="Pre-feasibility", $O54&gt;2017), 0, "check")</f>
        <v>0</v>
      </c>
      <c r="AH54" s="557">
        <f>IF(OR($M54="Exploration", $M54="Pre-feasibility", $O54&gt;2017), 0, "check")</f>
        <v>0</v>
      </c>
      <c r="AI54" s="557">
        <f>IF(OR($M54="Exploration", $M54="Pre-feasibility", $O54&gt;2017), 0, "check")</f>
        <v>0</v>
      </c>
      <c r="AJ54" s="557">
        <f>IF(OR($M54="Exploration", $M54="Pre-feasibility", $O54&gt;2017), 0, "check")</f>
        <v>0</v>
      </c>
      <c r="AK54" s="556">
        <f t="shared" ref="AK54:AP57" si="38">IF(OR($M54="Exploration", $M54="Pre-feasibility", $O54&gt;2018), 0, "check")</f>
        <v>0</v>
      </c>
      <c r="AL54" s="557">
        <f t="shared" si="38"/>
        <v>0</v>
      </c>
      <c r="AM54" s="557">
        <f t="shared" si="38"/>
        <v>0</v>
      </c>
      <c r="AN54" s="557">
        <f t="shared" si="38"/>
        <v>0</v>
      </c>
      <c r="AO54" s="557">
        <f t="shared" si="38"/>
        <v>0</v>
      </c>
      <c r="AP54" s="557">
        <f t="shared" si="38"/>
        <v>0</v>
      </c>
      <c r="AQ54" s="556">
        <f t="shared" ref="AQ54:AU55" si="39">IF(OR($M54="Exploration", $M54="Pre-feasibility", $O54&gt;2019), 0, "check")</f>
        <v>0</v>
      </c>
      <c r="AR54" s="557">
        <f t="shared" si="39"/>
        <v>0</v>
      </c>
      <c r="AS54" s="557">
        <f t="shared" si="39"/>
        <v>0</v>
      </c>
      <c r="AT54" s="557">
        <f t="shared" si="39"/>
        <v>0</v>
      </c>
      <c r="AU54" s="557">
        <f t="shared" si="39"/>
        <v>0</v>
      </c>
      <c r="AV54" s="559">
        <f t="shared" ref="AV54:AV59" si="40">SUM(AR54:AU54)</f>
        <v>0</v>
      </c>
      <c r="AW54" s="556" t="str">
        <f t="shared" si="23"/>
        <v>check</v>
      </c>
      <c r="AX54" s="559">
        <f t="shared" si="33"/>
        <v>0</v>
      </c>
      <c r="AY54" s="514" t="s">
        <v>1034</v>
      </c>
      <c r="AZ54" s="483">
        <f t="shared" si="7"/>
        <v>0</v>
      </c>
      <c r="BA54" s="482">
        <v>0</v>
      </c>
      <c r="BB54" s="482">
        <v>0</v>
      </c>
      <c r="BC54" s="482">
        <v>0</v>
      </c>
      <c r="BD54" s="482">
        <v>0</v>
      </c>
      <c r="BE54" s="482">
        <v>0</v>
      </c>
      <c r="BF54" s="483">
        <f t="shared" si="8"/>
        <v>0</v>
      </c>
      <c r="BG54" s="482">
        <v>0</v>
      </c>
      <c r="BH54" s="482">
        <v>0</v>
      </c>
      <c r="BI54" s="482">
        <v>0</v>
      </c>
      <c r="BJ54" s="482">
        <v>0</v>
      </c>
      <c r="BK54" s="482">
        <v>0</v>
      </c>
      <c r="BL54" s="483">
        <f t="shared" si="1"/>
        <v>0</v>
      </c>
      <c r="BM54" s="482">
        <v>0</v>
      </c>
      <c r="BN54" s="482">
        <v>0</v>
      </c>
      <c r="BO54" s="482">
        <v>0</v>
      </c>
      <c r="BP54" s="482">
        <v>0</v>
      </c>
      <c r="BQ54" s="482">
        <v>0</v>
      </c>
      <c r="BR54" s="318"/>
      <c r="BS54" s="318"/>
      <c r="BT54" s="318"/>
      <c r="BU54" s="318"/>
      <c r="BV54" s="318"/>
      <c r="BW54" s="318"/>
      <c r="BX54" s="318"/>
      <c r="BY54" s="318"/>
      <c r="BZ54" s="318" t="s">
        <v>1475</v>
      </c>
      <c r="CA54" s="465"/>
      <c r="CB54" s="465"/>
      <c r="CC54" s="465"/>
      <c r="CD54" s="465"/>
      <c r="CE54" s="457" t="s">
        <v>1476</v>
      </c>
      <c r="CF54" s="443">
        <v>28.3</v>
      </c>
      <c r="CG54" s="360" t="s">
        <v>561</v>
      </c>
      <c r="CH54" s="430">
        <v>1</v>
      </c>
      <c r="CI54" s="360"/>
      <c r="CJ54" s="360"/>
      <c r="CK54" s="360"/>
      <c r="CL54" s="360"/>
      <c r="CM54" s="360"/>
      <c r="CN54" s="360"/>
      <c r="CO54" s="360"/>
      <c r="CP54" s="360"/>
      <c r="CR54" s="315" t="str">
        <f t="shared" si="9"/>
        <v>Argentina</v>
      </c>
      <c r="CS54" s="315" t="str">
        <f t="shared" si="10"/>
        <v>Catamarca</v>
      </c>
      <c r="CT54" s="315">
        <v>43</v>
      </c>
      <c r="CU54" s="315" t="s">
        <v>968</v>
      </c>
      <c r="CV54" s="315" t="s">
        <v>553</v>
      </c>
      <c r="CW54" s="315" t="s">
        <v>465</v>
      </c>
      <c r="CX54" s="315" t="s">
        <v>1393</v>
      </c>
      <c r="CY54" s="315" t="str">
        <f t="shared" si="2"/>
        <v>Catamarca</v>
      </c>
    </row>
    <row r="55" spans="1:103" s="315" customFormat="1" ht="13" hidden="1" x14ac:dyDescent="0.25">
      <c r="A55" s="403">
        <v>44</v>
      </c>
      <c r="B55" s="313" t="s">
        <v>634</v>
      </c>
      <c r="C55" s="313" t="s">
        <v>640</v>
      </c>
      <c r="D55" s="318" t="s">
        <v>594</v>
      </c>
      <c r="E55" s="318" t="s">
        <v>552</v>
      </c>
      <c r="F55" s="313" t="s">
        <v>244</v>
      </c>
      <c r="G55" s="313" t="s">
        <v>792</v>
      </c>
      <c r="H55" s="305" t="s">
        <v>642</v>
      </c>
      <c r="I55" s="305" t="s">
        <v>991</v>
      </c>
      <c r="J55" s="370" t="e">
        <f>9000*$V55/(IF(#REF!="yes",0.188,1))</f>
        <v>#REF!</v>
      </c>
      <c r="K55" s="370" t="e">
        <f>18500*$V55/(IF(#REF!="yes",0.188,1))</f>
        <v>#REF!</v>
      </c>
      <c r="L55" s="370">
        <v>16335</v>
      </c>
      <c r="M55" s="316" t="s">
        <v>483</v>
      </c>
      <c r="N55" s="398"/>
      <c r="O55" s="398">
        <v>2018</v>
      </c>
      <c r="P55" s="305" t="s">
        <v>519</v>
      </c>
      <c r="Q55" s="304"/>
      <c r="R55" s="305"/>
      <c r="S55" s="305"/>
      <c r="T55" s="305"/>
      <c r="U55" s="305" t="s">
        <v>579</v>
      </c>
      <c r="V55" s="426">
        <v>0.16600000000000001</v>
      </c>
      <c r="W55" s="443">
        <f>(236800/40000)</f>
        <v>5.92</v>
      </c>
      <c r="X55" s="414"/>
      <c r="Y55" s="412" t="e">
        <f t="shared" si="3"/>
        <v>#REF!</v>
      </c>
      <c r="Z55" s="318">
        <v>5</v>
      </c>
      <c r="AA55" s="318">
        <v>5</v>
      </c>
      <c r="AB55" s="318">
        <v>5</v>
      </c>
      <c r="AC55" s="318">
        <v>3</v>
      </c>
      <c r="AD55" s="318"/>
      <c r="AE55" s="556">
        <v>7946.8085106382978</v>
      </c>
      <c r="AF55" s="557" t="s">
        <v>1524</v>
      </c>
      <c r="AG55" s="557" t="s">
        <v>1524</v>
      </c>
      <c r="AH55" s="557" t="s">
        <v>1524</v>
      </c>
      <c r="AI55" s="557" t="s">
        <v>1524</v>
      </c>
      <c r="AJ55" s="557">
        <v>0</v>
      </c>
      <c r="AK55" s="556">
        <v>7946.8085106382978</v>
      </c>
      <c r="AL55" s="557" t="s">
        <v>1524</v>
      </c>
      <c r="AM55" s="557" t="s">
        <v>1524</v>
      </c>
      <c r="AN55" s="557" t="s">
        <v>1524</v>
      </c>
      <c r="AO55" s="557" t="s">
        <v>1524</v>
      </c>
      <c r="AP55" s="557" t="str">
        <f>IF(OR(M55="Exploration", M55="Pre-feasibility", O55&gt;2018), 0, "check")</f>
        <v>check</v>
      </c>
      <c r="AQ55" s="556">
        <v>7946.8085106382978</v>
      </c>
      <c r="AR55" s="557" t="str">
        <f t="shared" si="39"/>
        <v>check</v>
      </c>
      <c r="AS55" s="557" t="str">
        <f t="shared" si="39"/>
        <v>check</v>
      </c>
      <c r="AT55" s="557" t="str">
        <f t="shared" si="39"/>
        <v>check</v>
      </c>
      <c r="AU55" s="557" t="str">
        <f t="shared" si="39"/>
        <v>check</v>
      </c>
      <c r="AV55" s="559" t="s">
        <v>1524</v>
      </c>
      <c r="AW55" s="556" t="str">
        <f t="shared" si="23"/>
        <v>check</v>
      </c>
      <c r="AX55" s="559" t="str">
        <f t="shared" si="33"/>
        <v>check</v>
      </c>
      <c r="AY55" s="514" t="s">
        <v>1524</v>
      </c>
      <c r="AZ55" s="483">
        <f t="shared" si="7"/>
        <v>7946.8085106382978</v>
      </c>
      <c r="BA55" s="482" t="s">
        <v>1524</v>
      </c>
      <c r="BB55" s="482" t="s">
        <v>1524</v>
      </c>
      <c r="BC55" s="482" t="s">
        <v>1524</v>
      </c>
      <c r="BD55" s="482" t="s">
        <v>1524</v>
      </c>
      <c r="BE55" s="482">
        <v>0</v>
      </c>
      <c r="BF55" s="483">
        <f t="shared" si="8"/>
        <v>7946.8085106382978</v>
      </c>
      <c r="BG55" s="482" t="s">
        <v>1524</v>
      </c>
      <c r="BH55" s="482" t="s">
        <v>1524</v>
      </c>
      <c r="BI55" s="482" t="s">
        <v>1524</v>
      </c>
      <c r="BJ55" s="482" t="s">
        <v>1524</v>
      </c>
      <c r="BK55" s="482" t="s">
        <v>1524</v>
      </c>
      <c r="BL55" s="483">
        <f t="shared" si="1"/>
        <v>7946.8085106382978</v>
      </c>
      <c r="BM55" s="482" t="s">
        <v>1524</v>
      </c>
      <c r="BN55" s="482" t="s">
        <v>1524</v>
      </c>
      <c r="BO55" s="482" t="s">
        <v>1524</v>
      </c>
      <c r="BP55" s="482" t="s">
        <v>1524</v>
      </c>
      <c r="BQ55" s="482">
        <v>0</v>
      </c>
      <c r="BR55" s="318"/>
      <c r="BS55" s="318"/>
      <c r="BT55" s="318"/>
      <c r="BU55" s="318"/>
      <c r="BV55" s="318"/>
      <c r="BW55" s="318"/>
      <c r="BX55" s="318"/>
      <c r="BY55" s="318"/>
      <c r="BZ55" s="318" t="s">
        <v>1474</v>
      </c>
      <c r="CA55" s="465"/>
      <c r="CB55" s="465"/>
      <c r="CC55" s="465"/>
      <c r="CD55" s="465"/>
      <c r="CE55" s="457" t="s">
        <v>1477</v>
      </c>
      <c r="CF55" s="443">
        <v>28.3</v>
      </c>
      <c r="CG55" s="360" t="s">
        <v>561</v>
      </c>
      <c r="CH55" s="430">
        <v>1</v>
      </c>
      <c r="CI55" s="360"/>
      <c r="CJ55" s="360"/>
      <c r="CK55" s="360"/>
      <c r="CL55" s="360"/>
      <c r="CM55" s="360"/>
      <c r="CN55" s="360"/>
      <c r="CO55" s="360"/>
      <c r="CP55" s="360"/>
      <c r="CR55" s="315" t="str">
        <f t="shared" si="9"/>
        <v>China</v>
      </c>
      <c r="CS55" s="315" t="str">
        <f t="shared" si="10"/>
        <v>Jiangsu</v>
      </c>
      <c r="CT55" s="315">
        <v>44</v>
      </c>
      <c r="CU55" s="315" t="s">
        <v>640</v>
      </c>
      <c r="CV55" s="315" t="s">
        <v>552</v>
      </c>
      <c r="CW55" s="315" t="s">
        <v>244</v>
      </c>
      <c r="CX55" s="315" t="s">
        <v>792</v>
      </c>
      <c r="CY55" s="315" t="str">
        <f t="shared" si="2"/>
        <v>Jiangsu</v>
      </c>
    </row>
    <row r="56" spans="1:103" s="315" customFormat="1" ht="13" hidden="1" x14ac:dyDescent="0.25">
      <c r="A56" s="403">
        <v>45</v>
      </c>
      <c r="B56" s="313" t="s">
        <v>634</v>
      </c>
      <c r="C56" s="313" t="s">
        <v>640</v>
      </c>
      <c r="D56" s="318" t="s">
        <v>594</v>
      </c>
      <c r="E56" s="318" t="s">
        <v>553</v>
      </c>
      <c r="F56" s="313" t="s">
        <v>244</v>
      </c>
      <c r="G56" s="313" t="s">
        <v>792</v>
      </c>
      <c r="H56" s="305"/>
      <c r="I56" s="305" t="s">
        <v>641</v>
      </c>
      <c r="J56" s="370">
        <v>0</v>
      </c>
      <c r="K56" s="370" t="e">
        <f>30000*$V56/(IF(#REF!="yes",0.188,1))</f>
        <v>#REF!</v>
      </c>
      <c r="L56" s="370" t="e">
        <f>K56-K55</f>
        <v>#REF!</v>
      </c>
      <c r="M56" s="316" t="s">
        <v>484</v>
      </c>
      <c r="N56" s="398"/>
      <c r="O56" s="398">
        <v>2020</v>
      </c>
      <c r="P56" s="305" t="s">
        <v>519</v>
      </c>
      <c r="Q56" s="304"/>
      <c r="R56" s="305"/>
      <c r="S56" s="305"/>
      <c r="T56" s="305"/>
      <c r="U56" s="305" t="s">
        <v>579</v>
      </c>
      <c r="V56" s="426">
        <v>0.16600000000000001</v>
      </c>
      <c r="W56" s="443">
        <f>(236800/40000)</f>
        <v>5.92</v>
      </c>
      <c r="X56" s="414"/>
      <c r="Y56" s="412" t="e">
        <f t="shared" si="3"/>
        <v>#REF!</v>
      </c>
      <c r="Z56" s="318">
        <v>5</v>
      </c>
      <c r="AA56" s="318">
        <v>5</v>
      </c>
      <c r="AB56" s="318">
        <v>5</v>
      </c>
      <c r="AC56" s="318">
        <v>3</v>
      </c>
      <c r="AD56" s="318"/>
      <c r="AE56" s="556">
        <v>0</v>
      </c>
      <c r="AF56" s="557">
        <f t="shared" ref="AF56:AI57" si="41">IF(OR($M56="Exploration", $M56="Pre-feasibility", $O56&gt;2017), 0, "check")</f>
        <v>0</v>
      </c>
      <c r="AG56" s="557">
        <f t="shared" si="41"/>
        <v>0</v>
      </c>
      <c r="AH56" s="557">
        <f t="shared" si="41"/>
        <v>0</v>
      </c>
      <c r="AI56" s="557">
        <f t="shared" si="41"/>
        <v>0</v>
      </c>
      <c r="AJ56" s="557">
        <f>IF(OR($M56="Exploration", $M56="Pre-feasibility", $O56&gt;2017), 0, "check")</f>
        <v>0</v>
      </c>
      <c r="AK56" s="556">
        <f t="shared" si="38"/>
        <v>0</v>
      </c>
      <c r="AL56" s="557">
        <f t="shared" si="38"/>
        <v>0</v>
      </c>
      <c r="AM56" s="557">
        <f t="shared" si="38"/>
        <v>0</v>
      </c>
      <c r="AN56" s="557">
        <f t="shared" si="38"/>
        <v>0</v>
      </c>
      <c r="AO56" s="557">
        <f t="shared" si="38"/>
        <v>0</v>
      </c>
      <c r="AP56" s="557">
        <f t="shared" si="38"/>
        <v>0</v>
      </c>
      <c r="AQ56" s="556">
        <f t="shared" ref="AQ56:AU57" si="42">IF(OR($M56="Exploration", $M56="Pre-feasibility", $O56&gt;2019), 0, "check")</f>
        <v>0</v>
      </c>
      <c r="AR56" s="557">
        <f t="shared" si="42"/>
        <v>0</v>
      </c>
      <c r="AS56" s="557">
        <f t="shared" si="42"/>
        <v>0</v>
      </c>
      <c r="AT56" s="557">
        <f t="shared" si="42"/>
        <v>0</v>
      </c>
      <c r="AU56" s="557">
        <f t="shared" si="42"/>
        <v>0</v>
      </c>
      <c r="AV56" s="559">
        <f t="shared" si="40"/>
        <v>0</v>
      </c>
      <c r="AW56" s="556" t="str">
        <f t="shared" si="23"/>
        <v>check</v>
      </c>
      <c r="AX56" s="559" t="str">
        <f t="shared" si="33"/>
        <v>check</v>
      </c>
      <c r="AY56" s="514" t="s">
        <v>1524</v>
      </c>
      <c r="AZ56" s="483">
        <f t="shared" si="7"/>
        <v>0</v>
      </c>
      <c r="BA56" s="482">
        <v>0</v>
      </c>
      <c r="BB56" s="482">
        <v>0</v>
      </c>
      <c r="BC56" s="482">
        <v>0</v>
      </c>
      <c r="BD56" s="482">
        <v>0</v>
      </c>
      <c r="BE56" s="482">
        <v>0</v>
      </c>
      <c r="BF56" s="483">
        <f t="shared" si="8"/>
        <v>0</v>
      </c>
      <c r="BG56" s="482">
        <v>0</v>
      </c>
      <c r="BH56" s="482">
        <v>0</v>
      </c>
      <c r="BI56" s="482">
        <v>0</v>
      </c>
      <c r="BJ56" s="482">
        <v>0</v>
      </c>
      <c r="BK56" s="482">
        <v>0</v>
      </c>
      <c r="BL56" s="483">
        <f t="shared" si="1"/>
        <v>0</v>
      </c>
      <c r="BM56" s="482">
        <v>0</v>
      </c>
      <c r="BN56" s="482">
        <v>0</v>
      </c>
      <c r="BO56" s="482">
        <v>0</v>
      </c>
      <c r="BP56" s="482">
        <v>0</v>
      </c>
      <c r="BQ56" s="482">
        <v>0</v>
      </c>
      <c r="BR56" s="318"/>
      <c r="BS56" s="318"/>
      <c r="BT56" s="318"/>
      <c r="BU56" s="318"/>
      <c r="BV56" s="318"/>
      <c r="BW56" s="318"/>
      <c r="BX56" s="318"/>
      <c r="BY56" s="318"/>
      <c r="BZ56" s="318" t="s">
        <v>1474</v>
      </c>
      <c r="CA56" s="465"/>
      <c r="CB56" s="465"/>
      <c r="CC56" s="465"/>
      <c r="CD56" s="465"/>
      <c r="CE56" s="457" t="s">
        <v>1477</v>
      </c>
      <c r="CF56" s="443">
        <v>28.3</v>
      </c>
      <c r="CG56" s="360" t="s">
        <v>561</v>
      </c>
      <c r="CH56" s="430">
        <v>1</v>
      </c>
      <c r="CI56" s="360"/>
      <c r="CJ56" s="360"/>
      <c r="CK56" s="360"/>
      <c r="CL56" s="360"/>
      <c r="CM56" s="360"/>
      <c r="CN56" s="360"/>
      <c r="CO56" s="360"/>
      <c r="CP56" s="360"/>
      <c r="CR56" s="315" t="str">
        <f t="shared" si="9"/>
        <v>China</v>
      </c>
      <c r="CS56" s="315" t="str">
        <f t="shared" si="10"/>
        <v>Jiangsu</v>
      </c>
      <c r="CT56" s="315">
        <v>45</v>
      </c>
      <c r="CU56" s="315" t="s">
        <v>640</v>
      </c>
      <c r="CV56" s="315" t="s">
        <v>553</v>
      </c>
      <c r="CW56" s="315" t="s">
        <v>244</v>
      </c>
      <c r="CX56" s="315" t="s">
        <v>792</v>
      </c>
      <c r="CY56" s="315" t="str">
        <f t="shared" si="2"/>
        <v>Jiangsu</v>
      </c>
    </row>
    <row r="57" spans="1:103" s="315" customFormat="1" ht="13" hidden="1" x14ac:dyDescent="0.25">
      <c r="A57" s="403">
        <v>46</v>
      </c>
      <c r="B57" s="313" t="s">
        <v>923</v>
      </c>
      <c r="C57" s="313" t="s">
        <v>529</v>
      </c>
      <c r="D57" s="318" t="s">
        <v>457</v>
      </c>
      <c r="E57" s="318"/>
      <c r="F57" s="313" t="s">
        <v>462</v>
      </c>
      <c r="G57" s="313" t="s">
        <v>1394</v>
      </c>
      <c r="H57" s="305"/>
      <c r="I57" s="305"/>
      <c r="J57" s="370">
        <v>0</v>
      </c>
      <c r="K57" s="370">
        <v>0</v>
      </c>
      <c r="L57" s="370">
        <f>K57-J57</f>
        <v>0</v>
      </c>
      <c r="M57" s="316" t="s">
        <v>487</v>
      </c>
      <c r="N57" s="398"/>
      <c r="O57" s="398"/>
      <c r="P57" s="305" t="s">
        <v>463</v>
      </c>
      <c r="Q57" s="304" t="s">
        <v>684</v>
      </c>
      <c r="R57" s="305" t="s">
        <v>685</v>
      </c>
      <c r="S57" s="305"/>
      <c r="T57" s="305"/>
      <c r="U57" s="305" t="s">
        <v>528</v>
      </c>
      <c r="V57" s="426"/>
      <c r="W57" s="317"/>
      <c r="X57" s="317"/>
      <c r="Y57" s="317" t="str">
        <f t="shared" si="3"/>
        <v/>
      </c>
      <c r="Z57" s="318">
        <v>1</v>
      </c>
      <c r="AA57" s="318"/>
      <c r="AB57" s="318"/>
      <c r="AC57" s="318"/>
      <c r="AD57" s="318" t="s">
        <v>686</v>
      </c>
      <c r="AE57" s="556">
        <v>0</v>
      </c>
      <c r="AF57" s="557">
        <f t="shared" si="41"/>
        <v>0</v>
      </c>
      <c r="AG57" s="557">
        <f t="shared" si="41"/>
        <v>0</v>
      </c>
      <c r="AH57" s="557">
        <f t="shared" si="41"/>
        <v>0</v>
      </c>
      <c r="AI57" s="557">
        <f t="shared" si="41"/>
        <v>0</v>
      </c>
      <c r="AJ57" s="557">
        <f>IF(OR($M57="Exploration", $M57="Pre-feasibility", $O57&gt;2017), 0, "check")</f>
        <v>0</v>
      </c>
      <c r="AK57" s="556">
        <f t="shared" si="38"/>
        <v>0</v>
      </c>
      <c r="AL57" s="557">
        <f t="shared" si="38"/>
        <v>0</v>
      </c>
      <c r="AM57" s="557">
        <f t="shared" si="38"/>
        <v>0</v>
      </c>
      <c r="AN57" s="557">
        <f t="shared" si="38"/>
        <v>0</v>
      </c>
      <c r="AO57" s="557">
        <f t="shared" si="38"/>
        <v>0</v>
      </c>
      <c r="AP57" s="557">
        <f t="shared" si="38"/>
        <v>0</v>
      </c>
      <c r="AQ57" s="556">
        <f t="shared" si="42"/>
        <v>0</v>
      </c>
      <c r="AR57" s="557">
        <f t="shared" si="42"/>
        <v>0</v>
      </c>
      <c r="AS57" s="557">
        <f t="shared" si="42"/>
        <v>0</v>
      </c>
      <c r="AT57" s="557">
        <f t="shared" si="42"/>
        <v>0</v>
      </c>
      <c r="AU57" s="557">
        <f t="shared" si="42"/>
        <v>0</v>
      </c>
      <c r="AV57" s="559">
        <f t="shared" si="40"/>
        <v>0</v>
      </c>
      <c r="AW57" s="556">
        <f t="shared" si="23"/>
        <v>0</v>
      </c>
      <c r="AX57" s="559">
        <f t="shared" si="33"/>
        <v>0</v>
      </c>
      <c r="AY57" s="514" t="s">
        <v>1034</v>
      </c>
      <c r="AZ57" s="483">
        <f t="shared" si="7"/>
        <v>0</v>
      </c>
      <c r="BA57" s="482">
        <v>0</v>
      </c>
      <c r="BB57" s="482">
        <v>0</v>
      </c>
      <c r="BC57" s="482">
        <v>0</v>
      </c>
      <c r="BD57" s="482">
        <v>0</v>
      </c>
      <c r="BE57" s="482">
        <v>0</v>
      </c>
      <c r="BF57" s="483">
        <f t="shared" si="8"/>
        <v>0</v>
      </c>
      <c r="BG57" s="482">
        <v>0</v>
      </c>
      <c r="BH57" s="482">
        <v>0</v>
      </c>
      <c r="BI57" s="482">
        <v>0</v>
      </c>
      <c r="BJ57" s="482">
        <v>0</v>
      </c>
      <c r="BK57" s="482">
        <v>0</v>
      </c>
      <c r="BL57" s="483">
        <f t="shared" si="1"/>
        <v>0</v>
      </c>
      <c r="BM57" s="482">
        <v>0</v>
      </c>
      <c r="BN57" s="482">
        <v>0</v>
      </c>
      <c r="BO57" s="482">
        <v>0</v>
      </c>
      <c r="BP57" s="482">
        <v>0</v>
      </c>
      <c r="BQ57" s="482">
        <v>0</v>
      </c>
      <c r="BR57" s="318"/>
      <c r="BS57" s="318"/>
      <c r="BT57" s="318"/>
      <c r="BU57" s="318"/>
      <c r="BV57" s="318"/>
      <c r="BW57" s="318"/>
      <c r="BX57" s="318"/>
      <c r="BY57" s="318"/>
      <c r="BZ57" s="318"/>
      <c r="CA57" s="318"/>
      <c r="CB57" s="318"/>
      <c r="CC57" s="318"/>
      <c r="CD57" s="318"/>
      <c r="CE57" s="457"/>
      <c r="CF57" s="318"/>
      <c r="CG57" s="360"/>
      <c r="CH57" s="360"/>
      <c r="CI57" s="360"/>
      <c r="CJ57" s="360"/>
      <c r="CK57" s="360"/>
      <c r="CL57" s="360"/>
      <c r="CM57" s="360"/>
      <c r="CN57" s="360"/>
      <c r="CO57" s="360"/>
      <c r="CP57" s="360"/>
      <c r="CR57" s="315" t="str">
        <f t="shared" si="9"/>
        <v>Chile</v>
      </c>
      <c r="CS57" s="315" t="str">
        <f t="shared" si="10"/>
        <v>San Pedro de Atacama</v>
      </c>
      <c r="CT57" s="315">
        <v>46</v>
      </c>
      <c r="CU57" s="315" t="s">
        <v>529</v>
      </c>
      <c r="CW57" s="315" t="s">
        <v>462</v>
      </c>
      <c r="CX57" s="315" t="s">
        <v>1394</v>
      </c>
      <c r="CY57" s="315" t="str">
        <f t="shared" si="2"/>
        <v>San Pedro de Atacama</v>
      </c>
    </row>
    <row r="58" spans="1:103" s="580" customFormat="1" ht="26" hidden="1" x14ac:dyDescent="0.3">
      <c r="A58" s="563">
        <v>47</v>
      </c>
      <c r="B58" s="564" t="s">
        <v>1048</v>
      </c>
      <c r="C58" s="564" t="s">
        <v>560</v>
      </c>
      <c r="D58" s="565" t="s">
        <v>457</v>
      </c>
      <c r="E58" s="565" t="s">
        <v>552</v>
      </c>
      <c r="F58" s="564" t="s">
        <v>247</v>
      </c>
      <c r="G58" s="564" t="s">
        <v>1214</v>
      </c>
      <c r="H58" s="566">
        <f>3400000</f>
        <v>3400000</v>
      </c>
      <c r="I58" s="566"/>
      <c r="J58" s="567" t="e">
        <f>(H58*$V58)/(IF(#REF!="yes",0.188,1))</f>
        <v>#REF!</v>
      </c>
      <c r="K58" s="567" t="e">
        <f>(I58*$V58)/(IF(#REF!="yes",0.188,1))</f>
        <v>#REF!</v>
      </c>
      <c r="L58" s="567">
        <v>19894</v>
      </c>
      <c r="M58" s="581" t="s">
        <v>1208</v>
      </c>
      <c r="N58" s="568"/>
      <c r="O58" s="568">
        <v>2017</v>
      </c>
      <c r="P58" s="569" t="s">
        <v>519</v>
      </c>
      <c r="Q58" s="570">
        <v>1.17E-2</v>
      </c>
      <c r="R58" s="569"/>
      <c r="S58" s="569" t="s">
        <v>1481</v>
      </c>
      <c r="T58" s="564" t="s">
        <v>1480</v>
      </c>
      <c r="U58" s="569" t="s">
        <v>815</v>
      </c>
      <c r="V58" s="571">
        <f>11%/100</f>
        <v>1.1000000000000001E-3</v>
      </c>
      <c r="W58" s="572">
        <v>2.8</v>
      </c>
      <c r="X58" s="573"/>
      <c r="Y58" s="574" t="e">
        <f t="shared" si="3"/>
        <v>#REF!</v>
      </c>
      <c r="Z58" s="565">
        <v>2</v>
      </c>
      <c r="AA58" s="565">
        <v>3</v>
      </c>
      <c r="AB58" s="565">
        <v>5</v>
      </c>
      <c r="AC58" s="565">
        <v>4</v>
      </c>
      <c r="AD58" s="575" t="s">
        <v>1483</v>
      </c>
      <c r="AE58" s="582">
        <v>19893.617021276597</v>
      </c>
      <c r="AF58" s="583">
        <v>0</v>
      </c>
      <c r="AG58" s="583">
        <f>876000*0.0011/0.188</f>
        <v>5125.5319148936169</v>
      </c>
      <c r="AH58" s="583">
        <f>913000*0.0011/0.188</f>
        <v>5342.0212765957449</v>
      </c>
      <c r="AI58" s="583">
        <f>1104000*0.0011/0.188</f>
        <v>6459.5744680851067</v>
      </c>
      <c r="AJ58" s="583">
        <f>SUM(AF58:AI58)</f>
        <v>16927.127659574468</v>
      </c>
      <c r="AK58" s="582">
        <v>19893.617021276597</v>
      </c>
      <c r="AL58" s="583">
        <f>1159000*0.0011/0.188</f>
        <v>6781.3829787234044</v>
      </c>
      <c r="AM58" s="583">
        <f>845000*0.0011/0.188</f>
        <v>4944.1489361702124</v>
      </c>
      <c r="AN58" s="583">
        <f>358000*0.0011/0.188</f>
        <v>2094.6808510638298</v>
      </c>
      <c r="AO58" s="583">
        <f>40000*0.0011/0.188</f>
        <v>234.04255319148936</v>
      </c>
      <c r="AP58" s="583">
        <f>SUM(AL58:AO58)</f>
        <v>14054.255319148937</v>
      </c>
      <c r="AQ58" s="582">
        <v>0</v>
      </c>
      <c r="AR58" s="583">
        <v>0</v>
      </c>
      <c r="AS58" s="583">
        <v>0</v>
      </c>
      <c r="AT58" s="583">
        <v>0</v>
      </c>
      <c r="AU58" s="583">
        <v>0</v>
      </c>
      <c r="AV58" s="583">
        <f t="shared" si="40"/>
        <v>0</v>
      </c>
      <c r="AW58" s="582">
        <f t="shared" si="23"/>
        <v>0</v>
      </c>
      <c r="AX58" s="576">
        <f t="shared" si="33"/>
        <v>0</v>
      </c>
      <c r="AY58" s="576" t="s">
        <v>1034</v>
      </c>
      <c r="AZ58" s="582">
        <f t="shared" si="7"/>
        <v>19893.617021276597</v>
      </c>
      <c r="BA58" s="583">
        <v>0</v>
      </c>
      <c r="BB58" s="583">
        <f>720000*0.0011/0.188</f>
        <v>4212.7659574468089</v>
      </c>
      <c r="BC58" s="583">
        <f>728000*0.0011/0.188</f>
        <v>4259.5744680851067</v>
      </c>
      <c r="BD58" s="583">
        <f>1044000*0.0011/0.188</f>
        <v>6108.5106382978729</v>
      </c>
      <c r="BE58" s="583">
        <f>SUM(BA58:BD58)</f>
        <v>14580.851063829788</v>
      </c>
      <c r="BF58" s="582">
        <f t="shared" si="8"/>
        <v>19893.617021276597</v>
      </c>
      <c r="BG58" s="583">
        <f>956000*0.0011/0.188</f>
        <v>5593.6170212765965</v>
      </c>
      <c r="BH58" s="583">
        <f>754000*0.0011/0.188</f>
        <v>4411.7021276595751</v>
      </c>
      <c r="BI58" s="583">
        <f>422000*0.0011/0.188</f>
        <v>2469.1489361702129</v>
      </c>
      <c r="BJ58" s="583">
        <v>0</v>
      </c>
      <c r="BK58" s="583">
        <f>SUM(BG58:BJ58)</f>
        <v>12474.468085106384</v>
      </c>
      <c r="BL58" s="582">
        <f t="shared" si="1"/>
        <v>0</v>
      </c>
      <c r="BM58" s="583">
        <v>0</v>
      </c>
      <c r="BN58" s="583">
        <v>0</v>
      </c>
      <c r="BO58" s="583">
        <v>0</v>
      </c>
      <c r="BP58" s="583">
        <v>0</v>
      </c>
      <c r="BQ58" s="583">
        <f>SUM(BM58:BP58)</f>
        <v>0</v>
      </c>
      <c r="BR58" s="565"/>
      <c r="BS58" s="565"/>
      <c r="BT58" s="565"/>
      <c r="BU58" s="565"/>
      <c r="BV58" s="565"/>
      <c r="BW58" s="565"/>
      <c r="BX58" s="565"/>
      <c r="BY58" s="565"/>
      <c r="BZ58" s="565" t="s">
        <v>1487</v>
      </c>
      <c r="CA58" s="565"/>
      <c r="CB58" s="565"/>
      <c r="CC58" s="565"/>
      <c r="CD58" s="565"/>
      <c r="CE58" s="577" t="s">
        <v>1484</v>
      </c>
      <c r="CF58" s="572">
        <f>(555*60%)+(181*40%)</f>
        <v>405.4</v>
      </c>
      <c r="CG58" s="578" t="s">
        <v>460</v>
      </c>
      <c r="CH58" s="579">
        <v>0.6</v>
      </c>
      <c r="CI58" s="578" t="s">
        <v>1197</v>
      </c>
      <c r="CJ58" s="579">
        <v>0.4</v>
      </c>
      <c r="CK58" s="578"/>
      <c r="CL58" s="578"/>
      <c r="CM58" s="578"/>
      <c r="CN58" s="578"/>
      <c r="CO58" s="578"/>
      <c r="CP58" s="578"/>
      <c r="CR58" s="580" t="str">
        <f t="shared" si="9"/>
        <v>Australia</v>
      </c>
      <c r="CS58" s="580" t="str">
        <f t="shared" si="10"/>
        <v>Western Australia</v>
      </c>
      <c r="CT58" s="580">
        <v>47</v>
      </c>
      <c r="CU58" s="580" t="s">
        <v>560</v>
      </c>
      <c r="CV58" s="580" t="s">
        <v>552</v>
      </c>
      <c r="CW58" s="580" t="s">
        <v>247</v>
      </c>
      <c r="CX58" s="580" t="s">
        <v>1214</v>
      </c>
      <c r="CY58" s="580" t="str">
        <f t="shared" si="2"/>
        <v>Western Australia</v>
      </c>
    </row>
    <row r="59" spans="1:103" s="315" customFormat="1" ht="25" hidden="1" x14ac:dyDescent="0.25">
      <c r="A59" s="403">
        <v>48</v>
      </c>
      <c r="B59" s="313" t="s">
        <v>1048</v>
      </c>
      <c r="C59" s="495" t="s">
        <v>560</v>
      </c>
      <c r="D59" s="496" t="s">
        <v>457</v>
      </c>
      <c r="E59" s="496" t="s">
        <v>552</v>
      </c>
      <c r="F59" s="313" t="s">
        <v>247</v>
      </c>
      <c r="G59" s="313" t="s">
        <v>1214</v>
      </c>
      <c r="H59" s="369">
        <v>0</v>
      </c>
      <c r="I59" s="375">
        <v>250000</v>
      </c>
      <c r="J59" s="370" t="e">
        <f>(H59*$V59)/(IF(#REF!="yes",0.188,1))</f>
        <v>#REF!</v>
      </c>
      <c r="K59" s="370" t="e">
        <f>(I59*$V59)/(IF(#REF!="yes",0.188,1))</f>
        <v>#REF!</v>
      </c>
      <c r="L59" s="546" t="e">
        <f>K59-J58</f>
        <v>#REF!</v>
      </c>
      <c r="M59" s="316" t="s">
        <v>611</v>
      </c>
      <c r="N59" s="398">
        <v>2017</v>
      </c>
      <c r="O59" s="398">
        <v>2019</v>
      </c>
      <c r="P59" s="305" t="s">
        <v>519</v>
      </c>
      <c r="Q59" s="354">
        <v>1.17E-2</v>
      </c>
      <c r="R59" s="305"/>
      <c r="S59" s="444" t="s">
        <v>1481</v>
      </c>
      <c r="T59" s="313" t="s">
        <v>1480</v>
      </c>
      <c r="U59" s="305" t="s">
        <v>528</v>
      </c>
      <c r="V59" s="426">
        <f>5%*46.4%</f>
        <v>2.3199999999999998E-2</v>
      </c>
      <c r="W59" s="443">
        <v>2.8</v>
      </c>
      <c r="X59" s="445"/>
      <c r="Y59" s="412" t="e">
        <f t="shared" si="3"/>
        <v>#REF!</v>
      </c>
      <c r="Z59" s="318">
        <v>2</v>
      </c>
      <c r="AA59" s="318">
        <v>3</v>
      </c>
      <c r="AB59" s="318">
        <v>4</v>
      </c>
      <c r="AC59" s="318">
        <v>4</v>
      </c>
      <c r="AD59" s="458" t="s">
        <v>1483</v>
      </c>
      <c r="AE59" s="554">
        <v>0</v>
      </c>
      <c r="AF59" s="555">
        <v>0</v>
      </c>
      <c r="AG59" s="555">
        <v>0</v>
      </c>
      <c r="AH59" s="555">
        <v>0</v>
      </c>
      <c r="AI59" s="555">
        <v>0</v>
      </c>
      <c r="AJ59" s="555">
        <f>SUM(AF59:AI59)</f>
        <v>0</v>
      </c>
      <c r="AK59" s="554">
        <v>0</v>
      </c>
      <c r="AL59" s="555">
        <v>0</v>
      </c>
      <c r="AM59" s="555">
        <v>0</v>
      </c>
      <c r="AN59" s="555">
        <v>0</v>
      </c>
      <c r="AO59" s="555">
        <v>0</v>
      </c>
      <c r="AP59" s="555">
        <v>0</v>
      </c>
      <c r="AQ59" s="520">
        <f>250000*0.023/0.188</f>
        <v>30585.106382978724</v>
      </c>
      <c r="AR59" s="484">
        <v>0</v>
      </c>
      <c r="AS59" s="484">
        <v>0</v>
      </c>
      <c r="AT59" s="484">
        <f>22000*0.023/0.188</f>
        <v>2691.4893617021276</v>
      </c>
      <c r="AU59" s="484">
        <f>9000*0.023/0.188</f>
        <v>1101.063829787234</v>
      </c>
      <c r="AV59" s="482">
        <f t="shared" si="40"/>
        <v>3792.5531914893618</v>
      </c>
      <c r="AW59" s="483" t="str">
        <f t="shared" si="23"/>
        <v>check</v>
      </c>
      <c r="AX59" s="514" t="str">
        <f t="shared" si="33"/>
        <v>check</v>
      </c>
      <c r="AY59" s="514" t="s">
        <v>1034</v>
      </c>
      <c r="AZ59" s="556">
        <f t="shared" si="7"/>
        <v>0</v>
      </c>
      <c r="BA59" s="557">
        <v>0</v>
      </c>
      <c r="BB59" s="557">
        <v>0</v>
      </c>
      <c r="BC59" s="557">
        <v>0</v>
      </c>
      <c r="BD59" s="557">
        <v>0</v>
      </c>
      <c r="BE59" s="557">
        <v>0</v>
      </c>
      <c r="BF59" s="556">
        <f t="shared" si="8"/>
        <v>0</v>
      </c>
      <c r="BG59" s="557">
        <v>0</v>
      </c>
      <c r="BH59" s="557">
        <v>0</v>
      </c>
      <c r="BI59" s="557">
        <v>0</v>
      </c>
      <c r="BJ59" s="557">
        <v>0</v>
      </c>
      <c r="BK59" s="557">
        <v>0</v>
      </c>
      <c r="BL59" s="556">
        <f t="shared" si="1"/>
        <v>30585.106382978724</v>
      </c>
      <c r="BM59" s="557">
        <v>0</v>
      </c>
      <c r="BN59" s="557">
        <v>0</v>
      </c>
      <c r="BO59" s="557">
        <f>3000*0.023/0.188</f>
        <v>367.02127659574467</v>
      </c>
      <c r="BP59" s="557">
        <v>0</v>
      </c>
      <c r="BQ59" s="557">
        <f>SUM(BM59:BP59)</f>
        <v>367.02127659574467</v>
      </c>
      <c r="BR59" s="318"/>
      <c r="BS59" s="318"/>
      <c r="BT59" s="318"/>
      <c r="BU59" s="318"/>
      <c r="BV59" s="318"/>
      <c r="BW59" s="318"/>
      <c r="BX59" s="318"/>
      <c r="BY59" s="318"/>
      <c r="BZ59" s="318" t="s">
        <v>1487</v>
      </c>
      <c r="CA59" s="465"/>
      <c r="CB59" s="465"/>
      <c r="CC59" s="465"/>
      <c r="CD59" s="465"/>
      <c r="CE59" s="457" t="s">
        <v>1484</v>
      </c>
      <c r="CF59" s="443">
        <f>(555*60%)+(181*40%)</f>
        <v>405.4</v>
      </c>
      <c r="CG59" s="360" t="s">
        <v>460</v>
      </c>
      <c r="CH59" s="430">
        <v>0.6</v>
      </c>
      <c r="CI59" s="360" t="s">
        <v>1197</v>
      </c>
      <c r="CJ59" s="430">
        <v>0.4</v>
      </c>
      <c r="CK59" s="360"/>
      <c r="CL59" s="360"/>
      <c r="CM59" s="360"/>
      <c r="CN59" s="360"/>
      <c r="CO59" s="360"/>
      <c r="CP59" s="360"/>
      <c r="CR59" s="315" t="str">
        <f t="shared" si="9"/>
        <v>Australia</v>
      </c>
      <c r="CS59" s="315" t="str">
        <f t="shared" si="10"/>
        <v>Western Australia</v>
      </c>
      <c r="CT59" s="315">
        <v>48</v>
      </c>
      <c r="CU59" s="315" t="s">
        <v>560</v>
      </c>
      <c r="CV59" s="315" t="s">
        <v>552</v>
      </c>
      <c r="CW59" s="315" t="s">
        <v>247</v>
      </c>
      <c r="CX59" s="315" t="s">
        <v>1214</v>
      </c>
      <c r="CY59" s="315" t="str">
        <f t="shared" si="2"/>
        <v>Western Australia</v>
      </c>
    </row>
    <row r="60" spans="1:103" s="580" customFormat="1" ht="13" hidden="1" x14ac:dyDescent="0.3">
      <c r="A60" s="563">
        <v>49</v>
      </c>
      <c r="B60" s="564" t="s">
        <v>1048</v>
      </c>
      <c r="C60" s="564" t="s">
        <v>937</v>
      </c>
      <c r="D60" s="565" t="s">
        <v>594</v>
      </c>
      <c r="E60" s="565" t="s">
        <v>552</v>
      </c>
      <c r="F60" s="564" t="s">
        <v>247</v>
      </c>
      <c r="G60" s="564" t="s">
        <v>1214</v>
      </c>
      <c r="H60" s="569">
        <v>0</v>
      </c>
      <c r="I60" s="584">
        <v>50000</v>
      </c>
      <c r="J60" s="567" t="e">
        <f>(H60*$V60)/(IF(#REF!="yes",0.188,1))</f>
        <v>#REF!</v>
      </c>
      <c r="K60" s="567" t="e">
        <f>(I60*$V60)/(IF(#REF!="yes",0.188,1))</f>
        <v>#REF!</v>
      </c>
      <c r="L60" s="567" t="e">
        <f>K60-J60</f>
        <v>#REF!</v>
      </c>
      <c r="M60" s="581" t="s">
        <v>687</v>
      </c>
      <c r="N60" s="568">
        <v>2021</v>
      </c>
      <c r="O60" s="568">
        <v>2023</v>
      </c>
      <c r="P60" s="569" t="s">
        <v>519</v>
      </c>
      <c r="Q60" s="585">
        <v>1.17E-2</v>
      </c>
      <c r="R60" s="569"/>
      <c r="S60" s="569"/>
      <c r="T60" s="586"/>
      <c r="U60" s="569" t="s">
        <v>579</v>
      </c>
      <c r="V60" s="571">
        <v>0.16600000000000001</v>
      </c>
      <c r="W60" s="572">
        <v>5</v>
      </c>
      <c r="X60" s="573"/>
      <c r="Y60" s="574" t="e">
        <f t="shared" si="3"/>
        <v>#REF!</v>
      </c>
      <c r="Z60" s="565">
        <v>4</v>
      </c>
      <c r="AA60" s="565">
        <v>3</v>
      </c>
      <c r="AB60" s="565">
        <v>4</v>
      </c>
      <c r="AC60" s="565">
        <v>4</v>
      </c>
      <c r="AD60" s="575" t="s">
        <v>1483</v>
      </c>
      <c r="AE60" s="582">
        <v>0</v>
      </c>
      <c r="AF60" s="583" t="e">
        <f>IF(OR(I60="Exploration", I60="Pre-feasibility", K60&gt;2017), 0, "check")</f>
        <v>#REF!</v>
      </c>
      <c r="AG60" s="583" t="e">
        <f>IF(OR(J60="Exploration", J60="Pre-feasibility", L60&gt;2017), 0, "check")</f>
        <v>#REF!</v>
      </c>
      <c r="AH60" s="583" t="e">
        <f>IF(OR(K60="Exploration", K60="Pre-feasibility", M60&gt;2017), 0, "check")</f>
        <v>#REF!</v>
      </c>
      <c r="AI60" s="583" t="e">
        <f>IF(OR(L60="Exploration", L60="Pre-feasibility", N60&gt;2017), 0, "check")</f>
        <v>#REF!</v>
      </c>
      <c r="AJ60" s="583">
        <f>IF(OR(M60="Exploration", M60="Pre-feasibility", O60&gt;2017), 0, "check")</f>
        <v>0</v>
      </c>
      <c r="AK60" s="582">
        <v>0</v>
      </c>
      <c r="AL60" s="561">
        <f t="shared" ref="AL60:AL65" si="43">IF(OR($M60="Exploration", $M60="Pre-feasibility", $O60&gt;2018), 0, "check")</f>
        <v>0</v>
      </c>
      <c r="AM60" s="561">
        <f t="shared" ref="AM60:AP65" si="44">IF(OR($M60="Exploration", $M60="Pre-feasibility", $O60&gt;2018), 0, "check")</f>
        <v>0</v>
      </c>
      <c r="AN60" s="561">
        <f t="shared" si="44"/>
        <v>0</v>
      </c>
      <c r="AO60" s="561">
        <f t="shared" si="44"/>
        <v>0</v>
      </c>
      <c r="AP60" s="561">
        <f t="shared" si="44"/>
        <v>0</v>
      </c>
      <c r="AQ60" s="560">
        <f t="shared" ref="AQ60:AU65" si="45">IF(OR($M60="Exploration", $M60="Pre-feasibility", $O60&gt;2019), 0, "check")</f>
        <v>0</v>
      </c>
      <c r="AR60" s="561">
        <f t="shared" si="45"/>
        <v>0</v>
      </c>
      <c r="AS60" s="561">
        <f t="shared" si="45"/>
        <v>0</v>
      </c>
      <c r="AT60" s="561">
        <f t="shared" si="45"/>
        <v>0</v>
      </c>
      <c r="AU60" s="561">
        <f t="shared" si="45"/>
        <v>0</v>
      </c>
      <c r="AV60" s="562">
        <f t="shared" ref="AV60:AV65" si="46">SUM(AR60:AU60)</f>
        <v>0</v>
      </c>
      <c r="AW60" s="560">
        <f t="shared" si="23"/>
        <v>0</v>
      </c>
      <c r="AX60" s="562">
        <f t="shared" si="33"/>
        <v>0</v>
      </c>
      <c r="AY60" s="562" t="s">
        <v>1034</v>
      </c>
      <c r="AZ60" s="560">
        <f t="shared" si="7"/>
        <v>0</v>
      </c>
      <c r="BA60" s="583">
        <v>0</v>
      </c>
      <c r="BB60" s="583">
        <v>0</v>
      </c>
      <c r="BC60" s="583">
        <v>0</v>
      </c>
      <c r="BD60" s="583">
        <v>0</v>
      </c>
      <c r="BE60" s="583">
        <v>0</v>
      </c>
      <c r="BF60" s="560">
        <f t="shared" si="8"/>
        <v>0</v>
      </c>
      <c r="BG60" s="583">
        <v>0</v>
      </c>
      <c r="BH60" s="583">
        <v>0</v>
      </c>
      <c r="BI60" s="583">
        <v>0</v>
      </c>
      <c r="BJ60" s="583">
        <v>0</v>
      </c>
      <c r="BK60" s="583">
        <v>0</v>
      </c>
      <c r="BL60" s="560">
        <f t="shared" si="1"/>
        <v>0</v>
      </c>
      <c r="BM60" s="583">
        <v>0</v>
      </c>
      <c r="BN60" s="583">
        <v>0</v>
      </c>
      <c r="BO60" s="583">
        <v>0</v>
      </c>
      <c r="BP60" s="583">
        <v>0</v>
      </c>
      <c r="BQ60" s="583">
        <v>0</v>
      </c>
      <c r="BR60" s="565"/>
      <c r="BS60" s="565"/>
      <c r="BT60" s="565"/>
      <c r="BU60" s="565"/>
      <c r="BV60" s="565"/>
      <c r="BW60" s="565"/>
      <c r="BX60" s="565"/>
      <c r="BY60" s="565"/>
      <c r="BZ60" s="565" t="s">
        <v>1487</v>
      </c>
      <c r="CA60" s="565"/>
      <c r="CB60" s="565"/>
      <c r="CC60" s="565"/>
      <c r="CD60" s="565"/>
      <c r="CE60" s="577" t="s">
        <v>1485</v>
      </c>
      <c r="CF60" s="572">
        <f>(555*50%)+(181*50%)</f>
        <v>368</v>
      </c>
      <c r="CG60" s="578" t="s">
        <v>460</v>
      </c>
      <c r="CH60" s="579">
        <v>0.5</v>
      </c>
      <c r="CI60" s="578" t="s">
        <v>1197</v>
      </c>
      <c r="CJ60" s="579">
        <v>0.5</v>
      </c>
      <c r="CK60" s="578"/>
      <c r="CL60" s="578"/>
      <c r="CM60" s="578"/>
      <c r="CN60" s="578"/>
      <c r="CO60" s="578"/>
      <c r="CP60" s="578"/>
      <c r="CR60" s="580" t="str">
        <f t="shared" si="9"/>
        <v>Australia</v>
      </c>
      <c r="CS60" s="580" t="str">
        <f t="shared" si="10"/>
        <v>Western Australia</v>
      </c>
      <c r="CT60" s="580">
        <v>49</v>
      </c>
      <c r="CU60" s="580" t="s">
        <v>937</v>
      </c>
      <c r="CV60" s="580" t="s">
        <v>552</v>
      </c>
      <c r="CW60" s="580" t="s">
        <v>247</v>
      </c>
      <c r="CX60" s="580" t="s">
        <v>1214</v>
      </c>
      <c r="CY60" s="580" t="str">
        <f t="shared" si="2"/>
        <v>Western Australia</v>
      </c>
    </row>
    <row r="61" spans="1:103" s="315" customFormat="1" ht="25" hidden="1" x14ac:dyDescent="0.25">
      <c r="A61" s="403">
        <v>50</v>
      </c>
      <c r="B61" s="313" t="s">
        <v>1048</v>
      </c>
      <c r="C61" s="313" t="s">
        <v>560</v>
      </c>
      <c r="D61" s="318" t="s">
        <v>457</v>
      </c>
      <c r="E61" s="318" t="s">
        <v>553</v>
      </c>
      <c r="F61" s="313" t="s">
        <v>247</v>
      </c>
      <c r="G61" s="313" t="s">
        <v>1214</v>
      </c>
      <c r="H61" s="305"/>
      <c r="I61" s="375">
        <v>500000</v>
      </c>
      <c r="J61" s="370" t="e">
        <f>(H61*$V61)/(IF(#REF!="yes",0.188,1))</f>
        <v>#REF!</v>
      </c>
      <c r="K61" s="370" t="e">
        <f>(I61*$V61)/(IF(#REF!="yes",0.188,1))</f>
        <v>#REF!</v>
      </c>
      <c r="L61" s="370" t="e">
        <f>K61-K59</f>
        <v>#REF!</v>
      </c>
      <c r="M61" s="316" t="s">
        <v>687</v>
      </c>
      <c r="N61" s="398">
        <v>2017</v>
      </c>
      <c r="O61" s="398">
        <v>2025</v>
      </c>
      <c r="P61" s="305" t="s">
        <v>519</v>
      </c>
      <c r="Q61" s="354">
        <v>1.17E-2</v>
      </c>
      <c r="R61" s="305"/>
      <c r="S61" s="444" t="s">
        <v>1481</v>
      </c>
      <c r="T61" s="313" t="s">
        <v>1480</v>
      </c>
      <c r="U61" s="305" t="s">
        <v>528</v>
      </c>
      <c r="V61" s="426">
        <f>5%*46.4%</f>
        <v>2.3199999999999998E-2</v>
      </c>
      <c r="W61" s="443">
        <v>2.8</v>
      </c>
      <c r="X61" s="445"/>
      <c r="Y61" s="412" t="e">
        <f t="shared" si="3"/>
        <v>#REF!</v>
      </c>
      <c r="Z61" s="318">
        <v>2</v>
      </c>
      <c r="AA61" s="318">
        <v>3</v>
      </c>
      <c r="AB61" s="318">
        <v>4</v>
      </c>
      <c r="AC61" s="318">
        <v>4</v>
      </c>
      <c r="AD61" s="458" t="s">
        <v>1483</v>
      </c>
      <c r="AE61" s="483">
        <v>0</v>
      </c>
      <c r="AF61" s="482">
        <f t="shared" ref="AF61:AI65" si="47">IF(OR($M61="Exploration", $M61="Pre-feasibility", $O61&gt;2017), 0, "check")</f>
        <v>0</v>
      </c>
      <c r="AG61" s="482">
        <f t="shared" si="47"/>
        <v>0</v>
      </c>
      <c r="AH61" s="482">
        <f t="shared" si="47"/>
        <v>0</v>
      </c>
      <c r="AI61" s="482">
        <f t="shared" si="47"/>
        <v>0</v>
      </c>
      <c r="AJ61" s="482">
        <f>IF(OR($M61="Exploration", $M61="Pre-feasibility", $O61&gt;2017), 0, "check")</f>
        <v>0</v>
      </c>
      <c r="AK61" s="556">
        <v>0</v>
      </c>
      <c r="AL61" s="482">
        <f t="shared" si="43"/>
        <v>0</v>
      </c>
      <c r="AM61" s="482">
        <f t="shared" si="44"/>
        <v>0</v>
      </c>
      <c r="AN61" s="482">
        <f t="shared" si="44"/>
        <v>0</v>
      </c>
      <c r="AO61" s="482">
        <f t="shared" si="44"/>
        <v>0</v>
      </c>
      <c r="AP61" s="557">
        <f t="shared" si="44"/>
        <v>0</v>
      </c>
      <c r="AQ61" s="556">
        <f t="shared" si="45"/>
        <v>0</v>
      </c>
      <c r="AR61" s="557">
        <f t="shared" si="45"/>
        <v>0</v>
      </c>
      <c r="AS61" s="557">
        <f t="shared" si="45"/>
        <v>0</v>
      </c>
      <c r="AT61" s="557">
        <f t="shared" si="45"/>
        <v>0</v>
      </c>
      <c r="AU61" s="557">
        <f t="shared" si="45"/>
        <v>0</v>
      </c>
      <c r="AV61" s="559">
        <f t="shared" si="46"/>
        <v>0</v>
      </c>
      <c r="AW61" s="556">
        <f t="shared" si="23"/>
        <v>0</v>
      </c>
      <c r="AX61" s="514">
        <f t="shared" si="33"/>
        <v>0</v>
      </c>
      <c r="AY61" s="514" t="s">
        <v>1034</v>
      </c>
      <c r="AZ61" s="556">
        <f t="shared" si="7"/>
        <v>0</v>
      </c>
      <c r="BA61" s="557">
        <v>0</v>
      </c>
      <c r="BB61" s="557">
        <v>0</v>
      </c>
      <c r="BC61" s="557">
        <v>0</v>
      </c>
      <c r="BD61" s="557">
        <v>0</v>
      </c>
      <c r="BE61" s="557">
        <v>0</v>
      </c>
      <c r="BF61" s="556">
        <f t="shared" si="8"/>
        <v>0</v>
      </c>
      <c r="BG61" s="557">
        <v>0</v>
      </c>
      <c r="BH61" s="557">
        <v>0</v>
      </c>
      <c r="BI61" s="557">
        <v>0</v>
      </c>
      <c r="BJ61" s="557">
        <v>0</v>
      </c>
      <c r="BK61" s="557">
        <v>0</v>
      </c>
      <c r="BL61" s="556">
        <f t="shared" si="1"/>
        <v>0</v>
      </c>
      <c r="BM61" s="557">
        <v>0</v>
      </c>
      <c r="BN61" s="557">
        <v>0</v>
      </c>
      <c r="BO61" s="557">
        <v>0</v>
      </c>
      <c r="BP61" s="557">
        <v>0</v>
      </c>
      <c r="BQ61" s="557">
        <v>0</v>
      </c>
      <c r="BR61" s="318"/>
      <c r="BS61" s="318"/>
      <c r="BT61" s="318"/>
      <c r="BU61" s="318"/>
      <c r="BV61" s="318"/>
      <c r="BW61" s="318"/>
      <c r="BX61" s="318"/>
      <c r="BY61" s="318"/>
      <c r="BZ61" s="318" t="s">
        <v>1487</v>
      </c>
      <c r="CA61" s="465"/>
      <c r="CB61" s="465"/>
      <c r="CC61" s="465"/>
      <c r="CD61" s="465"/>
      <c r="CE61" s="457" t="s">
        <v>1484</v>
      </c>
      <c r="CF61" s="443">
        <f>(555*60%)+(181*40%)</f>
        <v>405.4</v>
      </c>
      <c r="CG61" s="360" t="s">
        <v>460</v>
      </c>
      <c r="CH61" s="430">
        <v>0.6</v>
      </c>
      <c r="CI61" s="360" t="s">
        <v>1197</v>
      </c>
      <c r="CJ61" s="430">
        <v>0.4</v>
      </c>
      <c r="CK61" s="360"/>
      <c r="CL61" s="360"/>
      <c r="CM61" s="360"/>
      <c r="CN61" s="360"/>
      <c r="CO61" s="360"/>
      <c r="CP61" s="360"/>
      <c r="CR61" s="315" t="str">
        <f t="shared" si="9"/>
        <v>Australia</v>
      </c>
      <c r="CS61" s="315" t="str">
        <f t="shared" si="10"/>
        <v>Western Australia</v>
      </c>
      <c r="CT61" s="315">
        <v>50</v>
      </c>
      <c r="CU61" s="315" t="s">
        <v>560</v>
      </c>
      <c r="CV61" s="315" t="s">
        <v>553</v>
      </c>
      <c r="CW61" s="315" t="s">
        <v>247</v>
      </c>
      <c r="CX61" s="315" t="s">
        <v>1214</v>
      </c>
      <c r="CY61" s="315" t="str">
        <f t="shared" si="2"/>
        <v>Western Australia</v>
      </c>
    </row>
    <row r="62" spans="1:103" s="315" customFormat="1" ht="25" hidden="1" x14ac:dyDescent="0.25">
      <c r="A62" s="403">
        <v>51</v>
      </c>
      <c r="B62" s="313" t="s">
        <v>1048</v>
      </c>
      <c r="C62" s="313" t="s">
        <v>560</v>
      </c>
      <c r="D62" s="318" t="s">
        <v>457</v>
      </c>
      <c r="E62" s="318" t="s">
        <v>556</v>
      </c>
      <c r="F62" s="313" t="s">
        <v>247</v>
      </c>
      <c r="G62" s="313" t="s">
        <v>1214</v>
      </c>
      <c r="H62" s="305"/>
      <c r="I62" s="375">
        <v>750000</v>
      </c>
      <c r="J62" s="370" t="e">
        <f>(H62*$V62)/(IF(#REF!="yes",0.188,1))</f>
        <v>#REF!</v>
      </c>
      <c r="K62" s="370" t="e">
        <f>(I62*$V62)/(IF(#REF!="yes",0.188,1))</f>
        <v>#REF!</v>
      </c>
      <c r="L62" s="370" t="e">
        <f>K62-K61</f>
        <v>#REF!</v>
      </c>
      <c r="M62" s="316" t="s">
        <v>687</v>
      </c>
      <c r="N62" s="398">
        <v>2017</v>
      </c>
      <c r="O62" s="398">
        <v>2025</v>
      </c>
      <c r="P62" s="305" t="s">
        <v>519</v>
      </c>
      <c r="Q62" s="354">
        <v>1.17E-2</v>
      </c>
      <c r="R62" s="305"/>
      <c r="S62" s="444" t="s">
        <v>1481</v>
      </c>
      <c r="T62" s="313" t="s">
        <v>1480</v>
      </c>
      <c r="U62" s="305" t="s">
        <v>528</v>
      </c>
      <c r="V62" s="426">
        <f>5%*46.4%</f>
        <v>2.3199999999999998E-2</v>
      </c>
      <c r="W62" s="443">
        <v>2.8</v>
      </c>
      <c r="X62" s="445"/>
      <c r="Y62" s="412" t="e">
        <f t="shared" si="3"/>
        <v>#REF!</v>
      </c>
      <c r="Z62" s="318">
        <v>2</v>
      </c>
      <c r="AA62" s="318">
        <v>3</v>
      </c>
      <c r="AB62" s="318">
        <v>4</v>
      </c>
      <c r="AC62" s="318">
        <v>4</v>
      </c>
      <c r="AD62" s="458" t="s">
        <v>1483</v>
      </c>
      <c r="AE62" s="483">
        <v>0</v>
      </c>
      <c r="AF62" s="482">
        <f t="shared" si="47"/>
        <v>0</v>
      </c>
      <c r="AG62" s="482">
        <f t="shared" si="47"/>
        <v>0</v>
      </c>
      <c r="AH62" s="482">
        <f t="shared" si="47"/>
        <v>0</v>
      </c>
      <c r="AI62" s="482">
        <f t="shared" si="47"/>
        <v>0</v>
      </c>
      <c r="AJ62" s="482">
        <f>IF(OR($M62="Exploration", $M62="Pre-feasibility", $O62&gt;2017), 0, "check")</f>
        <v>0</v>
      </c>
      <c r="AK62" s="556">
        <v>0</v>
      </c>
      <c r="AL62" s="482">
        <f t="shared" si="43"/>
        <v>0</v>
      </c>
      <c r="AM62" s="482">
        <f t="shared" si="44"/>
        <v>0</v>
      </c>
      <c r="AN62" s="482">
        <f t="shared" si="44"/>
        <v>0</v>
      </c>
      <c r="AO62" s="482">
        <f t="shared" si="44"/>
        <v>0</v>
      </c>
      <c r="AP62" s="557">
        <f t="shared" si="44"/>
        <v>0</v>
      </c>
      <c r="AQ62" s="556">
        <f t="shared" si="45"/>
        <v>0</v>
      </c>
      <c r="AR62" s="557">
        <f t="shared" si="45"/>
        <v>0</v>
      </c>
      <c r="AS62" s="557">
        <f t="shared" si="45"/>
        <v>0</v>
      </c>
      <c r="AT62" s="557">
        <f t="shared" si="45"/>
        <v>0</v>
      </c>
      <c r="AU62" s="557">
        <f t="shared" si="45"/>
        <v>0</v>
      </c>
      <c r="AV62" s="559">
        <f t="shared" si="46"/>
        <v>0</v>
      </c>
      <c r="AW62" s="556">
        <f t="shared" si="23"/>
        <v>0</v>
      </c>
      <c r="AX62" s="514">
        <f t="shared" si="33"/>
        <v>0</v>
      </c>
      <c r="AY62" s="514" t="s">
        <v>1034</v>
      </c>
      <c r="AZ62" s="556">
        <f t="shared" si="7"/>
        <v>0</v>
      </c>
      <c r="BA62" s="557">
        <v>0</v>
      </c>
      <c r="BB62" s="557">
        <v>0</v>
      </c>
      <c r="BC62" s="557">
        <v>0</v>
      </c>
      <c r="BD62" s="557">
        <v>0</v>
      </c>
      <c r="BE62" s="557">
        <v>0</v>
      </c>
      <c r="BF62" s="556">
        <f t="shared" si="8"/>
        <v>0</v>
      </c>
      <c r="BG62" s="557">
        <v>0</v>
      </c>
      <c r="BH62" s="557">
        <v>0</v>
      </c>
      <c r="BI62" s="557">
        <v>0</v>
      </c>
      <c r="BJ62" s="557">
        <v>0</v>
      </c>
      <c r="BK62" s="557">
        <v>0</v>
      </c>
      <c r="BL62" s="556">
        <f t="shared" si="1"/>
        <v>0</v>
      </c>
      <c r="BM62" s="557">
        <v>0</v>
      </c>
      <c r="BN62" s="557">
        <v>0</v>
      </c>
      <c r="BO62" s="557">
        <v>0</v>
      </c>
      <c r="BP62" s="557">
        <v>0</v>
      </c>
      <c r="BQ62" s="557">
        <v>0</v>
      </c>
      <c r="BR62" s="318"/>
      <c r="BS62" s="318"/>
      <c r="BT62" s="318"/>
      <c r="BU62" s="318"/>
      <c r="BV62" s="318"/>
      <c r="BW62" s="318"/>
      <c r="BX62" s="318"/>
      <c r="BY62" s="318"/>
      <c r="BZ62" s="318" t="s">
        <v>1487</v>
      </c>
      <c r="CA62" s="465"/>
      <c r="CB62" s="465"/>
      <c r="CC62" s="465"/>
      <c r="CD62" s="465"/>
      <c r="CE62" s="457" t="s">
        <v>1484</v>
      </c>
      <c r="CF62" s="443">
        <f>(555*60%)+(181*40%)</f>
        <v>405.4</v>
      </c>
      <c r="CG62" s="360" t="s">
        <v>460</v>
      </c>
      <c r="CH62" s="430">
        <v>0.6</v>
      </c>
      <c r="CI62" s="360" t="s">
        <v>1197</v>
      </c>
      <c r="CJ62" s="430">
        <v>0.4</v>
      </c>
      <c r="CK62" s="360"/>
      <c r="CL62" s="360"/>
      <c r="CM62" s="360"/>
      <c r="CN62" s="360"/>
      <c r="CO62" s="360"/>
      <c r="CP62" s="360"/>
      <c r="CR62" s="315" t="str">
        <f t="shared" si="9"/>
        <v>Australia</v>
      </c>
      <c r="CS62" s="315" t="str">
        <f t="shared" si="10"/>
        <v>Western Australia</v>
      </c>
      <c r="CT62" s="315">
        <v>51</v>
      </c>
      <c r="CU62" s="315" t="s">
        <v>560</v>
      </c>
      <c r="CV62" s="315" t="s">
        <v>556</v>
      </c>
      <c r="CW62" s="315" t="s">
        <v>247</v>
      </c>
      <c r="CX62" s="315" t="s">
        <v>1214</v>
      </c>
      <c r="CY62" s="315" t="str">
        <f t="shared" si="2"/>
        <v>Western Australia</v>
      </c>
    </row>
    <row r="63" spans="1:103" s="315" customFormat="1" ht="13" hidden="1" x14ac:dyDescent="0.25">
      <c r="A63" s="403">
        <v>52</v>
      </c>
      <c r="B63" s="313" t="s">
        <v>1048</v>
      </c>
      <c r="C63" s="313" t="s">
        <v>937</v>
      </c>
      <c r="D63" s="318" t="s">
        <v>594</v>
      </c>
      <c r="E63" s="318" t="s">
        <v>553</v>
      </c>
      <c r="F63" s="313" t="s">
        <v>247</v>
      </c>
      <c r="G63" s="313" t="s">
        <v>1214</v>
      </c>
      <c r="H63" s="369"/>
      <c r="I63" s="375">
        <v>100000</v>
      </c>
      <c r="J63" s="370" t="e">
        <f>(H63*$V63)/(IF(#REF!="yes",0.188,1))</f>
        <v>#REF!</v>
      </c>
      <c r="K63" s="370" t="e">
        <f>(I63*$V63)/(IF(#REF!="yes",0.188,1))</f>
        <v>#REF!</v>
      </c>
      <c r="L63" s="370" t="e">
        <f>K63-K60</f>
        <v>#REF!</v>
      </c>
      <c r="M63" s="316" t="s">
        <v>687</v>
      </c>
      <c r="N63" s="398">
        <v>2023</v>
      </c>
      <c r="O63" s="398">
        <v>2025</v>
      </c>
      <c r="P63" s="305" t="s">
        <v>519</v>
      </c>
      <c r="Q63" s="324">
        <v>1.17E-2</v>
      </c>
      <c r="R63" s="305"/>
      <c r="S63" s="305"/>
      <c r="T63" s="305"/>
      <c r="U63" s="305" t="s">
        <v>579</v>
      </c>
      <c r="V63" s="426">
        <v>0.16600000000000001</v>
      </c>
      <c r="W63" s="443">
        <v>5</v>
      </c>
      <c r="X63" s="445"/>
      <c r="Y63" s="412" t="e">
        <f t="shared" si="3"/>
        <v>#REF!</v>
      </c>
      <c r="Z63" s="318">
        <v>4</v>
      </c>
      <c r="AA63" s="318">
        <v>3</v>
      </c>
      <c r="AB63" s="318">
        <v>4</v>
      </c>
      <c r="AC63" s="318">
        <v>4</v>
      </c>
      <c r="AD63" s="458" t="s">
        <v>1483</v>
      </c>
      <c r="AE63" s="483">
        <v>0</v>
      </c>
      <c r="AF63" s="482">
        <f t="shared" si="47"/>
        <v>0</v>
      </c>
      <c r="AG63" s="482">
        <f t="shared" si="47"/>
        <v>0</v>
      </c>
      <c r="AH63" s="482">
        <f t="shared" si="47"/>
        <v>0</v>
      </c>
      <c r="AI63" s="482">
        <f t="shared" si="47"/>
        <v>0</v>
      </c>
      <c r="AJ63" s="482">
        <f>IF(OR($M63="Exploration", $M63="Pre-feasibility", $O63&gt;2017), 0, "check")</f>
        <v>0</v>
      </c>
      <c r="AK63" s="556">
        <v>0</v>
      </c>
      <c r="AL63" s="482">
        <f t="shared" si="43"/>
        <v>0</v>
      </c>
      <c r="AM63" s="482">
        <f t="shared" si="44"/>
        <v>0</v>
      </c>
      <c r="AN63" s="482">
        <f t="shared" si="44"/>
        <v>0</v>
      </c>
      <c r="AO63" s="482">
        <f t="shared" si="44"/>
        <v>0</v>
      </c>
      <c r="AP63" s="557">
        <f t="shared" si="44"/>
        <v>0</v>
      </c>
      <c r="AQ63" s="556">
        <f t="shared" si="45"/>
        <v>0</v>
      </c>
      <c r="AR63" s="557">
        <f t="shared" si="45"/>
        <v>0</v>
      </c>
      <c r="AS63" s="557">
        <f t="shared" si="45"/>
        <v>0</v>
      </c>
      <c r="AT63" s="557">
        <f t="shared" si="45"/>
        <v>0</v>
      </c>
      <c r="AU63" s="557">
        <f t="shared" si="45"/>
        <v>0</v>
      </c>
      <c r="AV63" s="559">
        <f t="shared" si="46"/>
        <v>0</v>
      </c>
      <c r="AW63" s="556">
        <f t="shared" si="23"/>
        <v>0</v>
      </c>
      <c r="AX63" s="514">
        <f t="shared" si="33"/>
        <v>0</v>
      </c>
      <c r="AY63" s="514" t="s">
        <v>1034</v>
      </c>
      <c r="AZ63" s="556">
        <f t="shared" si="7"/>
        <v>0</v>
      </c>
      <c r="BA63" s="557">
        <v>0</v>
      </c>
      <c r="BB63" s="557">
        <v>0</v>
      </c>
      <c r="BC63" s="557">
        <v>0</v>
      </c>
      <c r="BD63" s="557">
        <v>0</v>
      </c>
      <c r="BE63" s="557">
        <v>0</v>
      </c>
      <c r="BF63" s="556">
        <f t="shared" si="8"/>
        <v>0</v>
      </c>
      <c r="BG63" s="557">
        <v>0</v>
      </c>
      <c r="BH63" s="557">
        <v>0</v>
      </c>
      <c r="BI63" s="557">
        <v>0</v>
      </c>
      <c r="BJ63" s="557">
        <v>0</v>
      </c>
      <c r="BK63" s="557">
        <v>0</v>
      </c>
      <c r="BL63" s="556">
        <f t="shared" si="1"/>
        <v>0</v>
      </c>
      <c r="BM63" s="557">
        <v>0</v>
      </c>
      <c r="BN63" s="557">
        <v>0</v>
      </c>
      <c r="BO63" s="557">
        <v>0</v>
      </c>
      <c r="BP63" s="557">
        <v>0</v>
      </c>
      <c r="BQ63" s="557">
        <v>0</v>
      </c>
      <c r="BR63" s="318"/>
      <c r="BS63" s="318"/>
      <c r="BT63" s="318"/>
      <c r="BU63" s="318"/>
      <c r="BV63" s="318"/>
      <c r="BW63" s="318"/>
      <c r="BX63" s="318"/>
      <c r="BY63" s="318"/>
      <c r="BZ63" s="318" t="s">
        <v>1487</v>
      </c>
      <c r="CA63" s="465"/>
      <c r="CB63" s="465"/>
      <c r="CC63" s="465"/>
      <c r="CD63" s="465"/>
      <c r="CE63" s="457" t="s">
        <v>1485</v>
      </c>
      <c r="CF63" s="443">
        <f>(555*50%)+(181*50%)</f>
        <v>368</v>
      </c>
      <c r="CG63" s="360" t="s">
        <v>460</v>
      </c>
      <c r="CH63" s="430">
        <v>0.5</v>
      </c>
      <c r="CI63" s="360" t="s">
        <v>1197</v>
      </c>
      <c r="CJ63" s="430">
        <v>0.5</v>
      </c>
      <c r="CK63" s="360"/>
      <c r="CL63" s="360"/>
      <c r="CM63" s="360"/>
      <c r="CN63" s="360"/>
      <c r="CO63" s="360"/>
      <c r="CP63" s="360"/>
      <c r="CR63" s="315" t="str">
        <f t="shared" si="9"/>
        <v>Australia</v>
      </c>
      <c r="CS63" s="315" t="str">
        <f t="shared" si="10"/>
        <v>Western Australia</v>
      </c>
      <c r="CT63" s="315">
        <v>52</v>
      </c>
      <c r="CU63" s="315" t="s">
        <v>937</v>
      </c>
      <c r="CV63" s="315" t="s">
        <v>553</v>
      </c>
      <c r="CW63" s="315" t="s">
        <v>247</v>
      </c>
      <c r="CX63" s="315" t="s">
        <v>1214</v>
      </c>
      <c r="CY63" s="315" t="str">
        <f t="shared" si="2"/>
        <v>Western Australia</v>
      </c>
    </row>
    <row r="64" spans="1:103" s="315" customFormat="1" ht="37.5" hidden="1" x14ac:dyDescent="0.25">
      <c r="A64" s="403">
        <v>53</v>
      </c>
      <c r="B64" s="313" t="s">
        <v>467</v>
      </c>
      <c r="C64" s="313" t="s">
        <v>468</v>
      </c>
      <c r="D64" s="318" t="s">
        <v>457</v>
      </c>
      <c r="E64" s="318"/>
      <c r="F64" s="313" t="s">
        <v>397</v>
      </c>
      <c r="G64" s="313" t="s">
        <v>1398</v>
      </c>
      <c r="H64" s="305"/>
      <c r="I64" s="305" t="s">
        <v>1357</v>
      </c>
      <c r="J64" s="370" t="e">
        <f>0/(IF(#REF!="yes",0.188,1))</f>
        <v>#REF!</v>
      </c>
      <c r="K64" s="370" t="e">
        <f>(215000*V64)/(IF(#REF!="yes",0.188,1))</f>
        <v>#REF!</v>
      </c>
      <c r="L64" s="370" t="e">
        <f>K64-J64</f>
        <v>#REF!</v>
      </c>
      <c r="M64" s="316" t="s">
        <v>687</v>
      </c>
      <c r="N64" s="398">
        <v>2017</v>
      </c>
      <c r="O64" s="398">
        <v>2021</v>
      </c>
      <c r="P64" s="305" t="s">
        <v>519</v>
      </c>
      <c r="Q64" s="354">
        <v>1.5299999999999999E-2</v>
      </c>
      <c r="R64" s="305"/>
      <c r="S64" s="305" t="s">
        <v>1353</v>
      </c>
      <c r="T64" s="305" t="s">
        <v>1352</v>
      </c>
      <c r="U64" s="305" t="s">
        <v>528</v>
      </c>
      <c r="V64" s="426">
        <f>6%*40%</f>
        <v>2.4E-2</v>
      </c>
      <c r="W64" s="443" t="e">
        <f>317.77/#REF!/10^3</f>
        <v>#REF!</v>
      </c>
      <c r="X64" s="445"/>
      <c r="Y64" s="317" t="e">
        <f t="shared" si="3"/>
        <v>#REF!</v>
      </c>
      <c r="Z64" s="318">
        <v>3</v>
      </c>
      <c r="AA64" s="318">
        <v>4</v>
      </c>
      <c r="AB64" s="318">
        <v>4</v>
      </c>
      <c r="AC64" s="318">
        <v>4</v>
      </c>
      <c r="AD64" s="318" t="s">
        <v>645</v>
      </c>
      <c r="AE64" s="483">
        <v>0</v>
      </c>
      <c r="AF64" s="482">
        <f t="shared" si="47"/>
        <v>0</v>
      </c>
      <c r="AG64" s="482">
        <f t="shared" si="47"/>
        <v>0</v>
      </c>
      <c r="AH64" s="482">
        <f t="shared" si="47"/>
        <v>0</v>
      </c>
      <c r="AI64" s="482">
        <f t="shared" si="47"/>
        <v>0</v>
      </c>
      <c r="AJ64" s="482">
        <f>IF(OR($M64="Exploration", $M64="Pre-feasibility", $O64&gt;2017), 0, "check")</f>
        <v>0</v>
      </c>
      <c r="AK64" s="556">
        <v>0</v>
      </c>
      <c r="AL64" s="482">
        <f t="shared" si="43"/>
        <v>0</v>
      </c>
      <c r="AM64" s="482">
        <f t="shared" si="44"/>
        <v>0</v>
      </c>
      <c r="AN64" s="482">
        <f t="shared" si="44"/>
        <v>0</v>
      </c>
      <c r="AO64" s="482">
        <f t="shared" si="44"/>
        <v>0</v>
      </c>
      <c r="AP64" s="557">
        <f t="shared" si="44"/>
        <v>0</v>
      </c>
      <c r="AQ64" s="556">
        <f t="shared" si="45"/>
        <v>0</v>
      </c>
      <c r="AR64" s="557">
        <f t="shared" si="45"/>
        <v>0</v>
      </c>
      <c r="AS64" s="557">
        <f t="shared" si="45"/>
        <v>0</v>
      </c>
      <c r="AT64" s="557">
        <f t="shared" si="45"/>
        <v>0</v>
      </c>
      <c r="AU64" s="557">
        <f t="shared" si="45"/>
        <v>0</v>
      </c>
      <c r="AV64" s="559">
        <f t="shared" si="46"/>
        <v>0</v>
      </c>
      <c r="AW64" s="556" t="str">
        <f t="shared" si="23"/>
        <v>check</v>
      </c>
      <c r="AX64" s="514">
        <f t="shared" si="33"/>
        <v>0</v>
      </c>
      <c r="AY64" s="514" t="s">
        <v>1034</v>
      </c>
      <c r="AZ64" s="556">
        <f t="shared" si="7"/>
        <v>0</v>
      </c>
      <c r="BA64" s="557">
        <v>0</v>
      </c>
      <c r="BB64" s="557">
        <v>0</v>
      </c>
      <c r="BC64" s="557">
        <v>0</v>
      </c>
      <c r="BD64" s="557">
        <v>0</v>
      </c>
      <c r="BE64" s="557">
        <v>0</v>
      </c>
      <c r="BF64" s="556">
        <f t="shared" si="8"/>
        <v>0</v>
      </c>
      <c r="BG64" s="557">
        <v>0</v>
      </c>
      <c r="BH64" s="557">
        <v>0</v>
      </c>
      <c r="BI64" s="557">
        <v>0</v>
      </c>
      <c r="BJ64" s="557">
        <v>0</v>
      </c>
      <c r="BK64" s="557">
        <v>0</v>
      </c>
      <c r="BL64" s="556">
        <f t="shared" si="1"/>
        <v>0</v>
      </c>
      <c r="BM64" s="557">
        <v>0</v>
      </c>
      <c r="BN64" s="557">
        <v>0</v>
      </c>
      <c r="BO64" s="557">
        <v>0</v>
      </c>
      <c r="BP64" s="557">
        <v>0</v>
      </c>
      <c r="BQ64" s="557">
        <v>0</v>
      </c>
      <c r="BR64" s="318" t="s">
        <v>1351</v>
      </c>
      <c r="BS64" s="318"/>
      <c r="BT64" s="318"/>
      <c r="BU64" s="318"/>
      <c r="BV64" s="318" t="s">
        <v>1136</v>
      </c>
      <c r="BW64" s="318"/>
      <c r="BX64" s="318"/>
      <c r="BY64" s="318"/>
      <c r="BZ64" s="318" t="s">
        <v>1316</v>
      </c>
      <c r="CA64" s="318" t="s">
        <v>1360</v>
      </c>
      <c r="CB64" s="318" t="s">
        <v>1361</v>
      </c>
      <c r="CC64" s="321" t="s">
        <v>1363</v>
      </c>
      <c r="CD64" s="318" t="s">
        <v>1362</v>
      </c>
      <c r="CE64" s="457" t="s">
        <v>1358</v>
      </c>
      <c r="CF64" s="443">
        <v>289</v>
      </c>
      <c r="CG64" s="360" t="s">
        <v>467</v>
      </c>
      <c r="CH64" s="430">
        <v>1</v>
      </c>
      <c r="CI64" s="360"/>
      <c r="CJ64" s="360"/>
      <c r="CK64" s="360"/>
      <c r="CL64" s="360"/>
      <c r="CM64" s="360"/>
      <c r="CN64" s="360"/>
      <c r="CO64" s="360"/>
      <c r="CP64" s="360"/>
      <c r="CR64" s="315" t="str">
        <f t="shared" si="9"/>
        <v>Canada</v>
      </c>
      <c r="CS64" s="315" t="str">
        <f t="shared" si="10"/>
        <v>Quebec</v>
      </c>
      <c r="CT64" s="315">
        <v>53</v>
      </c>
      <c r="CU64" s="315" t="s">
        <v>468</v>
      </c>
      <c r="CW64" s="315" t="s">
        <v>397</v>
      </c>
      <c r="CX64" s="315" t="s">
        <v>1398</v>
      </c>
      <c r="CY64" s="315" t="str">
        <f t="shared" si="2"/>
        <v>Quebec</v>
      </c>
    </row>
    <row r="65" spans="1:103" s="315" customFormat="1" ht="28.5" hidden="1" customHeight="1" x14ac:dyDescent="0.25">
      <c r="A65" s="403">
        <v>54</v>
      </c>
      <c r="B65" s="313" t="s">
        <v>467</v>
      </c>
      <c r="C65" s="313" t="s">
        <v>1318</v>
      </c>
      <c r="D65" s="318" t="s">
        <v>594</v>
      </c>
      <c r="E65" s="318"/>
      <c r="F65" s="313" t="s">
        <v>397</v>
      </c>
      <c r="G65" s="313" t="s">
        <v>1398</v>
      </c>
      <c r="H65" s="305"/>
      <c r="I65" s="305" t="s">
        <v>1053</v>
      </c>
      <c r="J65" s="370">
        <v>0</v>
      </c>
      <c r="K65" s="370" t="e">
        <f>(23000*V65)/(IF(#REF!="yes",0.188,1))</f>
        <v>#REF!</v>
      </c>
      <c r="L65" s="370" t="e">
        <f>K65-J65</f>
        <v>#REF!</v>
      </c>
      <c r="M65" s="316" t="s">
        <v>687</v>
      </c>
      <c r="N65" s="398">
        <v>2020</v>
      </c>
      <c r="O65" s="398">
        <v>2022</v>
      </c>
      <c r="P65" s="305" t="s">
        <v>519</v>
      </c>
      <c r="Q65" s="324">
        <v>1.5299999999999999E-2</v>
      </c>
      <c r="R65" s="305"/>
      <c r="S65" s="305" t="s">
        <v>1353</v>
      </c>
      <c r="T65" s="305" t="s">
        <v>1352</v>
      </c>
      <c r="U65" s="305" t="s">
        <v>579</v>
      </c>
      <c r="V65" s="426">
        <v>0.16600000000000001</v>
      </c>
      <c r="W65" s="443" t="e">
        <f>1661/(0.166/0.188)/1000+W64</f>
        <v>#REF!</v>
      </c>
      <c r="X65" s="445"/>
      <c r="Y65" s="317" t="e">
        <f t="shared" si="3"/>
        <v>#REF!</v>
      </c>
      <c r="Z65" s="318">
        <v>3</v>
      </c>
      <c r="AA65" s="318">
        <v>4</v>
      </c>
      <c r="AB65" s="318">
        <v>2</v>
      </c>
      <c r="AC65" s="318">
        <v>4</v>
      </c>
      <c r="AD65" s="318" t="s">
        <v>731</v>
      </c>
      <c r="AE65" s="483">
        <v>0</v>
      </c>
      <c r="AF65" s="482">
        <f t="shared" si="47"/>
        <v>0</v>
      </c>
      <c r="AG65" s="482">
        <f t="shared" si="47"/>
        <v>0</v>
      </c>
      <c r="AH65" s="482">
        <f t="shared" si="47"/>
        <v>0</v>
      </c>
      <c r="AI65" s="482">
        <f t="shared" si="47"/>
        <v>0</v>
      </c>
      <c r="AJ65" s="482">
        <f>IF(OR($M65="Exploration", $M65="Pre-feasibility", $O65&gt;2017), 0, "check")</f>
        <v>0</v>
      </c>
      <c r="AK65" s="556">
        <v>0</v>
      </c>
      <c r="AL65" s="482">
        <f t="shared" si="43"/>
        <v>0</v>
      </c>
      <c r="AM65" s="482">
        <f t="shared" si="44"/>
        <v>0</v>
      </c>
      <c r="AN65" s="482">
        <f t="shared" si="44"/>
        <v>0</v>
      </c>
      <c r="AO65" s="482">
        <f t="shared" si="44"/>
        <v>0</v>
      </c>
      <c r="AP65" s="557">
        <f t="shared" si="44"/>
        <v>0</v>
      </c>
      <c r="AQ65" s="556">
        <f t="shared" si="45"/>
        <v>0</v>
      </c>
      <c r="AR65" s="557">
        <f t="shared" si="45"/>
        <v>0</v>
      </c>
      <c r="AS65" s="557">
        <f t="shared" si="45"/>
        <v>0</v>
      </c>
      <c r="AT65" s="557">
        <f t="shared" si="45"/>
        <v>0</v>
      </c>
      <c r="AU65" s="557">
        <f t="shared" si="45"/>
        <v>0</v>
      </c>
      <c r="AV65" s="559">
        <f t="shared" si="46"/>
        <v>0</v>
      </c>
      <c r="AW65" s="556" t="str">
        <f t="shared" si="23"/>
        <v>check</v>
      </c>
      <c r="AX65" s="514">
        <f t="shared" si="33"/>
        <v>0</v>
      </c>
      <c r="AY65" s="514" t="s">
        <v>1034</v>
      </c>
      <c r="AZ65" s="556">
        <f t="shared" si="7"/>
        <v>0</v>
      </c>
      <c r="BA65" s="557">
        <v>0</v>
      </c>
      <c r="BB65" s="557">
        <v>0</v>
      </c>
      <c r="BC65" s="557">
        <v>0</v>
      </c>
      <c r="BD65" s="557">
        <v>0</v>
      </c>
      <c r="BE65" s="557">
        <v>0</v>
      </c>
      <c r="BF65" s="556">
        <f t="shared" si="8"/>
        <v>0</v>
      </c>
      <c r="BG65" s="557">
        <v>0</v>
      </c>
      <c r="BH65" s="557">
        <v>0</v>
      </c>
      <c r="BI65" s="557">
        <v>0</v>
      </c>
      <c r="BJ65" s="557">
        <v>0</v>
      </c>
      <c r="BK65" s="557">
        <v>0</v>
      </c>
      <c r="BL65" s="556">
        <f t="shared" si="1"/>
        <v>0</v>
      </c>
      <c r="BM65" s="557">
        <v>0</v>
      </c>
      <c r="BN65" s="557">
        <v>0</v>
      </c>
      <c r="BO65" s="557">
        <v>0</v>
      </c>
      <c r="BP65" s="557">
        <v>0</v>
      </c>
      <c r="BQ65" s="557">
        <v>0</v>
      </c>
      <c r="BR65" s="318"/>
      <c r="BS65" s="318"/>
      <c r="BT65" s="466">
        <v>0.95899999999999996</v>
      </c>
      <c r="BU65" s="318"/>
      <c r="BV65" s="318"/>
      <c r="BW65" s="318" t="s">
        <v>1356</v>
      </c>
      <c r="BX65" s="318"/>
      <c r="BY65" s="318"/>
      <c r="BZ65" s="318" t="s">
        <v>1354</v>
      </c>
      <c r="CA65" s="318"/>
      <c r="CB65" s="318"/>
      <c r="CC65" s="318" t="s">
        <v>1364</v>
      </c>
      <c r="CD65" s="318">
        <v>0</v>
      </c>
      <c r="CE65" s="457" t="s">
        <v>1359</v>
      </c>
      <c r="CF65" s="443">
        <v>289</v>
      </c>
      <c r="CG65" s="360" t="s">
        <v>467</v>
      </c>
      <c r="CH65" s="430">
        <v>1</v>
      </c>
      <c r="CI65" s="360"/>
      <c r="CJ65" s="360"/>
      <c r="CK65" s="360"/>
      <c r="CL65" s="360"/>
      <c r="CM65" s="360"/>
      <c r="CN65" s="360"/>
      <c r="CO65" s="360"/>
      <c r="CP65" s="360"/>
      <c r="CR65" s="315" t="str">
        <f t="shared" si="9"/>
        <v>Canada</v>
      </c>
      <c r="CS65" s="315" t="str">
        <f t="shared" si="10"/>
        <v>Quebec</v>
      </c>
      <c r="CT65" s="315">
        <v>54</v>
      </c>
      <c r="CU65" s="315" t="s">
        <v>1318</v>
      </c>
      <c r="CV65" s="315" t="s">
        <v>32</v>
      </c>
      <c r="CW65" s="315" t="s">
        <v>397</v>
      </c>
      <c r="CX65" s="315" t="s">
        <v>1398</v>
      </c>
      <c r="CY65" s="315" t="str">
        <f t="shared" si="2"/>
        <v>Quebec</v>
      </c>
    </row>
    <row r="66" spans="1:103" s="315" customFormat="1" ht="23.25" hidden="1" customHeight="1" x14ac:dyDescent="0.25">
      <c r="A66" s="403">
        <v>55</v>
      </c>
      <c r="B66" s="432" t="s">
        <v>962</v>
      </c>
      <c r="C66" s="313" t="s">
        <v>518</v>
      </c>
      <c r="D66" s="318" t="s">
        <v>457</v>
      </c>
      <c r="E66" s="318" t="s">
        <v>552</v>
      </c>
      <c r="F66" s="313" t="s">
        <v>247</v>
      </c>
      <c r="G66" s="313" t="s">
        <v>1214</v>
      </c>
      <c r="H66" s="305" t="s">
        <v>814</v>
      </c>
      <c r="I66" s="305"/>
      <c r="J66" s="370" t="e">
        <f>3000000*V66/(IF(#REF!="yes",0.188,1))</f>
        <v>#REF!</v>
      </c>
      <c r="K66" s="370">
        <v>0</v>
      </c>
      <c r="L66" s="370" t="e">
        <f>J66</f>
        <v>#REF!</v>
      </c>
      <c r="M66" s="316" t="s">
        <v>483</v>
      </c>
      <c r="N66" s="398"/>
      <c r="O66" s="398">
        <v>2017</v>
      </c>
      <c r="P66" s="305" t="s">
        <v>519</v>
      </c>
      <c r="Q66" s="354">
        <v>1.37E-2</v>
      </c>
      <c r="R66" s="305"/>
      <c r="S66" s="305"/>
      <c r="T66" s="313" t="s">
        <v>1482</v>
      </c>
      <c r="U66" s="444" t="s">
        <v>815</v>
      </c>
      <c r="V66" s="497">
        <v>1E-3</v>
      </c>
      <c r="W66" s="443" t="e">
        <f>621*0.75/#REF!/10^3</f>
        <v>#REF!</v>
      </c>
      <c r="X66" s="445"/>
      <c r="Y66" s="317" t="e">
        <f t="shared" si="3"/>
        <v>#REF!</v>
      </c>
      <c r="Z66" s="318">
        <v>2</v>
      </c>
      <c r="AA66" s="318">
        <v>5</v>
      </c>
      <c r="AB66" s="318">
        <v>5</v>
      </c>
      <c r="AC66" s="318">
        <v>4</v>
      </c>
      <c r="AD66" s="458" t="s">
        <v>1483</v>
      </c>
      <c r="AE66" s="493">
        <v>17553.191489361703</v>
      </c>
      <c r="AF66" s="482">
        <f>53000*0.023/0.188</f>
        <v>6484.0425531914898</v>
      </c>
      <c r="AG66" s="482">
        <f>92000*0.023/0.188</f>
        <v>11255.319148936171</v>
      </c>
      <c r="AH66" s="482">
        <f>112000*0.023/0.188</f>
        <v>13702.127659574468</v>
      </c>
      <c r="AI66" s="482">
        <f>109000*0.023/0.188</f>
        <v>13335.106382978724</v>
      </c>
      <c r="AJ66" s="482">
        <f>SUM(AF66:AI66)</f>
        <v>44776.595744680846</v>
      </c>
      <c r="AK66" s="493">
        <v>15957.446808510638</v>
      </c>
      <c r="AL66" s="482">
        <f>105000*0.023/0.188</f>
        <v>12845.744680851063</v>
      </c>
      <c r="AM66" s="482">
        <f>109000*0.023/0.188</f>
        <v>13335.106382978724</v>
      </c>
      <c r="AN66" s="482">
        <f>111000*0.023/0.188</f>
        <v>13579.787234042553</v>
      </c>
      <c r="AO66" s="482">
        <f>115000*0.023/0.188</f>
        <v>14069.148936170213</v>
      </c>
      <c r="AP66" s="482">
        <f>SUM(AL66:AO66)</f>
        <v>53829.787234042553</v>
      </c>
      <c r="AQ66" s="493">
        <v>15957.446808510638</v>
      </c>
      <c r="AR66" s="482">
        <f>107000*0.023/0.188</f>
        <v>13090.425531914894</v>
      </c>
      <c r="AS66" s="482">
        <f>90000*0.023/0.188</f>
        <v>11010.63829787234</v>
      </c>
      <c r="AT66" s="482">
        <f>115000*0.023/0.188</f>
        <v>14069.148936170213</v>
      </c>
      <c r="AU66" s="482">
        <f>124000*0.023/0.188</f>
        <v>15170.212765957447</v>
      </c>
      <c r="AV66" s="482">
        <f>SUM(AR66:AU66)</f>
        <v>53340.425531914894</v>
      </c>
      <c r="AW66" s="483" t="e">
        <f t="shared" si="23"/>
        <v>#REF!</v>
      </c>
      <c r="AX66" s="514" t="e">
        <f t="shared" si="33"/>
        <v>#REF!</v>
      </c>
      <c r="AY66" s="514" t="s">
        <v>1524</v>
      </c>
      <c r="AZ66" s="556">
        <f t="shared" si="7"/>
        <v>17553.191489361703</v>
      </c>
      <c r="BA66" s="557">
        <f>32000*0.023/0.188</f>
        <v>3914.8936170212764</v>
      </c>
      <c r="BB66" s="557">
        <f>84000*0.023/0.188</f>
        <v>10276.595744680852</v>
      </c>
      <c r="BC66" s="557">
        <f>90000*0.023/0.188</f>
        <v>11010.63829787234</v>
      </c>
      <c r="BD66" s="557">
        <f>111000*0.023/0.188</f>
        <v>13579.787234042553</v>
      </c>
      <c r="BE66" s="557">
        <f>SUM(BA66:BD66)</f>
        <v>38781.914893617024</v>
      </c>
      <c r="BF66" s="556">
        <f t="shared" si="8"/>
        <v>15957.446808510638</v>
      </c>
      <c r="BG66" s="557">
        <f>86000*0.023/0.188</f>
        <v>10521.276595744681</v>
      </c>
      <c r="BH66" s="557">
        <f>95000*0.023/0.188</f>
        <v>11622.340425531915</v>
      </c>
      <c r="BI66" s="557">
        <f>91000*0.023/0.188</f>
        <v>11132.978723404256</v>
      </c>
      <c r="BJ66" s="557">
        <f>94000*0.023/0.188</f>
        <v>11500</v>
      </c>
      <c r="BK66" s="557">
        <f>SUM(BG66:BJ66)</f>
        <v>44776.595744680846</v>
      </c>
      <c r="BL66" s="556">
        <f t="shared" si="1"/>
        <v>15957.446808510638</v>
      </c>
      <c r="BM66" s="557">
        <f>111000*0.023/0.188</f>
        <v>13579.787234042553</v>
      </c>
      <c r="BN66" s="557">
        <f>81000*0.023/0.188</f>
        <v>9909.5744680851058</v>
      </c>
      <c r="BO66" s="557">
        <f>95000*0.023/0.188</f>
        <v>11622.340425531915</v>
      </c>
      <c r="BP66" s="557">
        <f>99000*0.023/0.188</f>
        <v>12111.702127659575</v>
      </c>
      <c r="BQ66" s="557">
        <f>SUM(BM66:BP66)</f>
        <v>47223.404255319154</v>
      </c>
      <c r="BR66" s="318"/>
      <c r="BS66" s="318"/>
      <c r="BT66" s="318"/>
      <c r="BU66" s="318"/>
      <c r="BV66" s="318"/>
      <c r="BW66" s="318"/>
      <c r="BX66" s="318"/>
      <c r="BY66" s="318"/>
      <c r="BZ66" s="318" t="s">
        <v>1478</v>
      </c>
      <c r="CA66" s="465"/>
      <c r="CB66" s="465"/>
      <c r="CC66" s="465"/>
      <c r="CD66" s="465"/>
      <c r="CE66" s="457" t="s">
        <v>1317</v>
      </c>
      <c r="CF66" s="443">
        <f>(118*50%)+(480*50%)</f>
        <v>299</v>
      </c>
      <c r="CG66" s="360" t="s">
        <v>1197</v>
      </c>
      <c r="CH66" s="430">
        <v>0.5</v>
      </c>
      <c r="CI66" s="360" t="s">
        <v>562</v>
      </c>
      <c r="CJ66" s="430">
        <v>0.5</v>
      </c>
      <c r="CK66" s="360"/>
      <c r="CL66" s="360"/>
      <c r="CM66" s="360"/>
      <c r="CN66" s="360"/>
      <c r="CO66" s="360"/>
      <c r="CP66" s="360"/>
      <c r="CR66" s="315" t="str">
        <f t="shared" si="9"/>
        <v>Australia</v>
      </c>
      <c r="CS66" s="315" t="str">
        <f t="shared" si="10"/>
        <v>Western Australia</v>
      </c>
      <c r="CT66" s="315">
        <v>55</v>
      </c>
      <c r="CU66" s="315" t="s">
        <v>518</v>
      </c>
      <c r="CV66" s="315" t="s">
        <v>552</v>
      </c>
      <c r="CW66" s="315" t="s">
        <v>247</v>
      </c>
      <c r="CX66" s="315" t="s">
        <v>1214</v>
      </c>
      <c r="CY66" s="315" t="str">
        <f t="shared" si="2"/>
        <v>Western Australia</v>
      </c>
    </row>
    <row r="67" spans="1:103" s="315" customFormat="1" ht="23.25" hidden="1" customHeight="1" x14ac:dyDescent="0.25">
      <c r="A67" s="403">
        <v>56</v>
      </c>
      <c r="B67" s="432" t="s">
        <v>962</v>
      </c>
      <c r="C67" s="313" t="s">
        <v>518</v>
      </c>
      <c r="D67" s="318" t="s">
        <v>457</v>
      </c>
      <c r="E67" s="318" t="s">
        <v>553</v>
      </c>
      <c r="F67" s="313" t="s">
        <v>247</v>
      </c>
      <c r="G67" s="313" t="s">
        <v>1214</v>
      </c>
      <c r="H67" s="305" t="s">
        <v>1479</v>
      </c>
      <c r="I67" s="305"/>
      <c r="J67" s="370" t="e">
        <f>300000*V67/(IF(#REF!="yes",0.188,1))</f>
        <v>#REF!</v>
      </c>
      <c r="K67" s="370" t="e">
        <f>400000*V67/(IF(#REF!="yes",0.188,1))</f>
        <v>#REF!</v>
      </c>
      <c r="L67" s="370" t="e">
        <f>K67-L66</f>
        <v>#REF!</v>
      </c>
      <c r="M67" s="316" t="s">
        <v>483</v>
      </c>
      <c r="N67" s="398"/>
      <c r="O67" s="398">
        <v>2019</v>
      </c>
      <c r="P67" s="305" t="s">
        <v>519</v>
      </c>
      <c r="Q67" s="354">
        <v>1.37E-2</v>
      </c>
      <c r="R67" s="305"/>
      <c r="S67" s="305"/>
      <c r="T67" s="313" t="s">
        <v>1482</v>
      </c>
      <c r="U67" s="305" t="s">
        <v>528</v>
      </c>
      <c r="V67" s="426">
        <f>5%*46.4%</f>
        <v>2.3199999999999998E-2</v>
      </c>
      <c r="W67" s="443" t="e">
        <f>621*0.75/#REF!/10^3</f>
        <v>#REF!</v>
      </c>
      <c r="X67" s="445"/>
      <c r="Y67" s="317" t="e">
        <f t="shared" si="3"/>
        <v>#REF!</v>
      </c>
      <c r="Z67" s="318">
        <v>2</v>
      </c>
      <c r="AA67" s="318">
        <v>5</v>
      </c>
      <c r="AB67" s="318">
        <v>4</v>
      </c>
      <c r="AC67" s="318">
        <v>4</v>
      </c>
      <c r="AD67" s="458" t="s">
        <v>1483</v>
      </c>
      <c r="AE67" s="493" t="s">
        <v>1524</v>
      </c>
      <c r="AF67" s="482" t="s">
        <v>1541</v>
      </c>
      <c r="AG67" s="482" t="s">
        <v>1541</v>
      </c>
      <c r="AH67" s="482" t="s">
        <v>1541</v>
      </c>
      <c r="AI67" s="482" t="s">
        <v>1541</v>
      </c>
      <c r="AJ67" s="482" t="s">
        <v>1541</v>
      </c>
      <c r="AK67" s="493">
        <v>37021.276595744675</v>
      </c>
      <c r="AL67" s="482" t="s">
        <v>1541</v>
      </c>
      <c r="AM67" s="482" t="s">
        <v>1541</v>
      </c>
      <c r="AN67" s="482" t="s">
        <v>1541</v>
      </c>
      <c r="AO67" s="482" t="s">
        <v>1541</v>
      </c>
      <c r="AP67" s="482" t="s">
        <v>1541</v>
      </c>
      <c r="AQ67" s="493" t="s">
        <v>1524</v>
      </c>
      <c r="AR67" s="482" t="s">
        <v>1541</v>
      </c>
      <c r="AS67" s="482" t="s">
        <v>1541</v>
      </c>
      <c r="AT67" s="482" t="s">
        <v>1541</v>
      </c>
      <c r="AU67" s="482" t="s">
        <v>1541</v>
      </c>
      <c r="AV67" s="482" t="s">
        <v>1541</v>
      </c>
      <c r="AW67" s="483" t="str">
        <f t="shared" si="23"/>
        <v>check</v>
      </c>
      <c r="AX67" s="514" t="str">
        <f t="shared" si="33"/>
        <v>check</v>
      </c>
      <c r="AY67" s="514" t="s">
        <v>1555</v>
      </c>
      <c r="AZ67" s="556" t="str">
        <f t="shared" si="7"/>
        <v>check</v>
      </c>
      <c r="BA67" s="557" t="s">
        <v>1541</v>
      </c>
      <c r="BB67" s="557" t="s">
        <v>1541</v>
      </c>
      <c r="BC67" s="557" t="s">
        <v>1541</v>
      </c>
      <c r="BD67" s="557" t="s">
        <v>1541</v>
      </c>
      <c r="BE67" s="557" t="s">
        <v>1541</v>
      </c>
      <c r="BF67" s="556">
        <f t="shared" si="8"/>
        <v>37021.276595744675</v>
      </c>
      <c r="BG67" s="557" t="s">
        <v>1541</v>
      </c>
      <c r="BH67" s="557" t="s">
        <v>1541</v>
      </c>
      <c r="BI67" s="557" t="s">
        <v>1541</v>
      </c>
      <c r="BJ67" s="557" t="s">
        <v>1541</v>
      </c>
      <c r="BK67" s="557" t="s">
        <v>1541</v>
      </c>
      <c r="BL67" s="556" t="str">
        <f t="shared" si="1"/>
        <v>check</v>
      </c>
      <c r="BM67" s="557" t="s">
        <v>1541</v>
      </c>
      <c r="BN67" s="557" t="s">
        <v>1541</v>
      </c>
      <c r="BO67" s="557" t="s">
        <v>1541</v>
      </c>
      <c r="BP67" s="557" t="s">
        <v>1541</v>
      </c>
      <c r="BQ67" s="557" t="s">
        <v>1541</v>
      </c>
      <c r="BR67" s="318"/>
      <c r="BS67" s="318"/>
      <c r="BT67" s="318"/>
      <c r="BU67" s="318"/>
      <c r="BV67" s="318"/>
      <c r="BW67" s="318"/>
      <c r="BX67" s="318"/>
      <c r="BY67" s="318"/>
      <c r="BZ67" s="318" t="s">
        <v>1478</v>
      </c>
      <c r="CA67" s="465"/>
      <c r="CB67" s="465"/>
      <c r="CC67" s="465"/>
      <c r="CD67" s="465"/>
      <c r="CE67" s="457" t="s">
        <v>1317</v>
      </c>
      <c r="CF67" s="443">
        <f>(118*50%)+(480*50%)</f>
        <v>299</v>
      </c>
      <c r="CG67" s="360" t="s">
        <v>1197</v>
      </c>
      <c r="CH67" s="430">
        <v>0.5</v>
      </c>
      <c r="CI67" s="360" t="s">
        <v>562</v>
      </c>
      <c r="CJ67" s="430">
        <v>0.5</v>
      </c>
      <c r="CK67" s="360"/>
      <c r="CL67" s="360"/>
      <c r="CM67" s="360"/>
      <c r="CN67" s="360"/>
      <c r="CO67" s="360"/>
      <c r="CP67" s="360"/>
      <c r="CR67" s="315" t="str">
        <f t="shared" si="9"/>
        <v>Australia</v>
      </c>
      <c r="CS67" s="315" t="str">
        <f t="shared" si="10"/>
        <v>Western Australia</v>
      </c>
      <c r="CT67" s="315">
        <v>56</v>
      </c>
      <c r="CU67" s="315" t="s">
        <v>518</v>
      </c>
      <c r="CV67" s="315" t="s">
        <v>553</v>
      </c>
      <c r="CW67" s="315" t="s">
        <v>247</v>
      </c>
      <c r="CX67" s="315" t="s">
        <v>1214</v>
      </c>
      <c r="CY67" s="315" t="str">
        <f t="shared" si="2"/>
        <v>Western Australia</v>
      </c>
    </row>
    <row r="68" spans="1:103" s="315" customFormat="1" ht="13" hidden="1" x14ac:dyDescent="0.25">
      <c r="A68" s="403">
        <v>57</v>
      </c>
      <c r="B68" s="313" t="s">
        <v>643</v>
      </c>
      <c r="C68" s="313" t="s">
        <v>646</v>
      </c>
      <c r="D68" s="318" t="s">
        <v>594</v>
      </c>
      <c r="E68" s="318"/>
      <c r="F68" s="313" t="s">
        <v>247</v>
      </c>
      <c r="G68" s="313" t="s">
        <v>1214</v>
      </c>
      <c r="H68" s="305"/>
      <c r="I68" s="305" t="s">
        <v>1254</v>
      </c>
      <c r="J68" s="370">
        <v>0</v>
      </c>
      <c r="K68" s="370" t="e">
        <f>10000*V68/(IF(#REF!="yes",0.188,1))</f>
        <v>#REF!</v>
      </c>
      <c r="L68" s="370" t="e">
        <f>K68-J68</f>
        <v>#REF!</v>
      </c>
      <c r="M68" s="316" t="s">
        <v>807</v>
      </c>
      <c r="N68" s="398">
        <v>2021</v>
      </c>
      <c r="O68" s="398">
        <v>2023</v>
      </c>
      <c r="P68" s="305" t="s">
        <v>234</v>
      </c>
      <c r="Q68" s="324"/>
      <c r="R68" s="305"/>
      <c r="S68" s="305"/>
      <c r="T68" s="305"/>
      <c r="U68" s="305" t="s">
        <v>579</v>
      </c>
      <c r="V68" s="426">
        <v>0.16600000000000001</v>
      </c>
      <c r="W68" s="317"/>
      <c r="X68" s="317"/>
      <c r="Y68" s="317" t="str">
        <f t="shared" si="3"/>
        <v/>
      </c>
      <c r="Z68" s="318">
        <v>3</v>
      </c>
      <c r="AA68" s="318">
        <v>5</v>
      </c>
      <c r="AB68" s="318">
        <v>4</v>
      </c>
      <c r="AC68" s="318">
        <v>3</v>
      </c>
      <c r="AD68" s="318" t="s">
        <v>647</v>
      </c>
      <c r="AE68" s="483">
        <v>0</v>
      </c>
      <c r="AF68" s="482">
        <f t="shared" ref="AF68:AJ87" si="48">IF(OR($M68="Exploration", $M68="Pre-feasibility", $O68&gt;2017), 0, "check")</f>
        <v>0</v>
      </c>
      <c r="AG68" s="482">
        <f t="shared" si="48"/>
        <v>0</v>
      </c>
      <c r="AH68" s="482">
        <f t="shared" si="48"/>
        <v>0</v>
      </c>
      <c r="AI68" s="482">
        <f t="shared" si="48"/>
        <v>0</v>
      </c>
      <c r="AJ68" s="482">
        <f>IF(OR($M68="Exploration", $M68="Pre-feasibility", $O68&gt;2017), 0, "check")</f>
        <v>0</v>
      </c>
      <c r="AK68" s="556">
        <v>0</v>
      </c>
      <c r="AL68" s="557">
        <f t="shared" ref="AL68:AP71" si="49">IF(OR($M68="Exploration", $M68="Pre-feasibility", $O68&gt;2018), 0, "check")</f>
        <v>0</v>
      </c>
      <c r="AM68" s="557">
        <f t="shared" si="49"/>
        <v>0</v>
      </c>
      <c r="AN68" s="557">
        <f t="shared" si="49"/>
        <v>0</v>
      </c>
      <c r="AO68" s="557">
        <f t="shared" si="49"/>
        <v>0</v>
      </c>
      <c r="AP68" s="557">
        <f t="shared" si="49"/>
        <v>0</v>
      </c>
      <c r="AQ68" s="483">
        <f>IF(OR(M68="Exploration", M68="Pre-feasibility", O68&gt;2019), 0, "check")</f>
        <v>0</v>
      </c>
      <c r="AR68" s="482">
        <f t="shared" ref="AR68:AU83" si="50">IF(OR($M68="Exploration", $M68="Pre-feasibility", $O68&gt;2019), 0, "check")</f>
        <v>0</v>
      </c>
      <c r="AS68" s="482">
        <f t="shared" si="50"/>
        <v>0</v>
      </c>
      <c r="AT68" s="482">
        <f t="shared" si="50"/>
        <v>0</v>
      </c>
      <c r="AU68" s="482">
        <f t="shared" si="50"/>
        <v>0</v>
      </c>
      <c r="AV68" s="482">
        <f>IF(OR(M68="Exploration", M68="Pre-feasibility", O68&gt;2019), 0, "check")</f>
        <v>0</v>
      </c>
      <c r="AW68" s="483">
        <f t="shared" si="23"/>
        <v>0</v>
      </c>
      <c r="AX68" s="514">
        <f t="shared" si="33"/>
        <v>0</v>
      </c>
      <c r="AY68" s="514" t="s">
        <v>1034</v>
      </c>
      <c r="AZ68" s="556">
        <f t="shared" si="7"/>
        <v>0</v>
      </c>
      <c r="BA68" s="557">
        <v>0</v>
      </c>
      <c r="BB68" s="557">
        <v>0</v>
      </c>
      <c r="BC68" s="557">
        <v>0</v>
      </c>
      <c r="BD68" s="557">
        <v>0</v>
      </c>
      <c r="BE68" s="557">
        <v>0</v>
      </c>
      <c r="BF68" s="556">
        <f t="shared" si="8"/>
        <v>0</v>
      </c>
      <c r="BG68" s="557">
        <v>0</v>
      </c>
      <c r="BH68" s="557">
        <v>0</v>
      </c>
      <c r="BI68" s="557">
        <v>0</v>
      </c>
      <c r="BJ68" s="557">
        <v>0</v>
      </c>
      <c r="BK68" s="557">
        <v>0</v>
      </c>
      <c r="BL68" s="556">
        <f t="shared" si="1"/>
        <v>0</v>
      </c>
      <c r="BM68" s="557">
        <v>0</v>
      </c>
      <c r="BN68" s="557">
        <v>0</v>
      </c>
      <c r="BO68" s="557">
        <v>0</v>
      </c>
      <c r="BP68" s="557">
        <v>0</v>
      </c>
      <c r="BQ68" s="557">
        <v>0</v>
      </c>
      <c r="BR68" s="318"/>
      <c r="BS68" s="318"/>
      <c r="BT68" s="318"/>
      <c r="BU68" s="318"/>
      <c r="BV68" s="318"/>
      <c r="BW68" s="318"/>
      <c r="BX68" s="318"/>
      <c r="BY68" s="318"/>
      <c r="BZ68" s="318"/>
      <c r="CA68" s="318"/>
      <c r="CB68" s="318"/>
      <c r="CC68" s="318"/>
      <c r="CD68" s="318"/>
      <c r="CE68" s="457"/>
      <c r="CF68" s="318">
        <v>74</v>
      </c>
      <c r="CG68" s="360" t="s">
        <v>728</v>
      </c>
      <c r="CH68" s="430">
        <v>1</v>
      </c>
      <c r="CI68" s="360"/>
      <c r="CJ68" s="360"/>
      <c r="CK68" s="360"/>
      <c r="CL68" s="360"/>
      <c r="CM68" s="360"/>
      <c r="CN68" s="360"/>
      <c r="CO68" s="360"/>
      <c r="CP68" s="360"/>
      <c r="CR68" s="315" t="str">
        <f t="shared" si="9"/>
        <v>Australia</v>
      </c>
      <c r="CS68" s="315" t="str">
        <f t="shared" si="10"/>
        <v>Western Australia</v>
      </c>
      <c r="CT68" s="315">
        <v>57</v>
      </c>
      <c r="CU68" s="315" t="s">
        <v>646</v>
      </c>
      <c r="CV68" s="315" t="s">
        <v>32</v>
      </c>
      <c r="CW68" s="315" t="s">
        <v>247</v>
      </c>
      <c r="CX68" s="315" t="s">
        <v>1214</v>
      </c>
      <c r="CY68" s="315" t="str">
        <f t="shared" si="2"/>
        <v>Western Australia</v>
      </c>
    </row>
    <row r="69" spans="1:103" s="315" customFormat="1" ht="13" hidden="1" x14ac:dyDescent="0.25">
      <c r="A69" s="403">
        <v>58</v>
      </c>
      <c r="B69" s="313" t="s">
        <v>643</v>
      </c>
      <c r="C69" s="313" t="s">
        <v>644</v>
      </c>
      <c r="D69" s="318" t="s">
        <v>457</v>
      </c>
      <c r="E69" s="318"/>
      <c r="F69" s="313" t="s">
        <v>247</v>
      </c>
      <c r="G69" s="313" t="s">
        <v>1214</v>
      </c>
      <c r="H69" s="305" t="s">
        <v>579</v>
      </c>
      <c r="I69" s="305"/>
      <c r="J69" s="370">
        <v>0</v>
      </c>
      <c r="K69" s="370">
        <v>0</v>
      </c>
      <c r="L69" s="370">
        <f>K69-J69</f>
        <v>0</v>
      </c>
      <c r="M69" s="316" t="s">
        <v>487</v>
      </c>
      <c r="N69" s="398"/>
      <c r="O69" s="398"/>
      <c r="P69" s="305" t="s">
        <v>519</v>
      </c>
      <c r="Q69" s="324"/>
      <c r="R69" s="305"/>
      <c r="S69" s="305"/>
      <c r="T69" s="305"/>
      <c r="U69" s="305" t="s">
        <v>528</v>
      </c>
      <c r="V69" s="426">
        <v>0.16600000000000001</v>
      </c>
      <c r="W69" s="317"/>
      <c r="X69" s="317"/>
      <c r="Y69" s="317" t="str">
        <f t="shared" si="3"/>
        <v/>
      </c>
      <c r="Z69" s="318">
        <v>2</v>
      </c>
      <c r="AA69" s="318">
        <v>5</v>
      </c>
      <c r="AB69" s="318">
        <v>4</v>
      </c>
      <c r="AC69" s="318">
        <v>3</v>
      </c>
      <c r="AD69" s="318"/>
      <c r="AE69" s="483">
        <v>0</v>
      </c>
      <c r="AF69" s="482">
        <f t="shared" si="48"/>
        <v>0</v>
      </c>
      <c r="AG69" s="482">
        <f t="shared" si="48"/>
        <v>0</v>
      </c>
      <c r="AH69" s="482">
        <f t="shared" si="48"/>
        <v>0</v>
      </c>
      <c r="AI69" s="482">
        <f t="shared" si="48"/>
        <v>0</v>
      </c>
      <c r="AJ69" s="482">
        <f>IF(OR($M69="Exploration", $M69="Pre-feasibility", $O69&gt;2017), 0, "check")</f>
        <v>0</v>
      </c>
      <c r="AK69" s="556">
        <v>0</v>
      </c>
      <c r="AL69" s="557">
        <f t="shared" si="49"/>
        <v>0</v>
      </c>
      <c r="AM69" s="557">
        <f t="shared" si="49"/>
        <v>0</v>
      </c>
      <c r="AN69" s="557">
        <f t="shared" si="49"/>
        <v>0</v>
      </c>
      <c r="AO69" s="557">
        <f t="shared" si="49"/>
        <v>0</v>
      </c>
      <c r="AP69" s="557">
        <f t="shared" si="49"/>
        <v>0</v>
      </c>
      <c r="AQ69" s="483">
        <f>IF(OR(M69="Exploration", M69="Pre-feasibility", O69&gt;2019), 0, "check")</f>
        <v>0</v>
      </c>
      <c r="AR69" s="482">
        <f t="shared" si="50"/>
        <v>0</v>
      </c>
      <c r="AS69" s="482">
        <f t="shared" si="50"/>
        <v>0</v>
      </c>
      <c r="AT69" s="482">
        <f t="shared" si="50"/>
        <v>0</v>
      </c>
      <c r="AU69" s="482">
        <f t="shared" si="50"/>
        <v>0</v>
      </c>
      <c r="AV69" s="482">
        <f>IF(OR(M69="Exploration", M69="Pre-feasibility", O69&gt;2019), 0, "check")</f>
        <v>0</v>
      </c>
      <c r="AW69" s="483">
        <f t="shared" si="23"/>
        <v>0</v>
      </c>
      <c r="AX69" s="514">
        <f t="shared" si="33"/>
        <v>0</v>
      </c>
      <c r="AY69" s="514" t="s">
        <v>1034</v>
      </c>
      <c r="AZ69" s="556">
        <f t="shared" si="7"/>
        <v>0</v>
      </c>
      <c r="BA69" s="557">
        <v>0</v>
      </c>
      <c r="BB69" s="557">
        <v>0</v>
      </c>
      <c r="BC69" s="557">
        <v>0</v>
      </c>
      <c r="BD69" s="557">
        <v>0</v>
      </c>
      <c r="BE69" s="557">
        <v>0</v>
      </c>
      <c r="BF69" s="556">
        <f t="shared" si="8"/>
        <v>0</v>
      </c>
      <c r="BG69" s="557">
        <v>0</v>
      </c>
      <c r="BH69" s="557">
        <v>0</v>
      </c>
      <c r="BI69" s="557">
        <v>0</v>
      </c>
      <c r="BJ69" s="557">
        <v>0</v>
      </c>
      <c r="BK69" s="557">
        <v>0</v>
      </c>
      <c r="BL69" s="556">
        <f t="shared" si="1"/>
        <v>0</v>
      </c>
      <c r="BM69" s="557">
        <v>0</v>
      </c>
      <c r="BN69" s="557">
        <v>0</v>
      </c>
      <c r="BO69" s="557">
        <v>0</v>
      </c>
      <c r="BP69" s="557">
        <v>0</v>
      </c>
      <c r="BQ69" s="557">
        <v>0</v>
      </c>
      <c r="BR69" s="318"/>
      <c r="BS69" s="318"/>
      <c r="BT69" s="318"/>
      <c r="BU69" s="318"/>
      <c r="BV69" s="318"/>
      <c r="BW69" s="318"/>
      <c r="BX69" s="318"/>
      <c r="BY69" s="318"/>
      <c r="BZ69" s="318"/>
      <c r="CA69" s="318"/>
      <c r="CB69" s="318"/>
      <c r="CC69" s="318"/>
      <c r="CD69" s="318"/>
      <c r="CE69" s="457"/>
      <c r="CF69" s="318">
        <v>74</v>
      </c>
      <c r="CG69" s="360" t="s">
        <v>728</v>
      </c>
      <c r="CH69" s="430">
        <v>1</v>
      </c>
      <c r="CI69" s="360"/>
      <c r="CJ69" s="360"/>
      <c r="CK69" s="360"/>
      <c r="CL69" s="360"/>
      <c r="CM69" s="360"/>
      <c r="CN69" s="360"/>
      <c r="CO69" s="360"/>
      <c r="CP69" s="360"/>
      <c r="CR69" s="315" t="str">
        <f t="shared" si="9"/>
        <v>Australia</v>
      </c>
      <c r="CS69" s="315" t="str">
        <f t="shared" si="10"/>
        <v>Western Australia</v>
      </c>
      <c r="CT69" s="315">
        <v>58</v>
      </c>
      <c r="CU69" s="315" t="s">
        <v>644</v>
      </c>
      <c r="CW69" s="315" t="s">
        <v>247</v>
      </c>
      <c r="CX69" s="315" t="s">
        <v>1214</v>
      </c>
      <c r="CY69" s="315" t="str">
        <f t="shared" si="2"/>
        <v>Western Australia</v>
      </c>
    </row>
    <row r="70" spans="1:103" s="315" customFormat="1" ht="13" hidden="1" x14ac:dyDescent="0.25">
      <c r="A70" s="403">
        <v>59</v>
      </c>
      <c r="B70" s="313" t="s">
        <v>635</v>
      </c>
      <c r="C70" s="313" t="s">
        <v>636</v>
      </c>
      <c r="D70" s="318" t="s">
        <v>457</v>
      </c>
      <c r="E70" s="318"/>
      <c r="F70" s="313" t="s">
        <v>465</v>
      </c>
      <c r="G70" s="313" t="s">
        <v>1393</v>
      </c>
      <c r="H70" s="305"/>
      <c r="I70" s="305"/>
      <c r="J70" s="370">
        <v>0</v>
      </c>
      <c r="K70" s="370">
        <v>5000</v>
      </c>
      <c r="L70" s="370">
        <f>K70-J70</f>
        <v>5000</v>
      </c>
      <c r="M70" s="316" t="s">
        <v>807</v>
      </c>
      <c r="N70" s="398"/>
      <c r="O70" s="398"/>
      <c r="P70" s="305" t="s">
        <v>463</v>
      </c>
      <c r="Q70" s="324" t="s">
        <v>649</v>
      </c>
      <c r="R70" s="305" t="s">
        <v>685</v>
      </c>
      <c r="S70" s="305"/>
      <c r="T70" s="305">
        <v>571000</v>
      </c>
      <c r="U70" s="305" t="s">
        <v>528</v>
      </c>
      <c r="V70" s="426">
        <f>6%*40%</f>
        <v>2.4E-2</v>
      </c>
      <c r="W70" s="317">
        <v>3.1120000000000001</v>
      </c>
      <c r="X70" s="317"/>
      <c r="Y70" s="317" t="e">
        <f t="shared" si="3"/>
        <v>#REF!</v>
      </c>
      <c r="Z70" s="318">
        <v>2</v>
      </c>
      <c r="AA70" s="318"/>
      <c r="AB70" s="318"/>
      <c r="AC70" s="318">
        <v>1</v>
      </c>
      <c r="AD70" s="318" t="s">
        <v>653</v>
      </c>
      <c r="AE70" s="483">
        <v>0</v>
      </c>
      <c r="AF70" s="482">
        <f t="shared" si="48"/>
        <v>0</v>
      </c>
      <c r="AG70" s="482">
        <f t="shared" si="48"/>
        <v>0</v>
      </c>
      <c r="AH70" s="482">
        <f t="shared" si="48"/>
        <v>0</v>
      </c>
      <c r="AI70" s="482">
        <f t="shared" si="48"/>
        <v>0</v>
      </c>
      <c r="AJ70" s="482">
        <f>IF(OR($M70="Exploration", $M70="Pre-feasibility", $O70&gt;2017), 0, "check")</f>
        <v>0</v>
      </c>
      <c r="AK70" s="556">
        <v>0</v>
      </c>
      <c r="AL70" s="557">
        <f t="shared" si="49"/>
        <v>0</v>
      </c>
      <c r="AM70" s="557">
        <f t="shared" si="49"/>
        <v>0</v>
      </c>
      <c r="AN70" s="557">
        <f t="shared" si="49"/>
        <v>0</v>
      </c>
      <c r="AO70" s="557">
        <f t="shared" si="49"/>
        <v>0</v>
      </c>
      <c r="AP70" s="557">
        <f t="shared" si="49"/>
        <v>0</v>
      </c>
      <c r="AQ70" s="483">
        <f>IF(OR(M70="Exploration", M70="Pre-feasibility", O70&gt;2019), 0, "check")</f>
        <v>0</v>
      </c>
      <c r="AR70" s="482">
        <f t="shared" si="50"/>
        <v>0</v>
      </c>
      <c r="AS70" s="482">
        <f t="shared" si="50"/>
        <v>0</v>
      </c>
      <c r="AT70" s="482">
        <f t="shared" si="50"/>
        <v>0</v>
      </c>
      <c r="AU70" s="482">
        <f t="shared" si="50"/>
        <v>0</v>
      </c>
      <c r="AV70" s="482">
        <f>IF(OR(M70="Exploration", M70="Pre-feasibility", O70&gt;2019), 0, "check")</f>
        <v>0</v>
      </c>
      <c r="AW70" s="483">
        <f t="shared" si="23"/>
        <v>0</v>
      </c>
      <c r="AX70" s="514">
        <f t="shared" si="33"/>
        <v>0</v>
      </c>
      <c r="AY70" s="514" t="s">
        <v>1034</v>
      </c>
      <c r="AZ70" s="556">
        <f t="shared" si="7"/>
        <v>0</v>
      </c>
      <c r="BA70" s="557">
        <v>0</v>
      </c>
      <c r="BB70" s="557">
        <v>0</v>
      </c>
      <c r="BC70" s="557">
        <v>0</v>
      </c>
      <c r="BD70" s="557">
        <v>0</v>
      </c>
      <c r="BE70" s="557">
        <v>0</v>
      </c>
      <c r="BF70" s="556">
        <f t="shared" si="8"/>
        <v>0</v>
      </c>
      <c r="BG70" s="557">
        <v>0</v>
      </c>
      <c r="BH70" s="557">
        <v>0</v>
      </c>
      <c r="BI70" s="557">
        <v>0</v>
      </c>
      <c r="BJ70" s="557">
        <v>0</v>
      </c>
      <c r="BK70" s="557">
        <v>0</v>
      </c>
      <c r="BL70" s="556">
        <f t="shared" si="1"/>
        <v>0</v>
      </c>
      <c r="BM70" s="557">
        <v>0</v>
      </c>
      <c r="BN70" s="557">
        <v>0</v>
      </c>
      <c r="BO70" s="557">
        <v>0</v>
      </c>
      <c r="BP70" s="557">
        <v>0</v>
      </c>
      <c r="BQ70" s="557">
        <v>0</v>
      </c>
      <c r="BR70" s="318"/>
      <c r="BS70" s="318"/>
      <c r="BT70" s="318"/>
      <c r="BU70" s="318"/>
      <c r="BV70" s="318"/>
      <c r="BW70" s="318"/>
      <c r="BX70" s="318"/>
      <c r="BY70" s="318"/>
      <c r="BZ70" s="318"/>
      <c r="CA70" s="318"/>
      <c r="CB70" s="318"/>
      <c r="CC70" s="318"/>
      <c r="CD70" s="318"/>
      <c r="CE70" s="457">
        <v>93300000</v>
      </c>
      <c r="CF70" s="318"/>
      <c r="CG70" s="360"/>
      <c r="CH70" s="360"/>
      <c r="CI70" s="360"/>
      <c r="CJ70" s="360"/>
      <c r="CK70" s="360"/>
      <c r="CL70" s="360"/>
      <c r="CM70" s="360"/>
      <c r="CN70" s="360"/>
      <c r="CO70" s="360"/>
      <c r="CP70" s="360"/>
      <c r="CR70" s="315" t="str">
        <f t="shared" si="9"/>
        <v>Argentina</v>
      </c>
      <c r="CS70" s="315" t="str">
        <f t="shared" si="10"/>
        <v>Catamarca</v>
      </c>
      <c r="CT70" s="315">
        <v>59</v>
      </c>
      <c r="CU70" s="315" t="s">
        <v>636</v>
      </c>
      <c r="CW70" s="315" t="s">
        <v>465</v>
      </c>
      <c r="CX70" s="315" t="s">
        <v>1393</v>
      </c>
      <c r="CY70" s="315" t="str">
        <f t="shared" si="2"/>
        <v>Catamarca</v>
      </c>
    </row>
    <row r="71" spans="1:103" s="315" customFormat="1" ht="13" hidden="1" x14ac:dyDescent="0.25">
      <c r="A71" s="403">
        <v>60</v>
      </c>
      <c r="B71" s="313" t="s">
        <v>635</v>
      </c>
      <c r="C71" s="313" t="s">
        <v>637</v>
      </c>
      <c r="D71" s="318" t="s">
        <v>457</v>
      </c>
      <c r="E71" s="318"/>
      <c r="F71" s="313" t="s">
        <v>465</v>
      </c>
      <c r="G71" s="313" t="s">
        <v>1400</v>
      </c>
      <c r="H71" s="305"/>
      <c r="I71" s="305"/>
      <c r="J71" s="370"/>
      <c r="K71" s="370">
        <v>0</v>
      </c>
      <c r="L71" s="370">
        <f>K71-J71</f>
        <v>0</v>
      </c>
      <c r="M71" s="316" t="s">
        <v>807</v>
      </c>
      <c r="N71" s="398"/>
      <c r="O71" s="398"/>
      <c r="P71" s="305" t="s">
        <v>463</v>
      </c>
      <c r="Q71" s="324" t="s">
        <v>650</v>
      </c>
      <c r="R71" s="305" t="s">
        <v>651</v>
      </c>
      <c r="S71" s="305"/>
      <c r="T71" s="305"/>
      <c r="U71" s="305" t="s">
        <v>528</v>
      </c>
      <c r="V71" s="426">
        <f>6%*40%</f>
        <v>2.4E-2</v>
      </c>
      <c r="W71" s="317"/>
      <c r="X71" s="317"/>
      <c r="Y71" s="317" t="str">
        <f t="shared" si="3"/>
        <v/>
      </c>
      <c r="Z71" s="318">
        <v>1</v>
      </c>
      <c r="AA71" s="318"/>
      <c r="AB71" s="318"/>
      <c r="AC71" s="318">
        <v>1</v>
      </c>
      <c r="AD71" s="318" t="s">
        <v>652</v>
      </c>
      <c r="AE71" s="483">
        <v>0</v>
      </c>
      <c r="AF71" s="482">
        <f t="shared" si="48"/>
        <v>0</v>
      </c>
      <c r="AG71" s="482">
        <f t="shared" si="48"/>
        <v>0</v>
      </c>
      <c r="AH71" s="482">
        <f t="shared" si="48"/>
        <v>0</v>
      </c>
      <c r="AI71" s="482">
        <f t="shared" si="48"/>
        <v>0</v>
      </c>
      <c r="AJ71" s="482">
        <f>IF(OR($M71="Exploration", $M71="Pre-feasibility", $O71&gt;2017), 0, "check")</f>
        <v>0</v>
      </c>
      <c r="AK71" s="556">
        <v>0</v>
      </c>
      <c r="AL71" s="557">
        <f t="shared" si="49"/>
        <v>0</v>
      </c>
      <c r="AM71" s="557">
        <f t="shared" si="49"/>
        <v>0</v>
      </c>
      <c r="AN71" s="557">
        <f t="shared" si="49"/>
        <v>0</v>
      </c>
      <c r="AO71" s="557">
        <f t="shared" si="49"/>
        <v>0</v>
      </c>
      <c r="AP71" s="557">
        <f t="shared" si="49"/>
        <v>0</v>
      </c>
      <c r="AQ71" s="483">
        <f>IF(OR(M71="Exploration", M71="Pre-feasibility", O71&gt;2019), 0, "check")</f>
        <v>0</v>
      </c>
      <c r="AR71" s="482">
        <f t="shared" si="50"/>
        <v>0</v>
      </c>
      <c r="AS71" s="482">
        <f t="shared" si="50"/>
        <v>0</v>
      </c>
      <c r="AT71" s="482">
        <f t="shared" si="50"/>
        <v>0</v>
      </c>
      <c r="AU71" s="482">
        <f t="shared" si="50"/>
        <v>0</v>
      </c>
      <c r="AV71" s="482">
        <f>IF(OR(M71="Exploration", M71="Pre-feasibility", O71&gt;2019), 0, "check")</f>
        <v>0</v>
      </c>
      <c r="AW71" s="483">
        <f t="shared" si="23"/>
        <v>0</v>
      </c>
      <c r="AX71" s="514">
        <f t="shared" si="33"/>
        <v>0</v>
      </c>
      <c r="AY71" s="514" t="s">
        <v>1034</v>
      </c>
      <c r="AZ71" s="556">
        <f t="shared" si="7"/>
        <v>0</v>
      </c>
      <c r="BA71" s="557">
        <v>0</v>
      </c>
      <c r="BB71" s="557">
        <v>0</v>
      </c>
      <c r="BC71" s="557">
        <v>0</v>
      </c>
      <c r="BD71" s="557">
        <v>0</v>
      </c>
      <c r="BE71" s="557">
        <v>0</v>
      </c>
      <c r="BF71" s="556">
        <f t="shared" si="8"/>
        <v>0</v>
      </c>
      <c r="BG71" s="557">
        <v>0</v>
      </c>
      <c r="BH71" s="557">
        <v>0</v>
      </c>
      <c r="BI71" s="557">
        <v>0</v>
      </c>
      <c r="BJ71" s="557">
        <v>0</v>
      </c>
      <c r="BK71" s="557">
        <v>0</v>
      </c>
      <c r="BL71" s="556">
        <f t="shared" si="1"/>
        <v>0</v>
      </c>
      <c r="BM71" s="557">
        <v>0</v>
      </c>
      <c r="BN71" s="557">
        <v>0</v>
      </c>
      <c r="BO71" s="557">
        <v>0</v>
      </c>
      <c r="BP71" s="557">
        <v>0</v>
      </c>
      <c r="BQ71" s="557">
        <v>0</v>
      </c>
      <c r="BR71" s="318"/>
      <c r="BS71" s="318"/>
      <c r="BT71" s="318"/>
      <c r="BU71" s="318"/>
      <c r="BV71" s="318"/>
      <c r="BW71" s="318"/>
      <c r="BX71" s="318"/>
      <c r="BY71" s="318"/>
      <c r="BZ71" s="318"/>
      <c r="CA71" s="318"/>
      <c r="CB71" s="318"/>
      <c r="CC71" s="318"/>
      <c r="CD71" s="318"/>
      <c r="CE71" s="457"/>
      <c r="CF71" s="318"/>
      <c r="CG71" s="360"/>
      <c r="CH71" s="360"/>
      <c r="CI71" s="360"/>
      <c r="CJ71" s="360"/>
      <c r="CK71" s="360"/>
      <c r="CL71" s="360"/>
      <c r="CM71" s="360"/>
      <c r="CN71" s="360"/>
      <c r="CO71" s="360"/>
      <c r="CP71" s="360"/>
      <c r="CR71" s="315" t="str">
        <f t="shared" si="9"/>
        <v>Argentina</v>
      </c>
      <c r="CS71" s="315" t="str">
        <f t="shared" si="10"/>
        <v xml:space="preserve">Catamarca </v>
      </c>
      <c r="CT71" s="315">
        <v>60</v>
      </c>
      <c r="CU71" s="315" t="s">
        <v>637</v>
      </c>
      <c r="CW71" s="315" t="s">
        <v>465</v>
      </c>
      <c r="CX71" s="315" t="s">
        <v>1400</v>
      </c>
      <c r="CY71" s="315" t="str">
        <f t="shared" si="2"/>
        <v xml:space="preserve">Catamarca </v>
      </c>
    </row>
    <row r="72" spans="1:103" s="315" customFormat="1" ht="25.5" hidden="1" customHeight="1" x14ac:dyDescent="0.25">
      <c r="A72" s="403">
        <v>61</v>
      </c>
      <c r="B72" s="313" t="s">
        <v>464</v>
      </c>
      <c r="C72" s="313" t="s">
        <v>949</v>
      </c>
      <c r="D72" s="318" t="s">
        <v>457</v>
      </c>
      <c r="E72" s="318" t="s">
        <v>552</v>
      </c>
      <c r="F72" s="313" t="s">
        <v>465</v>
      </c>
      <c r="G72" s="313" t="s">
        <v>1400</v>
      </c>
      <c r="H72" s="305" t="s">
        <v>1230</v>
      </c>
      <c r="I72" s="375" t="s">
        <v>1231</v>
      </c>
      <c r="J72" s="370" t="e">
        <f>(12605*$V$72)/(IF(#REF!="yes",0.188,1))</f>
        <v>#REF!</v>
      </c>
      <c r="K72" s="370" t="e">
        <f>(17500*$V$73)/(IF(#REF!="yes",0.188,1))</f>
        <v>#REF!</v>
      </c>
      <c r="L72" s="370" t="e">
        <f>K72</f>
        <v>#REF!</v>
      </c>
      <c r="M72" s="316" t="s">
        <v>483</v>
      </c>
      <c r="N72" s="398">
        <v>2016</v>
      </c>
      <c r="O72" s="398">
        <v>2019</v>
      </c>
      <c r="P72" s="305" t="s">
        <v>463</v>
      </c>
      <c r="Q72" s="305" t="s">
        <v>654</v>
      </c>
      <c r="R72" s="305" t="s">
        <v>535</v>
      </c>
      <c r="S72" s="305"/>
      <c r="T72" s="305"/>
      <c r="U72" s="305" t="s">
        <v>528</v>
      </c>
      <c r="V72" s="426">
        <v>0.188</v>
      </c>
      <c r="W72" s="443">
        <v>3.5</v>
      </c>
      <c r="X72" s="445"/>
      <c r="Y72" s="317" t="e">
        <f t="shared" si="3"/>
        <v>#REF!</v>
      </c>
      <c r="Z72" s="318">
        <v>2</v>
      </c>
      <c r="AA72" s="318">
        <v>4</v>
      </c>
      <c r="AB72" s="318">
        <v>4</v>
      </c>
      <c r="AC72" s="318">
        <v>5</v>
      </c>
      <c r="AD72" s="318" t="s">
        <v>659</v>
      </c>
      <c r="AE72" s="493">
        <v>5000</v>
      </c>
      <c r="AF72" s="482">
        <v>0</v>
      </c>
      <c r="AG72" s="482">
        <v>0</v>
      </c>
      <c r="AH72" s="482">
        <v>0</v>
      </c>
      <c r="AI72" s="482">
        <v>0</v>
      </c>
      <c r="AJ72" s="482">
        <v>0</v>
      </c>
      <c r="AK72" s="554">
        <v>12604.999999999998</v>
      </c>
      <c r="AL72" s="557">
        <v>0</v>
      </c>
      <c r="AM72" s="557">
        <v>0</v>
      </c>
      <c r="AN72" s="557">
        <v>0</v>
      </c>
      <c r="AO72" s="557">
        <v>0</v>
      </c>
      <c r="AP72" s="557">
        <f>IF(OR(M72="Exploration", M72="Pre-feasibility", O72&gt;2018), 0, "check")</f>
        <v>0</v>
      </c>
      <c r="AQ72" s="483" t="e">
        <f>1*L72</f>
        <v>#REF!</v>
      </c>
      <c r="AR72" s="482">
        <v>3075</v>
      </c>
      <c r="AS72" s="482">
        <v>3455</v>
      </c>
      <c r="AT72" s="482">
        <v>3093</v>
      </c>
      <c r="AU72" s="482">
        <v>3586</v>
      </c>
      <c r="AV72" s="482">
        <f>SUM(AR72:AU72)</f>
        <v>13209</v>
      </c>
      <c r="AW72" s="483">
        <v>17500</v>
      </c>
      <c r="AX72" s="514" t="str">
        <f t="shared" si="33"/>
        <v>check</v>
      </c>
      <c r="AY72" s="550" t="s">
        <v>1530</v>
      </c>
      <c r="AZ72" s="556">
        <f t="shared" si="7"/>
        <v>5000</v>
      </c>
      <c r="BA72" s="557">
        <v>0</v>
      </c>
      <c r="BB72" s="557">
        <v>0</v>
      </c>
      <c r="BC72" s="557">
        <v>0</v>
      </c>
      <c r="BD72" s="557">
        <v>0</v>
      </c>
      <c r="BE72" s="557">
        <v>0</v>
      </c>
      <c r="BF72" s="556">
        <f t="shared" si="8"/>
        <v>12604.999999999998</v>
      </c>
      <c r="BG72" s="557">
        <v>0</v>
      </c>
      <c r="BH72" s="557">
        <v>0</v>
      </c>
      <c r="BI72" s="557">
        <v>0</v>
      </c>
      <c r="BJ72" s="557">
        <v>0</v>
      </c>
      <c r="BK72" s="557">
        <v>0</v>
      </c>
      <c r="BL72" s="556" t="e">
        <f t="shared" si="1"/>
        <v>#REF!</v>
      </c>
      <c r="BM72" s="557">
        <v>3530</v>
      </c>
      <c r="BN72" s="557">
        <v>3387</v>
      </c>
      <c r="BO72" s="557">
        <v>3108</v>
      </c>
      <c r="BP72" s="557">
        <v>3287</v>
      </c>
      <c r="BQ72" s="557">
        <f>SUM(BM72:BP72)</f>
        <v>13312</v>
      </c>
      <c r="BR72" s="318"/>
      <c r="BS72" s="318"/>
      <c r="BT72" s="318"/>
      <c r="BU72" s="318"/>
      <c r="BV72" s="318"/>
      <c r="BW72" s="318"/>
      <c r="BX72" s="318"/>
      <c r="BY72" s="318"/>
      <c r="BZ72" s="318" t="s">
        <v>1489</v>
      </c>
      <c r="CA72" s="465"/>
      <c r="CB72" s="465"/>
      <c r="CC72" s="465"/>
      <c r="CD72" s="465"/>
      <c r="CE72" s="457" t="s">
        <v>1492</v>
      </c>
      <c r="CF72" s="443">
        <f>(280*72%)+(4876*28%)</f>
        <v>1566.88</v>
      </c>
      <c r="CG72" s="360" t="s">
        <v>464</v>
      </c>
      <c r="CH72" s="430">
        <v>0.72</v>
      </c>
      <c r="CI72" s="360" t="s">
        <v>1210</v>
      </c>
      <c r="CJ72" s="430">
        <v>0.28000000000000003</v>
      </c>
      <c r="CK72" s="360"/>
      <c r="CL72" s="360"/>
      <c r="CM72" s="360"/>
      <c r="CN72" s="360"/>
      <c r="CO72" s="360"/>
      <c r="CP72" s="360"/>
      <c r="CR72" s="315" t="str">
        <f t="shared" si="9"/>
        <v>Argentina</v>
      </c>
      <c r="CS72" s="315" t="str">
        <f t="shared" si="10"/>
        <v xml:space="preserve">Catamarca </v>
      </c>
      <c r="CT72" s="315">
        <v>61</v>
      </c>
      <c r="CU72" s="315" t="s">
        <v>949</v>
      </c>
      <c r="CV72" s="315" t="s">
        <v>552</v>
      </c>
      <c r="CW72" s="315" t="s">
        <v>465</v>
      </c>
      <c r="CX72" s="315" t="s">
        <v>1400</v>
      </c>
      <c r="CY72" s="315" t="str">
        <f t="shared" si="2"/>
        <v xml:space="preserve">Catamarca </v>
      </c>
    </row>
    <row r="73" spans="1:103" s="315" customFormat="1" ht="25.5" hidden="1" customHeight="1" x14ac:dyDescent="0.25">
      <c r="A73" s="403">
        <v>62</v>
      </c>
      <c r="B73" s="313" t="s">
        <v>464</v>
      </c>
      <c r="C73" s="313" t="s">
        <v>949</v>
      </c>
      <c r="D73" s="318" t="s">
        <v>457</v>
      </c>
      <c r="E73" s="318" t="s">
        <v>553</v>
      </c>
      <c r="F73" s="313" t="s">
        <v>465</v>
      </c>
      <c r="G73" s="313" t="s">
        <v>1400</v>
      </c>
      <c r="H73" s="305"/>
      <c r="I73" s="305" t="s">
        <v>1296</v>
      </c>
      <c r="J73" s="370">
        <v>0</v>
      </c>
      <c r="K73" s="370">
        <v>42500</v>
      </c>
      <c r="L73" s="370" t="e">
        <f>K73-K72</f>
        <v>#REF!</v>
      </c>
      <c r="M73" s="316" t="s">
        <v>484</v>
      </c>
      <c r="N73" s="398">
        <v>2018</v>
      </c>
      <c r="O73" s="398">
        <v>2021</v>
      </c>
      <c r="P73" s="305" t="s">
        <v>463</v>
      </c>
      <c r="Q73" s="305" t="s">
        <v>654</v>
      </c>
      <c r="R73" s="305" t="s">
        <v>535</v>
      </c>
      <c r="S73" s="305"/>
      <c r="T73" s="305"/>
      <c r="U73" s="305" t="s">
        <v>528</v>
      </c>
      <c r="V73" s="426">
        <v>0.188</v>
      </c>
      <c r="W73" s="443">
        <v>2.5</v>
      </c>
      <c r="X73" s="445"/>
      <c r="Y73" s="317" t="e">
        <f t="shared" si="3"/>
        <v>#REF!</v>
      </c>
      <c r="Z73" s="318">
        <v>2</v>
      </c>
      <c r="AA73" s="318">
        <v>4</v>
      </c>
      <c r="AB73" s="318">
        <v>4</v>
      </c>
      <c r="AC73" s="318">
        <v>5</v>
      </c>
      <c r="AD73" s="318" t="s">
        <v>658</v>
      </c>
      <c r="AE73" s="483">
        <v>0</v>
      </c>
      <c r="AF73" s="482">
        <f t="shared" si="48"/>
        <v>0</v>
      </c>
      <c r="AG73" s="482">
        <f t="shared" si="48"/>
        <v>0</v>
      </c>
      <c r="AH73" s="482">
        <f t="shared" si="48"/>
        <v>0</v>
      </c>
      <c r="AI73" s="482">
        <f t="shared" si="48"/>
        <v>0</v>
      </c>
      <c r="AJ73" s="482">
        <f>IF(OR($M73="Exploration", $M73="Pre-feasibility", $O73&gt;2017), 0, "check")</f>
        <v>0</v>
      </c>
      <c r="AK73" s="556">
        <f t="shared" ref="AK73:AP79" si="51">IF(OR($M73="Exploration", $M73="Pre-feasibility", $O73&gt;2018), 0, "check")</f>
        <v>0</v>
      </c>
      <c r="AL73" s="557">
        <f t="shared" si="51"/>
        <v>0</v>
      </c>
      <c r="AM73" s="557">
        <f t="shared" si="51"/>
        <v>0</v>
      </c>
      <c r="AN73" s="557">
        <f t="shared" si="51"/>
        <v>0</v>
      </c>
      <c r="AO73" s="557">
        <f t="shared" si="51"/>
        <v>0</v>
      </c>
      <c r="AP73" s="557">
        <f t="shared" si="51"/>
        <v>0</v>
      </c>
      <c r="AQ73" s="483" t="e">
        <f>0.25*$L73</f>
        <v>#REF!</v>
      </c>
      <c r="AR73" s="482">
        <f t="shared" si="50"/>
        <v>0</v>
      </c>
      <c r="AS73" s="482">
        <f t="shared" si="50"/>
        <v>0</v>
      </c>
      <c r="AT73" s="482">
        <f t="shared" si="50"/>
        <v>0</v>
      </c>
      <c r="AU73" s="482">
        <f t="shared" si="50"/>
        <v>0</v>
      </c>
      <c r="AV73" s="482">
        <f t="shared" ref="AV73:AV75" si="52">SUM(AR73:AU73)</f>
        <v>0</v>
      </c>
      <c r="AW73" s="483" t="e">
        <f>0.5*$L73</f>
        <v>#REF!</v>
      </c>
      <c r="AX73" s="514">
        <f t="shared" si="33"/>
        <v>0</v>
      </c>
      <c r="AY73" s="550" t="s">
        <v>1531</v>
      </c>
      <c r="AZ73" s="556">
        <f t="shared" si="7"/>
        <v>0</v>
      </c>
      <c r="BA73" s="557">
        <v>0</v>
      </c>
      <c r="BB73" s="557">
        <v>0</v>
      </c>
      <c r="BC73" s="557">
        <v>0</v>
      </c>
      <c r="BD73" s="557">
        <v>0</v>
      </c>
      <c r="BE73" s="557">
        <v>0</v>
      </c>
      <c r="BF73" s="556">
        <f t="shared" si="8"/>
        <v>0</v>
      </c>
      <c r="BG73" s="557">
        <v>0</v>
      </c>
      <c r="BH73" s="557">
        <v>0</v>
      </c>
      <c r="BI73" s="557">
        <v>0</v>
      </c>
      <c r="BJ73" s="557">
        <v>0</v>
      </c>
      <c r="BK73" s="557">
        <v>0</v>
      </c>
      <c r="BL73" s="556" t="e">
        <f t="shared" si="1"/>
        <v>#REF!</v>
      </c>
      <c r="BM73" s="557">
        <v>0</v>
      </c>
      <c r="BN73" s="557">
        <v>0</v>
      </c>
      <c r="BO73" s="557">
        <v>0</v>
      </c>
      <c r="BP73" s="557">
        <v>0</v>
      </c>
      <c r="BQ73" s="557">
        <f t="shared" ref="BQ73:BQ75" si="53">SUM(BM73:BP73)</f>
        <v>0</v>
      </c>
      <c r="BR73" s="318"/>
      <c r="BS73" s="318"/>
      <c r="BT73" s="318"/>
      <c r="BU73" s="318"/>
      <c r="BV73" s="318"/>
      <c r="BW73" s="318"/>
      <c r="BX73" s="318"/>
      <c r="BY73" s="318"/>
      <c r="BZ73" s="318" t="s">
        <v>1490</v>
      </c>
      <c r="CA73" s="465"/>
      <c r="CB73" s="465"/>
      <c r="CC73" s="465"/>
      <c r="CD73" s="465"/>
      <c r="CE73" s="457" t="s">
        <v>1493</v>
      </c>
      <c r="CF73" s="443">
        <f>(280*72%)+(4876*28%)</f>
        <v>1566.88</v>
      </c>
      <c r="CG73" s="360" t="s">
        <v>464</v>
      </c>
      <c r="CH73" s="430">
        <v>0.72</v>
      </c>
      <c r="CI73" s="360" t="s">
        <v>1210</v>
      </c>
      <c r="CJ73" s="430">
        <v>0.28000000000000003</v>
      </c>
      <c r="CK73" s="360"/>
      <c r="CL73" s="360"/>
      <c r="CM73" s="360"/>
      <c r="CN73" s="360"/>
      <c r="CO73" s="360"/>
      <c r="CP73" s="360"/>
      <c r="CR73" s="315" t="str">
        <f t="shared" si="9"/>
        <v>Argentina</v>
      </c>
      <c r="CS73" s="315" t="str">
        <f t="shared" si="10"/>
        <v xml:space="preserve">Catamarca </v>
      </c>
      <c r="CT73" s="315">
        <v>62</v>
      </c>
      <c r="CU73" s="315" t="s">
        <v>949</v>
      </c>
      <c r="CV73" s="315" t="s">
        <v>553</v>
      </c>
      <c r="CW73" s="315" t="s">
        <v>465</v>
      </c>
      <c r="CX73" s="315" t="s">
        <v>1400</v>
      </c>
      <c r="CY73" s="315" t="str">
        <f t="shared" si="2"/>
        <v xml:space="preserve">Catamarca </v>
      </c>
    </row>
    <row r="74" spans="1:103" s="315" customFormat="1" ht="25.5" hidden="1" customHeight="1" x14ac:dyDescent="0.25">
      <c r="A74" s="403">
        <v>63</v>
      </c>
      <c r="B74" s="313" t="s">
        <v>464</v>
      </c>
      <c r="C74" s="313" t="s">
        <v>657</v>
      </c>
      <c r="D74" s="318" t="s">
        <v>594</v>
      </c>
      <c r="E74" s="318"/>
      <c r="F74" s="313" t="s">
        <v>246</v>
      </c>
      <c r="G74" s="313" t="s">
        <v>1401</v>
      </c>
      <c r="H74" s="305"/>
      <c r="I74" s="305" t="s">
        <v>648</v>
      </c>
      <c r="J74" s="370">
        <v>0</v>
      </c>
      <c r="K74" s="370" t="e">
        <f>10000*V74/(IF(#REF!="yes",0.188,1))</f>
        <v>#REF!</v>
      </c>
      <c r="L74" s="370" t="e">
        <f>K74-J74</f>
        <v>#REF!</v>
      </c>
      <c r="M74" s="316" t="s">
        <v>484</v>
      </c>
      <c r="N74" s="398">
        <v>2018</v>
      </c>
      <c r="O74" s="398">
        <v>2020</v>
      </c>
      <c r="P74" s="305" t="s">
        <v>463</v>
      </c>
      <c r="Q74" s="304" t="s">
        <v>654</v>
      </c>
      <c r="R74" s="305" t="s">
        <v>535</v>
      </c>
      <c r="S74" s="305"/>
      <c r="T74" s="305"/>
      <c r="U74" s="305" t="s">
        <v>579</v>
      </c>
      <c r="V74" s="426">
        <v>0.16600000000000001</v>
      </c>
      <c r="W74" s="443">
        <v>5.5</v>
      </c>
      <c r="X74" s="445"/>
      <c r="Y74" s="317" t="e">
        <f t="shared" si="3"/>
        <v>#REF!</v>
      </c>
      <c r="Z74" s="318">
        <v>5</v>
      </c>
      <c r="AA74" s="318">
        <v>5</v>
      </c>
      <c r="AB74" s="318">
        <v>3</v>
      </c>
      <c r="AC74" s="318">
        <v>5</v>
      </c>
      <c r="AD74" s="318" t="s">
        <v>974</v>
      </c>
      <c r="AE74" s="483">
        <v>0</v>
      </c>
      <c r="AF74" s="482">
        <f t="shared" si="48"/>
        <v>0</v>
      </c>
      <c r="AG74" s="482">
        <f t="shared" si="48"/>
        <v>0</v>
      </c>
      <c r="AH74" s="482">
        <f t="shared" si="48"/>
        <v>0</v>
      </c>
      <c r="AI74" s="482">
        <f t="shared" si="48"/>
        <v>0</v>
      </c>
      <c r="AJ74" s="482">
        <f>IF(OR($M74="Exploration", $M74="Pre-feasibility", $O74&gt;2017), 0, "check")</f>
        <v>0</v>
      </c>
      <c r="AK74" s="556">
        <f t="shared" si="51"/>
        <v>0</v>
      </c>
      <c r="AL74" s="557">
        <f t="shared" si="51"/>
        <v>0</v>
      </c>
      <c r="AM74" s="557">
        <f t="shared" si="51"/>
        <v>0</v>
      </c>
      <c r="AN74" s="557">
        <f t="shared" si="51"/>
        <v>0</v>
      </c>
      <c r="AO74" s="557">
        <f t="shared" si="51"/>
        <v>0</v>
      </c>
      <c r="AP74" s="557">
        <f t="shared" si="51"/>
        <v>0</v>
      </c>
      <c r="AQ74" s="483" t="e">
        <f>0.4*$L74</f>
        <v>#REF!</v>
      </c>
      <c r="AR74" s="482">
        <f t="shared" si="50"/>
        <v>0</v>
      </c>
      <c r="AS74" s="482">
        <f t="shared" si="50"/>
        <v>0</v>
      </c>
      <c r="AT74" s="482">
        <f t="shared" si="50"/>
        <v>0</v>
      </c>
      <c r="AU74" s="482">
        <f t="shared" si="50"/>
        <v>0</v>
      </c>
      <c r="AV74" s="482">
        <f t="shared" si="52"/>
        <v>0</v>
      </c>
      <c r="AW74" s="483" t="e">
        <f>0.8*$L74</f>
        <v>#REF!</v>
      </c>
      <c r="AX74" s="514" t="e">
        <f t="shared" si="33"/>
        <v>#REF!</v>
      </c>
      <c r="AY74" s="514" t="s">
        <v>1555</v>
      </c>
      <c r="AZ74" s="556">
        <f t="shared" si="7"/>
        <v>0</v>
      </c>
      <c r="BA74" s="557">
        <v>0</v>
      </c>
      <c r="BB74" s="557">
        <v>0</v>
      </c>
      <c r="BC74" s="557">
        <v>0</v>
      </c>
      <c r="BD74" s="557">
        <v>0</v>
      </c>
      <c r="BE74" s="557">
        <v>0</v>
      </c>
      <c r="BF74" s="556">
        <f t="shared" si="8"/>
        <v>0</v>
      </c>
      <c r="BG74" s="557">
        <v>0</v>
      </c>
      <c r="BH74" s="557">
        <v>0</v>
      </c>
      <c r="BI74" s="557">
        <v>0</v>
      </c>
      <c r="BJ74" s="557">
        <v>0</v>
      </c>
      <c r="BK74" s="557">
        <v>0</v>
      </c>
      <c r="BL74" s="556" t="e">
        <f t="shared" si="1"/>
        <v>#REF!</v>
      </c>
      <c r="BM74" s="557">
        <v>0</v>
      </c>
      <c r="BN74" s="557">
        <v>0</v>
      </c>
      <c r="BO74" s="557">
        <v>0</v>
      </c>
      <c r="BP74" s="557">
        <v>0</v>
      </c>
      <c r="BQ74" s="557">
        <f t="shared" si="53"/>
        <v>0</v>
      </c>
      <c r="BR74" s="318"/>
      <c r="BS74" s="318"/>
      <c r="BT74" s="318"/>
      <c r="BU74" s="318"/>
      <c r="BV74" s="318"/>
      <c r="BW74" s="318"/>
      <c r="BX74" s="318"/>
      <c r="BY74" s="318"/>
      <c r="BZ74" s="318" t="s">
        <v>1491</v>
      </c>
      <c r="CA74" s="465"/>
      <c r="CB74" s="465"/>
      <c r="CC74" s="465"/>
      <c r="CD74" s="465"/>
      <c r="CE74" s="457" t="s">
        <v>1494</v>
      </c>
      <c r="CF74" s="443">
        <f>(280*72%)+(4876*28%)</f>
        <v>1566.88</v>
      </c>
      <c r="CG74" s="360" t="s">
        <v>464</v>
      </c>
      <c r="CH74" s="430">
        <v>0.72</v>
      </c>
      <c r="CI74" s="360" t="s">
        <v>1210</v>
      </c>
      <c r="CJ74" s="430">
        <v>0.28000000000000003</v>
      </c>
      <c r="CK74" s="360"/>
      <c r="CL74" s="360"/>
      <c r="CM74" s="360"/>
      <c r="CN74" s="360"/>
      <c r="CO74" s="360"/>
      <c r="CP74" s="360"/>
      <c r="CR74" s="315" t="str">
        <f t="shared" si="9"/>
        <v>Japan</v>
      </c>
      <c r="CS74" s="315" t="str">
        <f t="shared" si="10"/>
        <v>Fukushima</v>
      </c>
      <c r="CT74" s="315">
        <v>63</v>
      </c>
      <c r="CU74" s="315" t="s">
        <v>657</v>
      </c>
      <c r="CV74" s="315" t="s">
        <v>32</v>
      </c>
      <c r="CW74" s="315" t="s">
        <v>246</v>
      </c>
      <c r="CX74" s="315" t="s">
        <v>1401</v>
      </c>
      <c r="CY74" s="315" t="str">
        <f t="shared" si="2"/>
        <v>Fukushima</v>
      </c>
    </row>
    <row r="75" spans="1:103" s="315" customFormat="1" ht="25" hidden="1" x14ac:dyDescent="0.25">
      <c r="A75" s="403">
        <v>64</v>
      </c>
      <c r="B75" s="313" t="s">
        <v>656</v>
      </c>
      <c r="C75" s="313" t="s">
        <v>655</v>
      </c>
      <c r="D75" s="318" t="s">
        <v>457</v>
      </c>
      <c r="E75" s="318"/>
      <c r="F75" s="313" t="s">
        <v>465</v>
      </c>
      <c r="G75" s="313" t="s">
        <v>1298</v>
      </c>
      <c r="H75" s="305"/>
      <c r="I75" s="305" t="s">
        <v>1075</v>
      </c>
      <c r="J75" s="370">
        <v>0</v>
      </c>
      <c r="K75" s="370" t="e">
        <f>20000*V75/(IF(#REF!="yes",0.188,1))</f>
        <v>#REF!</v>
      </c>
      <c r="L75" s="370" t="e">
        <f>K75-J75</f>
        <v>#REF!</v>
      </c>
      <c r="M75" s="316" t="s">
        <v>807</v>
      </c>
      <c r="N75" s="398"/>
      <c r="O75" s="398">
        <v>2023</v>
      </c>
      <c r="P75" s="305" t="s">
        <v>463</v>
      </c>
      <c r="Q75" s="304" t="s">
        <v>661</v>
      </c>
      <c r="R75" s="305" t="s">
        <v>662</v>
      </c>
      <c r="S75" s="305"/>
      <c r="T75" s="305"/>
      <c r="U75" s="305" t="s">
        <v>528</v>
      </c>
      <c r="V75" s="426">
        <v>0.188</v>
      </c>
      <c r="W75" s="317">
        <v>3.67</v>
      </c>
      <c r="X75" s="317"/>
      <c r="Y75" s="317" t="e">
        <f t="shared" si="3"/>
        <v>#REF!</v>
      </c>
      <c r="Z75" s="318">
        <v>1</v>
      </c>
      <c r="AA75" s="318"/>
      <c r="AB75" s="318"/>
      <c r="AC75" s="318">
        <v>3</v>
      </c>
      <c r="AD75" s="318" t="s">
        <v>975</v>
      </c>
      <c r="AE75" s="483">
        <v>0</v>
      </c>
      <c r="AF75" s="482">
        <f t="shared" si="48"/>
        <v>0</v>
      </c>
      <c r="AG75" s="482">
        <f t="shared" si="48"/>
        <v>0</v>
      </c>
      <c r="AH75" s="482">
        <f t="shared" si="48"/>
        <v>0</v>
      </c>
      <c r="AI75" s="482">
        <f t="shared" si="48"/>
        <v>0</v>
      </c>
      <c r="AJ75" s="482">
        <f>IF(OR($M75="Exploration", $M75="Pre-feasibility", $O75&gt;2017), 0, "check")</f>
        <v>0</v>
      </c>
      <c r="AK75" s="556">
        <f t="shared" si="51"/>
        <v>0</v>
      </c>
      <c r="AL75" s="557">
        <f t="shared" si="51"/>
        <v>0</v>
      </c>
      <c r="AM75" s="557">
        <f t="shared" si="51"/>
        <v>0</v>
      </c>
      <c r="AN75" s="557">
        <f t="shared" si="51"/>
        <v>0</v>
      </c>
      <c r="AO75" s="557">
        <f t="shared" si="51"/>
        <v>0</v>
      </c>
      <c r="AP75" s="557">
        <f t="shared" si="51"/>
        <v>0</v>
      </c>
      <c r="AQ75" s="483">
        <f t="shared" ref="AQ75:AQ135" si="54">IF(OR(M75="Exploration", M75="Pre-feasibility", O75&gt;2019), 0, "check")</f>
        <v>0</v>
      </c>
      <c r="AR75" s="482">
        <f t="shared" si="50"/>
        <v>0</v>
      </c>
      <c r="AS75" s="482">
        <f t="shared" si="50"/>
        <v>0</v>
      </c>
      <c r="AT75" s="482">
        <f t="shared" si="50"/>
        <v>0</v>
      </c>
      <c r="AU75" s="482">
        <f t="shared" si="50"/>
        <v>0</v>
      </c>
      <c r="AV75" s="482">
        <f t="shared" si="52"/>
        <v>0</v>
      </c>
      <c r="AW75" s="483">
        <f t="shared" si="23"/>
        <v>0</v>
      </c>
      <c r="AX75" s="514">
        <f t="shared" si="33"/>
        <v>0</v>
      </c>
      <c r="AY75" s="514" t="s">
        <v>1034</v>
      </c>
      <c r="AZ75" s="556">
        <f t="shared" si="7"/>
        <v>0</v>
      </c>
      <c r="BA75" s="557">
        <v>0</v>
      </c>
      <c r="BB75" s="557">
        <v>0</v>
      </c>
      <c r="BC75" s="557">
        <v>0</v>
      </c>
      <c r="BD75" s="557">
        <v>0</v>
      </c>
      <c r="BE75" s="557">
        <v>0</v>
      </c>
      <c r="BF75" s="556">
        <f t="shared" si="8"/>
        <v>0</v>
      </c>
      <c r="BG75" s="557">
        <v>0</v>
      </c>
      <c r="BH75" s="557">
        <v>0</v>
      </c>
      <c r="BI75" s="557">
        <v>0</v>
      </c>
      <c r="BJ75" s="557">
        <v>0</v>
      </c>
      <c r="BK75" s="557">
        <v>0</v>
      </c>
      <c r="BL75" s="556">
        <f t="shared" si="1"/>
        <v>0</v>
      </c>
      <c r="BM75" s="557">
        <v>0</v>
      </c>
      <c r="BN75" s="557">
        <v>0</v>
      </c>
      <c r="BO75" s="557">
        <v>0</v>
      </c>
      <c r="BP75" s="557">
        <v>0</v>
      </c>
      <c r="BQ75" s="557">
        <f t="shared" si="53"/>
        <v>0</v>
      </c>
      <c r="BR75" s="318"/>
      <c r="BS75" s="318"/>
      <c r="BT75" s="318"/>
      <c r="BU75" s="318"/>
      <c r="BV75" s="318"/>
      <c r="BW75" s="318"/>
      <c r="BX75" s="318"/>
      <c r="BY75" s="318"/>
      <c r="BZ75" s="318"/>
      <c r="CA75" s="318"/>
      <c r="CB75" s="318"/>
      <c r="CC75" s="318"/>
      <c r="CD75" s="318"/>
      <c r="CE75" s="457"/>
      <c r="CF75" s="318">
        <f>(280*25%)+(13.08*75%)</f>
        <v>79.81</v>
      </c>
      <c r="CG75" s="360" t="s">
        <v>1292</v>
      </c>
      <c r="CH75" s="430">
        <v>0.75</v>
      </c>
      <c r="CI75" s="360" t="s">
        <v>464</v>
      </c>
      <c r="CJ75" s="430">
        <v>0.25</v>
      </c>
      <c r="CK75" s="360"/>
      <c r="CL75" s="360"/>
      <c r="CM75" s="360"/>
      <c r="CN75" s="360"/>
      <c r="CO75" s="360"/>
      <c r="CP75" s="360"/>
      <c r="CR75" s="315" t="str">
        <f t="shared" si="9"/>
        <v>Argentina</v>
      </c>
      <c r="CS75" s="315" t="str">
        <f t="shared" si="10"/>
        <v>Jujuy</v>
      </c>
      <c r="CT75" s="315">
        <v>64</v>
      </c>
      <c r="CU75" s="315" t="s">
        <v>655</v>
      </c>
      <c r="CW75" s="315" t="s">
        <v>465</v>
      </c>
      <c r="CX75" s="315" t="s">
        <v>1298</v>
      </c>
      <c r="CY75" s="315" t="str">
        <f t="shared" si="2"/>
        <v>Jujuy</v>
      </c>
    </row>
    <row r="76" spans="1:103" s="315" customFormat="1" ht="13" hidden="1" x14ac:dyDescent="0.25">
      <c r="A76" s="403">
        <v>65</v>
      </c>
      <c r="B76" s="313" t="s">
        <v>660</v>
      </c>
      <c r="C76" s="313" t="s">
        <v>603</v>
      </c>
      <c r="D76" s="318" t="s">
        <v>457</v>
      </c>
      <c r="E76" s="318"/>
      <c r="F76" s="313" t="s">
        <v>465</v>
      </c>
      <c r="G76" s="313" t="s">
        <v>1396</v>
      </c>
      <c r="H76" s="305"/>
      <c r="I76" s="305"/>
      <c r="J76" s="370">
        <v>0</v>
      </c>
      <c r="K76" s="370">
        <v>0</v>
      </c>
      <c r="L76" s="370">
        <f>K76-J76</f>
        <v>0</v>
      </c>
      <c r="M76" s="316" t="s">
        <v>487</v>
      </c>
      <c r="N76" s="398"/>
      <c r="O76" s="398"/>
      <c r="P76" s="305" t="s">
        <v>463</v>
      </c>
      <c r="Q76" s="304" t="s">
        <v>722</v>
      </c>
      <c r="R76" s="305"/>
      <c r="S76" s="305"/>
      <c r="T76" s="305"/>
      <c r="U76" s="305" t="s">
        <v>528</v>
      </c>
      <c r="V76" s="426"/>
      <c r="W76" s="317"/>
      <c r="X76" s="317"/>
      <c r="Y76" s="317" t="str">
        <f t="shared" si="3"/>
        <v/>
      </c>
      <c r="Z76" s="318">
        <v>1</v>
      </c>
      <c r="AA76" s="318"/>
      <c r="AB76" s="318"/>
      <c r="AC76" s="318">
        <v>2</v>
      </c>
      <c r="AD76" s="318"/>
      <c r="AE76" s="483">
        <v>0</v>
      </c>
      <c r="AF76" s="482">
        <f t="shared" si="48"/>
        <v>0</v>
      </c>
      <c r="AG76" s="482">
        <f t="shared" si="48"/>
        <v>0</v>
      </c>
      <c r="AH76" s="482">
        <f t="shared" si="48"/>
        <v>0</v>
      </c>
      <c r="AI76" s="482">
        <f t="shared" si="48"/>
        <v>0</v>
      </c>
      <c r="AJ76" s="482">
        <f t="shared" si="48"/>
        <v>0</v>
      </c>
      <c r="AK76" s="556">
        <f t="shared" si="51"/>
        <v>0</v>
      </c>
      <c r="AL76" s="557">
        <f t="shared" si="51"/>
        <v>0</v>
      </c>
      <c r="AM76" s="557">
        <f t="shared" si="51"/>
        <v>0</v>
      </c>
      <c r="AN76" s="557">
        <f t="shared" si="51"/>
        <v>0</v>
      </c>
      <c r="AO76" s="557">
        <f t="shared" si="51"/>
        <v>0</v>
      </c>
      <c r="AP76" s="557">
        <f t="shared" si="51"/>
        <v>0</v>
      </c>
      <c r="AQ76" s="483">
        <f t="shared" si="54"/>
        <v>0</v>
      </c>
      <c r="AR76" s="482">
        <f t="shared" si="50"/>
        <v>0</v>
      </c>
      <c r="AS76" s="482">
        <f t="shared" si="50"/>
        <v>0</v>
      </c>
      <c r="AT76" s="482">
        <f t="shared" si="50"/>
        <v>0</v>
      </c>
      <c r="AU76" s="482">
        <f t="shared" si="50"/>
        <v>0</v>
      </c>
      <c r="AV76" s="482">
        <f t="shared" ref="AV76:AV135" si="55">IF(OR(M76="Exploration", M76="Pre-feasibility", O76&gt;2019), 0, "check")</f>
        <v>0</v>
      </c>
      <c r="AW76" s="483">
        <f t="shared" si="23"/>
        <v>0</v>
      </c>
      <c r="AX76" s="514">
        <f t="shared" si="33"/>
        <v>0</v>
      </c>
      <c r="AY76" s="514" t="s">
        <v>1034</v>
      </c>
      <c r="AZ76" s="556">
        <f t="shared" si="7"/>
        <v>0</v>
      </c>
      <c r="BA76" s="557">
        <v>0</v>
      </c>
      <c r="BB76" s="557">
        <v>0</v>
      </c>
      <c r="BC76" s="557">
        <v>0</v>
      </c>
      <c r="BD76" s="557">
        <v>0</v>
      </c>
      <c r="BE76" s="557">
        <v>0</v>
      </c>
      <c r="BF76" s="556">
        <f t="shared" si="8"/>
        <v>0</v>
      </c>
      <c r="BG76" s="557">
        <v>0</v>
      </c>
      <c r="BH76" s="557">
        <v>0</v>
      </c>
      <c r="BI76" s="557">
        <v>0</v>
      </c>
      <c r="BJ76" s="557">
        <v>0</v>
      </c>
      <c r="BK76" s="557">
        <v>0</v>
      </c>
      <c r="BL76" s="556">
        <f t="shared" ref="BL76:BL139" si="56">AQ76</f>
        <v>0</v>
      </c>
      <c r="BM76" s="557">
        <v>0</v>
      </c>
      <c r="BN76" s="557">
        <v>0</v>
      </c>
      <c r="BO76" s="557">
        <v>0</v>
      </c>
      <c r="BP76" s="557">
        <v>0</v>
      </c>
      <c r="BQ76" s="557">
        <v>0</v>
      </c>
      <c r="BR76" s="318"/>
      <c r="BS76" s="318"/>
      <c r="BT76" s="318"/>
      <c r="BU76" s="318"/>
      <c r="BV76" s="318"/>
      <c r="BW76" s="318"/>
      <c r="BX76" s="318"/>
      <c r="BY76" s="318"/>
      <c r="BZ76" s="318"/>
      <c r="CA76" s="318"/>
      <c r="CB76" s="318"/>
      <c r="CC76" s="318"/>
      <c r="CD76" s="318"/>
      <c r="CE76" s="457"/>
      <c r="CF76" s="318">
        <v>13.08</v>
      </c>
      <c r="CG76" s="360" t="s">
        <v>1292</v>
      </c>
      <c r="CH76" s="430">
        <v>1</v>
      </c>
      <c r="CI76" s="360"/>
      <c r="CJ76" s="360"/>
      <c r="CK76" s="360"/>
      <c r="CL76" s="360"/>
      <c r="CM76" s="360"/>
      <c r="CN76" s="360"/>
      <c r="CO76" s="360"/>
      <c r="CP76" s="360"/>
      <c r="CR76" s="315" t="str">
        <f t="shared" si="9"/>
        <v>Argentina</v>
      </c>
      <c r="CS76" s="315" t="str">
        <f t="shared" si="10"/>
        <v>Salta</v>
      </c>
      <c r="CT76" s="315">
        <v>65</v>
      </c>
      <c r="CU76" s="315" t="s">
        <v>603</v>
      </c>
      <c r="CW76" s="315" t="s">
        <v>465</v>
      </c>
      <c r="CX76" s="315" t="s">
        <v>1396</v>
      </c>
      <c r="CY76" s="315" t="str">
        <f t="shared" ref="CY76:CY101" si="57">VLOOKUP(CT76,$A$12:$G$261,7,FALSE)</f>
        <v>Salta</v>
      </c>
    </row>
    <row r="77" spans="1:103" s="315" customFormat="1" ht="13" hidden="1" x14ac:dyDescent="0.25">
      <c r="A77" s="403">
        <v>66</v>
      </c>
      <c r="B77" s="313" t="s">
        <v>660</v>
      </c>
      <c r="C77" s="313" t="s">
        <v>663</v>
      </c>
      <c r="D77" s="318" t="s">
        <v>457</v>
      </c>
      <c r="E77" s="318"/>
      <c r="F77" s="313" t="s">
        <v>465</v>
      </c>
      <c r="G77" s="313" t="s">
        <v>1396</v>
      </c>
      <c r="H77" s="305"/>
      <c r="I77" s="305"/>
      <c r="J77" s="370">
        <v>0</v>
      </c>
      <c r="K77" s="370">
        <v>0</v>
      </c>
      <c r="L77" s="370">
        <f t="shared" ref="L77:L139" si="58">K77-J77</f>
        <v>0</v>
      </c>
      <c r="M77" s="316" t="s">
        <v>487</v>
      </c>
      <c r="N77" s="398"/>
      <c r="O77" s="398"/>
      <c r="P77" s="305" t="s">
        <v>463</v>
      </c>
      <c r="Q77" s="304" t="s">
        <v>667</v>
      </c>
      <c r="R77" s="305"/>
      <c r="S77" s="305"/>
      <c r="T77" s="305"/>
      <c r="U77" s="305" t="s">
        <v>528</v>
      </c>
      <c r="V77" s="426"/>
      <c r="W77" s="317"/>
      <c r="X77" s="317"/>
      <c r="Y77" s="317" t="str">
        <f t="shared" ref="Y77:Y139" si="59">IF(W77="","",5-((W77-(MIN($W$12:$W$261)))/(MAX($W$12:$W$261)-MIN($W$12:$W$261)))*5)</f>
        <v/>
      </c>
      <c r="Z77" s="318">
        <v>1</v>
      </c>
      <c r="AA77" s="318"/>
      <c r="AB77" s="318"/>
      <c r="AC77" s="318">
        <v>2</v>
      </c>
      <c r="AD77" s="318"/>
      <c r="AE77" s="483">
        <v>0</v>
      </c>
      <c r="AF77" s="482">
        <f t="shared" si="48"/>
        <v>0</v>
      </c>
      <c r="AG77" s="482">
        <f t="shared" si="48"/>
        <v>0</v>
      </c>
      <c r="AH77" s="482">
        <f t="shared" si="48"/>
        <v>0</v>
      </c>
      <c r="AI77" s="482">
        <f t="shared" si="48"/>
        <v>0</v>
      </c>
      <c r="AJ77" s="482">
        <f t="shared" si="48"/>
        <v>0</v>
      </c>
      <c r="AK77" s="556">
        <f t="shared" si="51"/>
        <v>0</v>
      </c>
      <c r="AL77" s="557">
        <f t="shared" si="51"/>
        <v>0</v>
      </c>
      <c r="AM77" s="557">
        <f t="shared" si="51"/>
        <v>0</v>
      </c>
      <c r="AN77" s="557">
        <f t="shared" si="51"/>
        <v>0</v>
      </c>
      <c r="AO77" s="557">
        <f t="shared" si="51"/>
        <v>0</v>
      </c>
      <c r="AP77" s="557">
        <f t="shared" si="51"/>
        <v>0</v>
      </c>
      <c r="AQ77" s="483">
        <f t="shared" si="54"/>
        <v>0</v>
      </c>
      <c r="AR77" s="482">
        <f t="shared" si="50"/>
        <v>0</v>
      </c>
      <c r="AS77" s="482">
        <f t="shared" si="50"/>
        <v>0</v>
      </c>
      <c r="AT77" s="482">
        <f t="shared" si="50"/>
        <v>0</v>
      </c>
      <c r="AU77" s="482">
        <f t="shared" si="50"/>
        <v>0</v>
      </c>
      <c r="AV77" s="482">
        <f t="shared" si="55"/>
        <v>0</v>
      </c>
      <c r="AW77" s="483">
        <f t="shared" si="23"/>
        <v>0</v>
      </c>
      <c r="AX77" s="514">
        <f t="shared" si="33"/>
        <v>0</v>
      </c>
      <c r="AY77" s="514" t="s">
        <v>1034</v>
      </c>
      <c r="AZ77" s="556">
        <f t="shared" ref="AZ77:AZ83" si="60">AE77</f>
        <v>0</v>
      </c>
      <c r="BA77" s="557">
        <v>0</v>
      </c>
      <c r="BB77" s="557">
        <v>0</v>
      </c>
      <c r="BC77" s="557">
        <v>0</v>
      </c>
      <c r="BD77" s="557">
        <v>0</v>
      </c>
      <c r="BE77" s="557">
        <v>0</v>
      </c>
      <c r="BF77" s="556">
        <f t="shared" ref="BF77:BF140" si="61">AK77</f>
        <v>0</v>
      </c>
      <c r="BG77" s="557">
        <v>0</v>
      </c>
      <c r="BH77" s="557">
        <v>0</v>
      </c>
      <c r="BI77" s="557">
        <v>0</v>
      </c>
      <c r="BJ77" s="557">
        <v>0</v>
      </c>
      <c r="BK77" s="557">
        <v>0</v>
      </c>
      <c r="BL77" s="556">
        <f t="shared" si="56"/>
        <v>0</v>
      </c>
      <c r="BM77" s="557">
        <v>0</v>
      </c>
      <c r="BN77" s="557">
        <v>0</v>
      </c>
      <c r="BO77" s="557">
        <v>0</v>
      </c>
      <c r="BP77" s="557">
        <v>0</v>
      </c>
      <c r="BQ77" s="557">
        <v>0</v>
      </c>
      <c r="BR77" s="318"/>
      <c r="BS77" s="318"/>
      <c r="BT77" s="318"/>
      <c r="BU77" s="318"/>
      <c r="BV77" s="318"/>
      <c r="BW77" s="318"/>
      <c r="BX77" s="318"/>
      <c r="BY77" s="318"/>
      <c r="BZ77" s="318"/>
      <c r="CA77" s="318"/>
      <c r="CB77" s="318"/>
      <c r="CC77" s="318"/>
      <c r="CD77" s="318"/>
      <c r="CE77" s="457"/>
      <c r="CF77" s="318">
        <v>13.08</v>
      </c>
      <c r="CG77" s="360" t="s">
        <v>1292</v>
      </c>
      <c r="CH77" s="430">
        <v>1</v>
      </c>
      <c r="CI77" s="360"/>
      <c r="CJ77" s="360"/>
      <c r="CK77" s="360"/>
      <c r="CL77" s="360"/>
      <c r="CM77" s="360"/>
      <c r="CN77" s="360"/>
      <c r="CO77" s="360"/>
      <c r="CP77" s="360"/>
      <c r="CR77" s="315" t="str">
        <f t="shared" ref="CR77:CR101" si="62">VLOOKUP(A77,$CT$12:$CX$261,4,FALSE)</f>
        <v>Argentina</v>
      </c>
      <c r="CS77" s="315" t="str">
        <f t="shared" ref="CS77:CS101" si="63">VLOOKUP($A77,$CT$12:$CX$261,5,FALSE)&amp;""</f>
        <v>Salta</v>
      </c>
      <c r="CT77" s="315">
        <v>66</v>
      </c>
      <c r="CU77" s="315" t="s">
        <v>663</v>
      </c>
      <c r="CW77" s="315" t="s">
        <v>465</v>
      </c>
      <c r="CX77" s="315" t="s">
        <v>1396</v>
      </c>
      <c r="CY77" s="315" t="str">
        <f t="shared" si="57"/>
        <v>Salta</v>
      </c>
    </row>
    <row r="78" spans="1:103" s="315" customFormat="1" ht="19.5" hidden="1" customHeight="1" x14ac:dyDescent="0.25">
      <c r="A78" s="403">
        <v>67</v>
      </c>
      <c r="B78" s="313" t="s">
        <v>660</v>
      </c>
      <c r="C78" s="313" t="s">
        <v>494</v>
      </c>
      <c r="D78" s="318" t="s">
        <v>457</v>
      </c>
      <c r="E78" s="318"/>
      <c r="F78" s="313" t="s">
        <v>465</v>
      </c>
      <c r="G78" s="313" t="s">
        <v>1298</v>
      </c>
      <c r="H78" s="305"/>
      <c r="I78" s="305"/>
      <c r="J78" s="370">
        <v>0</v>
      </c>
      <c r="K78" s="370">
        <v>0</v>
      </c>
      <c r="L78" s="370">
        <f t="shared" si="58"/>
        <v>0</v>
      </c>
      <c r="M78" s="316" t="s">
        <v>487</v>
      </c>
      <c r="N78" s="398"/>
      <c r="O78" s="398"/>
      <c r="P78" s="305" t="s">
        <v>463</v>
      </c>
      <c r="Q78" s="304" t="s">
        <v>665</v>
      </c>
      <c r="R78" s="305" t="s">
        <v>666</v>
      </c>
      <c r="S78" s="305"/>
      <c r="T78" s="305"/>
      <c r="U78" s="305" t="s">
        <v>528</v>
      </c>
      <c r="V78" s="426"/>
      <c r="W78" s="317"/>
      <c r="X78" s="317"/>
      <c r="Y78" s="317" t="str">
        <f t="shared" si="59"/>
        <v/>
      </c>
      <c r="Z78" s="318">
        <v>1</v>
      </c>
      <c r="AA78" s="318"/>
      <c r="AB78" s="318"/>
      <c r="AC78" s="318">
        <v>2</v>
      </c>
      <c r="AD78" s="318"/>
      <c r="AE78" s="483">
        <v>0</v>
      </c>
      <c r="AF78" s="482">
        <f t="shared" si="48"/>
        <v>0</v>
      </c>
      <c r="AG78" s="482">
        <f t="shared" si="48"/>
        <v>0</v>
      </c>
      <c r="AH78" s="482">
        <f t="shared" si="48"/>
        <v>0</v>
      </c>
      <c r="AI78" s="482">
        <f t="shared" si="48"/>
        <v>0</v>
      </c>
      <c r="AJ78" s="482">
        <f t="shared" si="48"/>
        <v>0</v>
      </c>
      <c r="AK78" s="556">
        <f t="shared" si="51"/>
        <v>0</v>
      </c>
      <c r="AL78" s="557">
        <f t="shared" si="51"/>
        <v>0</v>
      </c>
      <c r="AM78" s="557">
        <f t="shared" si="51"/>
        <v>0</v>
      </c>
      <c r="AN78" s="557">
        <f t="shared" si="51"/>
        <v>0</v>
      </c>
      <c r="AO78" s="557">
        <f t="shared" si="51"/>
        <v>0</v>
      </c>
      <c r="AP78" s="557">
        <f t="shared" si="51"/>
        <v>0</v>
      </c>
      <c r="AQ78" s="483">
        <f t="shared" si="54"/>
        <v>0</v>
      </c>
      <c r="AR78" s="482">
        <f t="shared" si="50"/>
        <v>0</v>
      </c>
      <c r="AS78" s="482">
        <f t="shared" si="50"/>
        <v>0</v>
      </c>
      <c r="AT78" s="482">
        <f t="shared" si="50"/>
        <v>0</v>
      </c>
      <c r="AU78" s="482">
        <f t="shared" si="50"/>
        <v>0</v>
      </c>
      <c r="AV78" s="482">
        <f t="shared" si="55"/>
        <v>0</v>
      </c>
      <c r="AW78" s="483">
        <f t="shared" si="23"/>
        <v>0</v>
      </c>
      <c r="AX78" s="514">
        <f t="shared" si="33"/>
        <v>0</v>
      </c>
      <c r="AY78" s="514" t="s">
        <v>1034</v>
      </c>
      <c r="AZ78" s="556">
        <f t="shared" si="60"/>
        <v>0</v>
      </c>
      <c r="BA78" s="557">
        <v>0</v>
      </c>
      <c r="BB78" s="557">
        <v>0</v>
      </c>
      <c r="BC78" s="557">
        <v>0</v>
      </c>
      <c r="BD78" s="557">
        <v>0</v>
      </c>
      <c r="BE78" s="557">
        <v>0</v>
      </c>
      <c r="BF78" s="556">
        <f t="shared" si="61"/>
        <v>0</v>
      </c>
      <c r="BG78" s="557">
        <v>0</v>
      </c>
      <c r="BH78" s="557">
        <v>0</v>
      </c>
      <c r="BI78" s="557">
        <v>0</v>
      </c>
      <c r="BJ78" s="557">
        <v>0</v>
      </c>
      <c r="BK78" s="557">
        <v>0</v>
      </c>
      <c r="BL78" s="556">
        <f t="shared" si="56"/>
        <v>0</v>
      </c>
      <c r="BM78" s="557">
        <v>0</v>
      </c>
      <c r="BN78" s="557">
        <v>0</v>
      </c>
      <c r="BO78" s="557">
        <v>0</v>
      </c>
      <c r="BP78" s="557">
        <v>0</v>
      </c>
      <c r="BQ78" s="557">
        <v>0</v>
      </c>
      <c r="BR78" s="318"/>
      <c r="BS78" s="318"/>
      <c r="BT78" s="318"/>
      <c r="BU78" s="318"/>
      <c r="BV78" s="318"/>
      <c r="BW78" s="318"/>
      <c r="BX78" s="318"/>
      <c r="BY78" s="318"/>
      <c r="BZ78" s="318"/>
      <c r="CA78" s="318"/>
      <c r="CB78" s="318"/>
      <c r="CC78" s="318"/>
      <c r="CD78" s="318"/>
      <c r="CE78" s="457"/>
      <c r="CF78" s="318">
        <v>13.08</v>
      </c>
      <c r="CG78" s="360" t="s">
        <v>1292</v>
      </c>
      <c r="CH78" s="430">
        <v>1</v>
      </c>
      <c r="CI78" s="360"/>
      <c r="CJ78" s="360"/>
      <c r="CK78" s="360"/>
      <c r="CL78" s="360"/>
      <c r="CM78" s="360"/>
      <c r="CN78" s="360"/>
      <c r="CO78" s="360"/>
      <c r="CP78" s="360"/>
      <c r="CR78" s="315" t="str">
        <f t="shared" si="62"/>
        <v>Argentina</v>
      </c>
      <c r="CS78" s="315" t="str">
        <f t="shared" si="63"/>
        <v>Jujuy</v>
      </c>
      <c r="CT78" s="315">
        <v>67</v>
      </c>
      <c r="CU78" s="315" t="s">
        <v>494</v>
      </c>
      <c r="CW78" s="315" t="s">
        <v>465</v>
      </c>
      <c r="CX78" s="315" t="s">
        <v>1298</v>
      </c>
      <c r="CY78" s="315" t="str">
        <f t="shared" si="57"/>
        <v>Jujuy</v>
      </c>
    </row>
    <row r="79" spans="1:103" s="315" customFormat="1" ht="19.5" hidden="1" customHeight="1" x14ac:dyDescent="0.25">
      <c r="A79" s="403">
        <v>68</v>
      </c>
      <c r="B79" s="313" t="s">
        <v>660</v>
      </c>
      <c r="C79" s="313" t="s">
        <v>664</v>
      </c>
      <c r="D79" s="318" t="s">
        <v>457</v>
      </c>
      <c r="E79" s="318"/>
      <c r="F79" s="313" t="s">
        <v>465</v>
      </c>
      <c r="G79" s="313" t="s">
        <v>1399</v>
      </c>
      <c r="H79" s="305"/>
      <c r="I79" s="305"/>
      <c r="J79" s="370">
        <v>0</v>
      </c>
      <c r="K79" s="370">
        <v>0</v>
      </c>
      <c r="L79" s="370">
        <f t="shared" si="58"/>
        <v>0</v>
      </c>
      <c r="M79" s="316" t="s">
        <v>487</v>
      </c>
      <c r="N79" s="398"/>
      <c r="O79" s="398"/>
      <c r="P79" s="305" t="s">
        <v>463</v>
      </c>
      <c r="Q79" s="304"/>
      <c r="R79" s="305"/>
      <c r="S79" s="305"/>
      <c r="T79" s="305"/>
      <c r="U79" s="305" t="s">
        <v>528</v>
      </c>
      <c r="V79" s="426"/>
      <c r="W79" s="317"/>
      <c r="X79" s="317"/>
      <c r="Y79" s="317" t="str">
        <f t="shared" si="59"/>
        <v/>
      </c>
      <c r="Z79" s="318"/>
      <c r="AA79" s="318"/>
      <c r="AB79" s="318"/>
      <c r="AC79" s="318">
        <v>2</v>
      </c>
      <c r="AD79" s="318"/>
      <c r="AE79" s="483">
        <v>0</v>
      </c>
      <c r="AF79" s="482">
        <f t="shared" si="48"/>
        <v>0</v>
      </c>
      <c r="AG79" s="482">
        <f t="shared" si="48"/>
        <v>0</v>
      </c>
      <c r="AH79" s="482">
        <f t="shared" si="48"/>
        <v>0</v>
      </c>
      <c r="AI79" s="482">
        <f t="shared" si="48"/>
        <v>0</v>
      </c>
      <c r="AJ79" s="482">
        <f t="shared" si="48"/>
        <v>0</v>
      </c>
      <c r="AK79" s="556">
        <f t="shared" si="51"/>
        <v>0</v>
      </c>
      <c r="AL79" s="557">
        <f t="shared" si="51"/>
        <v>0</v>
      </c>
      <c r="AM79" s="557">
        <f t="shared" si="51"/>
        <v>0</v>
      </c>
      <c r="AN79" s="557">
        <f t="shared" si="51"/>
        <v>0</v>
      </c>
      <c r="AO79" s="557">
        <f t="shared" si="51"/>
        <v>0</v>
      </c>
      <c r="AP79" s="557">
        <f t="shared" si="51"/>
        <v>0</v>
      </c>
      <c r="AQ79" s="483">
        <f t="shared" si="54"/>
        <v>0</v>
      </c>
      <c r="AR79" s="482">
        <f t="shared" si="50"/>
        <v>0</v>
      </c>
      <c r="AS79" s="482">
        <f t="shared" si="50"/>
        <v>0</v>
      </c>
      <c r="AT79" s="482">
        <f t="shared" si="50"/>
        <v>0</v>
      </c>
      <c r="AU79" s="482">
        <f t="shared" si="50"/>
        <v>0</v>
      </c>
      <c r="AV79" s="482">
        <f t="shared" si="55"/>
        <v>0</v>
      </c>
      <c r="AW79" s="483">
        <f t="shared" si="23"/>
        <v>0</v>
      </c>
      <c r="AX79" s="514">
        <f t="shared" si="33"/>
        <v>0</v>
      </c>
      <c r="AY79" s="514" t="s">
        <v>1034</v>
      </c>
      <c r="AZ79" s="556">
        <f t="shared" si="60"/>
        <v>0</v>
      </c>
      <c r="BA79" s="557">
        <v>0</v>
      </c>
      <c r="BB79" s="557">
        <v>0</v>
      </c>
      <c r="BC79" s="557">
        <v>0</v>
      </c>
      <c r="BD79" s="557">
        <v>0</v>
      </c>
      <c r="BE79" s="557">
        <v>0</v>
      </c>
      <c r="BF79" s="556">
        <f t="shared" si="61"/>
        <v>0</v>
      </c>
      <c r="BG79" s="557">
        <v>0</v>
      </c>
      <c r="BH79" s="557">
        <v>0</v>
      </c>
      <c r="BI79" s="557">
        <v>0</v>
      </c>
      <c r="BJ79" s="557">
        <v>0</v>
      </c>
      <c r="BK79" s="557">
        <v>0</v>
      </c>
      <c r="BL79" s="556">
        <f t="shared" si="56"/>
        <v>0</v>
      </c>
      <c r="BM79" s="557">
        <v>0</v>
      </c>
      <c r="BN79" s="557">
        <v>0</v>
      </c>
      <c r="BO79" s="557">
        <v>0</v>
      </c>
      <c r="BP79" s="557">
        <v>0</v>
      </c>
      <c r="BQ79" s="557">
        <v>0</v>
      </c>
      <c r="BR79" s="318"/>
      <c r="BS79" s="318"/>
      <c r="BT79" s="318"/>
      <c r="BU79" s="318"/>
      <c r="BV79" s="318"/>
      <c r="BW79" s="318"/>
      <c r="BX79" s="318"/>
      <c r="BY79" s="318"/>
      <c r="BZ79" s="318"/>
      <c r="CA79" s="318"/>
      <c r="CB79" s="318"/>
      <c r="CC79" s="318"/>
      <c r="CD79" s="318"/>
      <c r="CE79" s="457"/>
      <c r="CF79" s="318">
        <v>13.08</v>
      </c>
      <c r="CG79" s="360" t="s">
        <v>1292</v>
      </c>
      <c r="CH79" s="430">
        <v>1</v>
      </c>
      <c r="CI79" s="360"/>
      <c r="CJ79" s="360"/>
      <c r="CK79" s="360"/>
      <c r="CL79" s="360"/>
      <c r="CM79" s="360"/>
      <c r="CN79" s="360"/>
      <c r="CO79" s="360"/>
      <c r="CP79" s="360"/>
      <c r="CR79" s="315" t="str">
        <f t="shared" si="62"/>
        <v>Argentina</v>
      </c>
      <c r="CS79" s="315" t="str">
        <f t="shared" si="63"/>
        <v xml:space="preserve">Salta </v>
      </c>
      <c r="CT79" s="315">
        <v>68</v>
      </c>
      <c r="CU79" s="315" t="s">
        <v>664</v>
      </c>
      <c r="CW79" s="315" t="s">
        <v>465</v>
      </c>
      <c r="CX79" s="315" t="s">
        <v>1399</v>
      </c>
      <c r="CY79" s="315" t="str">
        <f t="shared" si="57"/>
        <v xml:space="preserve">Salta </v>
      </c>
    </row>
    <row r="80" spans="1:103" s="315" customFormat="1" ht="45" hidden="1" customHeight="1" x14ac:dyDescent="0.25">
      <c r="A80" s="403">
        <v>69</v>
      </c>
      <c r="B80" s="313" t="s">
        <v>469</v>
      </c>
      <c r="C80" s="313" t="s">
        <v>470</v>
      </c>
      <c r="D80" s="318" t="s">
        <v>457</v>
      </c>
      <c r="E80" s="318" t="s">
        <v>552</v>
      </c>
      <c r="F80" s="313" t="s">
        <v>247</v>
      </c>
      <c r="G80" s="313" t="s">
        <v>1214</v>
      </c>
      <c r="H80" s="305" t="s">
        <v>668</v>
      </c>
      <c r="I80" s="305"/>
      <c r="J80" s="375" t="e">
        <f>330000*$V80/(IF(#REF!="yes",0.188,1))</f>
        <v>#REF!</v>
      </c>
      <c r="K80" s="375">
        <v>0</v>
      </c>
      <c r="L80" s="375">
        <v>42128</v>
      </c>
      <c r="M80" s="316" t="s">
        <v>483</v>
      </c>
      <c r="N80" s="398">
        <v>2017</v>
      </c>
      <c r="O80" s="398">
        <v>2018</v>
      </c>
      <c r="P80" s="305" t="s">
        <v>519</v>
      </c>
      <c r="Q80" s="354">
        <v>1.2699999999999999E-2</v>
      </c>
      <c r="R80" s="305"/>
      <c r="S80" s="305"/>
      <c r="T80" s="305" t="s">
        <v>1013</v>
      </c>
      <c r="U80" s="305" t="s">
        <v>815</v>
      </c>
      <c r="V80" s="426">
        <f>5%*46.4%</f>
        <v>2.3199999999999998E-2</v>
      </c>
      <c r="W80" s="443" t="e">
        <f>312/#REF!/10^3</f>
        <v>#REF!</v>
      </c>
      <c r="X80" s="445"/>
      <c r="Y80" s="317" t="e">
        <f t="shared" si="59"/>
        <v>#REF!</v>
      </c>
      <c r="Z80" s="318">
        <v>2</v>
      </c>
      <c r="AA80" s="318">
        <v>5</v>
      </c>
      <c r="AB80" s="318">
        <v>4</v>
      </c>
      <c r="AC80" s="318">
        <v>3</v>
      </c>
      <c r="AD80" s="318" t="s">
        <v>671</v>
      </c>
      <c r="AE80" s="483">
        <v>20000</v>
      </c>
      <c r="AF80" s="482">
        <v>0</v>
      </c>
      <c r="AG80" s="482">
        <v>0</v>
      </c>
      <c r="AH80" s="482">
        <v>0</v>
      </c>
      <c r="AI80" s="482">
        <v>0</v>
      </c>
      <c r="AJ80" s="482">
        <f>IF(OR(M80="Exploration", M80="Pre-feasibility", O80&gt;2017), 0, "check")</f>
        <v>0</v>
      </c>
      <c r="AK80" s="556">
        <v>40723.404255319147</v>
      </c>
      <c r="AL80" s="557">
        <v>0</v>
      </c>
      <c r="AM80" s="557">
        <v>0</v>
      </c>
      <c r="AN80" s="557">
        <f>11015*0.023/0.188</f>
        <v>1347.5797872340424</v>
      </c>
      <c r="AO80" s="557">
        <f>47859*0.023/0.188</f>
        <v>5855.0904255319156</v>
      </c>
      <c r="AP80" s="557">
        <f>SUM(AL80:AO80)</f>
        <v>7202.6702127659582</v>
      </c>
      <c r="AQ80" s="483">
        <v>40723.404255319147</v>
      </c>
      <c r="AR80" s="482">
        <f>52196*0.023/0.188</f>
        <v>6385.6808510638302</v>
      </c>
      <c r="AS80" s="482">
        <f>63782*0.023/0.188</f>
        <v>7803.1170212765946</v>
      </c>
      <c r="AT80" s="482">
        <f>21322*0.023/0.188</f>
        <v>2608.5425531914893</v>
      </c>
      <c r="AU80" s="482">
        <f>14711*0.023/0.188</f>
        <v>1799.75</v>
      </c>
      <c r="AV80" s="482">
        <f>SUM(AR80:AU80)</f>
        <v>18597.090425531915</v>
      </c>
      <c r="AW80" s="483">
        <v>42128</v>
      </c>
      <c r="AX80" s="514" t="str">
        <f t="shared" si="33"/>
        <v>check</v>
      </c>
      <c r="AY80" s="514" t="s">
        <v>1555</v>
      </c>
      <c r="AZ80" s="556">
        <f t="shared" si="60"/>
        <v>20000</v>
      </c>
      <c r="BA80" s="557">
        <v>0</v>
      </c>
      <c r="BB80" s="557">
        <v>0</v>
      </c>
      <c r="BC80" s="557">
        <v>0</v>
      </c>
      <c r="BD80" s="557">
        <v>0</v>
      </c>
      <c r="BE80" s="557">
        <v>0</v>
      </c>
      <c r="BF80" s="556">
        <f t="shared" si="61"/>
        <v>40723.404255319147</v>
      </c>
      <c r="BG80" s="557">
        <v>0</v>
      </c>
      <c r="BH80" s="557">
        <v>0</v>
      </c>
      <c r="BI80" s="557">
        <v>0</v>
      </c>
      <c r="BJ80" s="557">
        <f>46682*0.023/0.188</f>
        <v>5711.0957446808507</v>
      </c>
      <c r="BK80" s="557">
        <f>SUM(BG80:BJ80)</f>
        <v>5711.0957446808507</v>
      </c>
      <c r="BL80" s="556">
        <f t="shared" si="56"/>
        <v>40723.404255319147</v>
      </c>
      <c r="BM80" s="557">
        <f>38562*0.023/0.188</f>
        <v>4717.6914893617013</v>
      </c>
      <c r="BN80" s="557">
        <f>43214*0.023/0.188</f>
        <v>5286.8191489361707</v>
      </c>
      <c r="BO80" s="557">
        <f>20044*0.023/0.188</f>
        <v>2452.1914893617022</v>
      </c>
      <c r="BP80" s="557">
        <f>33178*0.023/0.188</f>
        <v>4059.010638297872</v>
      </c>
      <c r="BQ80" s="557">
        <f>SUM(BM80:BP80)</f>
        <v>16515.712765957447</v>
      </c>
      <c r="BR80" s="318"/>
      <c r="BS80" s="318"/>
      <c r="BT80" s="318"/>
      <c r="BU80" s="318"/>
      <c r="BV80" s="318"/>
      <c r="BW80" s="318"/>
      <c r="BX80" s="318"/>
      <c r="BY80" s="318"/>
      <c r="BZ80" s="318" t="s">
        <v>1311</v>
      </c>
      <c r="CA80" s="318"/>
      <c r="CB80" s="318"/>
      <c r="CC80" s="318"/>
      <c r="CD80" s="318"/>
      <c r="CE80" s="457"/>
      <c r="CF80" s="443">
        <v>43.25</v>
      </c>
      <c r="CG80" s="430" t="s">
        <v>469</v>
      </c>
      <c r="CH80" s="430">
        <v>1</v>
      </c>
      <c r="CI80" s="360"/>
      <c r="CJ80" s="360"/>
      <c r="CK80" s="360"/>
      <c r="CL80" s="360"/>
      <c r="CM80" s="360"/>
      <c r="CN80" s="360"/>
      <c r="CO80" s="360"/>
      <c r="CP80" s="360"/>
      <c r="CR80" s="315" t="str">
        <f t="shared" si="62"/>
        <v>Australia</v>
      </c>
      <c r="CS80" s="315" t="str">
        <f t="shared" si="63"/>
        <v>Western Australia</v>
      </c>
      <c r="CT80" s="315">
        <v>69</v>
      </c>
      <c r="CU80" s="315" t="s">
        <v>470</v>
      </c>
      <c r="CV80" s="315" t="s">
        <v>552</v>
      </c>
      <c r="CW80" s="315" t="s">
        <v>247</v>
      </c>
      <c r="CX80" s="315" t="s">
        <v>1214</v>
      </c>
      <c r="CY80" s="315" t="str">
        <f t="shared" si="57"/>
        <v>Western Australia</v>
      </c>
    </row>
    <row r="81" spans="1:103" s="315" customFormat="1" ht="39.75" hidden="1" customHeight="1" x14ac:dyDescent="0.25">
      <c r="A81" s="403">
        <v>70</v>
      </c>
      <c r="B81" s="313" t="s">
        <v>469</v>
      </c>
      <c r="C81" s="313" t="s">
        <v>470</v>
      </c>
      <c r="D81" s="318" t="s">
        <v>457</v>
      </c>
      <c r="E81" s="318" t="s">
        <v>553</v>
      </c>
      <c r="F81" s="313" t="s">
        <v>247</v>
      </c>
      <c r="G81" s="313" t="s">
        <v>1214</v>
      </c>
      <c r="H81" s="305"/>
      <c r="I81" s="305" t="s">
        <v>669</v>
      </c>
      <c r="J81" s="375" t="e">
        <f>0/(IF(#REF!="yes",0.188,1))</f>
        <v>#REF!</v>
      </c>
      <c r="K81" s="375" t="e">
        <f>850000*V81/(IF(#REF!="yes",0.188,1))</f>
        <v>#REF!</v>
      </c>
      <c r="L81" s="375" t="e">
        <f>K81-J80</f>
        <v>#REF!</v>
      </c>
      <c r="M81" s="316" t="s">
        <v>687</v>
      </c>
      <c r="N81" s="398">
        <v>2021</v>
      </c>
      <c r="O81" s="398">
        <v>2022</v>
      </c>
      <c r="P81" s="305" t="s">
        <v>519</v>
      </c>
      <c r="Q81" s="354">
        <v>1.2699999999999999E-2</v>
      </c>
      <c r="R81" s="305"/>
      <c r="S81" s="305"/>
      <c r="T81" s="305" t="s">
        <v>1013</v>
      </c>
      <c r="U81" s="305" t="s">
        <v>528</v>
      </c>
      <c r="V81" s="426">
        <f>5%*46.4%</f>
        <v>2.3199999999999998E-2</v>
      </c>
      <c r="W81" s="443" t="e">
        <f>263/#REF!/10^3</f>
        <v>#REF!</v>
      </c>
      <c r="X81" s="445"/>
      <c r="Y81" s="317" t="e">
        <f t="shared" si="59"/>
        <v>#REF!</v>
      </c>
      <c r="Z81" s="318">
        <v>2</v>
      </c>
      <c r="AA81" s="318">
        <v>4</v>
      </c>
      <c r="AB81" s="318">
        <v>4</v>
      </c>
      <c r="AC81" s="318">
        <v>3</v>
      </c>
      <c r="AD81" s="318" t="s">
        <v>671</v>
      </c>
      <c r="AE81" s="483">
        <v>0</v>
      </c>
      <c r="AF81" s="482">
        <f t="shared" si="48"/>
        <v>0</v>
      </c>
      <c r="AG81" s="482">
        <f t="shared" si="48"/>
        <v>0</v>
      </c>
      <c r="AH81" s="482">
        <f t="shared" si="48"/>
        <v>0</v>
      </c>
      <c r="AI81" s="482">
        <f t="shared" si="48"/>
        <v>0</v>
      </c>
      <c r="AJ81" s="482">
        <f t="shared" si="48"/>
        <v>0</v>
      </c>
      <c r="AK81" s="556">
        <f t="shared" ref="AK81:AP82" si="64">IF(OR($M81="Exploration", $M81="Pre-feasibility", $O81&gt;2018), 0, "check")</f>
        <v>0</v>
      </c>
      <c r="AL81" s="557">
        <f t="shared" si="64"/>
        <v>0</v>
      </c>
      <c r="AM81" s="557">
        <f t="shared" si="64"/>
        <v>0</v>
      </c>
      <c r="AN81" s="557">
        <f t="shared" si="64"/>
        <v>0</v>
      </c>
      <c r="AO81" s="557">
        <f t="shared" si="64"/>
        <v>0</v>
      </c>
      <c r="AP81" s="557">
        <f t="shared" si="64"/>
        <v>0</v>
      </c>
      <c r="AQ81" s="483">
        <f t="shared" si="54"/>
        <v>0</v>
      </c>
      <c r="AR81" s="482">
        <f t="shared" si="50"/>
        <v>0</v>
      </c>
      <c r="AS81" s="482">
        <f t="shared" si="50"/>
        <v>0</v>
      </c>
      <c r="AT81" s="482">
        <f t="shared" si="50"/>
        <v>0</v>
      </c>
      <c r="AU81" s="482">
        <f t="shared" si="50"/>
        <v>0</v>
      </c>
      <c r="AV81" s="482">
        <f t="shared" si="55"/>
        <v>0</v>
      </c>
      <c r="AW81" s="483">
        <f t="shared" si="23"/>
        <v>0</v>
      </c>
      <c r="AX81" s="514">
        <f t="shared" si="33"/>
        <v>0</v>
      </c>
      <c r="AY81" s="514" t="s">
        <v>1034</v>
      </c>
      <c r="AZ81" s="556">
        <f t="shared" si="60"/>
        <v>0</v>
      </c>
      <c r="BA81" s="557">
        <v>0</v>
      </c>
      <c r="BB81" s="557">
        <v>0</v>
      </c>
      <c r="BC81" s="557">
        <v>0</v>
      </c>
      <c r="BD81" s="557">
        <v>0</v>
      </c>
      <c r="BE81" s="557">
        <v>0</v>
      </c>
      <c r="BF81" s="556">
        <f t="shared" si="61"/>
        <v>0</v>
      </c>
      <c r="BG81" s="557">
        <v>0</v>
      </c>
      <c r="BH81" s="557">
        <v>0</v>
      </c>
      <c r="BI81" s="557">
        <v>0</v>
      </c>
      <c r="BJ81" s="557">
        <v>0</v>
      </c>
      <c r="BK81" s="557">
        <v>0</v>
      </c>
      <c r="BL81" s="556">
        <f t="shared" si="56"/>
        <v>0</v>
      </c>
      <c r="BM81" s="557">
        <v>0</v>
      </c>
      <c r="BN81" s="557">
        <v>0</v>
      </c>
      <c r="BO81" s="557">
        <v>0</v>
      </c>
      <c r="BP81" s="557">
        <v>0</v>
      </c>
      <c r="BQ81" s="557">
        <v>0</v>
      </c>
      <c r="BR81" s="318"/>
      <c r="BS81" s="318"/>
      <c r="BT81" s="318"/>
      <c r="BU81" s="318"/>
      <c r="BV81" s="318"/>
      <c r="BW81" s="318"/>
      <c r="BX81" s="318"/>
      <c r="BY81" s="318"/>
      <c r="BZ81" s="318" t="s">
        <v>1312</v>
      </c>
      <c r="CA81" s="318"/>
      <c r="CB81" s="318"/>
      <c r="CC81" s="318" t="s">
        <v>1313</v>
      </c>
      <c r="CD81" s="318"/>
      <c r="CE81" s="457" t="s">
        <v>1314</v>
      </c>
      <c r="CF81" s="443">
        <v>43.25</v>
      </c>
      <c r="CG81" s="430" t="s">
        <v>469</v>
      </c>
      <c r="CH81" s="430">
        <v>1</v>
      </c>
      <c r="CI81" s="360"/>
      <c r="CJ81" s="360"/>
      <c r="CK81" s="360"/>
      <c r="CL81" s="360"/>
      <c r="CM81" s="360"/>
      <c r="CN81" s="360"/>
      <c r="CO81" s="360"/>
      <c r="CP81" s="360"/>
      <c r="CR81" s="315" t="str">
        <f t="shared" si="62"/>
        <v>Australia</v>
      </c>
      <c r="CS81" s="315" t="str">
        <f t="shared" si="63"/>
        <v>Western Australia</v>
      </c>
      <c r="CT81" s="315">
        <v>70</v>
      </c>
      <c r="CU81" s="315" t="s">
        <v>470</v>
      </c>
      <c r="CV81" s="315" t="s">
        <v>553</v>
      </c>
      <c r="CW81" s="315" t="s">
        <v>247</v>
      </c>
      <c r="CX81" s="315" t="s">
        <v>1214</v>
      </c>
      <c r="CY81" s="315" t="str">
        <f t="shared" si="57"/>
        <v>Western Australia</v>
      </c>
    </row>
    <row r="82" spans="1:103" s="315" customFormat="1" ht="39.75" hidden="1" customHeight="1" x14ac:dyDescent="0.25">
      <c r="A82" s="403">
        <v>71</v>
      </c>
      <c r="B82" s="313" t="s">
        <v>469</v>
      </c>
      <c r="C82" s="313" t="s">
        <v>470</v>
      </c>
      <c r="D82" s="318" t="s">
        <v>457</v>
      </c>
      <c r="E82" s="318" t="s">
        <v>556</v>
      </c>
      <c r="F82" s="313" t="s">
        <v>247</v>
      </c>
      <c r="G82" s="313" t="s">
        <v>1214</v>
      </c>
      <c r="H82" s="305"/>
      <c r="I82" s="305" t="s">
        <v>670</v>
      </c>
      <c r="J82" s="375" t="e">
        <f>0/(IF(#REF!="yes",0.188,1))</f>
        <v>#REF!</v>
      </c>
      <c r="K82" s="375" t="e">
        <f>1200000*V82/(IF(#REF!="yes",0.188,1))</f>
        <v>#REF!</v>
      </c>
      <c r="L82" s="375" t="e">
        <f>K82-K81</f>
        <v>#REF!</v>
      </c>
      <c r="M82" s="316" t="s">
        <v>687</v>
      </c>
      <c r="N82" s="398">
        <v>2023</v>
      </c>
      <c r="O82" s="398">
        <v>2024</v>
      </c>
      <c r="P82" s="305" t="s">
        <v>519</v>
      </c>
      <c r="Q82" s="354">
        <v>1.2699999999999999E-2</v>
      </c>
      <c r="R82" s="305"/>
      <c r="S82" s="305"/>
      <c r="T82" s="305" t="s">
        <v>1013</v>
      </c>
      <c r="U82" s="305" t="s">
        <v>528</v>
      </c>
      <c r="V82" s="426">
        <f>5%*46.4%</f>
        <v>2.3199999999999998E-2</v>
      </c>
      <c r="W82" s="443" t="e">
        <f>263/#REF!/10^3</f>
        <v>#REF!</v>
      </c>
      <c r="X82" s="445"/>
      <c r="Y82" s="317" t="e">
        <f t="shared" si="59"/>
        <v>#REF!</v>
      </c>
      <c r="Z82" s="318">
        <v>2</v>
      </c>
      <c r="AA82" s="318">
        <v>1</v>
      </c>
      <c r="AB82" s="318">
        <v>4</v>
      </c>
      <c r="AC82" s="318">
        <v>3</v>
      </c>
      <c r="AD82" s="318" t="s">
        <v>671</v>
      </c>
      <c r="AE82" s="483">
        <v>0</v>
      </c>
      <c r="AF82" s="482">
        <f t="shared" si="48"/>
        <v>0</v>
      </c>
      <c r="AG82" s="482">
        <f t="shared" si="48"/>
        <v>0</v>
      </c>
      <c r="AH82" s="482">
        <f t="shared" si="48"/>
        <v>0</v>
      </c>
      <c r="AI82" s="482">
        <f t="shared" si="48"/>
        <v>0</v>
      </c>
      <c r="AJ82" s="482">
        <f t="shared" si="48"/>
        <v>0</v>
      </c>
      <c r="AK82" s="556">
        <f t="shared" si="64"/>
        <v>0</v>
      </c>
      <c r="AL82" s="557">
        <f t="shared" si="64"/>
        <v>0</v>
      </c>
      <c r="AM82" s="557">
        <f t="shared" si="64"/>
        <v>0</v>
      </c>
      <c r="AN82" s="557">
        <f t="shared" si="64"/>
        <v>0</v>
      </c>
      <c r="AO82" s="557">
        <f t="shared" si="64"/>
        <v>0</v>
      </c>
      <c r="AP82" s="557">
        <f t="shared" si="64"/>
        <v>0</v>
      </c>
      <c r="AQ82" s="483">
        <f t="shared" si="54"/>
        <v>0</v>
      </c>
      <c r="AR82" s="482">
        <f t="shared" si="50"/>
        <v>0</v>
      </c>
      <c r="AS82" s="482">
        <f t="shared" si="50"/>
        <v>0</v>
      </c>
      <c r="AT82" s="482">
        <f t="shared" si="50"/>
        <v>0</v>
      </c>
      <c r="AU82" s="482">
        <f t="shared" si="50"/>
        <v>0</v>
      </c>
      <c r="AV82" s="482">
        <f t="shared" si="55"/>
        <v>0</v>
      </c>
      <c r="AW82" s="483">
        <f t="shared" si="23"/>
        <v>0</v>
      </c>
      <c r="AX82" s="514">
        <f t="shared" si="33"/>
        <v>0</v>
      </c>
      <c r="AY82" s="514" t="s">
        <v>1034</v>
      </c>
      <c r="AZ82" s="556">
        <f t="shared" si="60"/>
        <v>0</v>
      </c>
      <c r="BA82" s="557">
        <v>0</v>
      </c>
      <c r="BB82" s="557">
        <v>0</v>
      </c>
      <c r="BC82" s="557">
        <v>0</v>
      </c>
      <c r="BD82" s="557">
        <v>0</v>
      </c>
      <c r="BE82" s="557">
        <v>0</v>
      </c>
      <c r="BF82" s="556">
        <f t="shared" si="61"/>
        <v>0</v>
      </c>
      <c r="BG82" s="557">
        <v>0</v>
      </c>
      <c r="BH82" s="557">
        <v>0</v>
      </c>
      <c r="BI82" s="557">
        <v>0</v>
      </c>
      <c r="BJ82" s="557">
        <v>0</v>
      </c>
      <c r="BK82" s="557">
        <v>0</v>
      </c>
      <c r="BL82" s="556">
        <f t="shared" si="56"/>
        <v>0</v>
      </c>
      <c r="BM82" s="557">
        <v>0</v>
      </c>
      <c r="BN82" s="557">
        <v>0</v>
      </c>
      <c r="BO82" s="557">
        <v>0</v>
      </c>
      <c r="BP82" s="557">
        <v>0</v>
      </c>
      <c r="BQ82" s="557">
        <v>0</v>
      </c>
      <c r="BR82" s="318"/>
      <c r="BS82" s="318"/>
      <c r="BT82" s="318"/>
      <c r="BU82" s="318"/>
      <c r="BV82" s="318"/>
      <c r="BW82" s="318"/>
      <c r="BX82" s="318"/>
      <c r="BY82" s="318"/>
      <c r="BZ82" s="318" t="s">
        <v>1473</v>
      </c>
      <c r="CA82" s="318"/>
      <c r="CB82" s="318"/>
      <c r="CC82" s="318"/>
      <c r="CD82" s="318"/>
      <c r="CE82" s="457"/>
      <c r="CF82" s="443">
        <v>43.25</v>
      </c>
      <c r="CG82" s="430" t="s">
        <v>469</v>
      </c>
      <c r="CH82" s="430">
        <v>1</v>
      </c>
      <c r="CI82" s="360"/>
      <c r="CJ82" s="360"/>
      <c r="CK82" s="360"/>
      <c r="CL82" s="360"/>
      <c r="CM82" s="360"/>
      <c r="CN82" s="360"/>
      <c r="CO82" s="360"/>
      <c r="CP82" s="360"/>
      <c r="CR82" s="315" t="str">
        <f t="shared" si="62"/>
        <v>Australia</v>
      </c>
      <c r="CS82" s="315" t="str">
        <f t="shared" si="63"/>
        <v>Western Australia</v>
      </c>
      <c r="CT82" s="315">
        <v>71</v>
      </c>
      <c r="CU82" s="315" t="s">
        <v>470</v>
      </c>
      <c r="CV82" s="315" t="s">
        <v>556</v>
      </c>
      <c r="CW82" s="315" t="s">
        <v>247</v>
      </c>
      <c r="CX82" s="315" t="s">
        <v>1214</v>
      </c>
      <c r="CY82" s="315" t="str">
        <f t="shared" si="57"/>
        <v>Western Australia</v>
      </c>
    </row>
    <row r="83" spans="1:103" s="425" customFormat="1" ht="19.5" hidden="1" customHeight="1" x14ac:dyDescent="0.25">
      <c r="A83" s="424">
        <v>72</v>
      </c>
      <c r="B83" s="313" t="s">
        <v>585</v>
      </c>
      <c r="C83" s="313" t="s">
        <v>578</v>
      </c>
      <c r="D83" s="318" t="s">
        <v>457</v>
      </c>
      <c r="E83" s="318" t="s">
        <v>552</v>
      </c>
      <c r="F83" s="313" t="s">
        <v>244</v>
      </c>
      <c r="G83" s="313" t="s">
        <v>548</v>
      </c>
      <c r="H83" s="305"/>
      <c r="I83" s="305"/>
      <c r="J83" s="370">
        <v>10000</v>
      </c>
      <c r="K83" s="370"/>
      <c r="L83" s="370">
        <v>10000</v>
      </c>
      <c r="M83" s="316" t="s">
        <v>483</v>
      </c>
      <c r="N83" s="398"/>
      <c r="O83" s="398">
        <v>2012</v>
      </c>
      <c r="P83" s="305" t="s">
        <v>463</v>
      </c>
      <c r="Q83" s="305" t="s">
        <v>549</v>
      </c>
      <c r="R83" s="374" t="s">
        <v>775</v>
      </c>
      <c r="S83" s="374"/>
      <c r="T83" s="374"/>
      <c r="U83" s="305" t="s">
        <v>235</v>
      </c>
      <c r="V83" s="426">
        <v>0.188</v>
      </c>
      <c r="W83" s="443">
        <v>5</v>
      </c>
      <c r="X83" s="445"/>
      <c r="Y83" s="412" t="e">
        <f t="shared" si="59"/>
        <v>#REF!</v>
      </c>
      <c r="Z83" s="318">
        <v>3</v>
      </c>
      <c r="AA83" s="318">
        <v>4</v>
      </c>
      <c r="AB83" s="318">
        <v>1</v>
      </c>
      <c r="AC83" s="318">
        <v>3</v>
      </c>
      <c r="AD83" s="318" t="s">
        <v>772</v>
      </c>
      <c r="AE83" s="483">
        <v>5000</v>
      </c>
      <c r="AF83" s="482" t="s">
        <v>1524</v>
      </c>
      <c r="AG83" s="482" t="s">
        <v>1524</v>
      </c>
      <c r="AH83" s="482" t="s">
        <v>1524</v>
      </c>
      <c r="AI83" s="482" t="s">
        <v>1524</v>
      </c>
      <c r="AJ83" s="482" t="str">
        <f>IF(OR(M83="Exploration", M83="Pre-feasibility", O83&gt;2017), 0, "check")</f>
        <v>check</v>
      </c>
      <c r="AK83" s="556">
        <v>10000</v>
      </c>
      <c r="AL83" s="557" t="s">
        <v>1524</v>
      </c>
      <c r="AM83" s="557" t="s">
        <v>1524</v>
      </c>
      <c r="AN83" s="557" t="s">
        <v>1524</v>
      </c>
      <c r="AO83" s="557" t="s">
        <v>1524</v>
      </c>
      <c r="AP83" s="557" t="str">
        <f>IF(OR(M83="Exploration", M83="Pre-feasibility", O83&gt;2018), 0, "check")</f>
        <v>check</v>
      </c>
      <c r="AQ83" s="483">
        <v>10000</v>
      </c>
      <c r="AR83" s="482" t="str">
        <f t="shared" si="50"/>
        <v>check</v>
      </c>
      <c r="AS83" s="482" t="str">
        <f t="shared" si="50"/>
        <v>check</v>
      </c>
      <c r="AT83" s="482" t="str">
        <f t="shared" si="50"/>
        <v>check</v>
      </c>
      <c r="AU83" s="482" t="str">
        <f t="shared" si="50"/>
        <v>check</v>
      </c>
      <c r="AV83" s="482" t="str">
        <f t="shared" si="55"/>
        <v>check</v>
      </c>
      <c r="AW83" s="483">
        <f t="shared" si="23"/>
        <v>10000</v>
      </c>
      <c r="AX83" s="514" t="str">
        <f t="shared" si="33"/>
        <v>check</v>
      </c>
      <c r="AY83" s="514" t="s">
        <v>1524</v>
      </c>
      <c r="AZ83" s="556">
        <f t="shared" si="60"/>
        <v>5000</v>
      </c>
      <c r="BA83" s="557" t="s">
        <v>1524</v>
      </c>
      <c r="BB83" s="557" t="s">
        <v>1524</v>
      </c>
      <c r="BC83" s="557" t="s">
        <v>1524</v>
      </c>
      <c r="BD83" s="557" t="s">
        <v>1524</v>
      </c>
      <c r="BE83" s="557" t="s">
        <v>1524</v>
      </c>
      <c r="BF83" s="556">
        <f t="shared" si="61"/>
        <v>10000</v>
      </c>
      <c r="BG83" s="557" t="s">
        <v>1524</v>
      </c>
      <c r="BH83" s="557" t="s">
        <v>1524</v>
      </c>
      <c r="BI83" s="557" t="s">
        <v>1524</v>
      </c>
      <c r="BJ83" s="557" t="s">
        <v>1524</v>
      </c>
      <c r="BK83" s="557" t="s">
        <v>1524</v>
      </c>
      <c r="BL83" s="556">
        <f t="shared" si="56"/>
        <v>10000</v>
      </c>
      <c r="BM83" s="557" t="s">
        <v>1524</v>
      </c>
      <c r="BN83" s="557" t="s">
        <v>1524</v>
      </c>
      <c r="BO83" s="557" t="s">
        <v>1524</v>
      </c>
      <c r="BP83" s="557" t="s">
        <v>1524</v>
      </c>
      <c r="BQ83" s="557" t="s">
        <v>1524</v>
      </c>
      <c r="BR83" s="318"/>
      <c r="BS83" s="318"/>
      <c r="BT83" s="318"/>
      <c r="BU83" s="318"/>
      <c r="BV83" s="318"/>
      <c r="BW83" s="318"/>
      <c r="BX83" s="318"/>
      <c r="BY83" s="318"/>
      <c r="BZ83" s="318" t="s">
        <v>1495</v>
      </c>
      <c r="CA83" s="318"/>
      <c r="CB83" s="318"/>
      <c r="CC83" s="318"/>
      <c r="CD83" s="318"/>
      <c r="CE83" s="457"/>
      <c r="CF83" s="443">
        <v>434</v>
      </c>
      <c r="CG83" s="360" t="s">
        <v>1220</v>
      </c>
      <c r="CH83" s="430">
        <v>1</v>
      </c>
      <c r="CI83" s="416"/>
      <c r="CJ83" s="416"/>
      <c r="CK83" s="416"/>
      <c r="CL83" s="416"/>
      <c r="CM83" s="416"/>
      <c r="CN83" s="416"/>
      <c r="CO83" s="416"/>
      <c r="CP83" s="416"/>
      <c r="CR83" s="315" t="str">
        <f t="shared" si="62"/>
        <v>China</v>
      </c>
      <c r="CS83" s="315" t="str">
        <f t="shared" si="63"/>
        <v>Qinghai</v>
      </c>
      <c r="CT83" s="425">
        <v>72</v>
      </c>
      <c r="CU83" s="425" t="s">
        <v>578</v>
      </c>
      <c r="CV83" s="425" t="s">
        <v>552</v>
      </c>
      <c r="CW83" s="425" t="s">
        <v>244</v>
      </c>
      <c r="CX83" s="425" t="s">
        <v>548</v>
      </c>
      <c r="CY83" s="315" t="str">
        <f t="shared" si="57"/>
        <v>Qinghai</v>
      </c>
    </row>
    <row r="84" spans="1:103" s="425" customFormat="1" ht="19.5" hidden="1" customHeight="1" x14ac:dyDescent="0.25">
      <c r="A84" s="424">
        <v>73</v>
      </c>
      <c r="B84" s="313" t="s">
        <v>585</v>
      </c>
      <c r="C84" s="313" t="s">
        <v>578</v>
      </c>
      <c r="D84" s="318" t="s">
        <v>457</v>
      </c>
      <c r="E84" s="318" t="s">
        <v>553</v>
      </c>
      <c r="F84" s="313" t="s">
        <v>244</v>
      </c>
      <c r="G84" s="313" t="s">
        <v>548</v>
      </c>
      <c r="H84" s="305"/>
      <c r="I84" s="305"/>
      <c r="J84" s="370"/>
      <c r="K84" s="370" t="e">
        <f>5640/(IF(#REF!="yes",0.188,1))</f>
        <v>#REF!</v>
      </c>
      <c r="L84" s="370" t="e">
        <f>K84-J83</f>
        <v>#REF!</v>
      </c>
      <c r="M84" s="316" t="s">
        <v>484</v>
      </c>
      <c r="N84" s="398"/>
      <c r="O84" s="398">
        <v>2020</v>
      </c>
      <c r="P84" s="305" t="s">
        <v>463</v>
      </c>
      <c r="Q84" s="305" t="s">
        <v>549</v>
      </c>
      <c r="R84" s="374" t="s">
        <v>775</v>
      </c>
      <c r="S84" s="374"/>
      <c r="T84" s="374"/>
      <c r="U84" s="305" t="s">
        <v>235</v>
      </c>
      <c r="V84" s="426">
        <v>0.188</v>
      </c>
      <c r="W84" s="443">
        <v>5</v>
      </c>
      <c r="X84" s="445"/>
      <c r="Y84" s="412" t="e">
        <f t="shared" si="59"/>
        <v>#REF!</v>
      </c>
      <c r="Z84" s="318">
        <v>3</v>
      </c>
      <c r="AA84" s="318">
        <v>4</v>
      </c>
      <c r="AB84" s="318">
        <v>1</v>
      </c>
      <c r="AC84" s="318">
        <v>3</v>
      </c>
      <c r="AD84" s="318" t="s">
        <v>772</v>
      </c>
      <c r="AE84" s="483">
        <v>0</v>
      </c>
      <c r="AF84" s="482">
        <f t="shared" si="48"/>
        <v>0</v>
      </c>
      <c r="AG84" s="482">
        <f t="shared" si="48"/>
        <v>0</v>
      </c>
      <c r="AH84" s="482">
        <f t="shared" si="48"/>
        <v>0</v>
      </c>
      <c r="AI84" s="482">
        <f t="shared" si="48"/>
        <v>0</v>
      </c>
      <c r="AJ84" s="482">
        <f t="shared" si="48"/>
        <v>0</v>
      </c>
      <c r="AK84" s="556" t="s">
        <v>1524</v>
      </c>
      <c r="AL84" s="557">
        <v>0</v>
      </c>
      <c r="AM84" s="557">
        <v>0</v>
      </c>
      <c r="AN84" s="557">
        <v>0</v>
      </c>
      <c r="AO84" s="557">
        <v>0</v>
      </c>
      <c r="AP84" s="557">
        <f>IF(OR(M84="Exploration", M84="Pre-feasibility", O84&gt;2018), 0, "check")</f>
        <v>0</v>
      </c>
      <c r="AQ84" s="483" t="s">
        <v>1524</v>
      </c>
      <c r="AR84" s="482">
        <f t="shared" ref="AR84:AU147" si="65">IF(OR($M84="Exploration", $M84="Pre-feasibility", $O84&gt;2019), 0, "check")</f>
        <v>0</v>
      </c>
      <c r="AS84" s="482">
        <f t="shared" si="65"/>
        <v>0</v>
      </c>
      <c r="AT84" s="482">
        <f t="shared" si="65"/>
        <v>0</v>
      </c>
      <c r="AU84" s="482">
        <f t="shared" si="65"/>
        <v>0</v>
      </c>
      <c r="AV84" s="482">
        <f t="shared" si="55"/>
        <v>0</v>
      </c>
      <c r="AW84" s="483" t="str">
        <f t="shared" si="23"/>
        <v>check</v>
      </c>
      <c r="AX84" s="514" t="str">
        <f t="shared" si="33"/>
        <v>check</v>
      </c>
      <c r="AY84" s="514" t="s">
        <v>1524</v>
      </c>
      <c r="AZ84" s="556">
        <f>AE84</f>
        <v>0</v>
      </c>
      <c r="BA84" s="557">
        <v>0</v>
      </c>
      <c r="BB84" s="557">
        <v>0</v>
      </c>
      <c r="BC84" s="557">
        <v>0</v>
      </c>
      <c r="BD84" s="557">
        <v>0</v>
      </c>
      <c r="BE84" s="557">
        <v>0</v>
      </c>
      <c r="BF84" s="556" t="str">
        <f t="shared" si="61"/>
        <v>check</v>
      </c>
      <c r="BG84" s="557">
        <v>0</v>
      </c>
      <c r="BH84" s="557">
        <v>0</v>
      </c>
      <c r="BI84" s="557">
        <v>0</v>
      </c>
      <c r="BJ84" s="557">
        <v>0</v>
      </c>
      <c r="BK84" s="557">
        <v>0</v>
      </c>
      <c r="BL84" s="556" t="str">
        <f t="shared" si="56"/>
        <v>check</v>
      </c>
      <c r="BM84" s="557">
        <v>0</v>
      </c>
      <c r="BN84" s="557">
        <v>0</v>
      </c>
      <c r="BO84" s="557">
        <v>0</v>
      </c>
      <c r="BP84" s="557">
        <v>0</v>
      </c>
      <c r="BQ84" s="557">
        <v>0</v>
      </c>
      <c r="BR84" s="318"/>
      <c r="BS84" s="318"/>
      <c r="BT84" s="318"/>
      <c r="BU84" s="318"/>
      <c r="BV84" s="318"/>
      <c r="BW84" s="318"/>
      <c r="BX84" s="318"/>
      <c r="BY84" s="318"/>
      <c r="BZ84" s="318" t="s">
        <v>1495</v>
      </c>
      <c r="CA84" s="318"/>
      <c r="CB84" s="318"/>
      <c r="CC84" s="318"/>
      <c r="CD84" s="318"/>
      <c r="CE84" s="457"/>
      <c r="CF84" s="443">
        <v>434</v>
      </c>
      <c r="CG84" s="360" t="s">
        <v>1220</v>
      </c>
      <c r="CH84" s="430">
        <v>1</v>
      </c>
      <c r="CI84" s="416"/>
      <c r="CJ84" s="416"/>
      <c r="CK84" s="416"/>
      <c r="CL84" s="416"/>
      <c r="CM84" s="416"/>
      <c r="CN84" s="416"/>
      <c r="CO84" s="416"/>
      <c r="CP84" s="416"/>
      <c r="CR84" s="315" t="str">
        <f t="shared" si="62"/>
        <v>China</v>
      </c>
      <c r="CS84" s="315" t="str">
        <f t="shared" si="63"/>
        <v>Qinghai</v>
      </c>
      <c r="CT84" s="425">
        <v>73</v>
      </c>
      <c r="CU84" s="425" t="s">
        <v>578</v>
      </c>
      <c r="CV84" s="425" t="s">
        <v>553</v>
      </c>
      <c r="CW84" s="425" t="s">
        <v>244</v>
      </c>
      <c r="CX84" s="425" t="s">
        <v>548</v>
      </c>
      <c r="CY84" s="315" t="str">
        <f t="shared" si="57"/>
        <v>Qinghai</v>
      </c>
    </row>
    <row r="85" spans="1:103" s="315" customFormat="1" ht="25" hidden="1" x14ac:dyDescent="0.25">
      <c r="A85" s="403">
        <v>74</v>
      </c>
      <c r="B85" s="313" t="s">
        <v>673</v>
      </c>
      <c r="C85" s="313" t="s">
        <v>475</v>
      </c>
      <c r="D85" s="318" t="s">
        <v>457</v>
      </c>
      <c r="E85" s="318" t="s">
        <v>552</v>
      </c>
      <c r="F85" s="313" t="s">
        <v>465</v>
      </c>
      <c r="G85" s="313" t="s">
        <v>1399</v>
      </c>
      <c r="H85" s="305" t="s">
        <v>1076</v>
      </c>
      <c r="I85" s="305"/>
      <c r="J85" s="370" t="e">
        <f>500*$V85/(IF(#REF!="yes",0.188,1))</f>
        <v>#REF!</v>
      </c>
      <c r="K85" s="370">
        <v>0</v>
      </c>
      <c r="L85" s="370">
        <v>500</v>
      </c>
      <c r="M85" s="316" t="s">
        <v>483</v>
      </c>
      <c r="N85" s="398"/>
      <c r="O85" s="398">
        <v>2018</v>
      </c>
      <c r="P85" s="305" t="s">
        <v>463</v>
      </c>
      <c r="Q85" s="305" t="s">
        <v>676</v>
      </c>
      <c r="R85" s="305" t="s">
        <v>677</v>
      </c>
      <c r="S85" s="305"/>
      <c r="T85" s="305"/>
      <c r="U85" s="305" t="s">
        <v>528</v>
      </c>
      <c r="V85" s="426">
        <v>0.188</v>
      </c>
      <c r="W85" s="443">
        <v>3</v>
      </c>
      <c r="X85" s="445"/>
      <c r="Y85" s="317" t="e">
        <f t="shared" si="59"/>
        <v>#REF!</v>
      </c>
      <c r="Z85" s="318">
        <v>1</v>
      </c>
      <c r="AA85" s="318">
        <v>3</v>
      </c>
      <c r="AB85" s="318">
        <v>3</v>
      </c>
      <c r="AC85" s="318">
        <v>1</v>
      </c>
      <c r="AD85" s="318" t="s">
        <v>672</v>
      </c>
      <c r="AE85" s="483">
        <v>0</v>
      </c>
      <c r="AF85" s="482">
        <f t="shared" si="48"/>
        <v>0</v>
      </c>
      <c r="AG85" s="482">
        <f t="shared" si="48"/>
        <v>0</v>
      </c>
      <c r="AH85" s="482">
        <f t="shared" si="48"/>
        <v>0</v>
      </c>
      <c r="AI85" s="482">
        <f t="shared" si="48"/>
        <v>0</v>
      </c>
      <c r="AJ85" s="482">
        <f t="shared" si="48"/>
        <v>0</v>
      </c>
      <c r="AK85" s="554">
        <v>500</v>
      </c>
      <c r="AL85" s="557">
        <v>0</v>
      </c>
      <c r="AM85" s="557">
        <v>0</v>
      </c>
      <c r="AN85" s="557">
        <v>0</v>
      </c>
      <c r="AO85" s="557">
        <v>0</v>
      </c>
      <c r="AP85" s="557">
        <v>0</v>
      </c>
      <c r="AQ85" s="483">
        <v>500</v>
      </c>
      <c r="AR85" s="557">
        <v>0</v>
      </c>
      <c r="AS85" s="557">
        <v>0</v>
      </c>
      <c r="AT85" s="557">
        <v>0</v>
      </c>
      <c r="AU85" s="557">
        <v>0</v>
      </c>
      <c r="AV85" s="557">
        <v>0</v>
      </c>
      <c r="AW85" s="483">
        <v>500</v>
      </c>
      <c r="AX85" s="559">
        <v>0</v>
      </c>
      <c r="AY85" s="514" t="s">
        <v>1034</v>
      </c>
      <c r="AZ85" s="556">
        <f t="shared" ref="AZ85:AZ93" si="66">AE85</f>
        <v>0</v>
      </c>
      <c r="BA85" s="557">
        <v>0</v>
      </c>
      <c r="BB85" s="557">
        <v>0</v>
      </c>
      <c r="BC85" s="557">
        <v>0</v>
      </c>
      <c r="BD85" s="557">
        <v>0</v>
      </c>
      <c r="BE85" s="557">
        <v>0</v>
      </c>
      <c r="BF85" s="556">
        <f t="shared" si="61"/>
        <v>500</v>
      </c>
      <c r="BG85" s="557" t="s">
        <v>1543</v>
      </c>
      <c r="BH85" s="557" t="s">
        <v>1543</v>
      </c>
      <c r="BI85" s="557" t="s">
        <v>1543</v>
      </c>
      <c r="BJ85" s="557" t="s">
        <v>1543</v>
      </c>
      <c r="BK85" s="557" t="s">
        <v>1543</v>
      </c>
      <c r="BL85" s="556">
        <f t="shared" si="56"/>
        <v>500</v>
      </c>
      <c r="BM85" s="557" t="s">
        <v>1543</v>
      </c>
      <c r="BN85" s="557" t="s">
        <v>1543</v>
      </c>
      <c r="BO85" s="557" t="s">
        <v>1543</v>
      </c>
      <c r="BP85" s="557" t="s">
        <v>1543</v>
      </c>
      <c r="BQ85" s="557" t="s">
        <v>1543</v>
      </c>
      <c r="BR85" s="318"/>
      <c r="BS85" s="318"/>
      <c r="BT85" s="318"/>
      <c r="BU85" s="318"/>
      <c r="BV85" s="318"/>
      <c r="BW85" s="318"/>
      <c r="BX85" s="318"/>
      <c r="BY85" s="318"/>
      <c r="BZ85" s="318" t="s">
        <v>1498</v>
      </c>
      <c r="CA85" s="318"/>
      <c r="CB85" s="318"/>
      <c r="CC85" s="318"/>
      <c r="CD85" s="318"/>
      <c r="CE85" s="457"/>
      <c r="CF85" s="443">
        <v>1.85</v>
      </c>
      <c r="CG85" s="360" t="s">
        <v>673</v>
      </c>
      <c r="CH85" s="430">
        <v>0.77500000000000002</v>
      </c>
      <c r="CI85" s="360" t="s">
        <v>234</v>
      </c>
      <c r="CJ85" s="460">
        <v>0.22500000000000001</v>
      </c>
      <c r="CK85" s="360"/>
      <c r="CL85" s="360"/>
      <c r="CM85" s="360"/>
      <c r="CN85" s="360"/>
      <c r="CO85" s="360"/>
      <c r="CP85" s="360"/>
      <c r="CR85" s="315" t="str">
        <f t="shared" si="62"/>
        <v>Argentina</v>
      </c>
      <c r="CS85" s="315" t="str">
        <f t="shared" si="63"/>
        <v xml:space="preserve">Salta </v>
      </c>
      <c r="CT85" s="315">
        <v>74</v>
      </c>
      <c r="CU85" s="315" t="s">
        <v>475</v>
      </c>
      <c r="CV85" s="315" t="s">
        <v>552</v>
      </c>
      <c r="CW85" s="315" t="s">
        <v>465</v>
      </c>
      <c r="CX85" s="315" t="s">
        <v>1399</v>
      </c>
      <c r="CY85" s="315" t="str">
        <f t="shared" si="57"/>
        <v xml:space="preserve">Salta </v>
      </c>
    </row>
    <row r="86" spans="1:103" s="315" customFormat="1" ht="25" hidden="1" x14ac:dyDescent="0.25">
      <c r="A86" s="403">
        <v>75</v>
      </c>
      <c r="B86" s="313" t="s">
        <v>673</v>
      </c>
      <c r="C86" s="313" t="s">
        <v>475</v>
      </c>
      <c r="D86" s="318" t="s">
        <v>457</v>
      </c>
      <c r="E86" s="318" t="s">
        <v>553</v>
      </c>
      <c r="F86" s="313" t="s">
        <v>465</v>
      </c>
      <c r="G86" s="313" t="s">
        <v>1399</v>
      </c>
      <c r="H86" s="305"/>
      <c r="I86" s="305" t="s">
        <v>1077</v>
      </c>
      <c r="J86" s="370" t="e">
        <f>0/(IF(#REF!="yes",0.188,1))</f>
        <v>#REF!</v>
      </c>
      <c r="K86" s="370" t="e">
        <f>1500*V86/(IF(#REF!="yes",0.188,1))</f>
        <v>#REF!</v>
      </c>
      <c r="L86" s="370" t="e">
        <f>K86-J85</f>
        <v>#REF!</v>
      </c>
      <c r="M86" s="316" t="s">
        <v>484</v>
      </c>
      <c r="N86" s="398">
        <v>2018</v>
      </c>
      <c r="O86" s="398">
        <v>2020</v>
      </c>
      <c r="P86" s="305" t="s">
        <v>463</v>
      </c>
      <c r="Q86" s="305" t="s">
        <v>676</v>
      </c>
      <c r="R86" s="305" t="s">
        <v>677</v>
      </c>
      <c r="S86" s="305"/>
      <c r="T86" s="305"/>
      <c r="U86" s="305" t="s">
        <v>528</v>
      </c>
      <c r="V86" s="426">
        <v>0.188</v>
      </c>
      <c r="W86" s="443">
        <v>3</v>
      </c>
      <c r="X86" s="445"/>
      <c r="Y86" s="317" t="e">
        <f t="shared" si="59"/>
        <v>#REF!</v>
      </c>
      <c r="Z86" s="318">
        <v>1</v>
      </c>
      <c r="AA86" s="318">
        <v>3</v>
      </c>
      <c r="AB86" s="318">
        <v>3</v>
      </c>
      <c r="AC86" s="318">
        <v>1</v>
      </c>
      <c r="AD86" s="318" t="s">
        <v>675</v>
      </c>
      <c r="AE86" s="483">
        <v>0</v>
      </c>
      <c r="AF86" s="482">
        <f t="shared" si="48"/>
        <v>0</v>
      </c>
      <c r="AG86" s="482">
        <f t="shared" si="48"/>
        <v>0</v>
      </c>
      <c r="AH86" s="482">
        <f t="shared" si="48"/>
        <v>0</v>
      </c>
      <c r="AI86" s="482">
        <f t="shared" si="48"/>
        <v>0</v>
      </c>
      <c r="AJ86" s="482">
        <f t="shared" si="48"/>
        <v>0</v>
      </c>
      <c r="AK86" s="556">
        <f t="shared" ref="AK86:AP87" si="67">IF(OR($M86="Exploration", $M86="Pre-feasibility", $O86&gt;2018), 0, "check")</f>
        <v>0</v>
      </c>
      <c r="AL86" s="557">
        <f t="shared" si="67"/>
        <v>0</v>
      </c>
      <c r="AM86" s="557">
        <f t="shared" si="67"/>
        <v>0</v>
      </c>
      <c r="AN86" s="557">
        <f t="shared" si="67"/>
        <v>0</v>
      </c>
      <c r="AO86" s="557">
        <f t="shared" si="67"/>
        <v>0</v>
      </c>
      <c r="AP86" s="557">
        <f t="shared" si="67"/>
        <v>0</v>
      </c>
      <c r="AQ86" s="483">
        <f t="shared" si="54"/>
        <v>0</v>
      </c>
      <c r="AR86" s="482">
        <f t="shared" si="65"/>
        <v>0</v>
      </c>
      <c r="AS86" s="482">
        <f t="shared" si="65"/>
        <v>0</v>
      </c>
      <c r="AT86" s="482">
        <f t="shared" si="65"/>
        <v>0</v>
      </c>
      <c r="AU86" s="482">
        <f t="shared" si="65"/>
        <v>0</v>
      </c>
      <c r="AV86" s="482">
        <f t="shared" si="55"/>
        <v>0</v>
      </c>
      <c r="AW86" s="483" t="str">
        <f t="shared" si="23"/>
        <v>check</v>
      </c>
      <c r="AX86" s="514" t="str">
        <f t="shared" ref="AX86:AX149" si="68">IF($O86&gt;2020,0,IF(AW86=0,0,"check"))</f>
        <v>check</v>
      </c>
      <c r="AY86" s="514" t="s">
        <v>1034</v>
      </c>
      <c r="AZ86" s="556">
        <f t="shared" si="66"/>
        <v>0</v>
      </c>
      <c r="BA86" s="557">
        <v>0</v>
      </c>
      <c r="BB86" s="557">
        <v>0</v>
      </c>
      <c r="BC86" s="557">
        <v>0</v>
      </c>
      <c r="BD86" s="557">
        <v>0</v>
      </c>
      <c r="BE86" s="557">
        <v>0</v>
      </c>
      <c r="BF86" s="556">
        <f t="shared" si="61"/>
        <v>0</v>
      </c>
      <c r="BG86" s="557">
        <v>0</v>
      </c>
      <c r="BH86" s="557">
        <v>0</v>
      </c>
      <c r="BI86" s="557">
        <v>0</v>
      </c>
      <c r="BJ86" s="557">
        <v>0</v>
      </c>
      <c r="BK86" s="557">
        <v>0</v>
      </c>
      <c r="BL86" s="556">
        <f t="shared" si="56"/>
        <v>0</v>
      </c>
      <c r="BM86" s="557">
        <v>0</v>
      </c>
      <c r="BN86" s="557">
        <v>0</v>
      </c>
      <c r="BO86" s="557">
        <v>0</v>
      </c>
      <c r="BP86" s="557">
        <v>0</v>
      </c>
      <c r="BQ86" s="557">
        <v>0</v>
      </c>
      <c r="BR86" s="318"/>
      <c r="BS86" s="318"/>
      <c r="BT86" s="318"/>
      <c r="BU86" s="318"/>
      <c r="BV86" s="318"/>
      <c r="BW86" s="318"/>
      <c r="BX86" s="318"/>
      <c r="BY86" s="318"/>
      <c r="BZ86" s="318" t="s">
        <v>1498</v>
      </c>
      <c r="CA86" s="318"/>
      <c r="CB86" s="318"/>
      <c r="CC86" s="318"/>
      <c r="CD86" s="318"/>
      <c r="CE86" s="457"/>
      <c r="CF86" s="443">
        <v>1.85</v>
      </c>
      <c r="CG86" s="360" t="s">
        <v>673</v>
      </c>
      <c r="CH86" s="430">
        <v>0.77500000000000002</v>
      </c>
      <c r="CI86" s="360" t="s">
        <v>234</v>
      </c>
      <c r="CJ86" s="460">
        <v>0.22500000000000001</v>
      </c>
      <c r="CK86" s="360"/>
      <c r="CL86" s="360"/>
      <c r="CM86" s="360"/>
      <c r="CN86" s="360"/>
      <c r="CO86" s="360"/>
      <c r="CP86" s="360"/>
      <c r="CR86" s="315" t="str">
        <f t="shared" si="62"/>
        <v>Argentina</v>
      </c>
      <c r="CS86" s="315" t="str">
        <f t="shared" si="63"/>
        <v xml:space="preserve">Salta </v>
      </c>
      <c r="CT86" s="315">
        <v>75</v>
      </c>
      <c r="CU86" s="315" t="s">
        <v>475</v>
      </c>
      <c r="CV86" s="315" t="s">
        <v>553</v>
      </c>
      <c r="CW86" s="315" t="s">
        <v>465</v>
      </c>
      <c r="CX86" s="315" t="s">
        <v>1399</v>
      </c>
      <c r="CY86" s="315" t="str">
        <f t="shared" si="57"/>
        <v xml:space="preserve">Salta </v>
      </c>
    </row>
    <row r="87" spans="1:103" s="315" customFormat="1" ht="25" hidden="1" x14ac:dyDescent="0.25">
      <c r="A87" s="403">
        <v>76</v>
      </c>
      <c r="B87" s="313" t="s">
        <v>673</v>
      </c>
      <c r="C87" s="313" t="s">
        <v>475</v>
      </c>
      <c r="D87" s="318" t="s">
        <v>457</v>
      </c>
      <c r="E87" s="318" t="s">
        <v>556</v>
      </c>
      <c r="F87" s="313" t="s">
        <v>465</v>
      </c>
      <c r="G87" s="313" t="s">
        <v>1399</v>
      </c>
      <c r="H87" s="305"/>
      <c r="I87" s="305" t="s">
        <v>1078</v>
      </c>
      <c r="J87" s="370" t="e">
        <f>0/(IF(#REF!="yes",0.188,1))</f>
        <v>#REF!</v>
      </c>
      <c r="K87" s="370" t="e">
        <f>28000*V87/(IF(#REF!="yes",0.188,1))</f>
        <v>#REF!</v>
      </c>
      <c r="L87" s="370" t="e">
        <f>K87-K86</f>
        <v>#REF!</v>
      </c>
      <c r="M87" s="316" t="s">
        <v>619</v>
      </c>
      <c r="N87" s="398">
        <v>2020</v>
      </c>
      <c r="O87" s="398">
        <v>2022</v>
      </c>
      <c r="P87" s="305" t="s">
        <v>463</v>
      </c>
      <c r="Q87" s="305" t="s">
        <v>676</v>
      </c>
      <c r="R87" s="305" t="s">
        <v>677</v>
      </c>
      <c r="S87" s="305"/>
      <c r="T87" s="305"/>
      <c r="U87" s="305" t="s">
        <v>528</v>
      </c>
      <c r="V87" s="426">
        <v>0.188</v>
      </c>
      <c r="W87" s="443">
        <v>3</v>
      </c>
      <c r="X87" s="445"/>
      <c r="Y87" s="317" t="e">
        <f t="shared" si="59"/>
        <v>#REF!</v>
      </c>
      <c r="Z87" s="318">
        <v>1</v>
      </c>
      <c r="AA87" s="318">
        <v>3</v>
      </c>
      <c r="AB87" s="318">
        <v>3</v>
      </c>
      <c r="AC87" s="318">
        <v>1</v>
      </c>
      <c r="AD87" s="463" t="s">
        <v>674</v>
      </c>
      <c r="AE87" s="483">
        <v>0</v>
      </c>
      <c r="AF87" s="482">
        <f t="shared" si="48"/>
        <v>0</v>
      </c>
      <c r="AG87" s="482">
        <f t="shared" si="48"/>
        <v>0</v>
      </c>
      <c r="AH87" s="482">
        <f t="shared" si="48"/>
        <v>0</v>
      </c>
      <c r="AI87" s="482">
        <f t="shared" si="48"/>
        <v>0</v>
      </c>
      <c r="AJ87" s="482">
        <f t="shared" si="48"/>
        <v>0</v>
      </c>
      <c r="AK87" s="556">
        <f t="shared" si="67"/>
        <v>0</v>
      </c>
      <c r="AL87" s="557">
        <f t="shared" si="67"/>
        <v>0</v>
      </c>
      <c r="AM87" s="557">
        <f t="shared" si="67"/>
        <v>0</v>
      </c>
      <c r="AN87" s="557">
        <f t="shared" si="67"/>
        <v>0</v>
      </c>
      <c r="AO87" s="557">
        <f t="shared" si="67"/>
        <v>0</v>
      </c>
      <c r="AP87" s="557">
        <f t="shared" si="67"/>
        <v>0</v>
      </c>
      <c r="AQ87" s="483">
        <f t="shared" si="54"/>
        <v>0</v>
      </c>
      <c r="AR87" s="482">
        <f t="shared" si="65"/>
        <v>0</v>
      </c>
      <c r="AS87" s="482">
        <f t="shared" si="65"/>
        <v>0</v>
      </c>
      <c r="AT87" s="482">
        <f t="shared" si="65"/>
        <v>0</v>
      </c>
      <c r="AU87" s="482">
        <f t="shared" si="65"/>
        <v>0</v>
      </c>
      <c r="AV87" s="482">
        <f t="shared" si="55"/>
        <v>0</v>
      </c>
      <c r="AW87" s="483">
        <v>0</v>
      </c>
      <c r="AX87" s="514">
        <f t="shared" si="68"/>
        <v>0</v>
      </c>
      <c r="AY87" s="514" t="s">
        <v>1034</v>
      </c>
      <c r="AZ87" s="556">
        <f t="shared" si="66"/>
        <v>0</v>
      </c>
      <c r="BA87" s="557">
        <v>0</v>
      </c>
      <c r="BB87" s="557">
        <v>0</v>
      </c>
      <c r="BC87" s="557">
        <v>0</v>
      </c>
      <c r="BD87" s="557">
        <v>0</v>
      </c>
      <c r="BE87" s="557">
        <v>0</v>
      </c>
      <c r="BF87" s="556">
        <f t="shared" si="61"/>
        <v>0</v>
      </c>
      <c r="BG87" s="557">
        <v>0</v>
      </c>
      <c r="BH87" s="557">
        <v>0</v>
      </c>
      <c r="BI87" s="557">
        <v>0</v>
      </c>
      <c r="BJ87" s="557">
        <v>0</v>
      </c>
      <c r="BK87" s="557">
        <v>0</v>
      </c>
      <c r="BL87" s="556">
        <f t="shared" si="56"/>
        <v>0</v>
      </c>
      <c r="BM87" s="557">
        <v>0</v>
      </c>
      <c r="BN87" s="557">
        <v>0</v>
      </c>
      <c r="BO87" s="557">
        <v>0</v>
      </c>
      <c r="BP87" s="557">
        <v>0</v>
      </c>
      <c r="BQ87" s="557">
        <v>0</v>
      </c>
      <c r="BR87" s="318"/>
      <c r="BS87" s="318"/>
      <c r="BT87" s="318"/>
      <c r="BU87" s="318"/>
      <c r="BV87" s="318"/>
      <c r="BW87" s="318"/>
      <c r="BX87" s="318"/>
      <c r="BY87" s="318"/>
      <c r="BZ87" s="318" t="s">
        <v>1498</v>
      </c>
      <c r="CA87" s="318"/>
      <c r="CB87" s="318"/>
      <c r="CC87" s="318"/>
      <c r="CD87" s="318"/>
      <c r="CE87" s="457"/>
      <c r="CF87" s="443">
        <v>1.85</v>
      </c>
      <c r="CG87" s="360" t="s">
        <v>673</v>
      </c>
      <c r="CH87" s="430">
        <v>0.77500000000000002</v>
      </c>
      <c r="CI87" s="360" t="s">
        <v>234</v>
      </c>
      <c r="CJ87" s="460">
        <v>0.22500000000000001</v>
      </c>
      <c r="CK87" s="360"/>
      <c r="CL87" s="360"/>
      <c r="CM87" s="360"/>
      <c r="CN87" s="360"/>
      <c r="CO87" s="360"/>
      <c r="CP87" s="360"/>
      <c r="CR87" s="315" t="str">
        <f t="shared" si="62"/>
        <v>Argentina</v>
      </c>
      <c r="CS87" s="315" t="str">
        <f t="shared" si="63"/>
        <v xml:space="preserve">Salta </v>
      </c>
      <c r="CT87" s="315">
        <v>76</v>
      </c>
      <c r="CU87" s="315" t="s">
        <v>475</v>
      </c>
      <c r="CV87" s="315" t="s">
        <v>556</v>
      </c>
      <c r="CW87" s="315" t="s">
        <v>465</v>
      </c>
      <c r="CX87" s="315" t="s">
        <v>1399</v>
      </c>
      <c r="CY87" s="315" t="str">
        <f t="shared" si="57"/>
        <v xml:space="preserve">Salta </v>
      </c>
    </row>
    <row r="88" spans="1:103" s="315" customFormat="1" ht="25" hidden="1" x14ac:dyDescent="0.25">
      <c r="A88" s="403">
        <v>77</v>
      </c>
      <c r="B88" s="313" t="s">
        <v>461</v>
      </c>
      <c r="C88" s="313" t="s">
        <v>529</v>
      </c>
      <c r="D88" s="318" t="s">
        <v>457</v>
      </c>
      <c r="E88" s="318" t="s">
        <v>552</v>
      </c>
      <c r="F88" s="313" t="s">
        <v>462</v>
      </c>
      <c r="G88" s="313" t="s">
        <v>1394</v>
      </c>
      <c r="H88" s="305" t="s">
        <v>930</v>
      </c>
      <c r="I88" s="305"/>
      <c r="J88" s="370" t="e">
        <f>((45000*18.8%)+(6000*16.6%))/(IF(#REF!="yes",0.188,1))</f>
        <v>#REF!</v>
      </c>
      <c r="K88" s="370">
        <v>0</v>
      </c>
      <c r="L88" s="370">
        <v>50298</v>
      </c>
      <c r="M88" s="316" t="s">
        <v>483</v>
      </c>
      <c r="N88" s="398">
        <v>2016</v>
      </c>
      <c r="O88" s="398">
        <v>2018</v>
      </c>
      <c r="P88" s="305" t="s">
        <v>463</v>
      </c>
      <c r="Q88" s="305" t="s">
        <v>530</v>
      </c>
      <c r="R88" s="305" t="s">
        <v>531</v>
      </c>
      <c r="S88" s="305" t="s">
        <v>1343</v>
      </c>
      <c r="T88" s="305"/>
      <c r="U88" s="305" t="s">
        <v>528</v>
      </c>
      <c r="V88" s="426">
        <v>0.16600000000000001</v>
      </c>
      <c r="W88" s="443">
        <v>2.2000000000000002</v>
      </c>
      <c r="X88" s="445"/>
      <c r="Y88" s="317" t="e">
        <f t="shared" si="59"/>
        <v>#REF!</v>
      </c>
      <c r="Z88" s="318">
        <v>5</v>
      </c>
      <c r="AA88" s="318">
        <v>5</v>
      </c>
      <c r="AB88" s="318">
        <v>4</v>
      </c>
      <c r="AC88" s="318">
        <v>5</v>
      </c>
      <c r="AD88" s="318" t="s">
        <v>1339</v>
      </c>
      <c r="AE88" s="483">
        <v>50297.872340425529</v>
      </c>
      <c r="AF88" s="482" t="s">
        <v>1542</v>
      </c>
      <c r="AG88" s="482" t="s">
        <v>1542</v>
      </c>
      <c r="AH88" s="482" t="s">
        <v>1542</v>
      </c>
      <c r="AI88" s="482" t="s">
        <v>1542</v>
      </c>
      <c r="AJ88" s="482" t="s">
        <v>1542</v>
      </c>
      <c r="AK88" s="556">
        <v>50297.872340425529</v>
      </c>
      <c r="AL88" s="557" t="s">
        <v>1542</v>
      </c>
      <c r="AM88" s="557" t="s">
        <v>1542</v>
      </c>
      <c r="AN88" s="557" t="s">
        <v>1542</v>
      </c>
      <c r="AO88" s="557" t="s">
        <v>1542</v>
      </c>
      <c r="AP88" s="557" t="s">
        <v>1542</v>
      </c>
      <c r="AQ88" s="483">
        <v>50298</v>
      </c>
      <c r="AR88" s="482" t="s">
        <v>1542</v>
      </c>
      <c r="AS88" s="482" t="s">
        <v>1542</v>
      </c>
      <c r="AT88" s="482" t="s">
        <v>1542</v>
      </c>
      <c r="AU88" s="482" t="s">
        <v>1542</v>
      </c>
      <c r="AV88" s="482" t="s">
        <v>1542</v>
      </c>
      <c r="AW88" s="483">
        <v>50298</v>
      </c>
      <c r="AX88" s="514" t="str">
        <f t="shared" si="68"/>
        <v>check</v>
      </c>
      <c r="AY88" s="514" t="s">
        <v>1555</v>
      </c>
      <c r="AZ88" s="556">
        <f t="shared" si="66"/>
        <v>50297.872340425529</v>
      </c>
      <c r="BA88" s="557">
        <v>12300</v>
      </c>
      <c r="BB88" s="557">
        <f>11500</f>
        <v>11500</v>
      </c>
      <c r="BC88" s="557">
        <v>12700</v>
      </c>
      <c r="BD88" s="557">
        <f>13200</f>
        <v>13200</v>
      </c>
      <c r="BE88" s="557">
        <f>SUM(BA88:BD88)</f>
        <v>49700</v>
      </c>
      <c r="BF88" s="556">
        <f t="shared" si="61"/>
        <v>50297.872340425529</v>
      </c>
      <c r="BG88" s="557">
        <v>10000</v>
      </c>
      <c r="BH88" s="557">
        <v>11100</v>
      </c>
      <c r="BI88" s="557">
        <v>9300</v>
      </c>
      <c r="BJ88" s="557">
        <v>14700</v>
      </c>
      <c r="BK88" s="557">
        <f>SUM(BG88:BJ88)</f>
        <v>45100</v>
      </c>
      <c r="BL88" s="556">
        <f t="shared" si="56"/>
        <v>50298</v>
      </c>
      <c r="BM88" s="557">
        <v>10625</v>
      </c>
      <c r="BN88" s="557">
        <v>12125</v>
      </c>
      <c r="BO88" s="557">
        <v>11325</v>
      </c>
      <c r="BP88" s="557">
        <v>11025</v>
      </c>
      <c r="BQ88" s="557">
        <f>SUM(BM88:BP88)</f>
        <v>45100</v>
      </c>
      <c r="BR88" s="318" t="s">
        <v>1347</v>
      </c>
      <c r="BS88" s="318"/>
      <c r="BT88" s="318" t="s">
        <v>1342</v>
      </c>
      <c r="BU88" s="318"/>
      <c r="BV88" s="318"/>
      <c r="BW88" s="318"/>
      <c r="BX88" s="318"/>
      <c r="BY88" s="318"/>
      <c r="BZ88" s="318" t="s">
        <v>1499</v>
      </c>
      <c r="CA88" s="465"/>
      <c r="CB88" s="465"/>
      <c r="CC88" s="465"/>
      <c r="CD88" s="465"/>
      <c r="CE88" s="467" t="s">
        <v>1349</v>
      </c>
      <c r="CF88" s="443">
        <v>847.86</v>
      </c>
      <c r="CG88" s="360" t="s">
        <v>461</v>
      </c>
      <c r="CH88" s="430">
        <v>1</v>
      </c>
      <c r="CI88" s="360"/>
      <c r="CJ88" s="360"/>
      <c r="CK88" s="360"/>
      <c r="CL88" s="360"/>
      <c r="CM88" s="360"/>
      <c r="CN88" s="360"/>
      <c r="CO88" s="360"/>
      <c r="CP88" s="360"/>
      <c r="CR88" s="315" t="str">
        <f t="shared" si="62"/>
        <v>Chile</v>
      </c>
      <c r="CS88" s="315" t="str">
        <f t="shared" si="63"/>
        <v>San Pedro de Atacama</v>
      </c>
      <c r="CT88" s="315">
        <v>77</v>
      </c>
      <c r="CU88" s="315" t="s">
        <v>529</v>
      </c>
      <c r="CV88" s="315" t="s">
        <v>552</v>
      </c>
      <c r="CW88" s="315" t="s">
        <v>462</v>
      </c>
      <c r="CX88" s="315" t="s">
        <v>1394</v>
      </c>
      <c r="CY88" s="315" t="str">
        <f t="shared" si="57"/>
        <v>San Pedro de Atacama</v>
      </c>
    </row>
    <row r="89" spans="1:103" s="315" customFormat="1" ht="25" hidden="1" x14ac:dyDescent="0.25">
      <c r="A89" s="403">
        <v>78</v>
      </c>
      <c r="B89" s="313" t="s">
        <v>461</v>
      </c>
      <c r="C89" s="313" t="s">
        <v>529</v>
      </c>
      <c r="D89" s="318" t="s">
        <v>457</v>
      </c>
      <c r="E89" s="318" t="s">
        <v>553</v>
      </c>
      <c r="F89" s="313" t="s">
        <v>462</v>
      </c>
      <c r="G89" s="313" t="s">
        <v>1394</v>
      </c>
      <c r="H89" s="305"/>
      <c r="I89" s="305" t="s">
        <v>954</v>
      </c>
      <c r="J89" s="370">
        <f>K88</f>
        <v>0</v>
      </c>
      <c r="K89" s="370" t="e">
        <f>((70000*18.8%)+(13500*16.6%))/(IF(#REF!="yes",0.188,1))</f>
        <v>#REF!</v>
      </c>
      <c r="L89" s="370" t="e">
        <f>K89-J88</f>
        <v>#REF!</v>
      </c>
      <c r="M89" s="316" t="s">
        <v>483</v>
      </c>
      <c r="N89" s="398">
        <v>2018</v>
      </c>
      <c r="O89" s="398">
        <v>2019</v>
      </c>
      <c r="P89" s="305" t="s">
        <v>463</v>
      </c>
      <c r="Q89" s="305" t="s">
        <v>530</v>
      </c>
      <c r="R89" s="305" t="s">
        <v>531</v>
      </c>
      <c r="S89" s="305" t="s">
        <v>1343</v>
      </c>
      <c r="T89" s="305"/>
      <c r="U89" s="305" t="s">
        <v>528</v>
      </c>
      <c r="V89" s="426">
        <v>0.188</v>
      </c>
      <c r="W89" s="443">
        <v>2.2000000000000002</v>
      </c>
      <c r="X89" s="445"/>
      <c r="Y89" s="317" t="e">
        <f t="shared" si="59"/>
        <v>#REF!</v>
      </c>
      <c r="Z89" s="318">
        <v>5</v>
      </c>
      <c r="AA89" s="318">
        <v>5</v>
      </c>
      <c r="AB89" s="318">
        <v>4</v>
      </c>
      <c r="AC89" s="318">
        <v>5</v>
      </c>
      <c r="AD89" s="458" t="s">
        <v>1339</v>
      </c>
      <c r="AE89" s="483">
        <v>0</v>
      </c>
      <c r="AF89" s="482">
        <v>0</v>
      </c>
      <c r="AG89" s="482">
        <v>0</v>
      </c>
      <c r="AH89" s="482">
        <v>0</v>
      </c>
      <c r="AI89" s="482">
        <v>0</v>
      </c>
      <c r="AJ89" s="482">
        <f>IF(OR(M89="Exploration", M89="Pre-feasibility", O89&gt;2017), 0, "check")</f>
        <v>0</v>
      </c>
      <c r="AK89" s="556">
        <f t="shared" ref="AK89:AP92" si="69">IF(OR($M89="Exploration", $M89="Pre-feasibility", $O89&gt;2018), 0, "check")</f>
        <v>0</v>
      </c>
      <c r="AL89" s="557">
        <f t="shared" si="69"/>
        <v>0</v>
      </c>
      <c r="AM89" s="557">
        <f t="shared" si="69"/>
        <v>0</v>
      </c>
      <c r="AN89" s="557">
        <f t="shared" si="69"/>
        <v>0</v>
      </c>
      <c r="AO89" s="557">
        <f t="shared" si="69"/>
        <v>0</v>
      </c>
      <c r="AP89" s="482">
        <f t="shared" si="69"/>
        <v>0</v>
      </c>
      <c r="AQ89" s="483">
        <v>31622.340425531918</v>
      </c>
      <c r="AR89" s="482" t="s">
        <v>1542</v>
      </c>
      <c r="AS89" s="482" t="s">
        <v>1542</v>
      </c>
      <c r="AT89" s="482" t="s">
        <v>1542</v>
      </c>
      <c r="AU89" s="482" t="s">
        <v>1542</v>
      </c>
      <c r="AV89" s="482" t="s">
        <v>1542</v>
      </c>
      <c r="AW89" s="483">
        <v>31622.340425531918</v>
      </c>
      <c r="AX89" s="514" t="str">
        <f t="shared" si="68"/>
        <v>check</v>
      </c>
      <c r="AY89" s="514" t="s">
        <v>1555</v>
      </c>
      <c r="AZ89" s="556">
        <f t="shared" si="66"/>
        <v>0</v>
      </c>
      <c r="BA89" s="557">
        <v>0</v>
      </c>
      <c r="BB89" s="557">
        <v>0</v>
      </c>
      <c r="BC89" s="557">
        <v>0</v>
      </c>
      <c r="BD89" s="557">
        <v>0</v>
      </c>
      <c r="BE89" s="557">
        <v>0</v>
      </c>
      <c r="BF89" s="556">
        <f t="shared" si="61"/>
        <v>0</v>
      </c>
      <c r="BG89" s="557">
        <v>0</v>
      </c>
      <c r="BH89" s="557">
        <v>0</v>
      </c>
      <c r="BI89" s="557">
        <v>0</v>
      </c>
      <c r="BJ89" s="557">
        <v>0</v>
      </c>
      <c r="BK89" s="557">
        <v>0</v>
      </c>
      <c r="BL89" s="556">
        <f t="shared" si="56"/>
        <v>31622.340425531918</v>
      </c>
      <c r="BM89" s="557" t="s">
        <v>1541</v>
      </c>
      <c r="BN89" s="557" t="s">
        <v>1541</v>
      </c>
      <c r="BO89" s="557" t="s">
        <v>1541</v>
      </c>
      <c r="BP89" s="557" t="s">
        <v>1541</v>
      </c>
      <c r="BQ89" s="557" t="s">
        <v>1541</v>
      </c>
      <c r="BR89" s="318" t="s">
        <v>1347</v>
      </c>
      <c r="BS89" s="318"/>
      <c r="BT89" s="318" t="s">
        <v>1342</v>
      </c>
      <c r="BU89" s="318"/>
      <c r="BV89" s="318"/>
      <c r="BW89" s="318"/>
      <c r="BX89" s="318"/>
      <c r="BY89" s="318"/>
      <c r="BZ89" s="318" t="s">
        <v>1499</v>
      </c>
      <c r="CA89" s="465"/>
      <c r="CB89" s="465"/>
      <c r="CC89" s="465"/>
      <c r="CD89" s="465"/>
      <c r="CE89" s="467" t="s">
        <v>1348</v>
      </c>
      <c r="CF89" s="443">
        <v>847.86</v>
      </c>
      <c r="CG89" s="360" t="s">
        <v>461</v>
      </c>
      <c r="CH89" s="430">
        <v>1</v>
      </c>
      <c r="CI89" s="360"/>
      <c r="CJ89" s="360"/>
      <c r="CK89" s="360"/>
      <c r="CL89" s="360"/>
      <c r="CM89" s="360"/>
      <c r="CN89" s="360"/>
      <c r="CO89" s="360"/>
      <c r="CP89" s="360"/>
      <c r="CR89" s="315" t="str">
        <f t="shared" si="62"/>
        <v>Chile</v>
      </c>
      <c r="CS89" s="315" t="str">
        <f t="shared" si="63"/>
        <v>San Pedro de Atacama</v>
      </c>
      <c r="CT89" s="315">
        <v>78</v>
      </c>
      <c r="CU89" s="315" t="s">
        <v>529</v>
      </c>
      <c r="CV89" s="315" t="s">
        <v>553</v>
      </c>
      <c r="CW89" s="315" t="s">
        <v>462</v>
      </c>
      <c r="CX89" s="315" t="s">
        <v>1394</v>
      </c>
      <c r="CY89" s="315" t="str">
        <f t="shared" si="57"/>
        <v>San Pedro de Atacama</v>
      </c>
    </row>
    <row r="90" spans="1:103" s="315" customFormat="1" ht="25" hidden="1" x14ac:dyDescent="0.25">
      <c r="A90" s="403">
        <v>79</v>
      </c>
      <c r="B90" s="313" t="s">
        <v>461</v>
      </c>
      <c r="C90" s="313" t="s">
        <v>529</v>
      </c>
      <c r="D90" s="318" t="s">
        <v>457</v>
      </c>
      <c r="E90" s="318" t="s">
        <v>556</v>
      </c>
      <c r="F90" s="313" t="s">
        <v>462</v>
      </c>
      <c r="G90" s="313" t="s">
        <v>1394</v>
      </c>
      <c r="H90" s="305"/>
      <c r="I90" s="305" t="s">
        <v>1031</v>
      </c>
      <c r="J90" s="370">
        <v>0</v>
      </c>
      <c r="K90" s="370" t="e">
        <f>((120000*18.8%)+(29500*16.6%))/(IF(#REF!="yes",0.188,1))</f>
        <v>#REF!</v>
      </c>
      <c r="L90" s="370" t="e">
        <f>K90-K89</f>
        <v>#REF!</v>
      </c>
      <c r="M90" s="316" t="s">
        <v>484</v>
      </c>
      <c r="N90" s="398">
        <v>2020</v>
      </c>
      <c r="O90" s="398">
        <v>2022</v>
      </c>
      <c r="P90" s="305" t="s">
        <v>463</v>
      </c>
      <c r="Q90" s="305" t="s">
        <v>530</v>
      </c>
      <c r="R90" s="305" t="s">
        <v>531</v>
      </c>
      <c r="S90" s="305" t="s">
        <v>1343</v>
      </c>
      <c r="T90" s="305"/>
      <c r="U90" s="305" t="s">
        <v>528</v>
      </c>
      <c r="V90" s="426">
        <v>0.188</v>
      </c>
      <c r="W90" s="443">
        <v>2.2000000000000002</v>
      </c>
      <c r="X90" s="445"/>
      <c r="Y90" s="317" t="e">
        <f t="shared" si="59"/>
        <v>#REF!</v>
      </c>
      <c r="Z90" s="318">
        <v>5</v>
      </c>
      <c r="AA90" s="318">
        <v>3</v>
      </c>
      <c r="AB90" s="318">
        <v>4</v>
      </c>
      <c r="AC90" s="318">
        <v>5</v>
      </c>
      <c r="AD90" s="458" t="s">
        <v>1339</v>
      </c>
      <c r="AE90" s="483">
        <v>0</v>
      </c>
      <c r="AF90" s="482">
        <f t="shared" ref="AF90:AJ95" si="70">IF(OR($M90="Exploration", $M90="Pre-feasibility", $O90&gt;2017), 0, "check")</f>
        <v>0</v>
      </c>
      <c r="AG90" s="482">
        <f t="shared" si="70"/>
        <v>0</v>
      </c>
      <c r="AH90" s="482">
        <f t="shared" si="70"/>
        <v>0</v>
      </c>
      <c r="AI90" s="482">
        <f t="shared" si="70"/>
        <v>0</v>
      </c>
      <c r="AJ90" s="482">
        <f t="shared" si="70"/>
        <v>0</v>
      </c>
      <c r="AK90" s="556">
        <f t="shared" si="69"/>
        <v>0</v>
      </c>
      <c r="AL90" s="557">
        <f t="shared" si="69"/>
        <v>0</v>
      </c>
      <c r="AM90" s="557">
        <f t="shared" si="69"/>
        <v>0</v>
      </c>
      <c r="AN90" s="557">
        <f t="shared" si="69"/>
        <v>0</v>
      </c>
      <c r="AO90" s="557">
        <f t="shared" si="69"/>
        <v>0</v>
      </c>
      <c r="AP90" s="482">
        <f t="shared" si="69"/>
        <v>0</v>
      </c>
      <c r="AQ90" s="483">
        <f t="shared" si="54"/>
        <v>0</v>
      </c>
      <c r="AR90" s="482">
        <f t="shared" si="65"/>
        <v>0</v>
      </c>
      <c r="AS90" s="482">
        <f t="shared" si="65"/>
        <v>0</v>
      </c>
      <c r="AT90" s="482">
        <f t="shared" si="65"/>
        <v>0</v>
      </c>
      <c r="AU90" s="482">
        <f t="shared" si="65"/>
        <v>0</v>
      </c>
      <c r="AV90" s="482">
        <f t="shared" si="55"/>
        <v>0</v>
      </c>
      <c r="AW90" s="483">
        <v>0</v>
      </c>
      <c r="AX90" s="514">
        <f t="shared" si="68"/>
        <v>0</v>
      </c>
      <c r="AY90" s="514" t="s">
        <v>1034</v>
      </c>
      <c r="AZ90" s="556">
        <f t="shared" si="66"/>
        <v>0</v>
      </c>
      <c r="BA90" s="557">
        <v>0</v>
      </c>
      <c r="BB90" s="557">
        <v>0</v>
      </c>
      <c r="BC90" s="557">
        <v>0</v>
      </c>
      <c r="BD90" s="557">
        <v>0</v>
      </c>
      <c r="BE90" s="557">
        <v>0</v>
      </c>
      <c r="BF90" s="556">
        <f t="shared" si="61"/>
        <v>0</v>
      </c>
      <c r="BG90" s="557">
        <v>0</v>
      </c>
      <c r="BH90" s="557">
        <v>0</v>
      </c>
      <c r="BI90" s="557">
        <v>0</v>
      </c>
      <c r="BJ90" s="557">
        <v>0</v>
      </c>
      <c r="BK90" s="557">
        <v>0</v>
      </c>
      <c r="BL90" s="556">
        <f t="shared" si="56"/>
        <v>0</v>
      </c>
      <c r="BM90" s="557">
        <v>0</v>
      </c>
      <c r="BN90" s="557">
        <v>0</v>
      </c>
      <c r="BO90" s="557">
        <v>0</v>
      </c>
      <c r="BP90" s="557">
        <v>0</v>
      </c>
      <c r="BQ90" s="557">
        <v>0</v>
      </c>
      <c r="BR90" s="318" t="s">
        <v>1347</v>
      </c>
      <c r="BS90" s="318"/>
      <c r="BT90" s="318"/>
      <c r="BU90" s="318"/>
      <c r="BV90" s="318"/>
      <c r="BW90" s="318"/>
      <c r="BX90" s="318"/>
      <c r="BY90" s="318"/>
      <c r="BZ90" s="318" t="s">
        <v>1499</v>
      </c>
      <c r="CA90" s="465"/>
      <c r="CB90" s="465"/>
      <c r="CC90" s="465"/>
      <c r="CD90" s="465"/>
      <c r="CE90" s="467" t="s">
        <v>1348</v>
      </c>
      <c r="CF90" s="443">
        <v>847.86</v>
      </c>
      <c r="CG90" s="360" t="s">
        <v>461</v>
      </c>
      <c r="CH90" s="430">
        <v>1</v>
      </c>
      <c r="CI90" s="360"/>
      <c r="CJ90" s="360"/>
      <c r="CK90" s="360"/>
      <c r="CL90" s="360"/>
      <c r="CM90" s="360"/>
      <c r="CN90" s="360"/>
      <c r="CO90" s="360"/>
      <c r="CP90" s="360"/>
      <c r="CR90" s="315" t="str">
        <f t="shared" si="62"/>
        <v>Chile</v>
      </c>
      <c r="CS90" s="315" t="str">
        <f t="shared" si="63"/>
        <v>San Pedro de Atacama</v>
      </c>
      <c r="CT90" s="315">
        <v>79</v>
      </c>
      <c r="CU90" s="315" t="s">
        <v>529</v>
      </c>
      <c r="CV90" s="315" t="s">
        <v>556</v>
      </c>
      <c r="CW90" s="315" t="s">
        <v>462</v>
      </c>
      <c r="CX90" s="315" t="s">
        <v>1394</v>
      </c>
      <c r="CY90" s="315" t="str">
        <f t="shared" si="57"/>
        <v>San Pedro de Atacama</v>
      </c>
    </row>
    <row r="91" spans="1:103" s="315" customFormat="1" ht="25" hidden="1" x14ac:dyDescent="0.25">
      <c r="A91" s="403">
        <v>80</v>
      </c>
      <c r="B91" s="313" t="s">
        <v>461</v>
      </c>
      <c r="C91" s="313" t="s">
        <v>529</v>
      </c>
      <c r="D91" s="318" t="s">
        <v>457</v>
      </c>
      <c r="E91" s="318" t="s">
        <v>557</v>
      </c>
      <c r="F91" s="313" t="s">
        <v>462</v>
      </c>
      <c r="G91" s="313" t="s">
        <v>1394</v>
      </c>
      <c r="H91" s="305"/>
      <c r="I91" s="305" t="s">
        <v>1032</v>
      </c>
      <c r="J91" s="370">
        <v>0</v>
      </c>
      <c r="K91" s="370" t="e">
        <f>((180000*18.8%)+(32000*16.6%))/(IF(#REF!="yes",0.188,1))</f>
        <v>#REF!</v>
      </c>
      <c r="L91" s="370" t="e">
        <f>K91-K90</f>
        <v>#REF!</v>
      </c>
      <c r="M91" s="316" t="s">
        <v>619</v>
      </c>
      <c r="N91" s="398">
        <v>2022</v>
      </c>
      <c r="O91" s="398">
        <v>2024</v>
      </c>
      <c r="P91" s="305" t="s">
        <v>463</v>
      </c>
      <c r="Q91" s="305" t="s">
        <v>530</v>
      </c>
      <c r="R91" s="305" t="s">
        <v>531</v>
      </c>
      <c r="S91" s="305" t="s">
        <v>1343</v>
      </c>
      <c r="T91" s="305"/>
      <c r="U91" s="305" t="s">
        <v>528</v>
      </c>
      <c r="V91" s="426">
        <v>0.188</v>
      </c>
      <c r="W91" s="443">
        <v>2.2000000000000002</v>
      </c>
      <c r="X91" s="445"/>
      <c r="Y91" s="317" t="e">
        <f t="shared" si="59"/>
        <v>#REF!</v>
      </c>
      <c r="Z91" s="318">
        <v>5</v>
      </c>
      <c r="AA91" s="318">
        <v>3</v>
      </c>
      <c r="AB91" s="318">
        <v>4</v>
      </c>
      <c r="AC91" s="318">
        <v>5</v>
      </c>
      <c r="AD91" s="458" t="s">
        <v>1339</v>
      </c>
      <c r="AE91" s="483">
        <v>0</v>
      </c>
      <c r="AF91" s="482">
        <f t="shared" si="70"/>
        <v>0</v>
      </c>
      <c r="AG91" s="482">
        <f t="shared" si="70"/>
        <v>0</v>
      </c>
      <c r="AH91" s="482">
        <f t="shared" si="70"/>
        <v>0</v>
      </c>
      <c r="AI91" s="482">
        <f t="shared" si="70"/>
        <v>0</v>
      </c>
      <c r="AJ91" s="482">
        <f t="shared" si="70"/>
        <v>0</v>
      </c>
      <c r="AK91" s="556">
        <f t="shared" si="69"/>
        <v>0</v>
      </c>
      <c r="AL91" s="557">
        <f t="shared" si="69"/>
        <v>0</v>
      </c>
      <c r="AM91" s="557">
        <f t="shared" si="69"/>
        <v>0</v>
      </c>
      <c r="AN91" s="557">
        <f t="shared" si="69"/>
        <v>0</v>
      </c>
      <c r="AO91" s="557">
        <f t="shared" si="69"/>
        <v>0</v>
      </c>
      <c r="AP91" s="482">
        <f t="shared" si="69"/>
        <v>0</v>
      </c>
      <c r="AQ91" s="483">
        <f t="shared" si="54"/>
        <v>0</v>
      </c>
      <c r="AR91" s="482">
        <f t="shared" si="65"/>
        <v>0</v>
      </c>
      <c r="AS91" s="482">
        <f t="shared" si="65"/>
        <v>0</v>
      </c>
      <c r="AT91" s="482">
        <f t="shared" si="65"/>
        <v>0</v>
      </c>
      <c r="AU91" s="482">
        <f t="shared" si="65"/>
        <v>0</v>
      </c>
      <c r="AV91" s="482">
        <f t="shared" si="55"/>
        <v>0</v>
      </c>
      <c r="AW91" s="483">
        <f t="shared" ref="AW90:AW153" si="71">IF(OR(ISBLANK($O91),$O91&gt;2022,$M91="Cancelled",$N91&gt;2020),0,IF($M91="Pre-feasibility",0,IF($O91&lt;2018,$L91,"check")))</f>
        <v>0</v>
      </c>
      <c r="AX91" s="514">
        <f t="shared" si="68"/>
        <v>0</v>
      </c>
      <c r="AY91" s="514" t="s">
        <v>1034</v>
      </c>
      <c r="AZ91" s="556">
        <f t="shared" si="66"/>
        <v>0</v>
      </c>
      <c r="BA91" s="557">
        <v>0</v>
      </c>
      <c r="BB91" s="557">
        <v>0</v>
      </c>
      <c r="BC91" s="557">
        <v>0</v>
      </c>
      <c r="BD91" s="557">
        <v>0</v>
      </c>
      <c r="BE91" s="557">
        <v>0</v>
      </c>
      <c r="BF91" s="556">
        <f t="shared" si="61"/>
        <v>0</v>
      </c>
      <c r="BG91" s="557">
        <v>0</v>
      </c>
      <c r="BH91" s="557">
        <v>0</v>
      </c>
      <c r="BI91" s="557">
        <v>0</v>
      </c>
      <c r="BJ91" s="557">
        <v>0</v>
      </c>
      <c r="BK91" s="557">
        <v>0</v>
      </c>
      <c r="BL91" s="556">
        <f t="shared" si="56"/>
        <v>0</v>
      </c>
      <c r="BM91" s="557">
        <v>0</v>
      </c>
      <c r="BN91" s="557">
        <v>0</v>
      </c>
      <c r="BO91" s="557">
        <v>0</v>
      </c>
      <c r="BP91" s="557">
        <v>0</v>
      </c>
      <c r="BQ91" s="557">
        <v>0</v>
      </c>
      <c r="BR91" s="318" t="s">
        <v>1347</v>
      </c>
      <c r="BS91" s="318"/>
      <c r="BT91" s="318"/>
      <c r="BU91" s="318"/>
      <c r="BV91" s="318"/>
      <c r="BW91" s="318"/>
      <c r="BX91" s="318"/>
      <c r="BY91" s="318"/>
      <c r="BZ91" s="318" t="s">
        <v>1499</v>
      </c>
      <c r="CA91" s="465"/>
      <c r="CB91" s="465"/>
      <c r="CC91" s="465"/>
      <c r="CD91" s="465"/>
      <c r="CE91" s="467" t="s">
        <v>1350</v>
      </c>
      <c r="CF91" s="443">
        <v>847.86</v>
      </c>
      <c r="CG91" s="360" t="s">
        <v>461</v>
      </c>
      <c r="CH91" s="430">
        <v>1</v>
      </c>
      <c r="CI91" s="360"/>
      <c r="CJ91" s="360"/>
      <c r="CK91" s="360"/>
      <c r="CL91" s="360"/>
      <c r="CM91" s="360"/>
      <c r="CN91" s="360"/>
      <c r="CO91" s="360"/>
      <c r="CP91" s="360"/>
      <c r="CR91" s="315" t="str">
        <f t="shared" si="62"/>
        <v>Chile</v>
      </c>
      <c r="CS91" s="315" t="str">
        <f t="shared" si="63"/>
        <v>San Pedro de Atacama</v>
      </c>
      <c r="CT91" s="315">
        <v>80</v>
      </c>
      <c r="CU91" s="315" t="s">
        <v>529</v>
      </c>
      <c r="CV91" s="315" t="s">
        <v>557</v>
      </c>
      <c r="CW91" s="315" t="s">
        <v>462</v>
      </c>
      <c r="CX91" s="315" t="s">
        <v>1394</v>
      </c>
      <c r="CY91" s="315" t="str">
        <f t="shared" si="57"/>
        <v>San Pedro de Atacama</v>
      </c>
    </row>
    <row r="92" spans="1:103" s="315" customFormat="1" ht="13" hidden="1" x14ac:dyDescent="0.25">
      <c r="A92" s="403">
        <v>81</v>
      </c>
      <c r="B92" s="313" t="s">
        <v>924</v>
      </c>
      <c r="C92" s="313" t="s">
        <v>925</v>
      </c>
      <c r="D92" s="318" t="s">
        <v>457</v>
      </c>
      <c r="E92" s="318"/>
      <c r="F92" s="313" t="s">
        <v>462</v>
      </c>
      <c r="G92" s="313" t="s">
        <v>32</v>
      </c>
      <c r="H92" s="305"/>
      <c r="I92" s="305"/>
      <c r="J92" s="370">
        <v>0</v>
      </c>
      <c r="K92" s="370">
        <v>0</v>
      </c>
      <c r="L92" s="370">
        <f t="shared" si="58"/>
        <v>0</v>
      </c>
      <c r="M92" s="316" t="s">
        <v>487</v>
      </c>
      <c r="N92" s="356"/>
      <c r="O92" s="398"/>
      <c r="P92" s="305" t="s">
        <v>463</v>
      </c>
      <c r="Q92" s="304"/>
      <c r="R92" s="305"/>
      <c r="S92" s="305"/>
      <c r="T92" s="305"/>
      <c r="U92" s="305" t="s">
        <v>235</v>
      </c>
      <c r="V92" s="426"/>
      <c r="W92" s="317"/>
      <c r="X92" s="317"/>
      <c r="Y92" s="317" t="str">
        <f t="shared" si="59"/>
        <v/>
      </c>
      <c r="Z92" s="318"/>
      <c r="AA92" s="318"/>
      <c r="AB92" s="318"/>
      <c r="AC92" s="318"/>
      <c r="AD92" s="318" t="s">
        <v>926</v>
      </c>
      <c r="AE92" s="483">
        <v>0</v>
      </c>
      <c r="AF92" s="482">
        <f t="shared" si="70"/>
        <v>0</v>
      </c>
      <c r="AG92" s="482">
        <f t="shared" si="70"/>
        <v>0</v>
      </c>
      <c r="AH92" s="482">
        <f t="shared" si="70"/>
        <v>0</v>
      </c>
      <c r="AI92" s="482">
        <f t="shared" si="70"/>
        <v>0</v>
      </c>
      <c r="AJ92" s="482">
        <f t="shared" si="70"/>
        <v>0</v>
      </c>
      <c r="AK92" s="556">
        <f t="shared" si="69"/>
        <v>0</v>
      </c>
      <c r="AL92" s="557">
        <f t="shared" si="69"/>
        <v>0</v>
      </c>
      <c r="AM92" s="557">
        <f t="shared" si="69"/>
        <v>0</v>
      </c>
      <c r="AN92" s="557">
        <f t="shared" si="69"/>
        <v>0</v>
      </c>
      <c r="AO92" s="557">
        <f t="shared" si="69"/>
        <v>0</v>
      </c>
      <c r="AP92" s="482">
        <f t="shared" si="69"/>
        <v>0</v>
      </c>
      <c r="AQ92" s="483">
        <f t="shared" si="54"/>
        <v>0</v>
      </c>
      <c r="AR92" s="482">
        <f t="shared" si="65"/>
        <v>0</v>
      </c>
      <c r="AS92" s="482">
        <f t="shared" si="65"/>
        <v>0</v>
      </c>
      <c r="AT92" s="482">
        <f t="shared" si="65"/>
        <v>0</v>
      </c>
      <c r="AU92" s="482">
        <f t="shared" si="65"/>
        <v>0</v>
      </c>
      <c r="AV92" s="482">
        <f t="shared" si="55"/>
        <v>0</v>
      </c>
      <c r="AW92" s="483">
        <f t="shared" si="71"/>
        <v>0</v>
      </c>
      <c r="AX92" s="514">
        <f t="shared" si="68"/>
        <v>0</v>
      </c>
      <c r="AY92" s="514" t="s">
        <v>1034</v>
      </c>
      <c r="AZ92" s="556">
        <f t="shared" si="66"/>
        <v>0</v>
      </c>
      <c r="BA92" s="557">
        <v>0</v>
      </c>
      <c r="BB92" s="557">
        <v>0</v>
      </c>
      <c r="BC92" s="557">
        <v>0</v>
      </c>
      <c r="BD92" s="557">
        <v>0</v>
      </c>
      <c r="BE92" s="557">
        <v>0</v>
      </c>
      <c r="BF92" s="556">
        <f t="shared" si="61"/>
        <v>0</v>
      </c>
      <c r="BG92" s="557">
        <v>0</v>
      </c>
      <c r="BH92" s="557">
        <v>0</v>
      </c>
      <c r="BI92" s="557">
        <v>0</v>
      </c>
      <c r="BJ92" s="557">
        <v>0</v>
      </c>
      <c r="BK92" s="557">
        <v>0</v>
      </c>
      <c r="BL92" s="556">
        <f t="shared" si="56"/>
        <v>0</v>
      </c>
      <c r="BM92" s="557">
        <v>0</v>
      </c>
      <c r="BN92" s="557">
        <v>0</v>
      </c>
      <c r="BO92" s="557">
        <v>0</v>
      </c>
      <c r="BP92" s="557">
        <v>0</v>
      </c>
      <c r="BQ92" s="557">
        <v>0</v>
      </c>
      <c r="BR92" s="318"/>
      <c r="BS92" s="318"/>
      <c r="BT92" s="318"/>
      <c r="BU92" s="318"/>
      <c r="BV92" s="318"/>
      <c r="BW92" s="318"/>
      <c r="BX92" s="318"/>
      <c r="BY92" s="318"/>
      <c r="BZ92" s="318"/>
      <c r="CA92" s="318"/>
      <c r="CB92" s="318"/>
      <c r="CC92" s="318"/>
      <c r="CD92" s="318"/>
      <c r="CE92" s="457"/>
      <c r="CF92" s="318"/>
      <c r="CG92" s="360"/>
      <c r="CH92" s="360"/>
      <c r="CI92" s="360"/>
      <c r="CJ92" s="360"/>
      <c r="CK92" s="360"/>
      <c r="CL92" s="360"/>
      <c r="CM92" s="360"/>
      <c r="CN92" s="360"/>
      <c r="CO92" s="360"/>
      <c r="CP92" s="360"/>
      <c r="CR92" s="315" t="str">
        <f t="shared" si="62"/>
        <v>Chile</v>
      </c>
      <c r="CS92" s="315" t="str">
        <f t="shared" si="63"/>
        <v/>
      </c>
      <c r="CT92" s="315">
        <v>81</v>
      </c>
      <c r="CU92" s="315" t="s">
        <v>925</v>
      </c>
      <c r="CW92" s="315" t="s">
        <v>462</v>
      </c>
      <c r="CY92" s="315" t="str">
        <f t="shared" si="57"/>
        <v/>
      </c>
    </row>
    <row r="93" spans="1:103" s="315" customFormat="1" ht="25" hidden="1" x14ac:dyDescent="0.25">
      <c r="A93" s="403">
        <v>82</v>
      </c>
      <c r="B93" s="313" t="s">
        <v>967</v>
      </c>
      <c r="C93" s="313" t="s">
        <v>586</v>
      </c>
      <c r="D93" s="318" t="s">
        <v>457</v>
      </c>
      <c r="E93" s="318" t="s">
        <v>552</v>
      </c>
      <c r="F93" s="313" t="s">
        <v>247</v>
      </c>
      <c r="G93" s="313" t="s">
        <v>1214</v>
      </c>
      <c r="H93" s="387" t="s">
        <v>934</v>
      </c>
      <c r="I93" s="387"/>
      <c r="J93" s="382" t="e">
        <f>150400*V93/(IF(#REF!="yes",0.188,1))</f>
        <v>#REF!</v>
      </c>
      <c r="K93" s="382">
        <v>0</v>
      </c>
      <c r="L93" s="370">
        <v>19200</v>
      </c>
      <c r="M93" s="316" t="s">
        <v>483</v>
      </c>
      <c r="N93" s="398"/>
      <c r="O93" s="398">
        <v>2017</v>
      </c>
      <c r="P93" s="305" t="s">
        <v>519</v>
      </c>
      <c r="Q93" s="354">
        <v>2.4E-2</v>
      </c>
      <c r="R93" s="305"/>
      <c r="S93" s="305"/>
      <c r="T93" s="305" t="s">
        <v>1014</v>
      </c>
      <c r="U93" s="305" t="s">
        <v>528</v>
      </c>
      <c r="V93" s="426">
        <f>6%*40%</f>
        <v>2.4E-2</v>
      </c>
      <c r="W93" s="443" t="e">
        <f>(245*0.75)/#REF!/10^3</f>
        <v>#REF!</v>
      </c>
      <c r="X93" s="445"/>
      <c r="Y93" s="317" t="e">
        <f t="shared" si="59"/>
        <v>#REF!</v>
      </c>
      <c r="Z93" s="318">
        <v>5</v>
      </c>
      <c r="AA93" s="318">
        <v>3</v>
      </c>
      <c r="AB93" s="318">
        <v>4</v>
      </c>
      <c r="AC93" s="318">
        <v>5</v>
      </c>
      <c r="AD93" s="318" t="s">
        <v>679</v>
      </c>
      <c r="AE93" s="483">
        <v>10000</v>
      </c>
      <c r="AF93" s="482" t="s">
        <v>1524</v>
      </c>
      <c r="AG93" s="482" t="s">
        <v>1524</v>
      </c>
      <c r="AH93" s="482" t="s">
        <v>1524</v>
      </c>
      <c r="AI93" s="482" t="s">
        <v>1524</v>
      </c>
      <c r="AJ93" s="482">
        <f>SUM(AF93:AI93)</f>
        <v>0</v>
      </c>
      <c r="AK93" s="556">
        <v>19200</v>
      </c>
      <c r="AL93" s="557" t="s">
        <v>1524</v>
      </c>
      <c r="AM93" s="557" t="s">
        <v>1524</v>
      </c>
      <c r="AN93" s="557" t="s">
        <v>1524</v>
      </c>
      <c r="AO93" s="557" t="s">
        <v>1524</v>
      </c>
      <c r="AP93" s="482">
        <f t="shared" ref="AP93:AP95" si="72">SUM(AL93:AO93)</f>
        <v>0</v>
      </c>
      <c r="AQ93" s="483" t="str">
        <f t="shared" si="54"/>
        <v>check</v>
      </c>
      <c r="AR93" s="482" t="str">
        <f t="shared" si="65"/>
        <v>check</v>
      </c>
      <c r="AS93" s="482" t="str">
        <f t="shared" si="65"/>
        <v>check</v>
      </c>
      <c r="AT93" s="482" t="str">
        <f t="shared" si="65"/>
        <v>check</v>
      </c>
      <c r="AU93" s="482" t="str">
        <f t="shared" si="65"/>
        <v>check</v>
      </c>
      <c r="AV93" s="482" t="s">
        <v>1524</v>
      </c>
      <c r="AW93" s="483">
        <f t="shared" si="71"/>
        <v>19200</v>
      </c>
      <c r="AX93" s="514" t="str">
        <f t="shared" si="68"/>
        <v>check</v>
      </c>
      <c r="AY93" s="514" t="s">
        <v>1555</v>
      </c>
      <c r="AZ93" s="556">
        <f t="shared" si="66"/>
        <v>10000</v>
      </c>
      <c r="BA93" s="557" t="s">
        <v>1524</v>
      </c>
      <c r="BB93" s="557" t="s">
        <v>1524</v>
      </c>
      <c r="BC93" s="557" t="s">
        <v>1524</v>
      </c>
      <c r="BD93" s="557" t="s">
        <v>1524</v>
      </c>
      <c r="BE93" s="557">
        <v>0</v>
      </c>
      <c r="BF93" s="556">
        <f t="shared" si="61"/>
        <v>19200</v>
      </c>
      <c r="BG93" s="557" t="s">
        <v>1524</v>
      </c>
      <c r="BH93" s="557" t="s">
        <v>1524</v>
      </c>
      <c r="BI93" s="557" t="s">
        <v>1524</v>
      </c>
      <c r="BJ93" s="557" t="s">
        <v>1524</v>
      </c>
      <c r="BK93" s="557">
        <v>0</v>
      </c>
      <c r="BL93" s="556" t="str">
        <f t="shared" si="56"/>
        <v>check</v>
      </c>
      <c r="BM93" s="557" t="s">
        <v>1524</v>
      </c>
      <c r="BN93" s="557" t="s">
        <v>1524</v>
      </c>
      <c r="BO93" s="557" t="s">
        <v>1524</v>
      </c>
      <c r="BP93" s="557" t="s">
        <v>1524</v>
      </c>
      <c r="BQ93" s="557" t="s">
        <v>1524</v>
      </c>
      <c r="BR93" s="318"/>
      <c r="BS93" s="318"/>
      <c r="BT93" s="318"/>
      <c r="BU93" s="318"/>
      <c r="BV93" s="318"/>
      <c r="BW93" s="318"/>
      <c r="BX93" s="318"/>
      <c r="BY93" s="318"/>
      <c r="BZ93" s="318" t="s">
        <v>1455</v>
      </c>
      <c r="CA93" s="318"/>
      <c r="CB93" s="318"/>
      <c r="CC93" s="318"/>
      <c r="CD93" s="318"/>
      <c r="CE93" s="457"/>
      <c r="CF93" s="443">
        <f>(191*51%)+(555*49%)</f>
        <v>369.36</v>
      </c>
      <c r="CG93" s="360" t="s">
        <v>471</v>
      </c>
      <c r="CH93" s="430">
        <v>0.51</v>
      </c>
      <c r="CI93" s="360" t="s">
        <v>460</v>
      </c>
      <c r="CJ93" s="430">
        <v>0.49</v>
      </c>
      <c r="CK93" s="360"/>
      <c r="CL93" s="360"/>
      <c r="CM93" s="360"/>
      <c r="CN93" s="360"/>
      <c r="CO93" s="360"/>
      <c r="CP93" s="360"/>
      <c r="CR93" s="315" t="str">
        <f t="shared" si="62"/>
        <v>Australia</v>
      </c>
      <c r="CS93" s="315" t="str">
        <f t="shared" si="63"/>
        <v>Western Australia</v>
      </c>
      <c r="CT93" s="315">
        <v>82</v>
      </c>
      <c r="CU93" s="315" t="s">
        <v>586</v>
      </c>
      <c r="CV93" s="315" t="s">
        <v>552</v>
      </c>
      <c r="CW93" s="315" t="s">
        <v>247</v>
      </c>
      <c r="CX93" s="315" t="s">
        <v>1214</v>
      </c>
      <c r="CY93" s="315" t="str">
        <f t="shared" si="57"/>
        <v>Western Australia</v>
      </c>
    </row>
    <row r="94" spans="1:103" s="315" customFormat="1" ht="13" hidden="1" x14ac:dyDescent="0.25">
      <c r="A94" s="403">
        <v>83</v>
      </c>
      <c r="B94" s="313" t="s">
        <v>967</v>
      </c>
      <c r="C94" s="313" t="s">
        <v>586</v>
      </c>
      <c r="D94" s="318" t="s">
        <v>457</v>
      </c>
      <c r="E94" s="318" t="s">
        <v>553</v>
      </c>
      <c r="F94" s="313" t="s">
        <v>247</v>
      </c>
      <c r="G94" s="313" t="s">
        <v>1214</v>
      </c>
      <c r="H94" s="305"/>
      <c r="I94" s="375" t="s">
        <v>719</v>
      </c>
      <c r="J94" s="370">
        <v>0</v>
      </c>
      <c r="K94" s="370" t="e">
        <f>520000*V94/(IF(#REF!="yes",0.188,1))</f>
        <v>#REF!</v>
      </c>
      <c r="L94" s="370" t="e">
        <f>K94-J93</f>
        <v>#REF!</v>
      </c>
      <c r="M94" s="316" t="s">
        <v>484</v>
      </c>
      <c r="N94" s="398">
        <v>2018</v>
      </c>
      <c r="O94" s="398">
        <v>2020</v>
      </c>
      <c r="P94" s="305" t="s">
        <v>519</v>
      </c>
      <c r="Q94" s="354">
        <v>2.4E-2</v>
      </c>
      <c r="R94" s="305"/>
      <c r="S94" s="305"/>
      <c r="T94" s="305" t="s">
        <v>1014</v>
      </c>
      <c r="U94" s="305" t="s">
        <v>528</v>
      </c>
      <c r="V94" s="426">
        <f>6%*40%</f>
        <v>2.4E-2</v>
      </c>
      <c r="W94" s="443" t="e">
        <f>(245*0.75)/#REF!/10^3</f>
        <v>#REF!</v>
      </c>
      <c r="X94" s="445"/>
      <c r="Y94" s="317" t="e">
        <f t="shared" si="59"/>
        <v>#REF!</v>
      </c>
      <c r="Z94" s="318">
        <v>5</v>
      </c>
      <c r="AA94" s="318">
        <v>3</v>
      </c>
      <c r="AB94" s="318">
        <v>4</v>
      </c>
      <c r="AC94" s="318">
        <v>5</v>
      </c>
      <c r="AD94" s="318" t="s">
        <v>555</v>
      </c>
      <c r="AE94" s="483">
        <v>0</v>
      </c>
      <c r="AF94" s="482">
        <f t="shared" si="70"/>
        <v>0</v>
      </c>
      <c r="AG94" s="482">
        <f t="shared" si="70"/>
        <v>0</v>
      </c>
      <c r="AH94" s="482">
        <f t="shared" si="70"/>
        <v>0</v>
      </c>
      <c r="AI94" s="482">
        <f t="shared" si="70"/>
        <v>0</v>
      </c>
      <c r="AJ94" s="482">
        <f t="shared" ref="AJ94:AJ95" si="73">SUM(AF94:AI94)</f>
        <v>0</v>
      </c>
      <c r="AK94" s="556">
        <f t="shared" ref="AK94:AO95" si="74">IF(OR($M94="Exploration", $M94="Pre-feasibility", $O94&gt;2018), 0, "check")</f>
        <v>0</v>
      </c>
      <c r="AL94" s="557">
        <f t="shared" si="74"/>
        <v>0</v>
      </c>
      <c r="AM94" s="557">
        <f t="shared" si="74"/>
        <v>0</v>
      </c>
      <c r="AN94" s="557">
        <f t="shared" si="74"/>
        <v>0</v>
      </c>
      <c r="AO94" s="557">
        <f t="shared" si="74"/>
        <v>0</v>
      </c>
      <c r="AP94" s="482">
        <f t="shared" si="72"/>
        <v>0</v>
      </c>
      <c r="AQ94" s="483">
        <f t="shared" si="54"/>
        <v>0</v>
      </c>
      <c r="AR94" s="482">
        <f t="shared" si="65"/>
        <v>0</v>
      </c>
      <c r="AS94" s="482">
        <f t="shared" si="65"/>
        <v>0</v>
      </c>
      <c r="AT94" s="482">
        <f t="shared" si="65"/>
        <v>0</v>
      </c>
      <c r="AU94" s="482">
        <f t="shared" si="65"/>
        <v>0</v>
      </c>
      <c r="AV94" s="482">
        <f t="shared" ref="AV94:AV95" si="75">SUM(AR94:AU94)</f>
        <v>0</v>
      </c>
      <c r="AW94" s="483" t="str">
        <f t="shared" si="71"/>
        <v>check</v>
      </c>
      <c r="AX94" s="514" t="str">
        <f t="shared" si="68"/>
        <v>check</v>
      </c>
      <c r="AY94" s="514" t="s">
        <v>1034</v>
      </c>
      <c r="AZ94" s="556">
        <f>AE94</f>
        <v>0</v>
      </c>
      <c r="BA94" s="557">
        <v>0</v>
      </c>
      <c r="BB94" s="557">
        <v>0</v>
      </c>
      <c r="BC94" s="557">
        <v>0</v>
      </c>
      <c r="BD94" s="557">
        <v>0</v>
      </c>
      <c r="BE94" s="557">
        <v>0</v>
      </c>
      <c r="BF94" s="556">
        <f t="shared" si="61"/>
        <v>0</v>
      </c>
      <c r="BG94" s="557">
        <v>0</v>
      </c>
      <c r="BH94" s="557">
        <v>0</v>
      </c>
      <c r="BI94" s="557">
        <v>0</v>
      </c>
      <c r="BJ94" s="557">
        <v>0</v>
      </c>
      <c r="BK94" s="557">
        <v>0</v>
      </c>
      <c r="BL94" s="556">
        <f t="shared" si="56"/>
        <v>0</v>
      </c>
      <c r="BM94" s="557">
        <v>0</v>
      </c>
      <c r="BN94" s="557">
        <v>0</v>
      </c>
      <c r="BO94" s="557">
        <v>0</v>
      </c>
      <c r="BP94" s="557">
        <v>0</v>
      </c>
      <c r="BQ94" s="557">
        <v>0</v>
      </c>
      <c r="BR94" s="318"/>
      <c r="BS94" s="318"/>
      <c r="BT94" s="318"/>
      <c r="BU94" s="318"/>
      <c r="BV94" s="318"/>
      <c r="BW94" s="318"/>
      <c r="BX94" s="318"/>
      <c r="BY94" s="318"/>
      <c r="BZ94" s="318" t="s">
        <v>1455</v>
      </c>
      <c r="CA94" s="318"/>
      <c r="CB94" s="318"/>
      <c r="CC94" s="318"/>
      <c r="CD94" s="318"/>
      <c r="CE94" s="457"/>
      <c r="CF94" s="443">
        <f>(191*51%)+(555*49%)</f>
        <v>369.36</v>
      </c>
      <c r="CG94" s="360" t="s">
        <v>471</v>
      </c>
      <c r="CH94" s="430">
        <v>0.51</v>
      </c>
      <c r="CI94" s="360" t="s">
        <v>460</v>
      </c>
      <c r="CJ94" s="430">
        <v>0.49</v>
      </c>
      <c r="CK94" s="360"/>
      <c r="CL94" s="360"/>
      <c r="CM94" s="360"/>
      <c r="CN94" s="360"/>
      <c r="CO94" s="360"/>
      <c r="CP94" s="360"/>
      <c r="CR94" s="315" t="str">
        <f t="shared" si="62"/>
        <v>Australia</v>
      </c>
      <c r="CS94" s="315" t="str">
        <f t="shared" si="63"/>
        <v>Western Australia</v>
      </c>
      <c r="CT94" s="315">
        <v>83</v>
      </c>
      <c r="CU94" s="315" t="s">
        <v>586</v>
      </c>
      <c r="CV94" s="315" t="s">
        <v>553</v>
      </c>
      <c r="CW94" s="315" t="s">
        <v>247</v>
      </c>
      <c r="CX94" s="315" t="s">
        <v>1214</v>
      </c>
      <c r="CY94" s="315" t="str">
        <f t="shared" si="57"/>
        <v>Western Australia</v>
      </c>
    </row>
    <row r="95" spans="1:103" s="315" customFormat="1" ht="13" hidden="1" x14ac:dyDescent="0.25">
      <c r="A95" s="403">
        <v>84</v>
      </c>
      <c r="B95" s="313" t="s">
        <v>967</v>
      </c>
      <c r="C95" s="313" t="s">
        <v>586</v>
      </c>
      <c r="D95" s="318" t="s">
        <v>457</v>
      </c>
      <c r="E95" s="318" t="s">
        <v>556</v>
      </c>
      <c r="F95" s="313" t="s">
        <v>247</v>
      </c>
      <c r="G95" s="313" t="s">
        <v>1214</v>
      </c>
      <c r="H95" s="305"/>
      <c r="I95" s="305" t="s">
        <v>813</v>
      </c>
      <c r="J95" s="370">
        <v>0</v>
      </c>
      <c r="K95" s="370" t="e">
        <f>750000*V95/(IF(#REF!="yes",0.188,1))</f>
        <v>#REF!</v>
      </c>
      <c r="L95" s="370" t="e">
        <f>K95-K94</f>
        <v>#REF!</v>
      </c>
      <c r="M95" s="316" t="s">
        <v>687</v>
      </c>
      <c r="N95" s="398">
        <v>2021</v>
      </c>
      <c r="O95" s="398">
        <v>2023</v>
      </c>
      <c r="P95" s="305" t="s">
        <v>519</v>
      </c>
      <c r="Q95" s="354">
        <v>2.4E-2</v>
      </c>
      <c r="R95" s="305"/>
      <c r="S95" s="305"/>
      <c r="T95" s="305" t="s">
        <v>1014</v>
      </c>
      <c r="U95" s="305" t="s">
        <v>528</v>
      </c>
      <c r="V95" s="426">
        <f>6%*40%</f>
        <v>2.4E-2</v>
      </c>
      <c r="W95" s="443" t="e">
        <f>(245*0.75)/#REF!/10^3</f>
        <v>#REF!</v>
      </c>
      <c r="X95" s="445"/>
      <c r="Y95" s="317" t="e">
        <f t="shared" si="59"/>
        <v>#REF!</v>
      </c>
      <c r="Z95" s="318">
        <v>5</v>
      </c>
      <c r="AA95" s="318">
        <v>3</v>
      </c>
      <c r="AB95" s="318">
        <v>4</v>
      </c>
      <c r="AC95" s="318">
        <v>5</v>
      </c>
      <c r="AD95" s="318" t="s">
        <v>678</v>
      </c>
      <c r="AE95" s="483">
        <v>0</v>
      </c>
      <c r="AF95" s="482">
        <f t="shared" si="70"/>
        <v>0</v>
      </c>
      <c r="AG95" s="482">
        <f t="shared" si="70"/>
        <v>0</v>
      </c>
      <c r="AH95" s="482">
        <f t="shared" si="70"/>
        <v>0</v>
      </c>
      <c r="AI95" s="482">
        <f t="shared" si="70"/>
        <v>0</v>
      </c>
      <c r="AJ95" s="482">
        <f t="shared" si="73"/>
        <v>0</v>
      </c>
      <c r="AK95" s="556">
        <f t="shared" si="74"/>
        <v>0</v>
      </c>
      <c r="AL95" s="557">
        <f t="shared" si="74"/>
        <v>0</v>
      </c>
      <c r="AM95" s="557">
        <f t="shared" si="74"/>
        <v>0</v>
      </c>
      <c r="AN95" s="557">
        <f t="shared" si="74"/>
        <v>0</v>
      </c>
      <c r="AO95" s="557">
        <f t="shared" si="74"/>
        <v>0</v>
      </c>
      <c r="AP95" s="482">
        <f t="shared" si="72"/>
        <v>0</v>
      </c>
      <c r="AQ95" s="483">
        <f t="shared" si="54"/>
        <v>0</v>
      </c>
      <c r="AR95" s="482">
        <f t="shared" si="65"/>
        <v>0</v>
      </c>
      <c r="AS95" s="482">
        <f t="shared" si="65"/>
        <v>0</v>
      </c>
      <c r="AT95" s="482">
        <f t="shared" si="65"/>
        <v>0</v>
      </c>
      <c r="AU95" s="482">
        <f t="shared" si="65"/>
        <v>0</v>
      </c>
      <c r="AV95" s="482">
        <f t="shared" si="75"/>
        <v>0</v>
      </c>
      <c r="AW95" s="483">
        <f t="shared" si="71"/>
        <v>0</v>
      </c>
      <c r="AX95" s="514">
        <f t="shared" si="68"/>
        <v>0</v>
      </c>
      <c r="AY95" s="514" t="s">
        <v>1034</v>
      </c>
      <c r="AZ95" s="556">
        <f t="shared" ref="AZ95:AZ118" si="76">AE95</f>
        <v>0</v>
      </c>
      <c r="BA95" s="557">
        <v>0</v>
      </c>
      <c r="BB95" s="557">
        <v>0</v>
      </c>
      <c r="BC95" s="557">
        <v>0</v>
      </c>
      <c r="BD95" s="557">
        <v>0</v>
      </c>
      <c r="BE95" s="557">
        <v>0</v>
      </c>
      <c r="BF95" s="556">
        <f t="shared" si="61"/>
        <v>0</v>
      </c>
      <c r="BG95" s="557">
        <v>0</v>
      </c>
      <c r="BH95" s="557">
        <v>0</v>
      </c>
      <c r="BI95" s="557">
        <v>0</v>
      </c>
      <c r="BJ95" s="557">
        <v>0</v>
      </c>
      <c r="BK95" s="557">
        <v>0</v>
      </c>
      <c r="BL95" s="556">
        <f t="shared" si="56"/>
        <v>0</v>
      </c>
      <c r="BM95" s="557">
        <v>0</v>
      </c>
      <c r="BN95" s="557">
        <v>0</v>
      </c>
      <c r="BO95" s="557">
        <v>0</v>
      </c>
      <c r="BP95" s="557">
        <v>0</v>
      </c>
      <c r="BQ95" s="557">
        <v>0</v>
      </c>
      <c r="BR95" s="318"/>
      <c r="BS95" s="318"/>
      <c r="BT95" s="318"/>
      <c r="BU95" s="318"/>
      <c r="BV95" s="318"/>
      <c r="BW95" s="318"/>
      <c r="BX95" s="318"/>
      <c r="BY95" s="318"/>
      <c r="BZ95" s="318" t="s">
        <v>1455</v>
      </c>
      <c r="CA95" s="318"/>
      <c r="CB95" s="318"/>
      <c r="CC95" s="318"/>
      <c r="CD95" s="318"/>
      <c r="CE95" s="457"/>
      <c r="CF95" s="443">
        <f>(191*51%)+(555*49%)</f>
        <v>369.36</v>
      </c>
      <c r="CG95" s="360" t="s">
        <v>471</v>
      </c>
      <c r="CH95" s="430">
        <v>0.51</v>
      </c>
      <c r="CI95" s="360" t="s">
        <v>460</v>
      </c>
      <c r="CJ95" s="430">
        <v>0.49</v>
      </c>
      <c r="CK95" s="360"/>
      <c r="CL95" s="360"/>
      <c r="CM95" s="360"/>
      <c r="CN95" s="360"/>
      <c r="CO95" s="360"/>
      <c r="CP95" s="360"/>
      <c r="CR95" s="315" t="str">
        <f t="shared" si="62"/>
        <v>Australia</v>
      </c>
      <c r="CS95" s="315" t="str">
        <f t="shared" si="63"/>
        <v>Western Australia</v>
      </c>
      <c r="CT95" s="315">
        <v>84</v>
      </c>
      <c r="CU95" s="315" t="s">
        <v>586</v>
      </c>
      <c r="CV95" s="315" t="s">
        <v>556</v>
      </c>
      <c r="CW95" s="315" t="s">
        <v>247</v>
      </c>
      <c r="CX95" s="315" t="s">
        <v>1214</v>
      </c>
      <c r="CY95" s="315" t="str">
        <f t="shared" si="57"/>
        <v>Western Australia</v>
      </c>
    </row>
    <row r="96" spans="1:103" s="315" customFormat="1" ht="19.5" hidden="1" customHeight="1" x14ac:dyDescent="0.25">
      <c r="A96" s="403">
        <v>85</v>
      </c>
      <c r="B96" s="313" t="s">
        <v>546</v>
      </c>
      <c r="C96" s="313" t="s">
        <v>547</v>
      </c>
      <c r="D96" s="318" t="s">
        <v>457</v>
      </c>
      <c r="E96" s="318" t="s">
        <v>552</v>
      </c>
      <c r="F96" s="313" t="s">
        <v>244</v>
      </c>
      <c r="G96" s="313" t="s">
        <v>574</v>
      </c>
      <c r="H96" s="305" t="s">
        <v>536</v>
      </c>
      <c r="I96" s="305"/>
      <c r="J96" s="370" t="e">
        <f>940/(IF(#REF!="yes",0.188,1))</f>
        <v>#REF!</v>
      </c>
      <c r="K96" s="370">
        <v>0</v>
      </c>
      <c r="L96" s="370">
        <v>5000</v>
      </c>
      <c r="M96" s="316" t="s">
        <v>483</v>
      </c>
      <c r="N96" s="398"/>
      <c r="O96" s="398">
        <v>2013</v>
      </c>
      <c r="P96" s="305" t="s">
        <v>463</v>
      </c>
      <c r="Q96" s="305" t="s">
        <v>776</v>
      </c>
      <c r="R96" s="305" t="s">
        <v>1108</v>
      </c>
      <c r="S96" s="305"/>
      <c r="T96" s="305"/>
      <c r="U96" s="305" t="s">
        <v>235</v>
      </c>
      <c r="V96" s="426">
        <v>0.188</v>
      </c>
      <c r="W96" s="443">
        <v>5</v>
      </c>
      <c r="X96" s="445"/>
      <c r="Y96" s="412" t="e">
        <f t="shared" si="59"/>
        <v>#REF!</v>
      </c>
      <c r="Z96" s="318">
        <v>5</v>
      </c>
      <c r="AA96" s="318">
        <v>5</v>
      </c>
      <c r="AB96" s="318">
        <v>2</v>
      </c>
      <c r="AC96" s="318">
        <v>3</v>
      </c>
      <c r="AD96" s="318" t="s">
        <v>772</v>
      </c>
      <c r="AE96" s="483">
        <v>5000</v>
      </c>
      <c r="AF96" s="482" t="s">
        <v>1524</v>
      </c>
      <c r="AG96" s="482" t="s">
        <v>1524</v>
      </c>
      <c r="AH96" s="482" t="s">
        <v>1524</v>
      </c>
      <c r="AI96" s="482" t="s">
        <v>1524</v>
      </c>
      <c r="AJ96" s="482" t="str">
        <f>IF(OR(M96="Exploration", M96="Pre-feasibility", O96&gt;2017), 0, "check")</f>
        <v>check</v>
      </c>
      <c r="AK96" s="556">
        <v>5000</v>
      </c>
      <c r="AL96" s="557" t="s">
        <v>1524</v>
      </c>
      <c r="AM96" s="557" t="s">
        <v>1524</v>
      </c>
      <c r="AN96" s="557" t="s">
        <v>1524</v>
      </c>
      <c r="AO96" s="557" t="s">
        <v>1524</v>
      </c>
      <c r="AP96" s="482" t="str">
        <f>IF(OR(M96="Exploration", M96="Pre-feasibility", O96&gt;2018), 0, "check")</f>
        <v>check</v>
      </c>
      <c r="AQ96" s="483" t="str">
        <f t="shared" si="54"/>
        <v>check</v>
      </c>
      <c r="AR96" s="482" t="str">
        <f t="shared" si="65"/>
        <v>check</v>
      </c>
      <c r="AS96" s="482" t="str">
        <f t="shared" si="65"/>
        <v>check</v>
      </c>
      <c r="AT96" s="482" t="str">
        <f t="shared" si="65"/>
        <v>check</v>
      </c>
      <c r="AU96" s="482" t="str">
        <f t="shared" si="65"/>
        <v>check</v>
      </c>
      <c r="AV96" s="482" t="str">
        <f t="shared" si="55"/>
        <v>check</v>
      </c>
      <c r="AW96" s="483">
        <f t="shared" si="71"/>
        <v>5000</v>
      </c>
      <c r="AX96" s="514" t="str">
        <f t="shared" si="68"/>
        <v>check</v>
      </c>
      <c r="AY96" s="514" t="s">
        <v>1524</v>
      </c>
      <c r="AZ96" s="556">
        <f t="shared" si="76"/>
        <v>5000</v>
      </c>
      <c r="BA96" s="557" t="s">
        <v>1524</v>
      </c>
      <c r="BB96" s="557" t="s">
        <v>1524</v>
      </c>
      <c r="BC96" s="557" t="s">
        <v>1524</v>
      </c>
      <c r="BD96" s="557" t="s">
        <v>1524</v>
      </c>
      <c r="BE96" s="557" t="s">
        <v>1524</v>
      </c>
      <c r="BF96" s="556">
        <f t="shared" si="61"/>
        <v>5000</v>
      </c>
      <c r="BG96" s="557" t="s">
        <v>1524</v>
      </c>
      <c r="BH96" s="557" t="s">
        <v>1524</v>
      </c>
      <c r="BI96" s="557" t="s">
        <v>1524</v>
      </c>
      <c r="BJ96" s="557" t="s">
        <v>1524</v>
      </c>
      <c r="BK96" s="557" t="s">
        <v>1524</v>
      </c>
      <c r="BL96" s="556" t="str">
        <f t="shared" si="56"/>
        <v>check</v>
      </c>
      <c r="BM96" s="557" t="s">
        <v>1524</v>
      </c>
      <c r="BN96" s="557" t="s">
        <v>1524</v>
      </c>
      <c r="BO96" s="557" t="s">
        <v>1524</v>
      </c>
      <c r="BP96" s="557" t="s">
        <v>1524</v>
      </c>
      <c r="BQ96" s="557" t="s">
        <v>1524</v>
      </c>
      <c r="BR96" s="318"/>
      <c r="BS96" s="318"/>
      <c r="BT96" s="318"/>
      <c r="BU96" s="318"/>
      <c r="BV96" s="318"/>
      <c r="BW96" s="318"/>
      <c r="BX96" s="318"/>
      <c r="BY96" s="318"/>
      <c r="BZ96" s="318" t="s">
        <v>1496</v>
      </c>
      <c r="CA96" s="318"/>
      <c r="CB96" s="318"/>
      <c r="CC96" s="318"/>
      <c r="CD96" s="318"/>
      <c r="CE96" s="457"/>
      <c r="CF96" s="443"/>
      <c r="CG96" s="360"/>
      <c r="CH96" s="360"/>
      <c r="CI96" s="360"/>
      <c r="CJ96" s="360"/>
      <c r="CK96" s="360"/>
      <c r="CL96" s="360"/>
      <c r="CM96" s="360"/>
      <c r="CN96" s="360"/>
      <c r="CO96" s="360"/>
      <c r="CP96" s="360"/>
      <c r="CR96" s="315" t="str">
        <f t="shared" si="62"/>
        <v>China</v>
      </c>
      <c r="CS96" s="315" t="str">
        <f t="shared" si="63"/>
        <v>Tibet</v>
      </c>
      <c r="CT96" s="315">
        <v>85</v>
      </c>
      <c r="CU96" s="315" t="s">
        <v>547</v>
      </c>
      <c r="CV96" s="315" t="s">
        <v>552</v>
      </c>
      <c r="CW96" s="315" t="s">
        <v>244</v>
      </c>
      <c r="CX96" s="315" t="s">
        <v>574</v>
      </c>
      <c r="CY96" s="315" t="str">
        <f t="shared" si="57"/>
        <v>Tibet</v>
      </c>
    </row>
    <row r="97" spans="1:103" s="315" customFormat="1" ht="19.5" hidden="1" customHeight="1" x14ac:dyDescent="0.25">
      <c r="A97" s="403">
        <v>86</v>
      </c>
      <c r="B97" s="313" t="s">
        <v>723</v>
      </c>
      <c r="C97" s="313" t="s">
        <v>577</v>
      </c>
      <c r="D97" s="318" t="s">
        <v>457</v>
      </c>
      <c r="E97" s="318" t="s">
        <v>552</v>
      </c>
      <c r="F97" s="313" t="s">
        <v>244</v>
      </c>
      <c r="G97" s="313" t="s">
        <v>548</v>
      </c>
      <c r="H97" s="305" t="s">
        <v>536</v>
      </c>
      <c r="I97" s="305"/>
      <c r="J97" s="370" t="e">
        <f>20000*V97/(IF(#REF!="yes",0.188,1))</f>
        <v>#REF!</v>
      </c>
      <c r="K97" s="370" t="e">
        <f>0/(IF(#REF!="yes",0.188,1))</f>
        <v>#REF!</v>
      </c>
      <c r="L97" s="370">
        <v>20000</v>
      </c>
      <c r="M97" s="316" t="s">
        <v>483</v>
      </c>
      <c r="N97" s="356"/>
      <c r="O97" s="398">
        <v>2015</v>
      </c>
      <c r="P97" s="305" t="s">
        <v>463</v>
      </c>
      <c r="Q97" s="305" t="s">
        <v>778</v>
      </c>
      <c r="R97" s="305" t="s">
        <v>1106</v>
      </c>
      <c r="S97" s="305"/>
      <c r="T97" s="305"/>
      <c r="U97" s="305" t="s">
        <v>528</v>
      </c>
      <c r="V97" s="426">
        <v>0.188</v>
      </c>
      <c r="W97" s="443">
        <v>4.5</v>
      </c>
      <c r="X97" s="445"/>
      <c r="Y97" s="317" t="e">
        <f t="shared" si="59"/>
        <v>#REF!</v>
      </c>
      <c r="Z97" s="318">
        <v>5</v>
      </c>
      <c r="AA97" s="318">
        <v>4</v>
      </c>
      <c r="AB97" s="318">
        <v>2</v>
      </c>
      <c r="AC97" s="318">
        <v>5</v>
      </c>
      <c r="AD97" s="318" t="s">
        <v>772</v>
      </c>
      <c r="AE97" s="483">
        <v>20000</v>
      </c>
      <c r="AF97" s="482" t="s">
        <v>1524</v>
      </c>
      <c r="AG97" s="482" t="s">
        <v>1524</v>
      </c>
      <c r="AH97" s="482" t="s">
        <v>1524</v>
      </c>
      <c r="AI97" s="482" t="s">
        <v>1524</v>
      </c>
      <c r="AJ97" s="482" t="str">
        <f>IF(OR(M97="Exploration", M97="Pre-feasibility", O97&gt;2017), 0, "check")</f>
        <v>check</v>
      </c>
      <c r="AK97" s="556">
        <v>20000</v>
      </c>
      <c r="AL97" s="557" t="s">
        <v>1524</v>
      </c>
      <c r="AM97" s="557" t="s">
        <v>1524</v>
      </c>
      <c r="AN97" s="557" t="s">
        <v>1524</v>
      </c>
      <c r="AO97" s="557" t="s">
        <v>1524</v>
      </c>
      <c r="AP97" s="482" t="str">
        <f>IF(OR(M97="Exploration", M97="Pre-feasibility", O97&gt;2018), 0, "check")</f>
        <v>check</v>
      </c>
      <c r="AQ97" s="483">
        <v>20000</v>
      </c>
      <c r="AR97" s="482" t="str">
        <f t="shared" si="65"/>
        <v>check</v>
      </c>
      <c r="AS97" s="482" t="str">
        <f t="shared" si="65"/>
        <v>check</v>
      </c>
      <c r="AT97" s="482" t="str">
        <f t="shared" si="65"/>
        <v>check</v>
      </c>
      <c r="AU97" s="482" t="str">
        <f t="shared" si="65"/>
        <v>check</v>
      </c>
      <c r="AV97" s="482" t="str">
        <f t="shared" si="55"/>
        <v>check</v>
      </c>
      <c r="AW97" s="483">
        <f t="shared" si="71"/>
        <v>20000</v>
      </c>
      <c r="AX97" s="514" t="str">
        <f t="shared" si="68"/>
        <v>check</v>
      </c>
      <c r="AY97" s="514" t="s">
        <v>1524</v>
      </c>
      <c r="AZ97" s="556">
        <f t="shared" si="76"/>
        <v>20000</v>
      </c>
      <c r="BA97" s="557" t="s">
        <v>1524</v>
      </c>
      <c r="BB97" s="557" t="s">
        <v>1524</v>
      </c>
      <c r="BC97" s="557" t="s">
        <v>1524</v>
      </c>
      <c r="BD97" s="557" t="s">
        <v>1524</v>
      </c>
      <c r="BE97" s="557" t="s">
        <v>1524</v>
      </c>
      <c r="BF97" s="556">
        <f t="shared" si="61"/>
        <v>20000</v>
      </c>
      <c r="BG97" s="557" t="s">
        <v>1524</v>
      </c>
      <c r="BH97" s="557" t="s">
        <v>1524</v>
      </c>
      <c r="BI97" s="557" t="s">
        <v>1524</v>
      </c>
      <c r="BJ97" s="557" t="s">
        <v>1524</v>
      </c>
      <c r="BK97" s="557" t="s">
        <v>1524</v>
      </c>
      <c r="BL97" s="556">
        <f t="shared" si="56"/>
        <v>20000</v>
      </c>
      <c r="BM97" s="557" t="s">
        <v>1524</v>
      </c>
      <c r="BN97" s="557" t="s">
        <v>1524</v>
      </c>
      <c r="BO97" s="557" t="s">
        <v>1524</v>
      </c>
      <c r="BP97" s="557" t="s">
        <v>1524</v>
      </c>
      <c r="BQ97" s="557" t="s">
        <v>1524</v>
      </c>
      <c r="BR97" s="318"/>
      <c r="BS97" s="318"/>
      <c r="BT97" s="318"/>
      <c r="BU97" s="318"/>
      <c r="BV97" s="318"/>
      <c r="BW97" s="318"/>
      <c r="BX97" s="318"/>
      <c r="BY97" s="318"/>
      <c r="BZ97" s="318" t="s">
        <v>1497</v>
      </c>
      <c r="CA97" s="318"/>
      <c r="CB97" s="318"/>
      <c r="CC97" s="318"/>
      <c r="CD97" s="318"/>
      <c r="CE97" s="457"/>
      <c r="CF97" s="443">
        <v>1953</v>
      </c>
      <c r="CG97" s="360" t="s">
        <v>1202</v>
      </c>
      <c r="CH97" s="430">
        <v>1</v>
      </c>
      <c r="CI97" s="360"/>
      <c r="CJ97" s="360"/>
      <c r="CK97" s="360"/>
      <c r="CL97" s="360"/>
      <c r="CM97" s="360"/>
      <c r="CN97" s="360"/>
      <c r="CO97" s="360"/>
      <c r="CP97" s="360"/>
      <c r="CR97" s="315" t="str">
        <f t="shared" si="62"/>
        <v>China</v>
      </c>
      <c r="CS97" s="315" t="str">
        <f t="shared" si="63"/>
        <v>Qinghai</v>
      </c>
      <c r="CT97" s="315">
        <v>86</v>
      </c>
      <c r="CU97" s="315" t="s">
        <v>577</v>
      </c>
      <c r="CW97" s="315" t="s">
        <v>244</v>
      </c>
      <c r="CX97" s="315" t="s">
        <v>548</v>
      </c>
      <c r="CY97" s="315" t="str">
        <f t="shared" si="57"/>
        <v>Qinghai</v>
      </c>
    </row>
    <row r="98" spans="1:103" s="315" customFormat="1" ht="13" hidden="1" x14ac:dyDescent="0.25">
      <c r="A98" s="403">
        <v>87</v>
      </c>
      <c r="B98" s="313" t="s">
        <v>485</v>
      </c>
      <c r="C98" s="313" t="s">
        <v>1547</v>
      </c>
      <c r="D98" s="318" t="s">
        <v>457</v>
      </c>
      <c r="E98" s="318"/>
      <c r="F98" s="313" t="s">
        <v>395</v>
      </c>
      <c r="G98" s="313" t="s">
        <v>1402</v>
      </c>
      <c r="H98" s="305"/>
      <c r="I98" s="305"/>
      <c r="J98" s="370">
        <v>0</v>
      </c>
      <c r="K98" s="370">
        <v>0</v>
      </c>
      <c r="L98" s="370">
        <f t="shared" si="58"/>
        <v>0</v>
      </c>
      <c r="M98" s="316" t="s">
        <v>487</v>
      </c>
      <c r="N98" s="356"/>
      <c r="O98" s="398"/>
      <c r="P98" s="305" t="s">
        <v>474</v>
      </c>
      <c r="Q98" s="304"/>
      <c r="R98" s="305"/>
      <c r="S98" s="305"/>
      <c r="T98" s="305"/>
      <c r="U98" s="305" t="s">
        <v>235</v>
      </c>
      <c r="V98" s="426"/>
      <c r="W98" s="317"/>
      <c r="X98" s="317"/>
      <c r="Y98" s="317" t="str">
        <f t="shared" si="59"/>
        <v/>
      </c>
      <c r="Z98" s="318"/>
      <c r="AA98" s="318"/>
      <c r="AB98" s="318"/>
      <c r="AC98" s="318"/>
      <c r="AD98" s="318"/>
      <c r="AE98" s="483">
        <f t="shared" ref="AE98:AJ113" si="77">IF(OR($M98="Exploration", $M98="Pre-feasibility", $O98&gt;2017), 0, "check")</f>
        <v>0</v>
      </c>
      <c r="AF98" s="482">
        <f t="shared" si="77"/>
        <v>0</v>
      </c>
      <c r="AG98" s="482">
        <f t="shared" si="77"/>
        <v>0</v>
      </c>
      <c r="AH98" s="482">
        <f t="shared" si="77"/>
        <v>0</v>
      </c>
      <c r="AI98" s="482">
        <f t="shared" si="77"/>
        <v>0</v>
      </c>
      <c r="AJ98" s="482">
        <f t="shared" si="77"/>
        <v>0</v>
      </c>
      <c r="AK98" s="556">
        <f t="shared" ref="AK98:AP118" si="78">IF(OR($M98="Exploration", $M98="Pre-feasibility", $O98&gt;2018), 0, "check")</f>
        <v>0</v>
      </c>
      <c r="AL98" s="557">
        <f t="shared" si="78"/>
        <v>0</v>
      </c>
      <c r="AM98" s="557">
        <f t="shared" si="78"/>
        <v>0</v>
      </c>
      <c r="AN98" s="557">
        <f t="shared" si="78"/>
        <v>0</v>
      </c>
      <c r="AO98" s="557">
        <f t="shared" si="78"/>
        <v>0</v>
      </c>
      <c r="AP98" s="482">
        <f t="shared" si="78"/>
        <v>0</v>
      </c>
      <c r="AQ98" s="483">
        <f t="shared" si="54"/>
        <v>0</v>
      </c>
      <c r="AR98" s="482">
        <f t="shared" si="65"/>
        <v>0</v>
      </c>
      <c r="AS98" s="482">
        <f t="shared" si="65"/>
        <v>0</v>
      </c>
      <c r="AT98" s="482">
        <f t="shared" si="65"/>
        <v>0</v>
      </c>
      <c r="AU98" s="482">
        <f t="shared" si="65"/>
        <v>0</v>
      </c>
      <c r="AV98" s="482">
        <f t="shared" si="55"/>
        <v>0</v>
      </c>
      <c r="AW98" s="483">
        <f t="shared" si="71"/>
        <v>0</v>
      </c>
      <c r="AX98" s="514">
        <f t="shared" si="68"/>
        <v>0</v>
      </c>
      <c r="AY98" s="514" t="s">
        <v>1034</v>
      </c>
      <c r="AZ98" s="556">
        <f t="shared" si="76"/>
        <v>0</v>
      </c>
      <c r="BA98" s="557">
        <v>0</v>
      </c>
      <c r="BB98" s="557">
        <v>0</v>
      </c>
      <c r="BC98" s="557">
        <v>0</v>
      </c>
      <c r="BD98" s="557">
        <v>0</v>
      </c>
      <c r="BE98" s="557">
        <v>0</v>
      </c>
      <c r="BF98" s="556">
        <f t="shared" si="61"/>
        <v>0</v>
      </c>
      <c r="BG98" s="557">
        <v>0</v>
      </c>
      <c r="BH98" s="557">
        <v>0</v>
      </c>
      <c r="BI98" s="557">
        <v>0</v>
      </c>
      <c r="BJ98" s="557">
        <v>0</v>
      </c>
      <c r="BK98" s="557">
        <v>0</v>
      </c>
      <c r="BL98" s="556">
        <f t="shared" si="56"/>
        <v>0</v>
      </c>
      <c r="BM98" s="557">
        <v>0</v>
      </c>
      <c r="BN98" s="557">
        <v>0</v>
      </c>
      <c r="BO98" s="557">
        <v>0</v>
      </c>
      <c r="BP98" s="557">
        <v>0</v>
      </c>
      <c r="BQ98" s="557">
        <v>0</v>
      </c>
      <c r="BR98" s="318"/>
      <c r="BS98" s="318"/>
      <c r="BT98" s="318"/>
      <c r="BU98" s="318"/>
      <c r="BV98" s="318"/>
      <c r="BW98" s="318"/>
      <c r="BX98" s="318"/>
      <c r="BY98" s="318"/>
      <c r="BZ98" s="318"/>
      <c r="CA98" s="318"/>
      <c r="CB98" s="318"/>
      <c r="CC98" s="318"/>
      <c r="CD98" s="318"/>
      <c r="CE98" s="457"/>
      <c r="CF98" s="318"/>
      <c r="CG98" s="360"/>
      <c r="CH98" s="360"/>
      <c r="CI98" s="360"/>
      <c r="CJ98" s="360"/>
      <c r="CK98" s="360"/>
      <c r="CL98" s="360"/>
      <c r="CM98" s="360"/>
      <c r="CN98" s="360"/>
      <c r="CO98" s="360"/>
      <c r="CP98" s="360"/>
      <c r="CR98" s="315" t="str">
        <f t="shared" si="62"/>
        <v>U.S.</v>
      </c>
      <c r="CS98" s="315" t="str">
        <f t="shared" si="63"/>
        <v>Utah</v>
      </c>
      <c r="CT98" s="315">
        <v>87</v>
      </c>
      <c r="CU98" s="315" t="s">
        <v>699</v>
      </c>
      <c r="CW98" s="315" t="s">
        <v>395</v>
      </c>
      <c r="CX98" s="315" t="s">
        <v>1402</v>
      </c>
      <c r="CY98" s="315" t="str">
        <f t="shared" si="57"/>
        <v>Utah</v>
      </c>
    </row>
    <row r="99" spans="1:103" s="315" customFormat="1" ht="13" hidden="1" x14ac:dyDescent="0.25">
      <c r="A99" s="403">
        <v>88</v>
      </c>
      <c r="B99" s="313" t="s">
        <v>883</v>
      </c>
      <c r="C99" s="313" t="s">
        <v>884</v>
      </c>
      <c r="D99" s="318" t="s">
        <v>457</v>
      </c>
      <c r="E99" s="318"/>
      <c r="F99" s="313" t="s">
        <v>486</v>
      </c>
      <c r="G99" s="313" t="s">
        <v>32</v>
      </c>
      <c r="H99" s="305"/>
      <c r="I99" s="305" t="s">
        <v>885</v>
      </c>
      <c r="J99" s="370">
        <v>0</v>
      </c>
      <c r="K99" s="370" t="e">
        <f>362000*V99/(IF(#REF!="yes",0.188,1))</f>
        <v>#REF!</v>
      </c>
      <c r="L99" s="370" t="e">
        <f t="shared" si="58"/>
        <v>#REF!</v>
      </c>
      <c r="M99" s="316" t="s">
        <v>619</v>
      </c>
      <c r="N99" s="398">
        <v>2021</v>
      </c>
      <c r="O99" s="398">
        <v>2022</v>
      </c>
      <c r="P99" s="305" t="s">
        <v>519</v>
      </c>
      <c r="Q99" s="354">
        <v>1.5599999999999999E-2</v>
      </c>
      <c r="R99" s="305"/>
      <c r="S99" s="305"/>
      <c r="T99" s="305" t="s">
        <v>1015</v>
      </c>
      <c r="U99" s="305" t="s">
        <v>528</v>
      </c>
      <c r="V99" s="426">
        <f>6%*40%</f>
        <v>2.4E-2</v>
      </c>
      <c r="W99" s="443" t="e">
        <f>(425*0.75)/#REF!/10^3</f>
        <v>#REF!</v>
      </c>
      <c r="X99" s="445"/>
      <c r="Y99" s="317" t="e">
        <f t="shared" si="59"/>
        <v>#REF!</v>
      </c>
      <c r="Z99" s="318">
        <v>3</v>
      </c>
      <c r="AA99" s="318">
        <v>2</v>
      </c>
      <c r="AB99" s="318">
        <v>2</v>
      </c>
      <c r="AC99" s="318">
        <v>1</v>
      </c>
      <c r="AD99" s="318" t="s">
        <v>908</v>
      </c>
      <c r="AE99" s="483">
        <f t="shared" si="77"/>
        <v>0</v>
      </c>
      <c r="AF99" s="482">
        <f t="shared" si="77"/>
        <v>0</v>
      </c>
      <c r="AG99" s="482">
        <f t="shared" si="77"/>
        <v>0</v>
      </c>
      <c r="AH99" s="482">
        <f t="shared" si="77"/>
        <v>0</v>
      </c>
      <c r="AI99" s="482">
        <f t="shared" si="77"/>
        <v>0</v>
      </c>
      <c r="AJ99" s="482">
        <f t="shared" si="77"/>
        <v>0</v>
      </c>
      <c r="AK99" s="556">
        <f t="shared" si="78"/>
        <v>0</v>
      </c>
      <c r="AL99" s="557">
        <f t="shared" si="78"/>
        <v>0</v>
      </c>
      <c r="AM99" s="557">
        <f t="shared" si="78"/>
        <v>0</v>
      </c>
      <c r="AN99" s="557">
        <f t="shared" si="78"/>
        <v>0</v>
      </c>
      <c r="AO99" s="557">
        <f t="shared" si="78"/>
        <v>0</v>
      </c>
      <c r="AP99" s="482">
        <f t="shared" si="78"/>
        <v>0</v>
      </c>
      <c r="AQ99" s="483">
        <f t="shared" si="54"/>
        <v>0</v>
      </c>
      <c r="AR99" s="482">
        <f t="shared" si="65"/>
        <v>0</v>
      </c>
      <c r="AS99" s="482">
        <f t="shared" si="65"/>
        <v>0</v>
      </c>
      <c r="AT99" s="482">
        <f t="shared" si="65"/>
        <v>0</v>
      </c>
      <c r="AU99" s="482">
        <f t="shared" si="65"/>
        <v>0</v>
      </c>
      <c r="AV99" s="482">
        <f t="shared" si="55"/>
        <v>0</v>
      </c>
      <c r="AW99" s="483">
        <f t="shared" si="71"/>
        <v>0</v>
      </c>
      <c r="AX99" s="514">
        <f t="shared" si="68"/>
        <v>0</v>
      </c>
      <c r="AY99" s="514" t="s">
        <v>1034</v>
      </c>
      <c r="AZ99" s="556">
        <f t="shared" si="76"/>
        <v>0</v>
      </c>
      <c r="BA99" s="557">
        <v>0</v>
      </c>
      <c r="BB99" s="557">
        <v>0</v>
      </c>
      <c r="BC99" s="557">
        <v>0</v>
      </c>
      <c r="BD99" s="557">
        <v>0</v>
      </c>
      <c r="BE99" s="557">
        <v>0</v>
      </c>
      <c r="BF99" s="556">
        <f t="shared" si="61"/>
        <v>0</v>
      </c>
      <c r="BG99" s="557">
        <v>0</v>
      </c>
      <c r="BH99" s="557">
        <v>0</v>
      </c>
      <c r="BI99" s="557">
        <v>0</v>
      </c>
      <c r="BJ99" s="557">
        <v>0</v>
      </c>
      <c r="BK99" s="557">
        <v>0</v>
      </c>
      <c r="BL99" s="556">
        <f t="shared" si="56"/>
        <v>0</v>
      </c>
      <c r="BM99" s="557">
        <v>0</v>
      </c>
      <c r="BN99" s="557">
        <v>0</v>
      </c>
      <c r="BO99" s="557">
        <v>0</v>
      </c>
      <c r="BP99" s="557">
        <v>0</v>
      </c>
      <c r="BQ99" s="557">
        <v>0</v>
      </c>
      <c r="BR99" s="318"/>
      <c r="BS99" s="318"/>
      <c r="BT99" s="318"/>
      <c r="BU99" s="318"/>
      <c r="BV99" s="318"/>
      <c r="BW99" s="318"/>
      <c r="BX99" s="318"/>
      <c r="BY99" s="318"/>
      <c r="BZ99" s="318" t="s">
        <v>1500</v>
      </c>
      <c r="CA99" s="318"/>
      <c r="CB99" s="318"/>
      <c r="CC99" s="318"/>
      <c r="CD99" s="318"/>
      <c r="CE99" s="457"/>
      <c r="CF99" s="443"/>
      <c r="CG99" s="360" t="s">
        <v>883</v>
      </c>
      <c r="CH99" s="430">
        <v>1</v>
      </c>
      <c r="CI99" s="360"/>
      <c r="CJ99" s="360"/>
      <c r="CK99" s="360"/>
      <c r="CL99" s="360"/>
      <c r="CM99" s="360"/>
      <c r="CN99" s="360"/>
      <c r="CO99" s="360"/>
      <c r="CP99" s="360"/>
      <c r="CR99" s="315" t="str">
        <f t="shared" si="62"/>
        <v>Mali</v>
      </c>
      <c r="CS99" s="315" t="str">
        <f t="shared" si="63"/>
        <v/>
      </c>
      <c r="CT99" s="315">
        <v>88</v>
      </c>
      <c r="CU99" s="315" t="s">
        <v>884</v>
      </c>
      <c r="CW99" s="315" t="s">
        <v>486</v>
      </c>
      <c r="CY99" s="315" t="str">
        <f t="shared" si="57"/>
        <v/>
      </c>
    </row>
    <row r="100" spans="1:103" s="315" customFormat="1" ht="12.75" hidden="1" customHeight="1" x14ac:dyDescent="0.25">
      <c r="A100" s="403">
        <v>89</v>
      </c>
      <c r="B100" s="313" t="s">
        <v>488</v>
      </c>
      <c r="C100" s="313" t="s">
        <v>701</v>
      </c>
      <c r="D100" s="318" t="s">
        <v>457</v>
      </c>
      <c r="E100" s="318"/>
      <c r="F100" s="313" t="s">
        <v>397</v>
      </c>
      <c r="G100" s="313" t="s">
        <v>1403</v>
      </c>
      <c r="H100" s="305"/>
      <c r="I100" s="305"/>
      <c r="J100" s="370">
        <v>0</v>
      </c>
      <c r="K100" s="370">
        <v>0</v>
      </c>
      <c r="L100" s="370">
        <f t="shared" si="58"/>
        <v>0</v>
      </c>
      <c r="M100" s="316" t="s">
        <v>487</v>
      </c>
      <c r="N100" s="356"/>
      <c r="O100" s="398"/>
      <c r="P100" s="305"/>
      <c r="Q100" s="304"/>
      <c r="R100" s="305"/>
      <c r="S100" s="305"/>
      <c r="T100" s="305"/>
      <c r="U100" s="305" t="s">
        <v>235</v>
      </c>
      <c r="V100" s="426"/>
      <c r="W100" s="317"/>
      <c r="X100" s="317"/>
      <c r="Y100" s="317" t="str">
        <f t="shared" si="59"/>
        <v/>
      </c>
      <c r="Z100" s="318"/>
      <c r="AA100" s="318"/>
      <c r="AB100" s="318"/>
      <c r="AC100" s="318"/>
      <c r="AD100" s="318"/>
      <c r="AE100" s="483">
        <f t="shared" si="77"/>
        <v>0</v>
      </c>
      <c r="AF100" s="482">
        <f t="shared" si="77"/>
        <v>0</v>
      </c>
      <c r="AG100" s="482">
        <f t="shared" si="77"/>
        <v>0</v>
      </c>
      <c r="AH100" s="482">
        <f t="shared" si="77"/>
        <v>0</v>
      </c>
      <c r="AI100" s="482">
        <f t="shared" si="77"/>
        <v>0</v>
      </c>
      <c r="AJ100" s="482">
        <f t="shared" si="77"/>
        <v>0</v>
      </c>
      <c r="AK100" s="556">
        <f t="shared" si="78"/>
        <v>0</v>
      </c>
      <c r="AL100" s="557">
        <f t="shared" si="78"/>
        <v>0</v>
      </c>
      <c r="AM100" s="557">
        <f t="shared" si="78"/>
        <v>0</v>
      </c>
      <c r="AN100" s="557">
        <f t="shared" si="78"/>
        <v>0</v>
      </c>
      <c r="AO100" s="557">
        <f t="shared" si="78"/>
        <v>0</v>
      </c>
      <c r="AP100" s="482">
        <f t="shared" si="78"/>
        <v>0</v>
      </c>
      <c r="AQ100" s="483">
        <f t="shared" si="54"/>
        <v>0</v>
      </c>
      <c r="AR100" s="482">
        <f t="shared" si="65"/>
        <v>0</v>
      </c>
      <c r="AS100" s="482">
        <f t="shared" si="65"/>
        <v>0</v>
      </c>
      <c r="AT100" s="482">
        <f t="shared" si="65"/>
        <v>0</v>
      </c>
      <c r="AU100" s="482">
        <f t="shared" si="65"/>
        <v>0</v>
      </c>
      <c r="AV100" s="482">
        <f t="shared" si="55"/>
        <v>0</v>
      </c>
      <c r="AW100" s="483">
        <f t="shared" si="71"/>
        <v>0</v>
      </c>
      <c r="AX100" s="514">
        <f t="shared" si="68"/>
        <v>0</v>
      </c>
      <c r="AY100" s="514" t="s">
        <v>1034</v>
      </c>
      <c r="AZ100" s="556">
        <f t="shared" si="76"/>
        <v>0</v>
      </c>
      <c r="BA100" s="557">
        <v>0</v>
      </c>
      <c r="BB100" s="557">
        <v>0</v>
      </c>
      <c r="BC100" s="557">
        <v>0</v>
      </c>
      <c r="BD100" s="557">
        <v>0</v>
      </c>
      <c r="BE100" s="557">
        <v>0</v>
      </c>
      <c r="BF100" s="556">
        <f t="shared" si="61"/>
        <v>0</v>
      </c>
      <c r="BG100" s="557">
        <v>0</v>
      </c>
      <c r="BH100" s="557">
        <v>0</v>
      </c>
      <c r="BI100" s="557">
        <v>0</v>
      </c>
      <c r="BJ100" s="557">
        <v>0</v>
      </c>
      <c r="BK100" s="557">
        <v>0</v>
      </c>
      <c r="BL100" s="556">
        <f t="shared" si="56"/>
        <v>0</v>
      </c>
      <c r="BM100" s="557">
        <v>0</v>
      </c>
      <c r="BN100" s="557">
        <v>0</v>
      </c>
      <c r="BO100" s="557">
        <v>0</v>
      </c>
      <c r="BP100" s="557">
        <v>0</v>
      </c>
      <c r="BQ100" s="557">
        <v>0</v>
      </c>
      <c r="BR100" s="318"/>
      <c r="BS100" s="318"/>
      <c r="BT100" s="318"/>
      <c r="BU100" s="318"/>
      <c r="BV100" s="318"/>
      <c r="BW100" s="318"/>
      <c r="BX100" s="318"/>
      <c r="BY100" s="318"/>
      <c r="BZ100" s="318" t="s">
        <v>1501</v>
      </c>
      <c r="CA100" s="318"/>
      <c r="CB100" s="318"/>
      <c r="CC100" s="318"/>
      <c r="CD100" s="318"/>
      <c r="CE100" s="457"/>
      <c r="CF100" s="318"/>
      <c r="CG100" s="360"/>
      <c r="CH100" s="360"/>
      <c r="CI100" s="360"/>
      <c r="CJ100" s="360"/>
      <c r="CK100" s="360"/>
      <c r="CL100" s="360"/>
      <c r="CM100" s="360"/>
      <c r="CN100" s="360"/>
      <c r="CO100" s="360"/>
      <c r="CP100" s="360"/>
      <c r="CR100" s="315" t="str">
        <f t="shared" si="62"/>
        <v>Canada</v>
      </c>
      <c r="CS100" s="315" t="str">
        <f t="shared" si="63"/>
        <v>Ontario</v>
      </c>
      <c r="CT100" s="315">
        <v>89</v>
      </c>
      <c r="CU100" s="315" t="s">
        <v>701</v>
      </c>
      <c r="CW100" s="315" t="s">
        <v>397</v>
      </c>
      <c r="CX100" s="315" t="s">
        <v>1403</v>
      </c>
      <c r="CY100" s="315" t="str">
        <f t="shared" si="57"/>
        <v>Ontario</v>
      </c>
    </row>
    <row r="101" spans="1:103" s="315" customFormat="1" ht="13" hidden="1" x14ac:dyDescent="0.25">
      <c r="A101" s="403">
        <v>90</v>
      </c>
      <c r="B101" s="313" t="s">
        <v>489</v>
      </c>
      <c r="C101" s="313" t="s">
        <v>702</v>
      </c>
      <c r="D101" s="318" t="s">
        <v>457</v>
      </c>
      <c r="E101" s="318"/>
      <c r="F101" s="313" t="s">
        <v>462</v>
      </c>
      <c r="G101" s="313" t="s">
        <v>32</v>
      </c>
      <c r="H101" s="305"/>
      <c r="I101" s="305"/>
      <c r="J101" s="370">
        <v>0</v>
      </c>
      <c r="K101" s="370">
        <v>0</v>
      </c>
      <c r="L101" s="370">
        <f t="shared" si="58"/>
        <v>0</v>
      </c>
      <c r="M101" s="316" t="s">
        <v>487</v>
      </c>
      <c r="N101" s="356"/>
      <c r="O101" s="398"/>
      <c r="P101" s="305"/>
      <c r="Q101" s="304"/>
      <c r="R101" s="305"/>
      <c r="S101" s="305"/>
      <c r="T101" s="305"/>
      <c r="U101" s="305" t="s">
        <v>235</v>
      </c>
      <c r="V101" s="426"/>
      <c r="W101" s="317"/>
      <c r="X101" s="317"/>
      <c r="Y101" s="317" t="str">
        <f t="shared" si="59"/>
        <v/>
      </c>
      <c r="Z101" s="318"/>
      <c r="AA101" s="318"/>
      <c r="AB101" s="318"/>
      <c r="AC101" s="318"/>
      <c r="AD101" s="318"/>
      <c r="AE101" s="483">
        <f t="shared" si="77"/>
        <v>0</v>
      </c>
      <c r="AF101" s="482">
        <f t="shared" si="77"/>
        <v>0</v>
      </c>
      <c r="AG101" s="482">
        <f t="shared" si="77"/>
        <v>0</v>
      </c>
      <c r="AH101" s="482">
        <f t="shared" si="77"/>
        <v>0</v>
      </c>
      <c r="AI101" s="482">
        <f t="shared" si="77"/>
        <v>0</v>
      </c>
      <c r="AJ101" s="482">
        <f t="shared" si="77"/>
        <v>0</v>
      </c>
      <c r="AK101" s="556">
        <f t="shared" si="78"/>
        <v>0</v>
      </c>
      <c r="AL101" s="557">
        <f t="shared" si="78"/>
        <v>0</v>
      </c>
      <c r="AM101" s="557">
        <f t="shared" si="78"/>
        <v>0</v>
      </c>
      <c r="AN101" s="557">
        <f t="shared" si="78"/>
        <v>0</v>
      </c>
      <c r="AO101" s="557">
        <f t="shared" si="78"/>
        <v>0</v>
      </c>
      <c r="AP101" s="482">
        <f t="shared" si="78"/>
        <v>0</v>
      </c>
      <c r="AQ101" s="483">
        <f t="shared" si="54"/>
        <v>0</v>
      </c>
      <c r="AR101" s="482">
        <f t="shared" si="65"/>
        <v>0</v>
      </c>
      <c r="AS101" s="482">
        <f t="shared" si="65"/>
        <v>0</v>
      </c>
      <c r="AT101" s="482">
        <f t="shared" si="65"/>
        <v>0</v>
      </c>
      <c r="AU101" s="482">
        <f t="shared" si="65"/>
        <v>0</v>
      </c>
      <c r="AV101" s="482">
        <f t="shared" si="55"/>
        <v>0</v>
      </c>
      <c r="AW101" s="483">
        <f t="shared" si="71"/>
        <v>0</v>
      </c>
      <c r="AX101" s="514">
        <f t="shared" si="68"/>
        <v>0</v>
      </c>
      <c r="AY101" s="514" t="s">
        <v>1034</v>
      </c>
      <c r="AZ101" s="556">
        <f t="shared" si="76"/>
        <v>0</v>
      </c>
      <c r="BA101" s="557">
        <v>0</v>
      </c>
      <c r="BB101" s="557">
        <v>0</v>
      </c>
      <c r="BC101" s="557">
        <v>0</v>
      </c>
      <c r="BD101" s="557">
        <v>0</v>
      </c>
      <c r="BE101" s="557">
        <v>0</v>
      </c>
      <c r="BF101" s="556">
        <f t="shared" si="61"/>
        <v>0</v>
      </c>
      <c r="BG101" s="557">
        <v>0</v>
      </c>
      <c r="BH101" s="557">
        <v>0</v>
      </c>
      <c r="BI101" s="557">
        <v>0</v>
      </c>
      <c r="BJ101" s="557">
        <v>0</v>
      </c>
      <c r="BK101" s="557">
        <v>0</v>
      </c>
      <c r="BL101" s="556">
        <f t="shared" si="56"/>
        <v>0</v>
      </c>
      <c r="BM101" s="557">
        <v>0</v>
      </c>
      <c r="BN101" s="557">
        <v>0</v>
      </c>
      <c r="BO101" s="557">
        <v>0</v>
      </c>
      <c r="BP101" s="557">
        <v>0</v>
      </c>
      <c r="BQ101" s="557">
        <v>0</v>
      </c>
      <c r="BR101" s="318"/>
      <c r="BS101" s="318"/>
      <c r="BT101" s="318"/>
      <c r="BU101" s="318"/>
      <c r="BV101" s="318"/>
      <c r="BW101" s="318"/>
      <c r="BX101" s="318"/>
      <c r="BY101" s="318"/>
      <c r="BZ101" s="318"/>
      <c r="CA101" s="318"/>
      <c r="CB101" s="318"/>
      <c r="CC101" s="318"/>
      <c r="CD101" s="318"/>
      <c r="CE101" s="457"/>
      <c r="CF101" s="318"/>
      <c r="CG101" s="360"/>
      <c r="CH101" s="360"/>
      <c r="CI101" s="360"/>
      <c r="CJ101" s="360"/>
      <c r="CK101" s="360"/>
      <c r="CL101" s="360"/>
      <c r="CM101" s="360"/>
      <c r="CN101" s="360"/>
      <c r="CO101" s="360"/>
      <c r="CP101" s="360"/>
      <c r="CR101" s="315" t="str">
        <f t="shared" si="62"/>
        <v>Chile</v>
      </c>
      <c r="CS101" s="315" t="str">
        <f t="shared" si="63"/>
        <v/>
      </c>
      <c r="CT101" s="315">
        <v>90</v>
      </c>
      <c r="CU101" s="315" t="s">
        <v>702</v>
      </c>
      <c r="CW101" s="315" t="s">
        <v>462</v>
      </c>
      <c r="CY101" s="315" t="str">
        <f t="shared" si="57"/>
        <v/>
      </c>
    </row>
    <row r="102" spans="1:103" s="315" customFormat="1" ht="13" hidden="1" x14ac:dyDescent="0.25">
      <c r="A102" s="403">
        <v>91</v>
      </c>
      <c r="B102" s="313" t="s">
        <v>489</v>
      </c>
      <c r="C102" s="313" t="s">
        <v>703</v>
      </c>
      <c r="D102" s="318" t="s">
        <v>457</v>
      </c>
      <c r="E102" s="318"/>
      <c r="F102" s="313" t="s">
        <v>251</v>
      </c>
      <c r="G102" s="313" t="s">
        <v>705</v>
      </c>
      <c r="H102" s="305"/>
      <c r="I102" s="305"/>
      <c r="J102" s="370">
        <v>0</v>
      </c>
      <c r="K102" s="370">
        <v>0</v>
      </c>
      <c r="L102" s="370">
        <f t="shared" si="58"/>
        <v>0</v>
      </c>
      <c r="M102" s="316" t="s">
        <v>487</v>
      </c>
      <c r="N102" s="356"/>
      <c r="O102" s="398"/>
      <c r="P102" s="305"/>
      <c r="Q102" s="304"/>
      <c r="R102" s="305"/>
      <c r="S102" s="305"/>
      <c r="T102" s="305"/>
      <c r="U102" s="305" t="s">
        <v>235</v>
      </c>
      <c r="V102" s="426"/>
      <c r="W102" s="317"/>
      <c r="X102" s="317"/>
      <c r="Y102" s="317" t="str">
        <f t="shared" si="59"/>
        <v/>
      </c>
      <c r="Z102" s="318"/>
      <c r="AA102" s="318"/>
      <c r="AB102" s="318"/>
      <c r="AC102" s="318"/>
      <c r="AD102" s="318"/>
      <c r="AE102" s="483">
        <f t="shared" si="77"/>
        <v>0</v>
      </c>
      <c r="AF102" s="482">
        <f t="shared" si="77"/>
        <v>0</v>
      </c>
      <c r="AG102" s="482">
        <f t="shared" si="77"/>
        <v>0</v>
      </c>
      <c r="AH102" s="482">
        <f t="shared" si="77"/>
        <v>0</v>
      </c>
      <c r="AI102" s="482">
        <f t="shared" si="77"/>
        <v>0</v>
      </c>
      <c r="AJ102" s="482">
        <f t="shared" si="77"/>
        <v>0</v>
      </c>
      <c r="AK102" s="556">
        <f t="shared" si="78"/>
        <v>0</v>
      </c>
      <c r="AL102" s="557">
        <f t="shared" si="78"/>
        <v>0</v>
      </c>
      <c r="AM102" s="557">
        <f t="shared" si="78"/>
        <v>0</v>
      </c>
      <c r="AN102" s="557">
        <f t="shared" si="78"/>
        <v>0</v>
      </c>
      <c r="AO102" s="557">
        <f t="shared" si="78"/>
        <v>0</v>
      </c>
      <c r="AP102" s="482">
        <f t="shared" si="78"/>
        <v>0</v>
      </c>
      <c r="AQ102" s="483">
        <f t="shared" si="54"/>
        <v>0</v>
      </c>
      <c r="AR102" s="482">
        <f t="shared" si="65"/>
        <v>0</v>
      </c>
      <c r="AS102" s="482">
        <f t="shared" si="65"/>
        <v>0</v>
      </c>
      <c r="AT102" s="482">
        <f t="shared" si="65"/>
        <v>0</v>
      </c>
      <c r="AU102" s="482">
        <f t="shared" si="65"/>
        <v>0</v>
      </c>
      <c r="AV102" s="482">
        <f t="shared" si="55"/>
        <v>0</v>
      </c>
      <c r="AW102" s="483">
        <f t="shared" si="71"/>
        <v>0</v>
      </c>
      <c r="AX102" s="514">
        <f t="shared" si="68"/>
        <v>0</v>
      </c>
      <c r="AY102" s="514" t="s">
        <v>1034</v>
      </c>
      <c r="AZ102" s="556">
        <f t="shared" si="76"/>
        <v>0</v>
      </c>
      <c r="BA102" s="557">
        <v>0</v>
      </c>
      <c r="BB102" s="557">
        <v>0</v>
      </c>
      <c r="BC102" s="557">
        <v>0</v>
      </c>
      <c r="BD102" s="557">
        <v>0</v>
      </c>
      <c r="BE102" s="557">
        <v>0</v>
      </c>
      <c r="BF102" s="556">
        <f t="shared" si="61"/>
        <v>0</v>
      </c>
      <c r="BG102" s="557">
        <v>0</v>
      </c>
      <c r="BH102" s="557">
        <v>0</v>
      </c>
      <c r="BI102" s="557">
        <v>0</v>
      </c>
      <c r="BJ102" s="557">
        <v>0</v>
      </c>
      <c r="BK102" s="557">
        <v>0</v>
      </c>
      <c r="BL102" s="556">
        <f t="shared" si="56"/>
        <v>0</v>
      </c>
      <c r="BM102" s="557">
        <v>0</v>
      </c>
      <c r="BN102" s="557">
        <v>0</v>
      </c>
      <c r="BO102" s="557">
        <v>0</v>
      </c>
      <c r="BP102" s="557">
        <v>0</v>
      </c>
      <c r="BQ102" s="557">
        <v>0</v>
      </c>
      <c r="BR102" s="318"/>
      <c r="BS102" s="318"/>
      <c r="BT102" s="318"/>
      <c r="BU102" s="318"/>
      <c r="BV102" s="318"/>
      <c r="BW102" s="318"/>
      <c r="BX102" s="318"/>
      <c r="BY102" s="318"/>
      <c r="BZ102" s="318"/>
      <c r="CA102" s="318"/>
      <c r="CB102" s="318"/>
      <c r="CC102" s="318"/>
      <c r="CD102" s="318"/>
      <c r="CE102" s="457"/>
      <c r="CF102" s="318"/>
      <c r="CG102" s="360"/>
      <c r="CH102" s="360"/>
      <c r="CI102" s="360"/>
      <c r="CJ102" s="360"/>
      <c r="CK102" s="360"/>
      <c r="CL102" s="360"/>
      <c r="CM102" s="360"/>
      <c r="CN102" s="360"/>
      <c r="CO102" s="360"/>
      <c r="CP102" s="360"/>
    </row>
    <row r="103" spans="1:103" s="315" customFormat="1" ht="13" hidden="1" x14ac:dyDescent="0.25">
      <c r="A103" s="403">
        <v>92</v>
      </c>
      <c r="B103" s="313" t="s">
        <v>489</v>
      </c>
      <c r="C103" s="313" t="s">
        <v>950</v>
      </c>
      <c r="D103" s="318" t="s">
        <v>457</v>
      </c>
      <c r="E103" s="318"/>
      <c r="F103" s="313" t="s">
        <v>251</v>
      </c>
      <c r="G103" s="313" t="s">
        <v>705</v>
      </c>
      <c r="H103" s="305"/>
      <c r="I103" s="305"/>
      <c r="J103" s="370">
        <v>0</v>
      </c>
      <c r="K103" s="370">
        <v>0</v>
      </c>
      <c r="L103" s="370">
        <f t="shared" si="58"/>
        <v>0</v>
      </c>
      <c r="M103" s="316" t="s">
        <v>487</v>
      </c>
      <c r="N103" s="356"/>
      <c r="O103" s="398"/>
      <c r="P103" s="305"/>
      <c r="Q103" s="304"/>
      <c r="R103" s="305"/>
      <c r="S103" s="305"/>
      <c r="T103" s="305"/>
      <c r="U103" s="305" t="s">
        <v>235</v>
      </c>
      <c r="V103" s="426"/>
      <c r="W103" s="317"/>
      <c r="X103" s="317"/>
      <c r="Y103" s="317" t="str">
        <f t="shared" si="59"/>
        <v/>
      </c>
      <c r="Z103" s="318"/>
      <c r="AA103" s="318"/>
      <c r="AB103" s="318"/>
      <c r="AC103" s="318"/>
      <c r="AD103" s="318"/>
      <c r="AE103" s="483">
        <f t="shared" si="77"/>
        <v>0</v>
      </c>
      <c r="AF103" s="482">
        <f t="shared" si="77"/>
        <v>0</v>
      </c>
      <c r="AG103" s="482">
        <f t="shared" si="77"/>
        <v>0</v>
      </c>
      <c r="AH103" s="482">
        <f t="shared" si="77"/>
        <v>0</v>
      </c>
      <c r="AI103" s="482">
        <f t="shared" si="77"/>
        <v>0</v>
      </c>
      <c r="AJ103" s="482">
        <f t="shared" si="77"/>
        <v>0</v>
      </c>
      <c r="AK103" s="556">
        <f t="shared" si="78"/>
        <v>0</v>
      </c>
      <c r="AL103" s="557">
        <f t="shared" si="78"/>
        <v>0</v>
      </c>
      <c r="AM103" s="557">
        <f t="shared" si="78"/>
        <v>0</v>
      </c>
      <c r="AN103" s="557">
        <f t="shared" si="78"/>
        <v>0</v>
      </c>
      <c r="AO103" s="557">
        <f t="shared" si="78"/>
        <v>0</v>
      </c>
      <c r="AP103" s="482">
        <f t="shared" si="78"/>
        <v>0</v>
      </c>
      <c r="AQ103" s="483">
        <f t="shared" si="54"/>
        <v>0</v>
      </c>
      <c r="AR103" s="482">
        <f t="shared" si="65"/>
        <v>0</v>
      </c>
      <c r="AS103" s="482">
        <f t="shared" si="65"/>
        <v>0</v>
      </c>
      <c r="AT103" s="482">
        <f t="shared" si="65"/>
        <v>0</v>
      </c>
      <c r="AU103" s="482">
        <f t="shared" si="65"/>
        <v>0</v>
      </c>
      <c r="AV103" s="482">
        <f t="shared" si="55"/>
        <v>0</v>
      </c>
      <c r="AW103" s="483">
        <f t="shared" si="71"/>
        <v>0</v>
      </c>
      <c r="AX103" s="514">
        <f t="shared" si="68"/>
        <v>0</v>
      </c>
      <c r="AY103" s="514" t="s">
        <v>1034</v>
      </c>
      <c r="AZ103" s="556">
        <f t="shared" si="76"/>
        <v>0</v>
      </c>
      <c r="BA103" s="557">
        <v>0</v>
      </c>
      <c r="BB103" s="557">
        <v>0</v>
      </c>
      <c r="BC103" s="557">
        <v>0</v>
      </c>
      <c r="BD103" s="557">
        <v>0</v>
      </c>
      <c r="BE103" s="557">
        <v>0</v>
      </c>
      <c r="BF103" s="556">
        <f t="shared" si="61"/>
        <v>0</v>
      </c>
      <c r="BG103" s="557">
        <v>0</v>
      </c>
      <c r="BH103" s="557">
        <v>0</v>
      </c>
      <c r="BI103" s="557">
        <v>0</v>
      </c>
      <c r="BJ103" s="557">
        <v>0</v>
      </c>
      <c r="BK103" s="557">
        <v>0</v>
      </c>
      <c r="BL103" s="556">
        <f t="shared" si="56"/>
        <v>0</v>
      </c>
      <c r="BM103" s="557">
        <v>0</v>
      </c>
      <c r="BN103" s="557">
        <v>0</v>
      </c>
      <c r="BO103" s="557">
        <v>0</v>
      </c>
      <c r="BP103" s="557">
        <v>0</v>
      </c>
      <c r="BQ103" s="557">
        <v>0</v>
      </c>
      <c r="BR103" s="318"/>
      <c r="BS103" s="318"/>
      <c r="BT103" s="318"/>
      <c r="BU103" s="318"/>
      <c r="BV103" s="318"/>
      <c r="BW103" s="318"/>
      <c r="BX103" s="318"/>
      <c r="BY103" s="318"/>
      <c r="BZ103" s="318"/>
      <c r="CA103" s="318"/>
      <c r="CB103" s="318"/>
      <c r="CC103" s="318"/>
      <c r="CD103" s="318"/>
      <c r="CE103" s="457"/>
      <c r="CF103" s="318"/>
      <c r="CG103" s="360"/>
      <c r="CH103" s="360"/>
      <c r="CI103" s="360"/>
      <c r="CJ103" s="360"/>
      <c r="CK103" s="360"/>
      <c r="CL103" s="360"/>
      <c r="CM103" s="360"/>
      <c r="CN103" s="360"/>
      <c r="CO103" s="360"/>
      <c r="CP103" s="360"/>
    </row>
    <row r="104" spans="1:103" s="315" customFormat="1" ht="13" hidden="1" x14ac:dyDescent="0.25">
      <c r="A104" s="403">
        <v>93</v>
      </c>
      <c r="B104" s="313" t="s">
        <v>1551</v>
      </c>
      <c r="C104" s="313" t="s">
        <v>626</v>
      </c>
      <c r="D104" s="318" t="s">
        <v>457</v>
      </c>
      <c r="E104" s="318"/>
      <c r="F104" s="313" t="s">
        <v>395</v>
      </c>
      <c r="G104" s="313" t="s">
        <v>705</v>
      </c>
      <c r="H104" s="305"/>
      <c r="I104" s="305"/>
      <c r="J104" s="370">
        <v>0</v>
      </c>
      <c r="K104" s="370">
        <v>0</v>
      </c>
      <c r="L104" s="370">
        <f t="shared" si="58"/>
        <v>0</v>
      </c>
      <c r="M104" s="316" t="s">
        <v>487</v>
      </c>
      <c r="N104" s="356"/>
      <c r="O104" s="398"/>
      <c r="P104" s="305"/>
      <c r="Q104" s="304"/>
      <c r="R104" s="305"/>
      <c r="S104" s="305"/>
      <c r="T104" s="305"/>
      <c r="U104" s="305" t="s">
        <v>235</v>
      </c>
      <c r="V104" s="426"/>
      <c r="W104" s="317"/>
      <c r="X104" s="317"/>
      <c r="Y104" s="317" t="str">
        <f t="shared" si="59"/>
        <v/>
      </c>
      <c r="Z104" s="318"/>
      <c r="AA104" s="318"/>
      <c r="AB104" s="318"/>
      <c r="AC104" s="318"/>
      <c r="AD104" s="318"/>
      <c r="AE104" s="483">
        <f t="shared" si="77"/>
        <v>0</v>
      </c>
      <c r="AF104" s="482">
        <f t="shared" si="77"/>
        <v>0</v>
      </c>
      <c r="AG104" s="482">
        <f t="shared" si="77"/>
        <v>0</v>
      </c>
      <c r="AH104" s="482">
        <f t="shared" si="77"/>
        <v>0</v>
      </c>
      <c r="AI104" s="482">
        <f t="shared" si="77"/>
        <v>0</v>
      </c>
      <c r="AJ104" s="482">
        <f t="shared" si="77"/>
        <v>0</v>
      </c>
      <c r="AK104" s="556">
        <f t="shared" si="78"/>
        <v>0</v>
      </c>
      <c r="AL104" s="557">
        <f t="shared" si="78"/>
        <v>0</v>
      </c>
      <c r="AM104" s="557">
        <f t="shared" si="78"/>
        <v>0</v>
      </c>
      <c r="AN104" s="557">
        <f t="shared" si="78"/>
        <v>0</v>
      </c>
      <c r="AO104" s="557">
        <f t="shared" si="78"/>
        <v>0</v>
      </c>
      <c r="AP104" s="482">
        <f t="shared" si="78"/>
        <v>0</v>
      </c>
      <c r="AQ104" s="483">
        <f t="shared" si="54"/>
        <v>0</v>
      </c>
      <c r="AR104" s="482">
        <f t="shared" si="65"/>
        <v>0</v>
      </c>
      <c r="AS104" s="482">
        <f t="shared" si="65"/>
        <v>0</v>
      </c>
      <c r="AT104" s="482">
        <f t="shared" si="65"/>
        <v>0</v>
      </c>
      <c r="AU104" s="482">
        <f t="shared" si="65"/>
        <v>0</v>
      </c>
      <c r="AV104" s="482">
        <f t="shared" si="55"/>
        <v>0</v>
      </c>
      <c r="AW104" s="483">
        <f t="shared" si="71"/>
        <v>0</v>
      </c>
      <c r="AX104" s="514">
        <f t="shared" si="68"/>
        <v>0</v>
      </c>
      <c r="AY104" s="514" t="s">
        <v>1034</v>
      </c>
      <c r="AZ104" s="556">
        <f t="shared" si="76"/>
        <v>0</v>
      </c>
      <c r="BA104" s="557">
        <v>0</v>
      </c>
      <c r="BB104" s="557">
        <v>0</v>
      </c>
      <c r="BC104" s="557">
        <v>0</v>
      </c>
      <c r="BD104" s="557">
        <v>0</v>
      </c>
      <c r="BE104" s="557">
        <v>0</v>
      </c>
      <c r="BF104" s="556">
        <f t="shared" si="61"/>
        <v>0</v>
      </c>
      <c r="BG104" s="557">
        <v>0</v>
      </c>
      <c r="BH104" s="557">
        <v>0</v>
      </c>
      <c r="BI104" s="557">
        <v>0</v>
      </c>
      <c r="BJ104" s="557">
        <v>0</v>
      </c>
      <c r="BK104" s="557">
        <v>0</v>
      </c>
      <c r="BL104" s="556">
        <f t="shared" si="56"/>
        <v>0</v>
      </c>
      <c r="BM104" s="557">
        <v>0</v>
      </c>
      <c r="BN104" s="557">
        <v>0</v>
      </c>
      <c r="BO104" s="557">
        <v>0</v>
      </c>
      <c r="BP104" s="557">
        <v>0</v>
      </c>
      <c r="BQ104" s="557">
        <v>0</v>
      </c>
      <c r="BR104" s="318"/>
      <c r="BS104" s="318"/>
      <c r="BT104" s="318"/>
      <c r="BU104" s="318"/>
      <c r="BV104" s="318"/>
      <c r="BW104" s="318"/>
      <c r="BX104" s="318"/>
      <c r="BY104" s="318"/>
      <c r="BZ104" s="318"/>
      <c r="CA104" s="318"/>
      <c r="CB104" s="318"/>
      <c r="CC104" s="318"/>
      <c r="CD104" s="318"/>
      <c r="CE104" s="457"/>
      <c r="CF104" s="318"/>
      <c r="CG104" s="360"/>
      <c r="CH104" s="360"/>
      <c r="CI104" s="360"/>
      <c r="CJ104" s="360"/>
      <c r="CK104" s="360"/>
      <c r="CL104" s="360"/>
      <c r="CM104" s="360"/>
      <c r="CN104" s="360"/>
      <c r="CO104" s="360"/>
      <c r="CP104" s="360"/>
    </row>
    <row r="105" spans="1:103" s="315" customFormat="1" ht="13" hidden="1" x14ac:dyDescent="0.25">
      <c r="A105" s="403">
        <v>94</v>
      </c>
      <c r="B105" s="313" t="s">
        <v>490</v>
      </c>
      <c r="C105" s="313" t="s">
        <v>704</v>
      </c>
      <c r="D105" s="318" t="s">
        <v>457</v>
      </c>
      <c r="E105" s="318"/>
      <c r="F105" s="313" t="s">
        <v>465</v>
      </c>
      <c r="G105" s="313" t="s">
        <v>1399</v>
      </c>
      <c r="H105" s="305"/>
      <c r="I105" s="305"/>
      <c r="J105" s="370">
        <v>0</v>
      </c>
      <c r="K105" s="370">
        <v>0</v>
      </c>
      <c r="L105" s="370">
        <f t="shared" si="58"/>
        <v>0</v>
      </c>
      <c r="M105" s="316" t="s">
        <v>487</v>
      </c>
      <c r="N105" s="356"/>
      <c r="O105" s="398"/>
      <c r="P105" s="305"/>
      <c r="Q105" s="304"/>
      <c r="R105" s="305"/>
      <c r="S105" s="305"/>
      <c r="T105" s="305"/>
      <c r="U105" s="305" t="s">
        <v>235</v>
      </c>
      <c r="V105" s="426"/>
      <c r="W105" s="317"/>
      <c r="X105" s="317"/>
      <c r="Y105" s="317" t="str">
        <f t="shared" si="59"/>
        <v/>
      </c>
      <c r="Z105" s="318"/>
      <c r="AA105" s="318"/>
      <c r="AB105" s="318"/>
      <c r="AC105" s="318"/>
      <c r="AD105" s="318"/>
      <c r="AE105" s="483">
        <f t="shared" si="77"/>
        <v>0</v>
      </c>
      <c r="AF105" s="482">
        <f t="shared" si="77"/>
        <v>0</v>
      </c>
      <c r="AG105" s="482">
        <f t="shared" si="77"/>
        <v>0</v>
      </c>
      <c r="AH105" s="482">
        <f t="shared" si="77"/>
        <v>0</v>
      </c>
      <c r="AI105" s="482">
        <f t="shared" si="77"/>
        <v>0</v>
      </c>
      <c r="AJ105" s="482">
        <f t="shared" si="77"/>
        <v>0</v>
      </c>
      <c r="AK105" s="556">
        <f t="shared" si="78"/>
        <v>0</v>
      </c>
      <c r="AL105" s="557">
        <f t="shared" si="78"/>
        <v>0</v>
      </c>
      <c r="AM105" s="557">
        <f t="shared" si="78"/>
        <v>0</v>
      </c>
      <c r="AN105" s="557">
        <f t="shared" si="78"/>
        <v>0</v>
      </c>
      <c r="AO105" s="557">
        <f t="shared" si="78"/>
        <v>0</v>
      </c>
      <c r="AP105" s="482">
        <f t="shared" si="78"/>
        <v>0</v>
      </c>
      <c r="AQ105" s="483">
        <f t="shared" si="54"/>
        <v>0</v>
      </c>
      <c r="AR105" s="482">
        <f t="shared" si="65"/>
        <v>0</v>
      </c>
      <c r="AS105" s="482">
        <f t="shared" si="65"/>
        <v>0</v>
      </c>
      <c r="AT105" s="482">
        <f t="shared" si="65"/>
        <v>0</v>
      </c>
      <c r="AU105" s="482">
        <f t="shared" si="65"/>
        <v>0</v>
      </c>
      <c r="AV105" s="482">
        <f t="shared" si="55"/>
        <v>0</v>
      </c>
      <c r="AW105" s="483">
        <f t="shared" si="71"/>
        <v>0</v>
      </c>
      <c r="AX105" s="514">
        <f t="shared" si="68"/>
        <v>0</v>
      </c>
      <c r="AY105" s="514" t="s">
        <v>1034</v>
      </c>
      <c r="AZ105" s="556">
        <f t="shared" si="76"/>
        <v>0</v>
      </c>
      <c r="BA105" s="557">
        <v>0</v>
      </c>
      <c r="BB105" s="557">
        <v>0</v>
      </c>
      <c r="BC105" s="557">
        <v>0</v>
      </c>
      <c r="BD105" s="557">
        <v>0</v>
      </c>
      <c r="BE105" s="557">
        <v>0</v>
      </c>
      <c r="BF105" s="556">
        <f t="shared" si="61"/>
        <v>0</v>
      </c>
      <c r="BG105" s="557">
        <v>0</v>
      </c>
      <c r="BH105" s="557">
        <v>0</v>
      </c>
      <c r="BI105" s="557">
        <v>0</v>
      </c>
      <c r="BJ105" s="557">
        <v>0</v>
      </c>
      <c r="BK105" s="557">
        <v>0</v>
      </c>
      <c r="BL105" s="556">
        <f t="shared" si="56"/>
        <v>0</v>
      </c>
      <c r="BM105" s="557">
        <v>0</v>
      </c>
      <c r="BN105" s="557">
        <v>0</v>
      </c>
      <c r="BO105" s="557">
        <v>0</v>
      </c>
      <c r="BP105" s="557">
        <v>0</v>
      </c>
      <c r="BQ105" s="557">
        <v>0</v>
      </c>
      <c r="BR105" s="318"/>
      <c r="BS105" s="318"/>
      <c r="BT105" s="318"/>
      <c r="BU105" s="318"/>
      <c r="BV105" s="318"/>
      <c r="BW105" s="318"/>
      <c r="BX105" s="318"/>
      <c r="BY105" s="318"/>
      <c r="BZ105" s="318"/>
      <c r="CA105" s="318"/>
      <c r="CB105" s="318"/>
      <c r="CC105" s="318"/>
      <c r="CD105" s="318"/>
      <c r="CE105" s="457"/>
      <c r="CF105" s="318"/>
      <c r="CG105" s="360"/>
      <c r="CH105" s="360"/>
      <c r="CI105" s="360"/>
      <c r="CJ105" s="360"/>
      <c r="CK105" s="360"/>
      <c r="CL105" s="360"/>
      <c r="CM105" s="360"/>
      <c r="CN105" s="360"/>
      <c r="CO105" s="360"/>
      <c r="CP105" s="360"/>
    </row>
    <row r="106" spans="1:103" s="315" customFormat="1" ht="13" hidden="1" x14ac:dyDescent="0.25">
      <c r="A106" s="403">
        <v>95</v>
      </c>
      <c r="B106" s="313" t="s">
        <v>491</v>
      </c>
      <c r="C106" s="313" t="s">
        <v>705</v>
      </c>
      <c r="D106" s="318" t="s">
        <v>457</v>
      </c>
      <c r="E106" s="318"/>
      <c r="F106" s="313" t="s">
        <v>395</v>
      </c>
      <c r="G106" s="313" t="s">
        <v>705</v>
      </c>
      <c r="H106" s="305"/>
      <c r="I106" s="305"/>
      <c r="J106" s="370">
        <v>0</v>
      </c>
      <c r="K106" s="370">
        <v>0</v>
      </c>
      <c r="L106" s="370">
        <f t="shared" si="58"/>
        <v>0</v>
      </c>
      <c r="M106" s="316" t="s">
        <v>487</v>
      </c>
      <c r="N106" s="356"/>
      <c r="O106" s="398"/>
      <c r="P106" s="305" t="s">
        <v>474</v>
      </c>
      <c r="Q106" s="304"/>
      <c r="R106" s="305"/>
      <c r="S106" s="305"/>
      <c r="T106" s="305"/>
      <c r="U106" s="305" t="s">
        <v>235</v>
      </c>
      <c r="V106" s="426"/>
      <c r="W106" s="317"/>
      <c r="X106" s="317"/>
      <c r="Y106" s="317" t="str">
        <f t="shared" si="59"/>
        <v/>
      </c>
      <c r="Z106" s="318"/>
      <c r="AA106" s="318"/>
      <c r="AB106" s="318"/>
      <c r="AC106" s="318"/>
      <c r="AD106" s="318"/>
      <c r="AE106" s="483">
        <f t="shared" si="77"/>
        <v>0</v>
      </c>
      <c r="AF106" s="482">
        <f t="shared" si="77"/>
        <v>0</v>
      </c>
      <c r="AG106" s="482">
        <f t="shared" si="77"/>
        <v>0</v>
      </c>
      <c r="AH106" s="482">
        <f t="shared" si="77"/>
        <v>0</v>
      </c>
      <c r="AI106" s="482">
        <f t="shared" si="77"/>
        <v>0</v>
      </c>
      <c r="AJ106" s="482">
        <f t="shared" si="77"/>
        <v>0</v>
      </c>
      <c r="AK106" s="556">
        <f t="shared" si="78"/>
        <v>0</v>
      </c>
      <c r="AL106" s="557">
        <f t="shared" si="78"/>
        <v>0</v>
      </c>
      <c r="AM106" s="557">
        <f t="shared" si="78"/>
        <v>0</v>
      </c>
      <c r="AN106" s="557">
        <f t="shared" si="78"/>
        <v>0</v>
      </c>
      <c r="AO106" s="557">
        <f t="shared" si="78"/>
        <v>0</v>
      </c>
      <c r="AP106" s="482">
        <f t="shared" si="78"/>
        <v>0</v>
      </c>
      <c r="AQ106" s="483">
        <f t="shared" si="54"/>
        <v>0</v>
      </c>
      <c r="AR106" s="482">
        <f t="shared" si="65"/>
        <v>0</v>
      </c>
      <c r="AS106" s="482">
        <f t="shared" si="65"/>
        <v>0</v>
      </c>
      <c r="AT106" s="482">
        <f t="shared" si="65"/>
        <v>0</v>
      </c>
      <c r="AU106" s="482">
        <f t="shared" si="65"/>
        <v>0</v>
      </c>
      <c r="AV106" s="482">
        <f t="shared" si="55"/>
        <v>0</v>
      </c>
      <c r="AW106" s="483">
        <f t="shared" si="71"/>
        <v>0</v>
      </c>
      <c r="AX106" s="514">
        <f t="shared" si="68"/>
        <v>0</v>
      </c>
      <c r="AY106" s="514" t="s">
        <v>1034</v>
      </c>
      <c r="AZ106" s="556">
        <f t="shared" si="76"/>
        <v>0</v>
      </c>
      <c r="BA106" s="557">
        <v>0</v>
      </c>
      <c r="BB106" s="557">
        <v>0</v>
      </c>
      <c r="BC106" s="557">
        <v>0</v>
      </c>
      <c r="BD106" s="557">
        <v>0</v>
      </c>
      <c r="BE106" s="557">
        <v>0</v>
      </c>
      <c r="BF106" s="556">
        <f t="shared" si="61"/>
        <v>0</v>
      </c>
      <c r="BG106" s="557">
        <v>0</v>
      </c>
      <c r="BH106" s="557">
        <v>0</v>
      </c>
      <c r="BI106" s="557">
        <v>0</v>
      </c>
      <c r="BJ106" s="557">
        <v>0</v>
      </c>
      <c r="BK106" s="557">
        <v>0</v>
      </c>
      <c r="BL106" s="556">
        <f t="shared" si="56"/>
        <v>0</v>
      </c>
      <c r="BM106" s="557">
        <v>0</v>
      </c>
      <c r="BN106" s="557">
        <v>0</v>
      </c>
      <c r="BO106" s="557">
        <v>0</v>
      </c>
      <c r="BP106" s="557">
        <v>0</v>
      </c>
      <c r="BQ106" s="557">
        <v>0</v>
      </c>
      <c r="BR106" s="318"/>
      <c r="BS106" s="318"/>
      <c r="BT106" s="318"/>
      <c r="BU106" s="318"/>
      <c r="BV106" s="318"/>
      <c r="BW106" s="318"/>
      <c r="BX106" s="318"/>
      <c r="BY106" s="318"/>
      <c r="BZ106" s="318"/>
      <c r="CA106" s="318"/>
      <c r="CB106" s="318"/>
      <c r="CC106" s="318"/>
      <c r="CD106" s="318"/>
      <c r="CE106" s="457"/>
      <c r="CF106" s="318"/>
      <c r="CG106" s="360"/>
      <c r="CH106" s="360"/>
      <c r="CI106" s="360"/>
      <c r="CJ106" s="360"/>
      <c r="CK106" s="360"/>
      <c r="CL106" s="360"/>
      <c r="CM106" s="360"/>
      <c r="CN106" s="360"/>
      <c r="CO106" s="360"/>
      <c r="CP106" s="360"/>
    </row>
    <row r="107" spans="1:103" s="315" customFormat="1" ht="13" hidden="1" x14ac:dyDescent="0.25">
      <c r="A107" s="403">
        <v>96</v>
      </c>
      <c r="B107" s="313" t="s">
        <v>819</v>
      </c>
      <c r="C107" s="313" t="s">
        <v>700</v>
      </c>
      <c r="D107" s="318" t="s">
        <v>457</v>
      </c>
      <c r="E107" s="318"/>
      <c r="F107" s="313" t="s">
        <v>465</v>
      </c>
      <c r="G107" s="313" t="s">
        <v>1399</v>
      </c>
      <c r="H107" s="305"/>
      <c r="I107" s="305" t="s">
        <v>847</v>
      </c>
      <c r="J107" s="370">
        <v>0</v>
      </c>
      <c r="K107" s="370" t="e">
        <f>10000*V107/(IF(#REF!="yes",0.188,1))</f>
        <v>#REF!</v>
      </c>
      <c r="L107" s="370" t="e">
        <f t="shared" si="58"/>
        <v>#REF!</v>
      </c>
      <c r="M107" s="316" t="s">
        <v>807</v>
      </c>
      <c r="N107" s="356"/>
      <c r="O107" s="398"/>
      <c r="P107" s="305" t="s">
        <v>463</v>
      </c>
      <c r="Q107" s="304" t="s">
        <v>848</v>
      </c>
      <c r="R107" s="305"/>
      <c r="S107" s="305"/>
      <c r="T107" s="305" t="s">
        <v>1016</v>
      </c>
      <c r="U107" s="305" t="s">
        <v>235</v>
      </c>
      <c r="V107" s="426">
        <v>0.188</v>
      </c>
      <c r="W107" s="317"/>
      <c r="X107" s="317"/>
      <c r="Y107" s="317" t="str">
        <f t="shared" si="59"/>
        <v/>
      </c>
      <c r="Z107" s="318"/>
      <c r="AA107" s="318"/>
      <c r="AB107" s="318"/>
      <c r="AC107" s="318">
        <v>4</v>
      </c>
      <c r="AD107" s="318" t="s">
        <v>820</v>
      </c>
      <c r="AE107" s="483">
        <f t="shared" si="77"/>
        <v>0</v>
      </c>
      <c r="AF107" s="482">
        <f t="shared" si="77"/>
        <v>0</v>
      </c>
      <c r="AG107" s="482">
        <f t="shared" si="77"/>
        <v>0</v>
      </c>
      <c r="AH107" s="482">
        <f t="shared" si="77"/>
        <v>0</v>
      </c>
      <c r="AI107" s="482">
        <f t="shared" si="77"/>
        <v>0</v>
      </c>
      <c r="AJ107" s="482">
        <f t="shared" si="77"/>
        <v>0</v>
      </c>
      <c r="AK107" s="556">
        <f t="shared" si="78"/>
        <v>0</v>
      </c>
      <c r="AL107" s="557">
        <f t="shared" si="78"/>
        <v>0</v>
      </c>
      <c r="AM107" s="557">
        <f t="shared" si="78"/>
        <v>0</v>
      </c>
      <c r="AN107" s="557">
        <f t="shared" si="78"/>
        <v>0</v>
      </c>
      <c r="AO107" s="557">
        <f t="shared" si="78"/>
        <v>0</v>
      </c>
      <c r="AP107" s="482">
        <f t="shared" si="78"/>
        <v>0</v>
      </c>
      <c r="AQ107" s="483">
        <f t="shared" si="54"/>
        <v>0</v>
      </c>
      <c r="AR107" s="482">
        <f t="shared" si="65"/>
        <v>0</v>
      </c>
      <c r="AS107" s="482">
        <f t="shared" si="65"/>
        <v>0</v>
      </c>
      <c r="AT107" s="482">
        <f t="shared" si="65"/>
        <v>0</v>
      </c>
      <c r="AU107" s="482">
        <f t="shared" si="65"/>
        <v>0</v>
      </c>
      <c r="AV107" s="482">
        <f t="shared" si="55"/>
        <v>0</v>
      </c>
      <c r="AW107" s="483">
        <f t="shared" si="71"/>
        <v>0</v>
      </c>
      <c r="AX107" s="514">
        <f t="shared" si="68"/>
        <v>0</v>
      </c>
      <c r="AY107" s="514" t="s">
        <v>1034</v>
      </c>
      <c r="AZ107" s="556">
        <f t="shared" si="76"/>
        <v>0</v>
      </c>
      <c r="BA107" s="557">
        <v>0</v>
      </c>
      <c r="BB107" s="557">
        <v>0</v>
      </c>
      <c r="BC107" s="557">
        <v>0</v>
      </c>
      <c r="BD107" s="557">
        <v>0</v>
      </c>
      <c r="BE107" s="557">
        <v>0</v>
      </c>
      <c r="BF107" s="556">
        <f t="shared" si="61"/>
        <v>0</v>
      </c>
      <c r="BG107" s="557">
        <v>0</v>
      </c>
      <c r="BH107" s="557">
        <v>0</v>
      </c>
      <c r="BI107" s="557">
        <v>0</v>
      </c>
      <c r="BJ107" s="557">
        <v>0</v>
      </c>
      <c r="BK107" s="557">
        <v>0</v>
      </c>
      <c r="BL107" s="556">
        <f t="shared" si="56"/>
        <v>0</v>
      </c>
      <c r="BM107" s="557">
        <v>0</v>
      </c>
      <c r="BN107" s="557">
        <v>0</v>
      </c>
      <c r="BO107" s="557">
        <v>0</v>
      </c>
      <c r="BP107" s="557">
        <v>0</v>
      </c>
      <c r="BQ107" s="557">
        <v>0</v>
      </c>
      <c r="BR107" s="318"/>
      <c r="BS107" s="318"/>
      <c r="BT107" s="318"/>
      <c r="BU107" s="318"/>
      <c r="BV107" s="318"/>
      <c r="BW107" s="318"/>
      <c r="BX107" s="318"/>
      <c r="BY107" s="318"/>
      <c r="BZ107" s="318"/>
      <c r="CA107" s="318"/>
      <c r="CB107" s="318"/>
      <c r="CC107" s="318"/>
      <c r="CD107" s="318"/>
      <c r="CE107" s="457"/>
      <c r="CF107" s="442">
        <f>(483*83%)+(5.32*17%)</f>
        <v>401.7944</v>
      </c>
      <c r="CG107" s="360" t="s">
        <v>562</v>
      </c>
      <c r="CH107" s="430">
        <v>0.83</v>
      </c>
      <c r="CI107" s="360" t="s">
        <v>1205</v>
      </c>
      <c r="CJ107" s="430">
        <v>0.17</v>
      </c>
      <c r="CK107" s="360"/>
      <c r="CL107" s="360"/>
      <c r="CM107" s="360"/>
      <c r="CN107" s="360"/>
      <c r="CO107" s="360"/>
      <c r="CP107" s="360"/>
    </row>
    <row r="108" spans="1:103" s="315" customFormat="1" ht="13" hidden="1" x14ac:dyDescent="0.25">
      <c r="A108" s="403">
        <v>97</v>
      </c>
      <c r="B108" s="313" t="s">
        <v>819</v>
      </c>
      <c r="C108" s="313" t="s">
        <v>706</v>
      </c>
      <c r="D108" s="318" t="s">
        <v>457</v>
      </c>
      <c r="E108" s="318"/>
      <c r="F108" s="313" t="s">
        <v>698</v>
      </c>
      <c r="G108" s="313" t="s">
        <v>32</v>
      </c>
      <c r="H108" s="305"/>
      <c r="I108" s="305"/>
      <c r="J108" s="370">
        <v>0</v>
      </c>
      <c r="K108" s="370">
        <v>0</v>
      </c>
      <c r="L108" s="370">
        <f t="shared" si="58"/>
        <v>0</v>
      </c>
      <c r="M108" s="316" t="s">
        <v>487</v>
      </c>
      <c r="N108" s="356"/>
      <c r="O108" s="398"/>
      <c r="P108" s="305" t="s">
        <v>519</v>
      </c>
      <c r="Q108" s="304" t="s">
        <v>849</v>
      </c>
      <c r="R108" s="305"/>
      <c r="S108" s="305"/>
      <c r="T108" s="305"/>
      <c r="U108" s="305" t="s">
        <v>235</v>
      </c>
      <c r="V108" s="426"/>
      <c r="W108" s="317"/>
      <c r="X108" s="317"/>
      <c r="Y108" s="317" t="str">
        <f t="shared" si="59"/>
        <v/>
      </c>
      <c r="Z108" s="318"/>
      <c r="AA108" s="318"/>
      <c r="AB108" s="318"/>
      <c r="AC108" s="318">
        <v>4</v>
      </c>
      <c r="AD108" s="318" t="s">
        <v>820</v>
      </c>
      <c r="AE108" s="483">
        <f t="shared" si="77"/>
        <v>0</v>
      </c>
      <c r="AF108" s="482">
        <f t="shared" si="77"/>
        <v>0</v>
      </c>
      <c r="AG108" s="482">
        <f t="shared" si="77"/>
        <v>0</v>
      </c>
      <c r="AH108" s="482">
        <f t="shared" si="77"/>
        <v>0</v>
      </c>
      <c r="AI108" s="482">
        <f t="shared" si="77"/>
        <v>0</v>
      </c>
      <c r="AJ108" s="482">
        <f t="shared" si="77"/>
        <v>0</v>
      </c>
      <c r="AK108" s="556">
        <f t="shared" si="78"/>
        <v>0</v>
      </c>
      <c r="AL108" s="557">
        <f t="shared" si="78"/>
        <v>0</v>
      </c>
      <c r="AM108" s="557">
        <f t="shared" si="78"/>
        <v>0</v>
      </c>
      <c r="AN108" s="557">
        <f t="shared" si="78"/>
        <v>0</v>
      </c>
      <c r="AO108" s="557">
        <f t="shared" si="78"/>
        <v>0</v>
      </c>
      <c r="AP108" s="482">
        <f t="shared" si="78"/>
        <v>0</v>
      </c>
      <c r="AQ108" s="483">
        <f t="shared" si="54"/>
        <v>0</v>
      </c>
      <c r="AR108" s="482">
        <f t="shared" si="65"/>
        <v>0</v>
      </c>
      <c r="AS108" s="482">
        <f t="shared" si="65"/>
        <v>0</v>
      </c>
      <c r="AT108" s="482">
        <f t="shared" si="65"/>
        <v>0</v>
      </c>
      <c r="AU108" s="482">
        <f t="shared" si="65"/>
        <v>0</v>
      </c>
      <c r="AV108" s="482">
        <f t="shared" si="55"/>
        <v>0</v>
      </c>
      <c r="AW108" s="483">
        <f t="shared" si="71"/>
        <v>0</v>
      </c>
      <c r="AX108" s="514">
        <f t="shared" si="68"/>
        <v>0</v>
      </c>
      <c r="AY108" s="514" t="s">
        <v>1034</v>
      </c>
      <c r="AZ108" s="556">
        <f t="shared" si="76"/>
        <v>0</v>
      </c>
      <c r="BA108" s="557">
        <v>0</v>
      </c>
      <c r="BB108" s="557">
        <v>0</v>
      </c>
      <c r="BC108" s="557">
        <v>0</v>
      </c>
      <c r="BD108" s="557">
        <v>0</v>
      </c>
      <c r="BE108" s="557">
        <v>0</v>
      </c>
      <c r="BF108" s="556">
        <f t="shared" si="61"/>
        <v>0</v>
      </c>
      <c r="BG108" s="557">
        <v>0</v>
      </c>
      <c r="BH108" s="557">
        <v>0</v>
      </c>
      <c r="BI108" s="557">
        <v>0</v>
      </c>
      <c r="BJ108" s="557">
        <v>0</v>
      </c>
      <c r="BK108" s="557">
        <v>0</v>
      </c>
      <c r="BL108" s="556">
        <f t="shared" si="56"/>
        <v>0</v>
      </c>
      <c r="BM108" s="557">
        <v>0</v>
      </c>
      <c r="BN108" s="557">
        <v>0</v>
      </c>
      <c r="BO108" s="557">
        <v>0</v>
      </c>
      <c r="BP108" s="557">
        <v>0</v>
      </c>
      <c r="BQ108" s="557">
        <v>0</v>
      </c>
      <c r="BR108" s="318"/>
      <c r="BS108" s="318"/>
      <c r="BT108" s="318"/>
      <c r="BU108" s="318"/>
      <c r="BV108" s="318"/>
      <c r="BW108" s="318"/>
      <c r="BX108" s="318"/>
      <c r="BY108" s="318"/>
      <c r="BZ108" s="318"/>
      <c r="CA108" s="318"/>
      <c r="CB108" s="318"/>
      <c r="CC108" s="318"/>
      <c r="CD108" s="318"/>
      <c r="CE108" s="457"/>
      <c r="CF108" s="442">
        <f>(483*83%)+(5.32*17%)</f>
        <v>401.7944</v>
      </c>
      <c r="CG108" s="360" t="s">
        <v>562</v>
      </c>
      <c r="CH108" s="430">
        <v>0.83</v>
      </c>
      <c r="CI108" s="360" t="s">
        <v>1205</v>
      </c>
      <c r="CJ108" s="430">
        <v>0.17</v>
      </c>
      <c r="CK108" s="360"/>
      <c r="CL108" s="360"/>
      <c r="CM108" s="360"/>
      <c r="CN108" s="360"/>
      <c r="CO108" s="360"/>
      <c r="CP108" s="360"/>
    </row>
    <row r="109" spans="1:103" s="315" customFormat="1" ht="13" hidden="1" x14ac:dyDescent="0.25">
      <c r="A109" s="403">
        <v>98</v>
      </c>
      <c r="B109" s="313" t="s">
        <v>850</v>
      </c>
      <c r="C109" s="313" t="s">
        <v>707</v>
      </c>
      <c r="D109" s="318" t="s">
        <v>457</v>
      </c>
      <c r="E109" s="318"/>
      <c r="F109" s="313" t="s">
        <v>397</v>
      </c>
      <c r="G109" s="313" t="s">
        <v>1403</v>
      </c>
      <c r="H109" s="305"/>
      <c r="I109" s="305"/>
      <c r="J109" s="370">
        <v>0</v>
      </c>
      <c r="K109" s="370">
        <v>0</v>
      </c>
      <c r="L109" s="370">
        <f t="shared" si="58"/>
        <v>0</v>
      </c>
      <c r="M109" s="316" t="s">
        <v>487</v>
      </c>
      <c r="N109" s="356"/>
      <c r="O109" s="398"/>
      <c r="P109" s="305" t="s">
        <v>519</v>
      </c>
      <c r="Q109" s="304"/>
      <c r="R109" s="305"/>
      <c r="S109" s="305"/>
      <c r="T109" s="305"/>
      <c r="U109" s="305" t="s">
        <v>235</v>
      </c>
      <c r="V109" s="426"/>
      <c r="W109" s="317"/>
      <c r="X109" s="317"/>
      <c r="Y109" s="317" t="str">
        <f t="shared" si="59"/>
        <v/>
      </c>
      <c r="Z109" s="318"/>
      <c r="AA109" s="318"/>
      <c r="AB109" s="318"/>
      <c r="AC109" s="318">
        <v>2</v>
      </c>
      <c r="AD109" s="318" t="s">
        <v>851</v>
      </c>
      <c r="AE109" s="483">
        <f t="shared" si="77"/>
        <v>0</v>
      </c>
      <c r="AF109" s="482">
        <f t="shared" si="77"/>
        <v>0</v>
      </c>
      <c r="AG109" s="482">
        <f t="shared" si="77"/>
        <v>0</v>
      </c>
      <c r="AH109" s="482">
        <f t="shared" si="77"/>
        <v>0</v>
      </c>
      <c r="AI109" s="482">
        <f t="shared" si="77"/>
        <v>0</v>
      </c>
      <c r="AJ109" s="482">
        <f t="shared" si="77"/>
        <v>0</v>
      </c>
      <c r="AK109" s="556">
        <f t="shared" si="78"/>
        <v>0</v>
      </c>
      <c r="AL109" s="557">
        <f t="shared" si="78"/>
        <v>0</v>
      </c>
      <c r="AM109" s="557">
        <f t="shared" si="78"/>
        <v>0</v>
      </c>
      <c r="AN109" s="557">
        <f t="shared" si="78"/>
        <v>0</v>
      </c>
      <c r="AO109" s="557">
        <f t="shared" si="78"/>
        <v>0</v>
      </c>
      <c r="AP109" s="482">
        <f t="shared" si="78"/>
        <v>0</v>
      </c>
      <c r="AQ109" s="483">
        <f t="shared" si="54"/>
        <v>0</v>
      </c>
      <c r="AR109" s="482">
        <f t="shared" si="65"/>
        <v>0</v>
      </c>
      <c r="AS109" s="482">
        <f t="shared" si="65"/>
        <v>0</v>
      </c>
      <c r="AT109" s="482">
        <f t="shared" si="65"/>
        <v>0</v>
      </c>
      <c r="AU109" s="482">
        <f t="shared" si="65"/>
        <v>0</v>
      </c>
      <c r="AV109" s="482">
        <f t="shared" si="55"/>
        <v>0</v>
      </c>
      <c r="AW109" s="483">
        <f t="shared" si="71"/>
        <v>0</v>
      </c>
      <c r="AX109" s="514">
        <f t="shared" si="68"/>
        <v>0</v>
      </c>
      <c r="AY109" s="514" t="s">
        <v>1034</v>
      </c>
      <c r="AZ109" s="556">
        <f>AE109</f>
        <v>0</v>
      </c>
      <c r="BA109" s="557">
        <v>0</v>
      </c>
      <c r="BB109" s="557">
        <v>0</v>
      </c>
      <c r="BC109" s="557">
        <v>0</v>
      </c>
      <c r="BD109" s="557">
        <v>0</v>
      </c>
      <c r="BE109" s="557">
        <v>0</v>
      </c>
      <c r="BF109" s="556">
        <f t="shared" si="61"/>
        <v>0</v>
      </c>
      <c r="BG109" s="557">
        <v>0</v>
      </c>
      <c r="BH109" s="557">
        <v>0</v>
      </c>
      <c r="BI109" s="557">
        <v>0</v>
      </c>
      <c r="BJ109" s="557">
        <v>0</v>
      </c>
      <c r="BK109" s="557">
        <v>0</v>
      </c>
      <c r="BL109" s="556">
        <f t="shared" si="56"/>
        <v>0</v>
      </c>
      <c r="BM109" s="557">
        <v>0</v>
      </c>
      <c r="BN109" s="557">
        <v>0</v>
      </c>
      <c r="BO109" s="557">
        <v>0</v>
      </c>
      <c r="BP109" s="557">
        <v>0</v>
      </c>
      <c r="BQ109" s="557">
        <v>0</v>
      </c>
      <c r="BR109" s="318"/>
      <c r="BS109" s="318"/>
      <c r="BT109" s="318"/>
      <c r="BU109" s="318"/>
      <c r="BV109" s="318"/>
      <c r="BW109" s="318"/>
      <c r="BX109" s="318"/>
      <c r="BY109" s="318"/>
      <c r="BZ109" s="318"/>
      <c r="CA109" s="318"/>
      <c r="CB109" s="318"/>
      <c r="CC109" s="318"/>
      <c r="CD109" s="318"/>
      <c r="CE109" s="457"/>
      <c r="CF109" s="442">
        <v>5.32</v>
      </c>
      <c r="CG109" s="360" t="s">
        <v>1205</v>
      </c>
      <c r="CH109" s="430">
        <v>1</v>
      </c>
      <c r="CI109" s="360" t="s">
        <v>1206</v>
      </c>
      <c r="CJ109" s="430">
        <v>0</v>
      </c>
      <c r="CK109" s="360"/>
      <c r="CL109" s="360"/>
      <c r="CM109" s="360"/>
      <c r="CN109" s="360"/>
      <c r="CO109" s="360"/>
      <c r="CP109" s="360"/>
    </row>
    <row r="110" spans="1:103" s="315" customFormat="1" ht="13" hidden="1" x14ac:dyDescent="0.25">
      <c r="A110" s="403">
        <v>99</v>
      </c>
      <c r="B110" s="313" t="s">
        <v>808</v>
      </c>
      <c r="C110" s="313" t="s">
        <v>708</v>
      </c>
      <c r="D110" s="318" t="s">
        <v>457</v>
      </c>
      <c r="E110" s="318"/>
      <c r="F110" s="313" t="s">
        <v>397</v>
      </c>
      <c r="G110" s="313" t="s">
        <v>1403</v>
      </c>
      <c r="H110" s="305"/>
      <c r="I110" s="305"/>
      <c r="J110" s="370">
        <v>0</v>
      </c>
      <c r="K110" s="370">
        <v>0</v>
      </c>
      <c r="L110" s="370">
        <f t="shared" si="58"/>
        <v>0</v>
      </c>
      <c r="M110" s="316" t="s">
        <v>487</v>
      </c>
      <c r="N110" s="356"/>
      <c r="O110" s="398"/>
      <c r="P110" s="305" t="s">
        <v>519</v>
      </c>
      <c r="Q110" s="324">
        <v>1.4999999999999999E-2</v>
      </c>
      <c r="R110" s="305"/>
      <c r="S110" s="305"/>
      <c r="T110" s="305"/>
      <c r="U110" s="305" t="s">
        <v>235</v>
      </c>
      <c r="V110" s="426"/>
      <c r="W110" s="317"/>
      <c r="X110" s="317"/>
      <c r="Y110" s="317" t="str">
        <f t="shared" si="59"/>
        <v/>
      </c>
      <c r="Z110" s="318"/>
      <c r="AA110" s="318"/>
      <c r="AB110" s="318"/>
      <c r="AC110" s="318">
        <v>5</v>
      </c>
      <c r="AD110" s="318" t="s">
        <v>820</v>
      </c>
      <c r="AE110" s="483">
        <f t="shared" si="77"/>
        <v>0</v>
      </c>
      <c r="AF110" s="482">
        <f t="shared" si="77"/>
        <v>0</v>
      </c>
      <c r="AG110" s="482">
        <f t="shared" si="77"/>
        <v>0</v>
      </c>
      <c r="AH110" s="482">
        <f t="shared" si="77"/>
        <v>0</v>
      </c>
      <c r="AI110" s="482">
        <f t="shared" si="77"/>
        <v>0</v>
      </c>
      <c r="AJ110" s="482">
        <f t="shared" si="77"/>
        <v>0</v>
      </c>
      <c r="AK110" s="556">
        <f t="shared" si="78"/>
        <v>0</v>
      </c>
      <c r="AL110" s="557">
        <f t="shared" si="78"/>
        <v>0</v>
      </c>
      <c r="AM110" s="557">
        <f t="shared" si="78"/>
        <v>0</v>
      </c>
      <c r="AN110" s="557">
        <f t="shared" si="78"/>
        <v>0</v>
      </c>
      <c r="AO110" s="557">
        <f t="shared" si="78"/>
        <v>0</v>
      </c>
      <c r="AP110" s="482">
        <f t="shared" si="78"/>
        <v>0</v>
      </c>
      <c r="AQ110" s="483">
        <f t="shared" si="54"/>
        <v>0</v>
      </c>
      <c r="AR110" s="482">
        <f t="shared" si="65"/>
        <v>0</v>
      </c>
      <c r="AS110" s="482">
        <f t="shared" si="65"/>
        <v>0</v>
      </c>
      <c r="AT110" s="482">
        <f t="shared" si="65"/>
        <v>0</v>
      </c>
      <c r="AU110" s="482">
        <f t="shared" si="65"/>
        <v>0</v>
      </c>
      <c r="AV110" s="482">
        <f t="shared" si="55"/>
        <v>0</v>
      </c>
      <c r="AW110" s="483">
        <f t="shared" si="71"/>
        <v>0</v>
      </c>
      <c r="AX110" s="514">
        <f t="shared" si="68"/>
        <v>0</v>
      </c>
      <c r="AY110" s="514" t="s">
        <v>1034</v>
      </c>
      <c r="AZ110" s="556">
        <f t="shared" si="76"/>
        <v>0</v>
      </c>
      <c r="BA110" s="557">
        <v>0</v>
      </c>
      <c r="BB110" s="557">
        <v>0</v>
      </c>
      <c r="BC110" s="557">
        <v>0</v>
      </c>
      <c r="BD110" s="557">
        <v>0</v>
      </c>
      <c r="BE110" s="557">
        <v>0</v>
      </c>
      <c r="BF110" s="556">
        <f t="shared" si="61"/>
        <v>0</v>
      </c>
      <c r="BG110" s="557">
        <v>0</v>
      </c>
      <c r="BH110" s="557">
        <v>0</v>
      </c>
      <c r="BI110" s="557">
        <v>0</v>
      </c>
      <c r="BJ110" s="557">
        <v>0</v>
      </c>
      <c r="BK110" s="557">
        <v>0</v>
      </c>
      <c r="BL110" s="556">
        <f t="shared" si="56"/>
        <v>0</v>
      </c>
      <c r="BM110" s="557">
        <v>0</v>
      </c>
      <c r="BN110" s="557">
        <v>0</v>
      </c>
      <c r="BO110" s="557">
        <v>0</v>
      </c>
      <c r="BP110" s="557">
        <v>0</v>
      </c>
      <c r="BQ110" s="557">
        <v>0</v>
      </c>
      <c r="BR110" s="318"/>
      <c r="BS110" s="318"/>
      <c r="BT110" s="318"/>
      <c r="BU110" s="318"/>
      <c r="BV110" s="318"/>
      <c r="BW110" s="318"/>
      <c r="BX110" s="318"/>
      <c r="BY110" s="318"/>
      <c r="BZ110" s="318"/>
      <c r="CA110" s="318"/>
      <c r="CB110" s="318"/>
      <c r="CC110" s="318"/>
      <c r="CD110" s="318"/>
      <c r="CE110" s="457"/>
      <c r="CF110" s="442">
        <f>(5.32*49%)+(1268*51%)</f>
        <v>649.28680000000008</v>
      </c>
      <c r="CG110" s="360" t="s">
        <v>1205</v>
      </c>
      <c r="CH110" s="430">
        <v>0.49</v>
      </c>
      <c r="CI110" s="360" t="s">
        <v>1207</v>
      </c>
      <c r="CJ110" s="430">
        <v>0.51</v>
      </c>
      <c r="CK110" s="360"/>
      <c r="CL110" s="360"/>
      <c r="CM110" s="360"/>
      <c r="CN110" s="360"/>
      <c r="CO110" s="360"/>
      <c r="CP110" s="360"/>
    </row>
    <row r="111" spans="1:103" s="315" customFormat="1" ht="13" hidden="1" x14ac:dyDescent="0.25">
      <c r="A111" s="403">
        <v>100</v>
      </c>
      <c r="B111" s="313" t="s">
        <v>818</v>
      </c>
      <c r="C111" s="313" t="s">
        <v>709</v>
      </c>
      <c r="D111" s="318" t="s">
        <v>457</v>
      </c>
      <c r="E111" s="318"/>
      <c r="F111" s="313" t="s">
        <v>397</v>
      </c>
      <c r="G111" s="313" t="s">
        <v>1403</v>
      </c>
      <c r="H111" s="305"/>
      <c r="I111" s="305"/>
      <c r="J111" s="370">
        <v>0</v>
      </c>
      <c r="K111" s="370">
        <v>0</v>
      </c>
      <c r="L111" s="370">
        <f t="shared" si="58"/>
        <v>0</v>
      </c>
      <c r="M111" s="316" t="s">
        <v>487</v>
      </c>
      <c r="N111" s="356"/>
      <c r="O111" s="398"/>
      <c r="P111" s="305"/>
      <c r="Q111" s="304"/>
      <c r="R111" s="305"/>
      <c r="S111" s="305"/>
      <c r="T111" s="305"/>
      <c r="U111" s="305" t="s">
        <v>235</v>
      </c>
      <c r="V111" s="426"/>
      <c r="W111" s="317"/>
      <c r="X111" s="317"/>
      <c r="Y111" s="317" t="str">
        <f t="shared" si="59"/>
        <v/>
      </c>
      <c r="Z111" s="318"/>
      <c r="AA111" s="318"/>
      <c r="AB111" s="318"/>
      <c r="AC111" s="318">
        <v>2</v>
      </c>
      <c r="AD111" s="318" t="s">
        <v>820</v>
      </c>
      <c r="AE111" s="483">
        <f t="shared" si="77"/>
        <v>0</v>
      </c>
      <c r="AF111" s="482">
        <f t="shared" si="77"/>
        <v>0</v>
      </c>
      <c r="AG111" s="482">
        <f t="shared" si="77"/>
        <v>0</v>
      </c>
      <c r="AH111" s="482">
        <f t="shared" si="77"/>
        <v>0</v>
      </c>
      <c r="AI111" s="482">
        <f t="shared" si="77"/>
        <v>0</v>
      </c>
      <c r="AJ111" s="482">
        <f t="shared" si="77"/>
        <v>0</v>
      </c>
      <c r="AK111" s="556">
        <f t="shared" si="78"/>
        <v>0</v>
      </c>
      <c r="AL111" s="557">
        <f t="shared" si="78"/>
        <v>0</v>
      </c>
      <c r="AM111" s="557">
        <f t="shared" si="78"/>
        <v>0</v>
      </c>
      <c r="AN111" s="557">
        <f t="shared" si="78"/>
        <v>0</v>
      </c>
      <c r="AO111" s="557">
        <f t="shared" si="78"/>
        <v>0</v>
      </c>
      <c r="AP111" s="482">
        <f t="shared" si="78"/>
        <v>0</v>
      </c>
      <c r="AQ111" s="483">
        <f t="shared" si="54"/>
        <v>0</v>
      </c>
      <c r="AR111" s="482">
        <f t="shared" si="65"/>
        <v>0</v>
      </c>
      <c r="AS111" s="482">
        <f t="shared" si="65"/>
        <v>0</v>
      </c>
      <c r="AT111" s="482">
        <f t="shared" si="65"/>
        <v>0</v>
      </c>
      <c r="AU111" s="482">
        <f t="shared" si="65"/>
        <v>0</v>
      </c>
      <c r="AV111" s="482">
        <f t="shared" si="55"/>
        <v>0</v>
      </c>
      <c r="AW111" s="483">
        <f t="shared" si="71"/>
        <v>0</v>
      </c>
      <c r="AX111" s="514">
        <f t="shared" si="68"/>
        <v>0</v>
      </c>
      <c r="AY111" s="514" t="s">
        <v>1034</v>
      </c>
      <c r="AZ111" s="556">
        <f t="shared" si="76"/>
        <v>0</v>
      </c>
      <c r="BA111" s="557">
        <v>0</v>
      </c>
      <c r="BB111" s="557">
        <v>0</v>
      </c>
      <c r="BC111" s="557">
        <v>0</v>
      </c>
      <c r="BD111" s="557">
        <v>0</v>
      </c>
      <c r="BE111" s="557">
        <v>0</v>
      </c>
      <c r="BF111" s="556">
        <f t="shared" si="61"/>
        <v>0</v>
      </c>
      <c r="BG111" s="557">
        <v>0</v>
      </c>
      <c r="BH111" s="557">
        <v>0</v>
      </c>
      <c r="BI111" s="557">
        <v>0</v>
      </c>
      <c r="BJ111" s="557">
        <v>0</v>
      </c>
      <c r="BK111" s="557">
        <v>0</v>
      </c>
      <c r="BL111" s="556">
        <f t="shared" si="56"/>
        <v>0</v>
      </c>
      <c r="BM111" s="557">
        <v>0</v>
      </c>
      <c r="BN111" s="557">
        <v>0</v>
      </c>
      <c r="BO111" s="557">
        <v>0</v>
      </c>
      <c r="BP111" s="557">
        <v>0</v>
      </c>
      <c r="BQ111" s="557">
        <v>0</v>
      </c>
      <c r="BR111" s="318"/>
      <c r="BS111" s="318"/>
      <c r="BT111" s="318"/>
      <c r="BU111" s="318"/>
      <c r="BV111" s="318"/>
      <c r="BW111" s="318"/>
      <c r="BX111" s="318"/>
      <c r="BY111" s="318"/>
      <c r="BZ111" s="318"/>
      <c r="CA111" s="318"/>
      <c r="CB111" s="318"/>
      <c r="CC111" s="318"/>
      <c r="CD111" s="318"/>
      <c r="CE111" s="457"/>
      <c r="CF111" s="442">
        <v>5.32</v>
      </c>
      <c r="CG111" s="360" t="s">
        <v>1205</v>
      </c>
      <c r="CH111" s="430">
        <v>1</v>
      </c>
      <c r="CI111" s="360"/>
      <c r="CJ111" s="360"/>
      <c r="CK111" s="360"/>
      <c r="CL111" s="360"/>
      <c r="CM111" s="360"/>
      <c r="CN111" s="360"/>
      <c r="CO111" s="360"/>
      <c r="CP111" s="360"/>
    </row>
    <row r="112" spans="1:103" s="315" customFormat="1" ht="13" hidden="1" x14ac:dyDescent="0.25">
      <c r="A112" s="403">
        <v>101</v>
      </c>
      <c r="B112" s="313" t="s">
        <v>492</v>
      </c>
      <c r="C112" s="313" t="s">
        <v>493</v>
      </c>
      <c r="D112" s="318" t="s">
        <v>457</v>
      </c>
      <c r="E112" s="318"/>
      <c r="F112" s="313" t="s">
        <v>394</v>
      </c>
      <c r="G112" s="313" t="s">
        <v>32</v>
      </c>
      <c r="H112" s="305"/>
      <c r="I112" s="305"/>
      <c r="J112" s="370">
        <v>0</v>
      </c>
      <c r="K112" s="370">
        <v>0</v>
      </c>
      <c r="L112" s="370">
        <f t="shared" si="58"/>
        <v>0</v>
      </c>
      <c r="M112" s="316" t="s">
        <v>487</v>
      </c>
      <c r="N112" s="356"/>
      <c r="O112" s="398"/>
      <c r="P112" s="305"/>
      <c r="Q112" s="304"/>
      <c r="R112" s="305"/>
      <c r="S112" s="305"/>
      <c r="T112" s="305"/>
      <c r="U112" s="305" t="s">
        <v>235</v>
      </c>
      <c r="V112" s="426"/>
      <c r="W112" s="317"/>
      <c r="X112" s="317"/>
      <c r="Y112" s="317" t="str">
        <f t="shared" si="59"/>
        <v/>
      </c>
      <c r="Z112" s="318"/>
      <c r="AA112" s="318"/>
      <c r="AB112" s="318"/>
      <c r="AC112" s="318"/>
      <c r="AD112" s="318"/>
      <c r="AE112" s="483">
        <f t="shared" si="77"/>
        <v>0</v>
      </c>
      <c r="AF112" s="482">
        <f t="shared" si="77"/>
        <v>0</v>
      </c>
      <c r="AG112" s="482">
        <f t="shared" si="77"/>
        <v>0</v>
      </c>
      <c r="AH112" s="482">
        <f t="shared" si="77"/>
        <v>0</v>
      </c>
      <c r="AI112" s="482">
        <f t="shared" si="77"/>
        <v>0</v>
      </c>
      <c r="AJ112" s="482">
        <f t="shared" si="77"/>
        <v>0</v>
      </c>
      <c r="AK112" s="556">
        <f t="shared" si="78"/>
        <v>0</v>
      </c>
      <c r="AL112" s="557">
        <f t="shared" si="78"/>
        <v>0</v>
      </c>
      <c r="AM112" s="557">
        <f t="shared" si="78"/>
        <v>0</v>
      </c>
      <c r="AN112" s="557">
        <f t="shared" si="78"/>
        <v>0</v>
      </c>
      <c r="AO112" s="557">
        <f t="shared" si="78"/>
        <v>0</v>
      </c>
      <c r="AP112" s="482">
        <f t="shared" si="78"/>
        <v>0</v>
      </c>
      <c r="AQ112" s="483">
        <f t="shared" si="54"/>
        <v>0</v>
      </c>
      <c r="AR112" s="482">
        <f t="shared" si="65"/>
        <v>0</v>
      </c>
      <c r="AS112" s="482">
        <f t="shared" si="65"/>
        <v>0</v>
      </c>
      <c r="AT112" s="482">
        <f t="shared" si="65"/>
        <v>0</v>
      </c>
      <c r="AU112" s="482">
        <f t="shared" si="65"/>
        <v>0</v>
      </c>
      <c r="AV112" s="482">
        <f t="shared" si="55"/>
        <v>0</v>
      </c>
      <c r="AW112" s="483">
        <f t="shared" si="71"/>
        <v>0</v>
      </c>
      <c r="AX112" s="514">
        <f t="shared" si="68"/>
        <v>0</v>
      </c>
      <c r="AY112" s="514" t="s">
        <v>1034</v>
      </c>
      <c r="AZ112" s="556">
        <f t="shared" si="76"/>
        <v>0</v>
      </c>
      <c r="BA112" s="557">
        <v>0</v>
      </c>
      <c r="BB112" s="557">
        <v>0</v>
      </c>
      <c r="BC112" s="557">
        <v>0</v>
      </c>
      <c r="BD112" s="557">
        <v>0</v>
      </c>
      <c r="BE112" s="557">
        <v>0</v>
      </c>
      <c r="BF112" s="556">
        <f t="shared" si="61"/>
        <v>0</v>
      </c>
      <c r="BG112" s="557">
        <v>0</v>
      </c>
      <c r="BH112" s="557">
        <v>0</v>
      </c>
      <c r="BI112" s="557">
        <v>0</v>
      </c>
      <c r="BJ112" s="557">
        <v>0</v>
      </c>
      <c r="BK112" s="557">
        <v>0</v>
      </c>
      <c r="BL112" s="556">
        <f t="shared" si="56"/>
        <v>0</v>
      </c>
      <c r="BM112" s="557">
        <v>0</v>
      </c>
      <c r="BN112" s="557">
        <v>0</v>
      </c>
      <c r="BO112" s="557">
        <v>0</v>
      </c>
      <c r="BP112" s="557">
        <v>0</v>
      </c>
      <c r="BQ112" s="557">
        <v>0</v>
      </c>
      <c r="BR112" s="318"/>
      <c r="BS112" s="318"/>
      <c r="BT112" s="318"/>
      <c r="BU112" s="318"/>
      <c r="BV112" s="318"/>
      <c r="BW112" s="318"/>
      <c r="BX112" s="318"/>
      <c r="BY112" s="318"/>
      <c r="BZ112" s="318"/>
      <c r="CA112" s="318"/>
      <c r="CB112" s="318"/>
      <c r="CC112" s="318"/>
      <c r="CD112" s="318"/>
      <c r="CE112" s="457"/>
      <c r="CF112" s="318"/>
      <c r="CG112" s="360"/>
      <c r="CH112" s="360"/>
      <c r="CI112" s="360"/>
      <c r="CJ112" s="360"/>
      <c r="CK112" s="360"/>
      <c r="CL112" s="360"/>
      <c r="CM112" s="360"/>
      <c r="CN112" s="360"/>
      <c r="CO112" s="360"/>
      <c r="CP112" s="360"/>
    </row>
    <row r="113" spans="1:94" s="315" customFormat="1" ht="13" hidden="1" x14ac:dyDescent="0.25">
      <c r="A113" s="403">
        <v>102</v>
      </c>
      <c r="B113" s="313" t="s">
        <v>490</v>
      </c>
      <c r="C113" s="313" t="s">
        <v>710</v>
      </c>
      <c r="D113" s="318" t="s">
        <v>457</v>
      </c>
      <c r="E113" s="318"/>
      <c r="F113" s="313" t="s">
        <v>395</v>
      </c>
      <c r="G113" s="313" t="s">
        <v>705</v>
      </c>
      <c r="H113" s="305"/>
      <c r="I113" s="305"/>
      <c r="J113" s="370">
        <v>0</v>
      </c>
      <c r="K113" s="370">
        <v>0</v>
      </c>
      <c r="L113" s="370">
        <f t="shared" si="58"/>
        <v>0</v>
      </c>
      <c r="M113" s="316" t="s">
        <v>487</v>
      </c>
      <c r="N113" s="356"/>
      <c r="O113" s="398"/>
      <c r="P113" s="305" t="s">
        <v>474</v>
      </c>
      <c r="Q113" s="304"/>
      <c r="R113" s="305"/>
      <c r="S113" s="305"/>
      <c r="T113" s="305"/>
      <c r="U113" s="305" t="s">
        <v>235</v>
      </c>
      <c r="V113" s="426"/>
      <c r="W113" s="317"/>
      <c r="X113" s="317"/>
      <c r="Y113" s="317" t="str">
        <f t="shared" si="59"/>
        <v/>
      </c>
      <c r="Z113" s="318"/>
      <c r="AA113" s="318"/>
      <c r="AB113" s="318"/>
      <c r="AC113" s="318"/>
      <c r="AD113" s="318"/>
      <c r="AE113" s="483">
        <f t="shared" si="77"/>
        <v>0</v>
      </c>
      <c r="AF113" s="482">
        <f t="shared" si="77"/>
        <v>0</v>
      </c>
      <c r="AG113" s="482">
        <f t="shared" si="77"/>
        <v>0</v>
      </c>
      <c r="AH113" s="482">
        <f t="shared" si="77"/>
        <v>0</v>
      </c>
      <c r="AI113" s="482">
        <f t="shared" si="77"/>
        <v>0</v>
      </c>
      <c r="AJ113" s="482">
        <f t="shared" si="77"/>
        <v>0</v>
      </c>
      <c r="AK113" s="556">
        <f t="shared" si="78"/>
        <v>0</v>
      </c>
      <c r="AL113" s="557">
        <f t="shared" si="78"/>
        <v>0</v>
      </c>
      <c r="AM113" s="557">
        <f t="shared" si="78"/>
        <v>0</v>
      </c>
      <c r="AN113" s="557">
        <f t="shared" si="78"/>
        <v>0</v>
      </c>
      <c r="AO113" s="557">
        <f t="shared" si="78"/>
        <v>0</v>
      </c>
      <c r="AP113" s="482">
        <f t="shared" si="78"/>
        <v>0</v>
      </c>
      <c r="AQ113" s="483">
        <f t="shared" si="54"/>
        <v>0</v>
      </c>
      <c r="AR113" s="482">
        <f t="shared" si="65"/>
        <v>0</v>
      </c>
      <c r="AS113" s="482">
        <f t="shared" si="65"/>
        <v>0</v>
      </c>
      <c r="AT113" s="482">
        <f t="shared" si="65"/>
        <v>0</v>
      </c>
      <c r="AU113" s="482">
        <f t="shared" si="65"/>
        <v>0</v>
      </c>
      <c r="AV113" s="482">
        <f t="shared" si="55"/>
        <v>0</v>
      </c>
      <c r="AW113" s="483">
        <f t="shared" si="71"/>
        <v>0</v>
      </c>
      <c r="AX113" s="514">
        <f t="shared" si="68"/>
        <v>0</v>
      </c>
      <c r="AY113" s="514" t="s">
        <v>1034</v>
      </c>
      <c r="AZ113" s="556">
        <f t="shared" si="76"/>
        <v>0</v>
      </c>
      <c r="BA113" s="557">
        <v>0</v>
      </c>
      <c r="BB113" s="557">
        <v>0</v>
      </c>
      <c r="BC113" s="557">
        <v>0</v>
      </c>
      <c r="BD113" s="557">
        <v>0</v>
      </c>
      <c r="BE113" s="557">
        <v>0</v>
      </c>
      <c r="BF113" s="556">
        <f t="shared" si="61"/>
        <v>0</v>
      </c>
      <c r="BG113" s="557">
        <v>0</v>
      </c>
      <c r="BH113" s="557">
        <v>0</v>
      </c>
      <c r="BI113" s="557">
        <v>0</v>
      </c>
      <c r="BJ113" s="557">
        <v>0</v>
      </c>
      <c r="BK113" s="557">
        <v>0</v>
      </c>
      <c r="BL113" s="556">
        <f t="shared" si="56"/>
        <v>0</v>
      </c>
      <c r="BM113" s="557">
        <v>0</v>
      </c>
      <c r="BN113" s="557">
        <v>0</v>
      </c>
      <c r="BO113" s="557">
        <v>0</v>
      </c>
      <c r="BP113" s="557">
        <v>0</v>
      </c>
      <c r="BQ113" s="557">
        <v>0</v>
      </c>
      <c r="BR113" s="318"/>
      <c r="BS113" s="318"/>
      <c r="BT113" s="318"/>
      <c r="BU113" s="318"/>
      <c r="BV113" s="318"/>
      <c r="BW113" s="318"/>
      <c r="BX113" s="318"/>
      <c r="BY113" s="318"/>
      <c r="BZ113" s="318"/>
      <c r="CA113" s="318"/>
      <c r="CB113" s="318"/>
      <c r="CC113" s="318"/>
      <c r="CD113" s="318"/>
      <c r="CE113" s="457"/>
      <c r="CF113" s="318"/>
      <c r="CG113" s="360"/>
      <c r="CH113" s="360"/>
      <c r="CI113" s="360"/>
      <c r="CJ113" s="360"/>
      <c r="CK113" s="360"/>
      <c r="CL113" s="360"/>
      <c r="CM113" s="360"/>
      <c r="CN113" s="360"/>
      <c r="CO113" s="360"/>
      <c r="CP113" s="360"/>
    </row>
    <row r="114" spans="1:94" s="315" customFormat="1" ht="13" hidden="1" x14ac:dyDescent="0.25">
      <c r="A114" s="403">
        <v>103</v>
      </c>
      <c r="B114" s="313" t="s">
        <v>490</v>
      </c>
      <c r="C114" s="313" t="s">
        <v>711</v>
      </c>
      <c r="D114" s="318" t="s">
        <v>457</v>
      </c>
      <c r="E114" s="318"/>
      <c r="F114" s="313" t="s">
        <v>397</v>
      </c>
      <c r="G114" s="313" t="s">
        <v>1404</v>
      </c>
      <c r="H114" s="305"/>
      <c r="I114" s="305"/>
      <c r="J114" s="370">
        <v>0</v>
      </c>
      <c r="K114" s="370">
        <v>0</v>
      </c>
      <c r="L114" s="370">
        <f t="shared" si="58"/>
        <v>0</v>
      </c>
      <c r="M114" s="316" t="s">
        <v>487</v>
      </c>
      <c r="N114" s="356"/>
      <c r="O114" s="398"/>
      <c r="P114" s="305"/>
      <c r="Q114" s="304"/>
      <c r="R114" s="305"/>
      <c r="S114" s="305"/>
      <c r="T114" s="305"/>
      <c r="U114" s="305" t="s">
        <v>235</v>
      </c>
      <c r="V114" s="426"/>
      <c r="W114" s="317"/>
      <c r="X114" s="317"/>
      <c r="Y114" s="317" t="str">
        <f t="shared" si="59"/>
        <v/>
      </c>
      <c r="Z114" s="318"/>
      <c r="AA114" s="318"/>
      <c r="AB114" s="318"/>
      <c r="AC114" s="318"/>
      <c r="AD114" s="318"/>
      <c r="AE114" s="483">
        <f t="shared" ref="AE114:AJ129" si="79">IF(OR($M114="Exploration", $M114="Pre-feasibility", $O114&gt;2017), 0, "check")</f>
        <v>0</v>
      </c>
      <c r="AF114" s="482">
        <f t="shared" si="79"/>
        <v>0</v>
      </c>
      <c r="AG114" s="482">
        <f t="shared" si="79"/>
        <v>0</v>
      </c>
      <c r="AH114" s="482">
        <f t="shared" si="79"/>
        <v>0</v>
      </c>
      <c r="AI114" s="482">
        <f t="shared" si="79"/>
        <v>0</v>
      </c>
      <c r="AJ114" s="482">
        <f t="shared" si="79"/>
        <v>0</v>
      </c>
      <c r="AK114" s="556">
        <f t="shared" si="78"/>
        <v>0</v>
      </c>
      <c r="AL114" s="557">
        <f t="shared" si="78"/>
        <v>0</v>
      </c>
      <c r="AM114" s="557">
        <f t="shared" si="78"/>
        <v>0</v>
      </c>
      <c r="AN114" s="557">
        <f t="shared" si="78"/>
        <v>0</v>
      </c>
      <c r="AO114" s="557">
        <f t="shared" si="78"/>
        <v>0</v>
      </c>
      <c r="AP114" s="482">
        <f t="shared" si="78"/>
        <v>0</v>
      </c>
      <c r="AQ114" s="483">
        <f t="shared" si="54"/>
        <v>0</v>
      </c>
      <c r="AR114" s="482">
        <f t="shared" si="65"/>
        <v>0</v>
      </c>
      <c r="AS114" s="482">
        <f t="shared" si="65"/>
        <v>0</v>
      </c>
      <c r="AT114" s="482">
        <f t="shared" si="65"/>
        <v>0</v>
      </c>
      <c r="AU114" s="482">
        <f t="shared" si="65"/>
        <v>0</v>
      </c>
      <c r="AV114" s="482">
        <f t="shared" si="55"/>
        <v>0</v>
      </c>
      <c r="AW114" s="483">
        <f t="shared" si="71"/>
        <v>0</v>
      </c>
      <c r="AX114" s="514">
        <f t="shared" si="68"/>
        <v>0</v>
      </c>
      <c r="AY114" s="514" t="s">
        <v>1034</v>
      </c>
      <c r="AZ114" s="556">
        <f t="shared" si="76"/>
        <v>0</v>
      </c>
      <c r="BA114" s="557">
        <v>0</v>
      </c>
      <c r="BB114" s="557">
        <v>0</v>
      </c>
      <c r="BC114" s="557">
        <v>0</v>
      </c>
      <c r="BD114" s="557">
        <v>0</v>
      </c>
      <c r="BE114" s="557">
        <v>0</v>
      </c>
      <c r="BF114" s="556">
        <f t="shared" si="61"/>
        <v>0</v>
      </c>
      <c r="BG114" s="557">
        <v>0</v>
      </c>
      <c r="BH114" s="557">
        <v>0</v>
      </c>
      <c r="BI114" s="557">
        <v>0</v>
      </c>
      <c r="BJ114" s="557">
        <v>0</v>
      </c>
      <c r="BK114" s="557">
        <v>0</v>
      </c>
      <c r="BL114" s="556">
        <f t="shared" si="56"/>
        <v>0</v>
      </c>
      <c r="BM114" s="557">
        <v>0</v>
      </c>
      <c r="BN114" s="557">
        <v>0</v>
      </c>
      <c r="BO114" s="557">
        <v>0</v>
      </c>
      <c r="BP114" s="557">
        <v>0</v>
      </c>
      <c r="BQ114" s="557">
        <v>0</v>
      </c>
      <c r="BR114" s="318"/>
      <c r="BS114" s="318"/>
      <c r="BT114" s="318"/>
      <c r="BU114" s="318"/>
      <c r="BV114" s="318"/>
      <c r="BW114" s="318"/>
      <c r="BX114" s="318"/>
      <c r="BY114" s="318"/>
      <c r="BZ114" s="318"/>
      <c r="CA114" s="318"/>
      <c r="CB114" s="318"/>
      <c r="CC114" s="318"/>
      <c r="CD114" s="318"/>
      <c r="CE114" s="457"/>
      <c r="CF114" s="318"/>
      <c r="CG114" s="360"/>
      <c r="CH114" s="360"/>
      <c r="CI114" s="360"/>
      <c r="CJ114" s="360"/>
      <c r="CK114" s="360"/>
      <c r="CL114" s="360"/>
      <c r="CM114" s="360"/>
      <c r="CN114" s="360"/>
      <c r="CO114" s="360"/>
      <c r="CP114" s="360"/>
    </row>
    <row r="115" spans="1:94" s="315" customFormat="1" ht="19.5" hidden="1" customHeight="1" x14ac:dyDescent="0.25">
      <c r="A115" s="403">
        <v>104</v>
      </c>
      <c r="B115" s="313" t="s">
        <v>495</v>
      </c>
      <c r="C115" s="313" t="s">
        <v>712</v>
      </c>
      <c r="D115" s="318" t="s">
        <v>457</v>
      </c>
      <c r="E115" s="318"/>
      <c r="F115" s="313" t="s">
        <v>395</v>
      </c>
      <c r="G115" s="313" t="s">
        <v>1392</v>
      </c>
      <c r="H115" s="305"/>
      <c r="I115" s="305"/>
      <c r="J115" s="370">
        <v>0</v>
      </c>
      <c r="K115" s="370">
        <v>0</v>
      </c>
      <c r="L115" s="370">
        <f t="shared" si="58"/>
        <v>0</v>
      </c>
      <c r="M115" s="316" t="s">
        <v>487</v>
      </c>
      <c r="N115" s="356"/>
      <c r="O115" s="398"/>
      <c r="P115" s="305"/>
      <c r="Q115" s="304"/>
      <c r="R115" s="305"/>
      <c r="S115" s="305"/>
      <c r="T115" s="305"/>
      <c r="U115" s="305" t="s">
        <v>235</v>
      </c>
      <c r="V115" s="426"/>
      <c r="W115" s="317"/>
      <c r="X115" s="317"/>
      <c r="Y115" s="317" t="str">
        <f t="shared" si="59"/>
        <v/>
      </c>
      <c r="Z115" s="318"/>
      <c r="AA115" s="318"/>
      <c r="AB115" s="318"/>
      <c r="AC115" s="318"/>
      <c r="AD115" s="318"/>
      <c r="AE115" s="483">
        <f t="shared" si="79"/>
        <v>0</v>
      </c>
      <c r="AF115" s="482">
        <f t="shared" si="79"/>
        <v>0</v>
      </c>
      <c r="AG115" s="482">
        <f t="shared" si="79"/>
        <v>0</v>
      </c>
      <c r="AH115" s="482">
        <f t="shared" si="79"/>
        <v>0</v>
      </c>
      <c r="AI115" s="482">
        <f t="shared" si="79"/>
        <v>0</v>
      </c>
      <c r="AJ115" s="482">
        <f t="shared" si="79"/>
        <v>0</v>
      </c>
      <c r="AK115" s="556">
        <f t="shared" si="78"/>
        <v>0</v>
      </c>
      <c r="AL115" s="557">
        <f t="shared" si="78"/>
        <v>0</v>
      </c>
      <c r="AM115" s="557">
        <f t="shared" si="78"/>
        <v>0</v>
      </c>
      <c r="AN115" s="557">
        <f t="shared" si="78"/>
        <v>0</v>
      </c>
      <c r="AO115" s="557">
        <f t="shared" si="78"/>
        <v>0</v>
      </c>
      <c r="AP115" s="482">
        <f t="shared" si="78"/>
        <v>0</v>
      </c>
      <c r="AQ115" s="483">
        <f t="shared" si="54"/>
        <v>0</v>
      </c>
      <c r="AR115" s="482">
        <f t="shared" si="65"/>
        <v>0</v>
      </c>
      <c r="AS115" s="482">
        <f t="shared" si="65"/>
        <v>0</v>
      </c>
      <c r="AT115" s="482">
        <f t="shared" si="65"/>
        <v>0</v>
      </c>
      <c r="AU115" s="482">
        <f t="shared" si="65"/>
        <v>0</v>
      </c>
      <c r="AV115" s="482">
        <f t="shared" si="55"/>
        <v>0</v>
      </c>
      <c r="AW115" s="483">
        <f t="shared" si="71"/>
        <v>0</v>
      </c>
      <c r="AX115" s="514">
        <f t="shared" si="68"/>
        <v>0</v>
      </c>
      <c r="AY115" s="514" t="s">
        <v>1034</v>
      </c>
      <c r="AZ115" s="556">
        <f t="shared" si="76"/>
        <v>0</v>
      </c>
      <c r="BA115" s="557">
        <v>0</v>
      </c>
      <c r="BB115" s="557">
        <v>0</v>
      </c>
      <c r="BC115" s="557">
        <v>0</v>
      </c>
      <c r="BD115" s="557">
        <v>0</v>
      </c>
      <c r="BE115" s="557">
        <v>0</v>
      </c>
      <c r="BF115" s="556">
        <f t="shared" si="61"/>
        <v>0</v>
      </c>
      <c r="BG115" s="557">
        <v>0</v>
      </c>
      <c r="BH115" s="557">
        <v>0</v>
      </c>
      <c r="BI115" s="557">
        <v>0</v>
      </c>
      <c r="BJ115" s="557">
        <v>0</v>
      </c>
      <c r="BK115" s="557">
        <v>0</v>
      </c>
      <c r="BL115" s="556">
        <f t="shared" si="56"/>
        <v>0</v>
      </c>
      <c r="BM115" s="557">
        <v>0</v>
      </c>
      <c r="BN115" s="557">
        <v>0</v>
      </c>
      <c r="BO115" s="557">
        <v>0</v>
      </c>
      <c r="BP115" s="557">
        <v>0</v>
      </c>
      <c r="BQ115" s="557">
        <v>0</v>
      </c>
      <c r="BR115" s="318"/>
      <c r="BS115" s="318"/>
      <c r="BT115" s="318"/>
      <c r="BU115" s="318"/>
      <c r="BV115" s="318"/>
      <c r="BW115" s="318"/>
      <c r="BX115" s="318"/>
      <c r="BY115" s="318"/>
      <c r="BZ115" s="318"/>
      <c r="CA115" s="318"/>
      <c r="CB115" s="318"/>
      <c r="CC115" s="318"/>
      <c r="CD115" s="318"/>
      <c r="CE115" s="457"/>
      <c r="CF115" s="318"/>
      <c r="CG115" s="360"/>
      <c r="CH115" s="360"/>
      <c r="CI115" s="360"/>
      <c r="CJ115" s="360"/>
      <c r="CK115" s="360"/>
      <c r="CL115" s="360"/>
      <c r="CM115" s="360"/>
      <c r="CN115" s="360"/>
      <c r="CO115" s="360"/>
      <c r="CP115" s="360"/>
    </row>
    <row r="116" spans="1:94" s="315" customFormat="1" ht="19.5" hidden="1" customHeight="1" x14ac:dyDescent="0.25">
      <c r="A116" s="403">
        <v>105</v>
      </c>
      <c r="B116" s="313" t="s">
        <v>496</v>
      </c>
      <c r="C116" s="313" t="s">
        <v>617</v>
      </c>
      <c r="D116" s="318" t="s">
        <v>457</v>
      </c>
      <c r="E116" s="318"/>
      <c r="F116" s="313" t="s">
        <v>397</v>
      </c>
      <c r="G116" s="313" t="s">
        <v>1398</v>
      </c>
      <c r="H116" s="305"/>
      <c r="I116" s="305"/>
      <c r="J116" s="370">
        <v>0</v>
      </c>
      <c r="K116" s="370">
        <v>0</v>
      </c>
      <c r="L116" s="370">
        <f t="shared" si="58"/>
        <v>0</v>
      </c>
      <c r="M116" s="316" t="s">
        <v>487</v>
      </c>
      <c r="N116" s="356"/>
      <c r="O116" s="398"/>
      <c r="P116" s="305"/>
      <c r="Q116" s="304"/>
      <c r="R116" s="305"/>
      <c r="S116" s="305"/>
      <c r="T116" s="305"/>
      <c r="U116" s="305" t="s">
        <v>235</v>
      </c>
      <c r="V116" s="426"/>
      <c r="W116" s="317"/>
      <c r="X116" s="317"/>
      <c r="Y116" s="317" t="str">
        <f t="shared" si="59"/>
        <v/>
      </c>
      <c r="Z116" s="318"/>
      <c r="AA116" s="318"/>
      <c r="AB116" s="318"/>
      <c r="AC116" s="318"/>
      <c r="AD116" s="318"/>
      <c r="AE116" s="483">
        <f t="shared" si="79"/>
        <v>0</v>
      </c>
      <c r="AF116" s="482">
        <f t="shared" si="79"/>
        <v>0</v>
      </c>
      <c r="AG116" s="482">
        <f t="shared" si="79"/>
        <v>0</v>
      </c>
      <c r="AH116" s="482">
        <f t="shared" si="79"/>
        <v>0</v>
      </c>
      <c r="AI116" s="482">
        <f t="shared" si="79"/>
        <v>0</v>
      </c>
      <c r="AJ116" s="482">
        <f t="shared" si="79"/>
        <v>0</v>
      </c>
      <c r="AK116" s="556">
        <f t="shared" si="78"/>
        <v>0</v>
      </c>
      <c r="AL116" s="557">
        <f t="shared" si="78"/>
        <v>0</v>
      </c>
      <c r="AM116" s="557">
        <f t="shared" si="78"/>
        <v>0</v>
      </c>
      <c r="AN116" s="557">
        <f t="shared" si="78"/>
        <v>0</v>
      </c>
      <c r="AO116" s="557">
        <f t="shared" si="78"/>
        <v>0</v>
      </c>
      <c r="AP116" s="482">
        <f t="shared" si="78"/>
        <v>0</v>
      </c>
      <c r="AQ116" s="483">
        <f t="shared" si="54"/>
        <v>0</v>
      </c>
      <c r="AR116" s="482">
        <f t="shared" si="65"/>
        <v>0</v>
      </c>
      <c r="AS116" s="482">
        <f t="shared" si="65"/>
        <v>0</v>
      </c>
      <c r="AT116" s="482">
        <f t="shared" si="65"/>
        <v>0</v>
      </c>
      <c r="AU116" s="482">
        <f t="shared" si="65"/>
        <v>0</v>
      </c>
      <c r="AV116" s="482">
        <f t="shared" si="55"/>
        <v>0</v>
      </c>
      <c r="AW116" s="483">
        <f t="shared" si="71"/>
        <v>0</v>
      </c>
      <c r="AX116" s="514">
        <f t="shared" si="68"/>
        <v>0</v>
      </c>
      <c r="AY116" s="514" t="s">
        <v>1034</v>
      </c>
      <c r="AZ116" s="556">
        <f t="shared" si="76"/>
        <v>0</v>
      </c>
      <c r="BA116" s="557">
        <v>0</v>
      </c>
      <c r="BB116" s="557">
        <v>0</v>
      </c>
      <c r="BC116" s="557">
        <v>0</v>
      </c>
      <c r="BD116" s="557">
        <v>0</v>
      </c>
      <c r="BE116" s="557">
        <v>0</v>
      </c>
      <c r="BF116" s="556">
        <f t="shared" si="61"/>
        <v>0</v>
      </c>
      <c r="BG116" s="557">
        <v>0</v>
      </c>
      <c r="BH116" s="557">
        <v>0</v>
      </c>
      <c r="BI116" s="557">
        <v>0</v>
      </c>
      <c r="BJ116" s="557">
        <v>0</v>
      </c>
      <c r="BK116" s="557">
        <v>0</v>
      </c>
      <c r="BL116" s="556">
        <f t="shared" si="56"/>
        <v>0</v>
      </c>
      <c r="BM116" s="557">
        <v>0</v>
      </c>
      <c r="BN116" s="557">
        <v>0</v>
      </c>
      <c r="BO116" s="557">
        <v>0</v>
      </c>
      <c r="BP116" s="557">
        <v>0</v>
      </c>
      <c r="BQ116" s="557">
        <v>0</v>
      </c>
      <c r="BR116" s="318"/>
      <c r="BS116" s="318"/>
      <c r="BT116" s="318"/>
      <c r="BU116" s="318"/>
      <c r="BV116" s="318"/>
      <c r="BW116" s="318"/>
      <c r="BX116" s="318"/>
      <c r="BY116" s="318"/>
      <c r="BZ116" s="318"/>
      <c r="CA116" s="318"/>
      <c r="CB116" s="318"/>
      <c r="CC116" s="318"/>
      <c r="CD116" s="318"/>
      <c r="CE116" s="457"/>
      <c r="CF116" s="318"/>
      <c r="CG116" s="360"/>
      <c r="CH116" s="360"/>
      <c r="CI116" s="360"/>
      <c r="CJ116" s="360"/>
      <c r="CK116" s="360"/>
      <c r="CL116" s="360"/>
      <c r="CM116" s="360"/>
      <c r="CN116" s="360"/>
      <c r="CO116" s="360"/>
      <c r="CP116" s="360"/>
    </row>
    <row r="117" spans="1:94" s="315" customFormat="1" ht="19.5" hidden="1" customHeight="1" x14ac:dyDescent="0.25">
      <c r="A117" s="403">
        <v>106</v>
      </c>
      <c r="B117" s="313" t="s">
        <v>497</v>
      </c>
      <c r="C117" s="313" t="s">
        <v>713</v>
      </c>
      <c r="D117" s="318" t="s">
        <v>457</v>
      </c>
      <c r="E117" s="318"/>
      <c r="F117" s="313" t="s">
        <v>397</v>
      </c>
      <c r="G117" s="313" t="s">
        <v>1403</v>
      </c>
      <c r="H117" s="305"/>
      <c r="I117" s="305"/>
      <c r="J117" s="370">
        <v>0</v>
      </c>
      <c r="K117" s="370">
        <v>0</v>
      </c>
      <c r="L117" s="370">
        <f t="shared" si="58"/>
        <v>0</v>
      </c>
      <c r="M117" s="316" t="s">
        <v>487</v>
      </c>
      <c r="N117" s="356"/>
      <c r="O117" s="398"/>
      <c r="P117" s="305"/>
      <c r="Q117" s="304"/>
      <c r="R117" s="305"/>
      <c r="S117" s="305"/>
      <c r="T117" s="305"/>
      <c r="U117" s="305" t="s">
        <v>235</v>
      </c>
      <c r="V117" s="426"/>
      <c r="W117" s="317"/>
      <c r="X117" s="317"/>
      <c r="Y117" s="317" t="str">
        <f t="shared" si="59"/>
        <v/>
      </c>
      <c r="Z117" s="318"/>
      <c r="AA117" s="318"/>
      <c r="AB117" s="318"/>
      <c r="AC117" s="318"/>
      <c r="AD117" s="318"/>
      <c r="AE117" s="483">
        <f t="shared" si="79"/>
        <v>0</v>
      </c>
      <c r="AF117" s="482">
        <f t="shared" si="79"/>
        <v>0</v>
      </c>
      <c r="AG117" s="482">
        <f t="shared" si="79"/>
        <v>0</v>
      </c>
      <c r="AH117" s="482">
        <f t="shared" si="79"/>
        <v>0</v>
      </c>
      <c r="AI117" s="482">
        <f t="shared" si="79"/>
        <v>0</v>
      </c>
      <c r="AJ117" s="482">
        <f t="shared" si="79"/>
        <v>0</v>
      </c>
      <c r="AK117" s="556">
        <f t="shared" si="78"/>
        <v>0</v>
      </c>
      <c r="AL117" s="557">
        <f t="shared" si="78"/>
        <v>0</v>
      </c>
      <c r="AM117" s="557">
        <f t="shared" si="78"/>
        <v>0</v>
      </c>
      <c r="AN117" s="557">
        <f t="shared" si="78"/>
        <v>0</v>
      </c>
      <c r="AO117" s="557">
        <f t="shared" si="78"/>
        <v>0</v>
      </c>
      <c r="AP117" s="482">
        <f t="shared" si="78"/>
        <v>0</v>
      </c>
      <c r="AQ117" s="483">
        <f t="shared" si="54"/>
        <v>0</v>
      </c>
      <c r="AR117" s="482">
        <f t="shared" si="65"/>
        <v>0</v>
      </c>
      <c r="AS117" s="482">
        <f t="shared" si="65"/>
        <v>0</v>
      </c>
      <c r="AT117" s="482">
        <f t="shared" si="65"/>
        <v>0</v>
      </c>
      <c r="AU117" s="482">
        <f t="shared" si="65"/>
        <v>0</v>
      </c>
      <c r="AV117" s="482">
        <f t="shared" si="55"/>
        <v>0</v>
      </c>
      <c r="AW117" s="483">
        <f t="shared" si="71"/>
        <v>0</v>
      </c>
      <c r="AX117" s="514">
        <f t="shared" si="68"/>
        <v>0</v>
      </c>
      <c r="AY117" s="514" t="s">
        <v>1034</v>
      </c>
      <c r="AZ117" s="556">
        <f t="shared" si="76"/>
        <v>0</v>
      </c>
      <c r="BA117" s="557">
        <f t="shared" ref="AZ117:BE117" si="80">IF(OR($M117="Exploration", $M117="Pre-feasibility", $O117&gt;2017), 0, "check")</f>
        <v>0</v>
      </c>
      <c r="BB117" s="557">
        <f t="shared" si="80"/>
        <v>0</v>
      </c>
      <c r="BC117" s="557">
        <f t="shared" si="80"/>
        <v>0</v>
      </c>
      <c r="BD117" s="557">
        <f t="shared" si="80"/>
        <v>0</v>
      </c>
      <c r="BE117" s="557">
        <f t="shared" si="80"/>
        <v>0</v>
      </c>
      <c r="BF117" s="556">
        <f t="shared" si="61"/>
        <v>0</v>
      </c>
      <c r="BG117" s="557">
        <f t="shared" ref="BF117:BK117" si="81">IF(OR($M117="Exploration", $M117="Pre-feasibility", $O117&gt;2018), 0, "check")</f>
        <v>0</v>
      </c>
      <c r="BH117" s="557">
        <f t="shared" si="81"/>
        <v>0</v>
      </c>
      <c r="BI117" s="557">
        <f t="shared" si="81"/>
        <v>0</v>
      </c>
      <c r="BJ117" s="557">
        <f t="shared" si="81"/>
        <v>0</v>
      </c>
      <c r="BK117" s="557">
        <f t="shared" si="81"/>
        <v>0</v>
      </c>
      <c r="BL117" s="556">
        <f t="shared" si="56"/>
        <v>0</v>
      </c>
      <c r="BM117" s="557">
        <f t="shared" ref="BM117:BQ117" si="82">IF(OR($M117="Exploration", $M117="Pre-feasibility", $O117&gt;2019), 0, "check")</f>
        <v>0</v>
      </c>
      <c r="BN117" s="557">
        <f t="shared" si="82"/>
        <v>0</v>
      </c>
      <c r="BO117" s="557">
        <f t="shared" si="82"/>
        <v>0</v>
      </c>
      <c r="BP117" s="557">
        <f t="shared" si="82"/>
        <v>0</v>
      </c>
      <c r="BQ117" s="557">
        <f t="shared" si="82"/>
        <v>0</v>
      </c>
      <c r="BR117" s="318"/>
      <c r="BS117" s="318"/>
      <c r="BT117" s="318"/>
      <c r="BU117" s="318"/>
      <c r="BV117" s="318"/>
      <c r="BW117" s="318"/>
      <c r="BX117" s="318"/>
      <c r="BY117" s="318"/>
      <c r="BZ117" s="318"/>
      <c r="CA117" s="318"/>
      <c r="CB117" s="318"/>
      <c r="CC117" s="318"/>
      <c r="CD117" s="318"/>
      <c r="CE117" s="457"/>
      <c r="CF117" s="318"/>
      <c r="CG117" s="360"/>
      <c r="CH117" s="360"/>
      <c r="CI117" s="360"/>
      <c r="CJ117" s="360"/>
      <c r="CK117" s="360"/>
      <c r="CL117" s="360"/>
      <c r="CM117" s="360"/>
      <c r="CN117" s="360"/>
      <c r="CO117" s="360"/>
      <c r="CP117" s="360"/>
    </row>
    <row r="118" spans="1:94" s="315" customFormat="1" ht="19.5" hidden="1" customHeight="1" x14ac:dyDescent="0.25">
      <c r="A118" s="403">
        <v>107</v>
      </c>
      <c r="B118" s="313" t="s">
        <v>1545</v>
      </c>
      <c r="C118" s="313" t="s">
        <v>714</v>
      </c>
      <c r="D118" s="318" t="s">
        <v>457</v>
      </c>
      <c r="E118" s="318"/>
      <c r="F118" s="313" t="s">
        <v>395</v>
      </c>
      <c r="G118" s="313" t="s">
        <v>1405</v>
      </c>
      <c r="H118" s="305"/>
      <c r="I118" s="305"/>
      <c r="J118" s="370">
        <v>0</v>
      </c>
      <c r="K118" s="370">
        <v>0</v>
      </c>
      <c r="L118" s="370">
        <f t="shared" si="58"/>
        <v>0</v>
      </c>
      <c r="M118" s="316" t="s">
        <v>487</v>
      </c>
      <c r="N118" s="356"/>
      <c r="O118" s="398"/>
      <c r="P118" s="305"/>
      <c r="Q118" s="304"/>
      <c r="R118" s="305"/>
      <c r="S118" s="305"/>
      <c r="T118" s="305"/>
      <c r="U118" s="305" t="s">
        <v>235</v>
      </c>
      <c r="V118" s="426"/>
      <c r="W118" s="317"/>
      <c r="X118" s="317"/>
      <c r="Y118" s="317" t="str">
        <f t="shared" si="59"/>
        <v/>
      </c>
      <c r="Z118" s="318"/>
      <c r="AA118" s="318"/>
      <c r="AB118" s="318"/>
      <c r="AC118" s="318"/>
      <c r="AD118" s="318"/>
      <c r="AE118" s="483">
        <f t="shared" si="79"/>
        <v>0</v>
      </c>
      <c r="AF118" s="482">
        <f t="shared" si="79"/>
        <v>0</v>
      </c>
      <c r="AG118" s="482">
        <f t="shared" si="79"/>
        <v>0</v>
      </c>
      <c r="AH118" s="482">
        <f t="shared" si="79"/>
        <v>0</v>
      </c>
      <c r="AI118" s="482">
        <f t="shared" si="79"/>
        <v>0</v>
      </c>
      <c r="AJ118" s="482">
        <f t="shared" si="79"/>
        <v>0</v>
      </c>
      <c r="AK118" s="556">
        <f t="shared" si="78"/>
        <v>0</v>
      </c>
      <c r="AL118" s="557">
        <f t="shared" si="78"/>
        <v>0</v>
      </c>
      <c r="AM118" s="557">
        <f t="shared" si="78"/>
        <v>0</v>
      </c>
      <c r="AN118" s="557">
        <f t="shared" si="78"/>
        <v>0</v>
      </c>
      <c r="AO118" s="557">
        <f t="shared" si="78"/>
        <v>0</v>
      </c>
      <c r="AP118" s="482">
        <f t="shared" si="78"/>
        <v>0</v>
      </c>
      <c r="AQ118" s="483">
        <f t="shared" si="54"/>
        <v>0</v>
      </c>
      <c r="AR118" s="482">
        <f t="shared" si="65"/>
        <v>0</v>
      </c>
      <c r="AS118" s="482">
        <f t="shared" si="65"/>
        <v>0</v>
      </c>
      <c r="AT118" s="482">
        <f t="shared" si="65"/>
        <v>0</v>
      </c>
      <c r="AU118" s="482">
        <f t="shared" si="65"/>
        <v>0</v>
      </c>
      <c r="AV118" s="482">
        <f t="shared" si="55"/>
        <v>0</v>
      </c>
      <c r="AW118" s="483">
        <f t="shared" si="71"/>
        <v>0</v>
      </c>
      <c r="AX118" s="514">
        <f t="shared" si="68"/>
        <v>0</v>
      </c>
      <c r="AY118" s="514" t="s">
        <v>1034</v>
      </c>
      <c r="AZ118" s="556">
        <f t="shared" si="76"/>
        <v>0</v>
      </c>
      <c r="BA118" s="557">
        <v>0</v>
      </c>
      <c r="BB118" s="557">
        <v>0</v>
      </c>
      <c r="BC118" s="557">
        <v>0</v>
      </c>
      <c r="BD118" s="557">
        <v>0</v>
      </c>
      <c r="BE118" s="557">
        <v>0</v>
      </c>
      <c r="BF118" s="556">
        <f t="shared" si="61"/>
        <v>0</v>
      </c>
      <c r="BG118" s="557">
        <v>0</v>
      </c>
      <c r="BH118" s="557">
        <v>0</v>
      </c>
      <c r="BI118" s="557">
        <v>0</v>
      </c>
      <c r="BJ118" s="557">
        <v>0</v>
      </c>
      <c r="BK118" s="557">
        <v>0</v>
      </c>
      <c r="BL118" s="556">
        <f t="shared" si="56"/>
        <v>0</v>
      </c>
      <c r="BM118" s="557">
        <v>0</v>
      </c>
      <c r="BN118" s="557">
        <v>0</v>
      </c>
      <c r="BO118" s="557">
        <v>0</v>
      </c>
      <c r="BP118" s="557">
        <v>0</v>
      </c>
      <c r="BQ118" s="557">
        <v>0</v>
      </c>
      <c r="BR118" s="318"/>
      <c r="BS118" s="318"/>
      <c r="BT118" s="318"/>
      <c r="BU118" s="318"/>
      <c r="BV118" s="318"/>
      <c r="BW118" s="318"/>
      <c r="BX118" s="318"/>
      <c r="BY118" s="318"/>
      <c r="BZ118" s="318"/>
      <c r="CA118" s="318"/>
      <c r="CB118" s="318"/>
      <c r="CC118" s="318"/>
      <c r="CD118" s="318"/>
      <c r="CE118" s="457"/>
      <c r="CF118" s="318"/>
      <c r="CG118" s="360"/>
      <c r="CH118" s="360"/>
      <c r="CI118" s="360"/>
      <c r="CJ118" s="360"/>
      <c r="CK118" s="360"/>
      <c r="CL118" s="360"/>
      <c r="CM118" s="360"/>
      <c r="CN118" s="360"/>
      <c r="CO118" s="360"/>
      <c r="CP118" s="360"/>
    </row>
    <row r="119" spans="1:94" s="315" customFormat="1" ht="19.5" hidden="1" customHeight="1" x14ac:dyDescent="0.25">
      <c r="A119" s="519">
        <v>108</v>
      </c>
      <c r="B119" s="313" t="s">
        <v>695</v>
      </c>
      <c r="C119" s="313" t="s">
        <v>899</v>
      </c>
      <c r="D119" s="318" t="s">
        <v>457</v>
      </c>
      <c r="E119" s="318" t="s">
        <v>552</v>
      </c>
      <c r="F119" s="313" t="s">
        <v>498</v>
      </c>
      <c r="G119" s="313" t="s">
        <v>1406</v>
      </c>
      <c r="H119" s="517" t="s">
        <v>902</v>
      </c>
      <c r="I119" s="517" t="s">
        <v>903</v>
      </c>
      <c r="J119" s="370" t="e">
        <f>150000*V119/(IF(#REF!="yes",0.188,1))</f>
        <v>#REF!</v>
      </c>
      <c r="K119" s="370" t="e">
        <f>250000*V119/(IF(#REF!="yes",0.188,1))</f>
        <v>#REF!</v>
      </c>
      <c r="L119" s="370" t="e">
        <f>K119</f>
        <v>#REF!</v>
      </c>
      <c r="M119" s="544" t="s">
        <v>483</v>
      </c>
      <c r="N119" s="398">
        <v>2017</v>
      </c>
      <c r="O119" s="398">
        <v>2019</v>
      </c>
      <c r="P119" s="517" t="s">
        <v>234</v>
      </c>
      <c r="Q119" s="354">
        <v>9.75E-3</v>
      </c>
      <c r="R119" s="517"/>
      <c r="S119" s="517"/>
      <c r="T119" s="517" t="s">
        <v>906</v>
      </c>
      <c r="U119" s="517" t="s">
        <v>528</v>
      </c>
      <c r="V119" s="426">
        <f>6%*40%</f>
        <v>2.4E-2</v>
      </c>
      <c r="W119" s="443" t="e">
        <f>110/#REF!/10^3</f>
        <v>#REF!</v>
      </c>
      <c r="X119" s="445"/>
      <c r="Y119" s="317" t="e">
        <f t="shared" si="59"/>
        <v>#REF!</v>
      </c>
      <c r="Z119" s="318">
        <v>1</v>
      </c>
      <c r="AA119" s="318">
        <v>2</v>
      </c>
      <c r="AB119" s="318">
        <v>3</v>
      </c>
      <c r="AC119" s="318">
        <v>2</v>
      </c>
      <c r="AD119" s="318" t="s">
        <v>900</v>
      </c>
      <c r="AE119" s="520">
        <v>10000</v>
      </c>
      <c r="AF119" s="482">
        <v>0</v>
      </c>
      <c r="AG119" s="482">
        <v>0</v>
      </c>
      <c r="AH119" s="482">
        <v>0</v>
      </c>
      <c r="AI119" s="482">
        <v>0</v>
      </c>
      <c r="AJ119" s="482">
        <v>0</v>
      </c>
      <c r="AK119" s="520">
        <v>19148.936170212764</v>
      </c>
      <c r="AL119" s="482">
        <v>0</v>
      </c>
      <c r="AM119" s="482">
        <v>0</v>
      </c>
      <c r="AN119" s="482">
        <v>0</v>
      </c>
      <c r="AO119" s="482">
        <v>0</v>
      </c>
      <c r="AP119" s="482">
        <v>0</v>
      </c>
      <c r="AQ119" s="520">
        <v>0</v>
      </c>
      <c r="AR119" s="482" t="s">
        <v>1524</v>
      </c>
      <c r="AS119" s="482" t="s">
        <v>1524</v>
      </c>
      <c r="AT119" s="482" t="s">
        <v>1524</v>
      </c>
      <c r="AU119" s="482" t="s">
        <v>1524</v>
      </c>
      <c r="AV119" s="482" t="s">
        <v>1524</v>
      </c>
      <c r="AW119" s="520">
        <v>0</v>
      </c>
      <c r="AX119" s="514">
        <f t="shared" si="68"/>
        <v>0</v>
      </c>
      <c r="AY119" s="482" t="s">
        <v>1524</v>
      </c>
      <c r="AZ119" s="556">
        <f>AE119</f>
        <v>10000</v>
      </c>
      <c r="BA119" s="557">
        <v>0</v>
      </c>
      <c r="BB119" s="557">
        <v>0</v>
      </c>
      <c r="BC119" s="557">
        <v>0</v>
      </c>
      <c r="BD119" s="557">
        <v>0</v>
      </c>
      <c r="BE119" s="557">
        <v>0</v>
      </c>
      <c r="BF119" s="556">
        <f t="shared" si="61"/>
        <v>19148.936170212764</v>
      </c>
      <c r="BG119" s="557">
        <v>0</v>
      </c>
      <c r="BH119" s="557">
        <v>0</v>
      </c>
      <c r="BI119" s="557">
        <v>0</v>
      </c>
      <c r="BJ119" s="557">
        <v>0</v>
      </c>
      <c r="BK119" s="557">
        <v>0</v>
      </c>
      <c r="BL119" s="556">
        <f t="shared" si="56"/>
        <v>0</v>
      </c>
      <c r="BM119" s="557">
        <v>0</v>
      </c>
      <c r="BN119" s="557">
        <v>0</v>
      </c>
      <c r="BO119" s="557">
        <v>0</v>
      </c>
      <c r="BP119" s="557">
        <v>0</v>
      </c>
      <c r="BQ119" s="557">
        <v>0</v>
      </c>
      <c r="BR119" s="318"/>
      <c r="BS119" s="318"/>
      <c r="BT119" s="318"/>
      <c r="BU119" s="318"/>
      <c r="BV119" s="318"/>
      <c r="BW119" s="318"/>
      <c r="BX119" s="318"/>
      <c r="BY119" s="318"/>
      <c r="BZ119" s="318" t="s">
        <v>1504</v>
      </c>
      <c r="CA119" s="318"/>
      <c r="CB119" s="318"/>
      <c r="CC119" s="318"/>
      <c r="CD119" s="318"/>
      <c r="CE119" s="457"/>
      <c r="CF119" s="443">
        <v>9</v>
      </c>
      <c r="CG119" s="360" t="s">
        <v>695</v>
      </c>
      <c r="CH119" s="430">
        <v>0.8</v>
      </c>
      <c r="CI119" s="360" t="s">
        <v>1201</v>
      </c>
      <c r="CJ119" s="430">
        <v>0.2</v>
      </c>
      <c r="CK119" s="360"/>
      <c r="CL119" s="360"/>
      <c r="CM119" s="360"/>
      <c r="CN119" s="360"/>
      <c r="CO119" s="360"/>
      <c r="CP119" s="360"/>
    </row>
    <row r="120" spans="1:94" s="315" customFormat="1" ht="19.5" hidden="1" customHeight="1" x14ac:dyDescent="0.25">
      <c r="A120" s="403">
        <v>109</v>
      </c>
      <c r="B120" s="313" t="s">
        <v>499</v>
      </c>
      <c r="C120" s="313" t="s">
        <v>465</v>
      </c>
      <c r="D120" s="318" t="s">
        <v>457</v>
      </c>
      <c r="E120" s="318"/>
      <c r="F120" s="313" t="s">
        <v>465</v>
      </c>
      <c r="G120" s="313" t="s">
        <v>1399</v>
      </c>
      <c r="H120" s="305"/>
      <c r="I120" s="305"/>
      <c r="J120" s="370">
        <v>0</v>
      </c>
      <c r="K120" s="370">
        <v>0</v>
      </c>
      <c r="L120" s="370">
        <f t="shared" si="58"/>
        <v>0</v>
      </c>
      <c r="M120" s="316" t="s">
        <v>487</v>
      </c>
      <c r="N120" s="356"/>
      <c r="O120" s="398"/>
      <c r="P120" s="305"/>
      <c r="Q120" s="304"/>
      <c r="R120" s="305"/>
      <c r="S120" s="305"/>
      <c r="T120" s="305"/>
      <c r="U120" s="305" t="s">
        <v>235</v>
      </c>
      <c r="V120" s="426"/>
      <c r="W120" s="317"/>
      <c r="X120" s="317"/>
      <c r="Y120" s="317" t="str">
        <f t="shared" si="59"/>
        <v/>
      </c>
      <c r="Z120" s="318"/>
      <c r="AA120" s="318"/>
      <c r="AB120" s="318"/>
      <c r="AC120" s="318"/>
      <c r="AD120" s="318"/>
      <c r="AE120" s="483">
        <f t="shared" si="79"/>
        <v>0</v>
      </c>
      <c r="AF120" s="482">
        <f t="shared" si="79"/>
        <v>0</v>
      </c>
      <c r="AG120" s="482">
        <f t="shared" si="79"/>
        <v>0</v>
      </c>
      <c r="AH120" s="482">
        <f t="shared" si="79"/>
        <v>0</v>
      </c>
      <c r="AI120" s="482">
        <f t="shared" si="79"/>
        <v>0</v>
      </c>
      <c r="AJ120" s="482">
        <f t="shared" si="79"/>
        <v>0</v>
      </c>
      <c r="AK120" s="556">
        <f t="shared" ref="AK120:AP133" si="83">IF(OR($M120="Exploration", $M120="Pre-feasibility", $O120&gt;2018), 0, "check")</f>
        <v>0</v>
      </c>
      <c r="AL120" s="557">
        <f t="shared" si="83"/>
        <v>0</v>
      </c>
      <c r="AM120" s="557">
        <f t="shared" si="83"/>
        <v>0</v>
      </c>
      <c r="AN120" s="557">
        <f t="shared" si="83"/>
        <v>0</v>
      </c>
      <c r="AO120" s="557">
        <f t="shared" si="83"/>
        <v>0</v>
      </c>
      <c r="AP120" s="557">
        <f t="shared" si="83"/>
        <v>0</v>
      </c>
      <c r="AQ120" s="483">
        <f t="shared" si="54"/>
        <v>0</v>
      </c>
      <c r="AR120" s="482">
        <f t="shared" si="65"/>
        <v>0</v>
      </c>
      <c r="AS120" s="482">
        <f t="shared" si="65"/>
        <v>0</v>
      </c>
      <c r="AT120" s="482">
        <f t="shared" si="65"/>
        <v>0</v>
      </c>
      <c r="AU120" s="482">
        <f t="shared" si="65"/>
        <v>0</v>
      </c>
      <c r="AV120" s="482">
        <f t="shared" si="55"/>
        <v>0</v>
      </c>
      <c r="AW120" s="483">
        <f t="shared" si="71"/>
        <v>0</v>
      </c>
      <c r="AX120" s="514">
        <f t="shared" si="68"/>
        <v>0</v>
      </c>
      <c r="AY120" s="514" t="s">
        <v>1034</v>
      </c>
      <c r="AZ120" s="556">
        <f t="shared" ref="AZ120:AZ134" si="84">AE120</f>
        <v>0</v>
      </c>
      <c r="BA120" s="557">
        <v>0</v>
      </c>
      <c r="BB120" s="557">
        <v>0</v>
      </c>
      <c r="BC120" s="557">
        <v>0</v>
      </c>
      <c r="BD120" s="557">
        <v>0</v>
      </c>
      <c r="BE120" s="557">
        <v>0</v>
      </c>
      <c r="BF120" s="556">
        <f t="shared" si="61"/>
        <v>0</v>
      </c>
      <c r="BG120" s="557">
        <v>0</v>
      </c>
      <c r="BH120" s="557">
        <v>0</v>
      </c>
      <c r="BI120" s="557">
        <v>0</v>
      </c>
      <c r="BJ120" s="557">
        <v>0</v>
      </c>
      <c r="BK120" s="557">
        <v>0</v>
      </c>
      <c r="BL120" s="556">
        <f t="shared" si="56"/>
        <v>0</v>
      </c>
      <c r="BM120" s="557">
        <v>0</v>
      </c>
      <c r="BN120" s="557">
        <v>0</v>
      </c>
      <c r="BO120" s="557">
        <v>0</v>
      </c>
      <c r="BP120" s="557">
        <v>0</v>
      </c>
      <c r="BQ120" s="557">
        <v>0</v>
      </c>
      <c r="BR120" s="318"/>
      <c r="BS120" s="318"/>
      <c r="BT120" s="318"/>
      <c r="BU120" s="318"/>
      <c r="BV120" s="318"/>
      <c r="BW120" s="318"/>
      <c r="BX120" s="318"/>
      <c r="BY120" s="318"/>
      <c r="BZ120" s="318" t="s">
        <v>1502</v>
      </c>
      <c r="CA120" s="318"/>
      <c r="CB120" s="318"/>
      <c r="CC120" s="318"/>
      <c r="CD120" s="318"/>
      <c r="CE120" s="457"/>
      <c r="CF120" s="318"/>
      <c r="CG120" s="360"/>
      <c r="CH120" s="360"/>
      <c r="CI120" s="360"/>
      <c r="CJ120" s="360"/>
      <c r="CK120" s="360"/>
      <c r="CL120" s="360"/>
      <c r="CM120" s="360"/>
      <c r="CN120" s="360"/>
      <c r="CO120" s="360"/>
      <c r="CP120" s="360"/>
    </row>
    <row r="121" spans="1:94" s="315" customFormat="1" ht="19.5" hidden="1" customHeight="1" x14ac:dyDescent="0.25">
      <c r="A121" s="403">
        <v>110</v>
      </c>
      <c r="B121" s="313" t="s">
        <v>500</v>
      </c>
      <c r="C121" s="313" t="s">
        <v>1546</v>
      </c>
      <c r="D121" s="318" t="s">
        <v>457</v>
      </c>
      <c r="E121" s="318"/>
      <c r="F121" s="313" t="s">
        <v>397</v>
      </c>
      <c r="G121" s="313" t="s">
        <v>1403</v>
      </c>
      <c r="H121" s="305"/>
      <c r="I121" s="305"/>
      <c r="J121" s="370">
        <v>0</v>
      </c>
      <c r="K121" s="370">
        <v>0</v>
      </c>
      <c r="L121" s="370">
        <f t="shared" si="58"/>
        <v>0</v>
      </c>
      <c r="M121" s="316" t="s">
        <v>487</v>
      </c>
      <c r="N121" s="356"/>
      <c r="O121" s="398"/>
      <c r="P121" s="305"/>
      <c r="Q121" s="304"/>
      <c r="R121" s="305"/>
      <c r="S121" s="305"/>
      <c r="T121" s="305"/>
      <c r="U121" s="305" t="s">
        <v>235</v>
      </c>
      <c r="V121" s="426"/>
      <c r="W121" s="317"/>
      <c r="X121" s="317"/>
      <c r="Y121" s="317" t="str">
        <f t="shared" si="59"/>
        <v/>
      </c>
      <c r="Z121" s="318"/>
      <c r="AA121" s="318"/>
      <c r="AB121" s="318"/>
      <c r="AC121" s="318"/>
      <c r="AD121" s="318"/>
      <c r="AE121" s="483">
        <f t="shared" si="79"/>
        <v>0</v>
      </c>
      <c r="AF121" s="482">
        <f t="shared" si="79"/>
        <v>0</v>
      </c>
      <c r="AG121" s="482">
        <f t="shared" si="79"/>
        <v>0</v>
      </c>
      <c r="AH121" s="482">
        <f t="shared" si="79"/>
        <v>0</v>
      </c>
      <c r="AI121" s="482">
        <f t="shared" si="79"/>
        <v>0</v>
      </c>
      <c r="AJ121" s="482">
        <f t="shared" si="79"/>
        <v>0</v>
      </c>
      <c r="AK121" s="556">
        <f t="shared" si="83"/>
        <v>0</v>
      </c>
      <c r="AL121" s="557">
        <f t="shared" si="83"/>
        <v>0</v>
      </c>
      <c r="AM121" s="557">
        <f t="shared" si="83"/>
        <v>0</v>
      </c>
      <c r="AN121" s="557">
        <f t="shared" si="83"/>
        <v>0</v>
      </c>
      <c r="AO121" s="557">
        <f t="shared" si="83"/>
        <v>0</v>
      </c>
      <c r="AP121" s="557">
        <f t="shared" si="83"/>
        <v>0</v>
      </c>
      <c r="AQ121" s="483">
        <f t="shared" si="54"/>
        <v>0</v>
      </c>
      <c r="AR121" s="482">
        <f t="shared" si="65"/>
        <v>0</v>
      </c>
      <c r="AS121" s="482">
        <f t="shared" si="65"/>
        <v>0</v>
      </c>
      <c r="AT121" s="482">
        <f t="shared" si="65"/>
        <v>0</v>
      </c>
      <c r="AU121" s="482">
        <f t="shared" si="65"/>
        <v>0</v>
      </c>
      <c r="AV121" s="482">
        <f t="shared" si="55"/>
        <v>0</v>
      </c>
      <c r="AW121" s="483">
        <f t="shared" si="71"/>
        <v>0</v>
      </c>
      <c r="AX121" s="514">
        <f t="shared" si="68"/>
        <v>0</v>
      </c>
      <c r="AY121" s="514" t="s">
        <v>1034</v>
      </c>
      <c r="AZ121" s="556">
        <f t="shared" si="84"/>
        <v>0</v>
      </c>
      <c r="BA121" s="557">
        <v>0</v>
      </c>
      <c r="BB121" s="557">
        <v>0</v>
      </c>
      <c r="BC121" s="557">
        <v>0</v>
      </c>
      <c r="BD121" s="557">
        <v>0</v>
      </c>
      <c r="BE121" s="557">
        <v>0</v>
      </c>
      <c r="BF121" s="556">
        <f t="shared" si="61"/>
        <v>0</v>
      </c>
      <c r="BG121" s="557">
        <v>0</v>
      </c>
      <c r="BH121" s="557">
        <v>0</v>
      </c>
      <c r="BI121" s="557">
        <v>0</v>
      </c>
      <c r="BJ121" s="557">
        <v>0</v>
      </c>
      <c r="BK121" s="557">
        <v>0</v>
      </c>
      <c r="BL121" s="556">
        <f t="shared" si="56"/>
        <v>0</v>
      </c>
      <c r="BM121" s="557">
        <v>0</v>
      </c>
      <c r="BN121" s="557">
        <v>0</v>
      </c>
      <c r="BO121" s="557">
        <v>0</v>
      </c>
      <c r="BP121" s="557">
        <v>0</v>
      </c>
      <c r="BQ121" s="557">
        <v>0</v>
      </c>
      <c r="BR121" s="318"/>
      <c r="BS121" s="318"/>
      <c r="BT121" s="318"/>
      <c r="BU121" s="318"/>
      <c r="BV121" s="318"/>
      <c r="BW121" s="318"/>
      <c r="BX121" s="318"/>
      <c r="BY121" s="318"/>
      <c r="BZ121" s="318" t="s">
        <v>1503</v>
      </c>
      <c r="CA121" s="318"/>
      <c r="CB121" s="318"/>
      <c r="CC121" s="318"/>
      <c r="CD121" s="318"/>
      <c r="CE121" s="457"/>
      <c r="CF121" s="318"/>
      <c r="CG121" s="360"/>
      <c r="CH121" s="360"/>
      <c r="CI121" s="360"/>
      <c r="CJ121" s="360"/>
      <c r="CK121" s="360"/>
      <c r="CL121" s="360"/>
      <c r="CM121" s="360"/>
      <c r="CN121" s="360"/>
      <c r="CO121" s="360"/>
      <c r="CP121" s="360"/>
    </row>
    <row r="122" spans="1:94" s="315" customFormat="1" ht="19.5" hidden="1" customHeight="1" x14ac:dyDescent="0.25">
      <c r="A122" s="403">
        <v>111</v>
      </c>
      <c r="B122" s="313" t="s">
        <v>501</v>
      </c>
      <c r="C122" s="313" t="s">
        <v>715</v>
      </c>
      <c r="D122" s="318" t="s">
        <v>457</v>
      </c>
      <c r="E122" s="318"/>
      <c r="F122" s="313" t="s">
        <v>397</v>
      </c>
      <c r="G122" s="313" t="s">
        <v>1238</v>
      </c>
      <c r="H122" s="305"/>
      <c r="I122" s="305"/>
      <c r="J122" s="370">
        <v>0</v>
      </c>
      <c r="K122" s="370">
        <v>0</v>
      </c>
      <c r="L122" s="370">
        <f t="shared" si="58"/>
        <v>0</v>
      </c>
      <c r="M122" s="316" t="s">
        <v>487</v>
      </c>
      <c r="N122" s="356"/>
      <c r="O122" s="398"/>
      <c r="P122" s="305"/>
      <c r="Q122" s="304"/>
      <c r="R122" s="305"/>
      <c r="S122" s="305"/>
      <c r="T122" s="305"/>
      <c r="U122" s="305" t="s">
        <v>235</v>
      </c>
      <c r="V122" s="426"/>
      <c r="W122" s="317"/>
      <c r="X122" s="317"/>
      <c r="Y122" s="317" t="str">
        <f t="shared" si="59"/>
        <v/>
      </c>
      <c r="Z122" s="318"/>
      <c r="AA122" s="318"/>
      <c r="AB122" s="318"/>
      <c r="AC122" s="318"/>
      <c r="AD122" s="318"/>
      <c r="AE122" s="483">
        <f t="shared" si="79"/>
        <v>0</v>
      </c>
      <c r="AF122" s="482">
        <f t="shared" si="79"/>
        <v>0</v>
      </c>
      <c r="AG122" s="482">
        <f t="shared" si="79"/>
        <v>0</v>
      </c>
      <c r="AH122" s="482">
        <f t="shared" si="79"/>
        <v>0</v>
      </c>
      <c r="AI122" s="482">
        <f t="shared" si="79"/>
        <v>0</v>
      </c>
      <c r="AJ122" s="482">
        <f t="shared" si="79"/>
        <v>0</v>
      </c>
      <c r="AK122" s="556">
        <f t="shared" si="83"/>
        <v>0</v>
      </c>
      <c r="AL122" s="557">
        <f t="shared" si="83"/>
        <v>0</v>
      </c>
      <c r="AM122" s="557">
        <f t="shared" si="83"/>
        <v>0</v>
      </c>
      <c r="AN122" s="557">
        <f t="shared" si="83"/>
        <v>0</v>
      </c>
      <c r="AO122" s="557">
        <f t="shared" si="83"/>
        <v>0</v>
      </c>
      <c r="AP122" s="557">
        <f t="shared" si="83"/>
        <v>0</v>
      </c>
      <c r="AQ122" s="483">
        <f t="shared" si="54"/>
        <v>0</v>
      </c>
      <c r="AR122" s="482">
        <f t="shared" si="65"/>
        <v>0</v>
      </c>
      <c r="AS122" s="482">
        <f t="shared" si="65"/>
        <v>0</v>
      </c>
      <c r="AT122" s="482">
        <f t="shared" si="65"/>
        <v>0</v>
      </c>
      <c r="AU122" s="482">
        <f t="shared" si="65"/>
        <v>0</v>
      </c>
      <c r="AV122" s="482">
        <f t="shared" si="55"/>
        <v>0</v>
      </c>
      <c r="AW122" s="483">
        <f t="shared" si="71"/>
        <v>0</v>
      </c>
      <c r="AX122" s="514">
        <f t="shared" si="68"/>
        <v>0</v>
      </c>
      <c r="AY122" s="514" t="s">
        <v>1034</v>
      </c>
      <c r="AZ122" s="556">
        <f t="shared" si="84"/>
        <v>0</v>
      </c>
      <c r="BA122" s="557">
        <v>0</v>
      </c>
      <c r="BB122" s="557">
        <v>0</v>
      </c>
      <c r="BC122" s="557">
        <v>0</v>
      </c>
      <c r="BD122" s="557">
        <v>0</v>
      </c>
      <c r="BE122" s="557">
        <v>0</v>
      </c>
      <c r="BF122" s="556">
        <f t="shared" si="61"/>
        <v>0</v>
      </c>
      <c r="BG122" s="557">
        <v>0</v>
      </c>
      <c r="BH122" s="557">
        <v>0</v>
      </c>
      <c r="BI122" s="557">
        <v>0</v>
      </c>
      <c r="BJ122" s="557">
        <v>0</v>
      </c>
      <c r="BK122" s="557">
        <v>0</v>
      </c>
      <c r="BL122" s="556">
        <f t="shared" si="56"/>
        <v>0</v>
      </c>
      <c r="BM122" s="557">
        <v>0</v>
      </c>
      <c r="BN122" s="557">
        <v>0</v>
      </c>
      <c r="BO122" s="557">
        <v>0</v>
      </c>
      <c r="BP122" s="557">
        <v>0</v>
      </c>
      <c r="BQ122" s="557">
        <v>0</v>
      </c>
      <c r="BR122" s="318"/>
      <c r="BS122" s="318"/>
      <c r="BT122" s="318"/>
      <c r="BU122" s="318"/>
      <c r="BV122" s="318"/>
      <c r="BW122" s="318"/>
      <c r="BX122" s="318"/>
      <c r="BY122" s="318"/>
      <c r="BZ122" s="318"/>
      <c r="CA122" s="318"/>
      <c r="CB122" s="318"/>
      <c r="CC122" s="318"/>
      <c r="CD122" s="318"/>
      <c r="CE122" s="457"/>
      <c r="CF122" s="318"/>
      <c r="CG122" s="360"/>
      <c r="CH122" s="360"/>
      <c r="CI122" s="360"/>
      <c r="CJ122" s="360"/>
      <c r="CK122" s="360"/>
      <c r="CL122" s="360"/>
      <c r="CM122" s="360"/>
      <c r="CN122" s="360"/>
      <c r="CO122" s="360"/>
      <c r="CP122" s="360"/>
    </row>
    <row r="123" spans="1:94" s="315" customFormat="1" ht="19.5" hidden="1" customHeight="1" x14ac:dyDescent="0.25">
      <c r="A123" s="403">
        <v>112</v>
      </c>
      <c r="B123" s="313" t="s">
        <v>502</v>
      </c>
      <c r="C123" s="313" t="s">
        <v>716</v>
      </c>
      <c r="D123" s="318" t="s">
        <v>457</v>
      </c>
      <c r="E123" s="318"/>
      <c r="F123" s="313" t="s">
        <v>465</v>
      </c>
      <c r="G123" s="313" t="s">
        <v>1396</v>
      </c>
      <c r="H123" s="305"/>
      <c r="I123" s="305"/>
      <c r="J123" s="370">
        <v>0</v>
      </c>
      <c r="K123" s="370">
        <v>0</v>
      </c>
      <c r="L123" s="370">
        <f t="shared" si="58"/>
        <v>0</v>
      </c>
      <c r="M123" s="316" t="s">
        <v>487</v>
      </c>
      <c r="N123" s="356"/>
      <c r="O123" s="398"/>
      <c r="P123" s="305"/>
      <c r="Q123" s="304"/>
      <c r="R123" s="305"/>
      <c r="S123" s="305"/>
      <c r="T123" s="305"/>
      <c r="U123" s="305" t="s">
        <v>235</v>
      </c>
      <c r="V123" s="426"/>
      <c r="W123" s="317"/>
      <c r="X123" s="317"/>
      <c r="Y123" s="317" t="str">
        <f t="shared" si="59"/>
        <v/>
      </c>
      <c r="Z123" s="318"/>
      <c r="AA123" s="318"/>
      <c r="AB123" s="318"/>
      <c r="AC123" s="318"/>
      <c r="AD123" s="318"/>
      <c r="AE123" s="483">
        <f t="shared" si="79"/>
        <v>0</v>
      </c>
      <c r="AF123" s="482">
        <f t="shared" si="79"/>
        <v>0</v>
      </c>
      <c r="AG123" s="482">
        <f t="shared" si="79"/>
        <v>0</v>
      </c>
      <c r="AH123" s="482">
        <f t="shared" si="79"/>
        <v>0</v>
      </c>
      <c r="AI123" s="482">
        <f t="shared" si="79"/>
        <v>0</v>
      </c>
      <c r="AJ123" s="482">
        <f t="shared" si="79"/>
        <v>0</v>
      </c>
      <c r="AK123" s="556">
        <f t="shared" si="83"/>
        <v>0</v>
      </c>
      <c r="AL123" s="557">
        <f t="shared" si="83"/>
        <v>0</v>
      </c>
      <c r="AM123" s="557">
        <f t="shared" si="83"/>
        <v>0</v>
      </c>
      <c r="AN123" s="557">
        <f t="shared" si="83"/>
        <v>0</v>
      </c>
      <c r="AO123" s="557">
        <f t="shared" si="83"/>
        <v>0</v>
      </c>
      <c r="AP123" s="557">
        <f t="shared" si="83"/>
        <v>0</v>
      </c>
      <c r="AQ123" s="483">
        <f t="shared" si="54"/>
        <v>0</v>
      </c>
      <c r="AR123" s="482">
        <f t="shared" si="65"/>
        <v>0</v>
      </c>
      <c r="AS123" s="482">
        <f t="shared" si="65"/>
        <v>0</v>
      </c>
      <c r="AT123" s="482">
        <f t="shared" si="65"/>
        <v>0</v>
      </c>
      <c r="AU123" s="482">
        <f t="shared" si="65"/>
        <v>0</v>
      </c>
      <c r="AV123" s="482">
        <f t="shared" si="55"/>
        <v>0</v>
      </c>
      <c r="AW123" s="483">
        <f t="shared" si="71"/>
        <v>0</v>
      </c>
      <c r="AX123" s="514">
        <f t="shared" si="68"/>
        <v>0</v>
      </c>
      <c r="AY123" s="514" t="s">
        <v>1034</v>
      </c>
      <c r="AZ123" s="556">
        <f t="shared" si="84"/>
        <v>0</v>
      </c>
      <c r="BA123" s="557">
        <v>0</v>
      </c>
      <c r="BB123" s="557">
        <v>0</v>
      </c>
      <c r="BC123" s="557">
        <v>0</v>
      </c>
      <c r="BD123" s="557">
        <v>0</v>
      </c>
      <c r="BE123" s="557">
        <v>0</v>
      </c>
      <c r="BF123" s="556">
        <f t="shared" si="61"/>
        <v>0</v>
      </c>
      <c r="BG123" s="557">
        <v>0</v>
      </c>
      <c r="BH123" s="557">
        <v>0</v>
      </c>
      <c r="BI123" s="557">
        <v>0</v>
      </c>
      <c r="BJ123" s="557">
        <v>0</v>
      </c>
      <c r="BK123" s="557">
        <v>0</v>
      </c>
      <c r="BL123" s="556">
        <f t="shared" si="56"/>
        <v>0</v>
      </c>
      <c r="BM123" s="557">
        <v>0</v>
      </c>
      <c r="BN123" s="557">
        <v>0</v>
      </c>
      <c r="BO123" s="557">
        <v>0</v>
      </c>
      <c r="BP123" s="557">
        <v>0</v>
      </c>
      <c r="BQ123" s="557">
        <v>0</v>
      </c>
      <c r="BR123" s="318"/>
      <c r="BS123" s="318"/>
      <c r="BT123" s="318"/>
      <c r="BU123" s="318"/>
      <c r="BV123" s="318"/>
      <c r="BW123" s="318"/>
      <c r="BX123" s="318"/>
      <c r="BY123" s="318"/>
      <c r="BZ123" s="318"/>
      <c r="CA123" s="318"/>
      <c r="CB123" s="318"/>
      <c r="CC123" s="318"/>
      <c r="CD123" s="318"/>
      <c r="CE123" s="457"/>
      <c r="CF123" s="318"/>
      <c r="CG123" s="360"/>
      <c r="CH123" s="360"/>
      <c r="CI123" s="360"/>
      <c r="CJ123" s="360"/>
      <c r="CK123" s="360"/>
      <c r="CL123" s="360"/>
      <c r="CM123" s="360"/>
      <c r="CN123" s="360"/>
      <c r="CO123" s="360"/>
      <c r="CP123" s="360"/>
    </row>
    <row r="124" spans="1:94" s="315" customFormat="1" ht="19.5" hidden="1" customHeight="1" x14ac:dyDescent="0.25">
      <c r="A124" s="403">
        <v>113</v>
      </c>
      <c r="B124" s="313" t="s">
        <v>505</v>
      </c>
      <c r="C124" s="313" t="s">
        <v>898</v>
      </c>
      <c r="D124" s="318" t="s">
        <v>457</v>
      </c>
      <c r="E124" s="318"/>
      <c r="F124" s="313" t="s">
        <v>507</v>
      </c>
      <c r="G124" s="313" t="s">
        <v>32</v>
      </c>
      <c r="H124" s="305"/>
      <c r="I124" s="305"/>
      <c r="J124" s="370">
        <v>0</v>
      </c>
      <c r="K124" s="370">
        <v>0</v>
      </c>
      <c r="L124" s="370">
        <f t="shared" si="58"/>
        <v>0</v>
      </c>
      <c r="M124" s="316" t="s">
        <v>807</v>
      </c>
      <c r="N124" s="356"/>
      <c r="O124" s="398"/>
      <c r="P124" s="305" t="s">
        <v>519</v>
      </c>
      <c r="Q124" s="324">
        <v>1.6500000000000001E-2</v>
      </c>
      <c r="R124" s="305"/>
      <c r="S124" s="305"/>
      <c r="T124" s="305" t="s">
        <v>1253</v>
      </c>
      <c r="U124" s="305" t="s">
        <v>528</v>
      </c>
      <c r="V124" s="426"/>
      <c r="W124" s="317"/>
      <c r="X124" s="317"/>
      <c r="Y124" s="317" t="str">
        <f t="shared" si="59"/>
        <v/>
      </c>
      <c r="Z124" s="318"/>
      <c r="AA124" s="318"/>
      <c r="AB124" s="318"/>
      <c r="AC124" s="318"/>
      <c r="AD124" s="318" t="s">
        <v>907</v>
      </c>
      <c r="AE124" s="483">
        <f t="shared" si="79"/>
        <v>0</v>
      </c>
      <c r="AF124" s="482">
        <f t="shared" si="79"/>
        <v>0</v>
      </c>
      <c r="AG124" s="482">
        <f t="shared" si="79"/>
        <v>0</v>
      </c>
      <c r="AH124" s="482">
        <f t="shared" si="79"/>
        <v>0</v>
      </c>
      <c r="AI124" s="482">
        <f t="shared" si="79"/>
        <v>0</v>
      </c>
      <c r="AJ124" s="482">
        <f t="shared" si="79"/>
        <v>0</v>
      </c>
      <c r="AK124" s="556">
        <f t="shared" si="83"/>
        <v>0</v>
      </c>
      <c r="AL124" s="557">
        <f t="shared" si="83"/>
        <v>0</v>
      </c>
      <c r="AM124" s="557">
        <f t="shared" si="83"/>
        <v>0</v>
      </c>
      <c r="AN124" s="557">
        <f t="shared" si="83"/>
        <v>0</v>
      </c>
      <c r="AO124" s="557">
        <f t="shared" si="83"/>
        <v>0</v>
      </c>
      <c r="AP124" s="557">
        <f t="shared" si="83"/>
        <v>0</v>
      </c>
      <c r="AQ124" s="483">
        <f t="shared" si="54"/>
        <v>0</v>
      </c>
      <c r="AR124" s="482">
        <f t="shared" si="65"/>
        <v>0</v>
      </c>
      <c r="AS124" s="482">
        <f t="shared" si="65"/>
        <v>0</v>
      </c>
      <c r="AT124" s="482">
        <f t="shared" si="65"/>
        <v>0</v>
      </c>
      <c r="AU124" s="482">
        <f t="shared" si="65"/>
        <v>0</v>
      </c>
      <c r="AV124" s="482">
        <f>IF(OR($M124="Exploration", $M124="Pre-feasibility", $O124&gt;2019), 0, "check")</f>
        <v>0</v>
      </c>
      <c r="AW124" s="483">
        <f t="shared" si="71"/>
        <v>0</v>
      </c>
      <c r="AX124" s="514">
        <f t="shared" si="68"/>
        <v>0</v>
      </c>
      <c r="AY124" s="514" t="s">
        <v>1034</v>
      </c>
      <c r="AZ124" s="556">
        <f t="shared" si="84"/>
        <v>0</v>
      </c>
      <c r="BA124" s="557">
        <f t="shared" ref="AZ124:BE124" si="85">IF(OR($M124="Exploration", $M124="Pre-feasibility", $O124&gt;2017), 0, "check")</f>
        <v>0</v>
      </c>
      <c r="BB124" s="557">
        <f t="shared" si="85"/>
        <v>0</v>
      </c>
      <c r="BC124" s="557">
        <f t="shared" si="85"/>
        <v>0</v>
      </c>
      <c r="BD124" s="557">
        <f t="shared" si="85"/>
        <v>0</v>
      </c>
      <c r="BE124" s="557">
        <f t="shared" si="85"/>
        <v>0</v>
      </c>
      <c r="BF124" s="556">
        <f t="shared" si="61"/>
        <v>0</v>
      </c>
      <c r="BG124" s="557">
        <f t="shared" ref="BF124:BK124" si="86">IF(OR($M124="Exploration", $M124="Pre-feasibility", $O124&gt;2018), 0, "check")</f>
        <v>0</v>
      </c>
      <c r="BH124" s="557">
        <f t="shared" si="86"/>
        <v>0</v>
      </c>
      <c r="BI124" s="557">
        <f t="shared" si="86"/>
        <v>0</v>
      </c>
      <c r="BJ124" s="557">
        <f t="shared" si="86"/>
        <v>0</v>
      </c>
      <c r="BK124" s="557">
        <f t="shared" si="86"/>
        <v>0</v>
      </c>
      <c r="BL124" s="556">
        <f t="shared" si="56"/>
        <v>0</v>
      </c>
      <c r="BM124" s="557">
        <f t="shared" ref="BM124:BP124" si="87">IF(OR($M124="Exploration", $M124="Pre-feasibility", $O124&gt;2019), 0, "check")</f>
        <v>0</v>
      </c>
      <c r="BN124" s="557">
        <f t="shared" si="87"/>
        <v>0</v>
      </c>
      <c r="BO124" s="557">
        <f t="shared" si="87"/>
        <v>0</v>
      </c>
      <c r="BP124" s="557">
        <f t="shared" si="87"/>
        <v>0</v>
      </c>
      <c r="BQ124" s="557">
        <f>IF(OR($M124="Exploration", $M124="Pre-feasibility", $O124&gt;2019), 0, "check")</f>
        <v>0</v>
      </c>
      <c r="BR124" s="318"/>
      <c r="BS124" s="318"/>
      <c r="BT124" s="318"/>
      <c r="BU124" s="318"/>
      <c r="BV124" s="318"/>
      <c r="BW124" s="318"/>
      <c r="BX124" s="318"/>
      <c r="BY124" s="318"/>
      <c r="BZ124" s="318"/>
      <c r="CA124" s="318"/>
      <c r="CB124" s="318"/>
      <c r="CC124" s="318"/>
      <c r="CD124" s="318"/>
      <c r="CE124" s="457"/>
      <c r="CF124" s="318"/>
      <c r="CG124" s="360" t="s">
        <v>1250</v>
      </c>
      <c r="CH124" s="430">
        <v>0.65</v>
      </c>
      <c r="CI124" s="360" t="s">
        <v>1252</v>
      </c>
      <c r="CJ124" s="430">
        <v>0.05</v>
      </c>
      <c r="CK124" s="360" t="s">
        <v>1251</v>
      </c>
      <c r="CL124" s="430">
        <v>0.3</v>
      </c>
      <c r="CM124" s="360"/>
      <c r="CN124" s="360"/>
      <c r="CO124" s="360"/>
      <c r="CP124" s="360"/>
    </row>
    <row r="125" spans="1:94" s="315" customFormat="1" ht="19.5" hidden="1" customHeight="1" x14ac:dyDescent="0.25">
      <c r="A125" s="403">
        <v>114</v>
      </c>
      <c r="B125" s="313" t="s">
        <v>1299</v>
      </c>
      <c r="C125" s="313" t="s">
        <v>768</v>
      </c>
      <c r="D125" s="318" t="s">
        <v>457</v>
      </c>
      <c r="E125" s="318" t="s">
        <v>553</v>
      </c>
      <c r="F125" s="313" t="s">
        <v>247</v>
      </c>
      <c r="G125" s="313" t="s">
        <v>1214</v>
      </c>
      <c r="H125" s="370"/>
      <c r="I125" s="370" t="s">
        <v>868</v>
      </c>
      <c r="J125" s="370">
        <v>0</v>
      </c>
      <c r="K125" s="382" t="e">
        <f>400000*V125/(IF(#REF!="yes",0.188,1))</f>
        <v>#REF!</v>
      </c>
      <c r="L125" s="382" t="e">
        <f>K125-K42</f>
        <v>#REF!</v>
      </c>
      <c r="M125" s="316" t="s">
        <v>687</v>
      </c>
      <c r="N125" s="398"/>
      <c r="O125" s="398">
        <v>2022</v>
      </c>
      <c r="P125" s="305" t="s">
        <v>519</v>
      </c>
      <c r="Q125" s="354">
        <v>1.18E-2</v>
      </c>
      <c r="R125" s="305"/>
      <c r="S125" s="305" t="s">
        <v>1011</v>
      </c>
      <c r="T125" s="305"/>
      <c r="U125" s="305" t="s">
        <v>528</v>
      </c>
      <c r="V125" s="426">
        <f>6%*40%</f>
        <v>2.4E-2</v>
      </c>
      <c r="W125" s="451" t="e">
        <f>(648*0.75)/#REF!/10^3</f>
        <v>#REF!</v>
      </c>
      <c r="X125" s="447"/>
      <c r="Y125" s="317" t="e">
        <f t="shared" si="59"/>
        <v>#REF!</v>
      </c>
      <c r="Z125" s="318">
        <v>2</v>
      </c>
      <c r="AA125" s="318">
        <v>1</v>
      </c>
      <c r="AB125" s="318">
        <v>3</v>
      </c>
      <c r="AC125" s="318">
        <v>1</v>
      </c>
      <c r="AD125" s="318"/>
      <c r="AE125" s="483">
        <f t="shared" si="79"/>
        <v>0</v>
      </c>
      <c r="AF125" s="482">
        <f t="shared" si="79"/>
        <v>0</v>
      </c>
      <c r="AG125" s="482">
        <f t="shared" si="79"/>
        <v>0</v>
      </c>
      <c r="AH125" s="482">
        <f t="shared" si="79"/>
        <v>0</v>
      </c>
      <c r="AI125" s="482">
        <f t="shared" si="79"/>
        <v>0</v>
      </c>
      <c r="AJ125" s="482">
        <f t="shared" si="79"/>
        <v>0</v>
      </c>
      <c r="AK125" s="556">
        <f t="shared" si="83"/>
        <v>0</v>
      </c>
      <c r="AL125" s="557">
        <f t="shared" si="83"/>
        <v>0</v>
      </c>
      <c r="AM125" s="557">
        <f t="shared" si="83"/>
        <v>0</v>
      </c>
      <c r="AN125" s="557">
        <f t="shared" si="83"/>
        <v>0</v>
      </c>
      <c r="AO125" s="557">
        <f t="shared" si="83"/>
        <v>0</v>
      </c>
      <c r="AP125" s="557">
        <f t="shared" si="83"/>
        <v>0</v>
      </c>
      <c r="AQ125" s="483">
        <f t="shared" si="54"/>
        <v>0</v>
      </c>
      <c r="AR125" s="482">
        <f t="shared" si="65"/>
        <v>0</v>
      </c>
      <c r="AS125" s="482">
        <f t="shared" si="65"/>
        <v>0</v>
      </c>
      <c r="AT125" s="482">
        <f t="shared" si="65"/>
        <v>0</v>
      </c>
      <c r="AU125" s="482">
        <f t="shared" si="65"/>
        <v>0</v>
      </c>
      <c r="AV125" s="482">
        <f t="shared" si="55"/>
        <v>0</v>
      </c>
      <c r="AW125" s="483">
        <v>0</v>
      </c>
      <c r="AX125" s="514">
        <f t="shared" si="68"/>
        <v>0</v>
      </c>
      <c r="AY125" s="514" t="s">
        <v>1034</v>
      </c>
      <c r="AZ125" s="556">
        <f t="shared" si="84"/>
        <v>0</v>
      </c>
      <c r="BA125" s="557">
        <v>0</v>
      </c>
      <c r="BB125" s="557">
        <v>0</v>
      </c>
      <c r="BC125" s="557">
        <v>0</v>
      </c>
      <c r="BD125" s="557">
        <v>0</v>
      </c>
      <c r="BE125" s="557">
        <v>0</v>
      </c>
      <c r="BF125" s="556">
        <f t="shared" si="61"/>
        <v>0</v>
      </c>
      <c r="BG125" s="557">
        <v>0</v>
      </c>
      <c r="BH125" s="557">
        <v>0</v>
      </c>
      <c r="BI125" s="557">
        <v>0</v>
      </c>
      <c r="BJ125" s="557">
        <v>0</v>
      </c>
      <c r="BK125" s="557">
        <v>0</v>
      </c>
      <c r="BL125" s="556">
        <f t="shared" si="56"/>
        <v>0</v>
      </c>
      <c r="BM125" s="557">
        <v>0</v>
      </c>
      <c r="BN125" s="557">
        <v>0</v>
      </c>
      <c r="BO125" s="557">
        <v>0</v>
      </c>
      <c r="BP125" s="557">
        <v>0</v>
      </c>
      <c r="BQ125" s="557">
        <v>0</v>
      </c>
      <c r="BR125" s="318"/>
      <c r="BS125" s="318"/>
      <c r="BT125" s="318"/>
      <c r="BU125" s="318"/>
      <c r="BV125" s="318"/>
      <c r="BW125" s="318"/>
      <c r="BX125" s="318"/>
      <c r="BY125" s="318"/>
      <c r="BZ125" s="318" t="s">
        <v>1505</v>
      </c>
      <c r="CA125" s="318"/>
      <c r="CB125" s="318"/>
      <c r="CC125" s="318"/>
      <c r="CD125" s="318"/>
      <c r="CE125" s="457"/>
      <c r="CF125" s="443"/>
      <c r="CG125" s="360" t="s">
        <v>1300</v>
      </c>
      <c r="CH125" s="430">
        <v>1</v>
      </c>
      <c r="CI125" s="360" t="s">
        <v>779</v>
      </c>
      <c r="CJ125" s="360"/>
      <c r="CK125" s="360"/>
      <c r="CL125" s="360"/>
      <c r="CM125" s="360"/>
      <c r="CN125" s="360"/>
      <c r="CO125" s="360"/>
      <c r="CP125" s="360"/>
    </row>
    <row r="126" spans="1:94" s="315" customFormat="1" ht="19.5" hidden="1" customHeight="1" x14ac:dyDescent="0.25">
      <c r="A126" s="403">
        <v>115</v>
      </c>
      <c r="B126" s="313" t="s">
        <v>809</v>
      </c>
      <c r="C126" s="313" t="s">
        <v>810</v>
      </c>
      <c r="D126" s="318" t="s">
        <v>457</v>
      </c>
      <c r="E126" s="318"/>
      <c r="F126" s="313" t="s">
        <v>397</v>
      </c>
      <c r="G126" s="313" t="s">
        <v>1398</v>
      </c>
      <c r="H126" s="305"/>
      <c r="I126" s="305" t="s">
        <v>948</v>
      </c>
      <c r="J126" s="370">
        <v>0</v>
      </c>
      <c r="K126" s="370" t="e">
        <f>186000*V126/(IF(#REF!="yes",0.188,1))</f>
        <v>#REF!</v>
      </c>
      <c r="L126" s="370" t="e">
        <f t="shared" si="58"/>
        <v>#REF!</v>
      </c>
      <c r="M126" s="316" t="s">
        <v>807</v>
      </c>
      <c r="N126" s="356"/>
      <c r="O126" s="398">
        <v>2021</v>
      </c>
      <c r="P126" s="305" t="s">
        <v>519</v>
      </c>
      <c r="Q126" s="324">
        <v>1.34E-2</v>
      </c>
      <c r="R126" s="305"/>
      <c r="S126" s="305" t="s">
        <v>770</v>
      </c>
      <c r="T126" s="305"/>
      <c r="U126" s="305" t="s">
        <v>528</v>
      </c>
      <c r="V126" s="426">
        <f>6%*40%</f>
        <v>2.4E-2</v>
      </c>
      <c r="W126" s="317">
        <f>344/1000/V42*18.8%</f>
        <v>2.7875862068965516</v>
      </c>
      <c r="X126" s="317" t="e">
        <f>344/1000/W42*18.8%</f>
        <v>#REF!</v>
      </c>
      <c r="Y126" s="317" t="e">
        <f t="shared" si="59"/>
        <v>#REF!</v>
      </c>
      <c r="Z126" s="318">
        <v>2</v>
      </c>
      <c r="AA126" s="318">
        <v>3</v>
      </c>
      <c r="AB126" s="318">
        <v>5</v>
      </c>
      <c r="AC126" s="318">
        <v>3</v>
      </c>
      <c r="AD126" s="318"/>
      <c r="AE126" s="483">
        <f t="shared" si="79"/>
        <v>0</v>
      </c>
      <c r="AF126" s="482">
        <f t="shared" si="79"/>
        <v>0</v>
      </c>
      <c r="AG126" s="482">
        <f t="shared" si="79"/>
        <v>0</v>
      </c>
      <c r="AH126" s="482">
        <f t="shared" si="79"/>
        <v>0</v>
      </c>
      <c r="AI126" s="482">
        <f t="shared" si="79"/>
        <v>0</v>
      </c>
      <c r="AJ126" s="482">
        <f t="shared" si="79"/>
        <v>0</v>
      </c>
      <c r="AK126" s="556">
        <f t="shared" si="83"/>
        <v>0</v>
      </c>
      <c r="AL126" s="557">
        <f t="shared" si="83"/>
        <v>0</v>
      </c>
      <c r="AM126" s="557">
        <f t="shared" si="83"/>
        <v>0</v>
      </c>
      <c r="AN126" s="557">
        <f t="shared" si="83"/>
        <v>0</v>
      </c>
      <c r="AO126" s="557">
        <f t="shared" si="83"/>
        <v>0</v>
      </c>
      <c r="AP126" s="557">
        <f t="shared" si="83"/>
        <v>0</v>
      </c>
      <c r="AQ126" s="483">
        <f t="shared" si="54"/>
        <v>0</v>
      </c>
      <c r="AR126" s="482">
        <f t="shared" si="65"/>
        <v>0</v>
      </c>
      <c r="AS126" s="482">
        <f t="shared" si="65"/>
        <v>0</v>
      </c>
      <c r="AT126" s="482">
        <f t="shared" si="65"/>
        <v>0</v>
      </c>
      <c r="AU126" s="482">
        <f t="shared" si="65"/>
        <v>0</v>
      </c>
      <c r="AV126" s="482">
        <f t="shared" si="55"/>
        <v>0</v>
      </c>
      <c r="AW126" s="483">
        <f t="shared" si="71"/>
        <v>0</v>
      </c>
      <c r="AX126" s="514">
        <f t="shared" si="68"/>
        <v>0</v>
      </c>
      <c r="AY126" s="514" t="s">
        <v>1034</v>
      </c>
      <c r="AZ126" s="556">
        <f t="shared" si="84"/>
        <v>0</v>
      </c>
      <c r="BA126" s="557">
        <v>0</v>
      </c>
      <c r="BB126" s="557">
        <v>0</v>
      </c>
      <c r="BC126" s="557">
        <v>0</v>
      </c>
      <c r="BD126" s="557">
        <v>0</v>
      </c>
      <c r="BE126" s="557">
        <v>0</v>
      </c>
      <c r="BF126" s="556">
        <f t="shared" si="61"/>
        <v>0</v>
      </c>
      <c r="BG126" s="557">
        <v>0</v>
      </c>
      <c r="BH126" s="557">
        <v>0</v>
      </c>
      <c r="BI126" s="557">
        <v>0</v>
      </c>
      <c r="BJ126" s="557">
        <v>0</v>
      </c>
      <c r="BK126" s="557">
        <v>0</v>
      </c>
      <c r="BL126" s="556">
        <f t="shared" si="56"/>
        <v>0</v>
      </c>
      <c r="BM126" s="557">
        <v>0</v>
      </c>
      <c r="BN126" s="557">
        <v>0</v>
      </c>
      <c r="BO126" s="557">
        <v>0</v>
      </c>
      <c r="BP126" s="557">
        <v>0</v>
      </c>
      <c r="BQ126" s="557">
        <v>0</v>
      </c>
      <c r="BR126" s="318"/>
      <c r="BS126" s="318"/>
      <c r="BT126" s="318"/>
      <c r="BU126" s="318"/>
      <c r="BV126" s="318"/>
      <c r="BW126" s="318"/>
      <c r="BX126" s="318"/>
      <c r="BY126" s="318"/>
      <c r="BZ126" s="318"/>
      <c r="CA126" s="318"/>
      <c r="CB126" s="318"/>
      <c r="CC126" s="318"/>
      <c r="CD126" s="318"/>
      <c r="CE126" s="457"/>
      <c r="CF126" s="318"/>
      <c r="CG126" s="360"/>
      <c r="CH126" s="360"/>
      <c r="CI126" s="360"/>
      <c r="CJ126" s="360"/>
      <c r="CK126" s="360"/>
      <c r="CL126" s="360"/>
      <c r="CM126" s="360"/>
      <c r="CN126" s="360"/>
      <c r="CO126" s="360"/>
      <c r="CP126" s="360"/>
    </row>
    <row r="127" spans="1:94" s="315" customFormat="1" ht="19.5" hidden="1" customHeight="1" x14ac:dyDescent="0.25">
      <c r="A127" s="403">
        <v>116</v>
      </c>
      <c r="B127" s="313" t="s">
        <v>720</v>
      </c>
      <c r="C127" s="313" t="s">
        <v>717</v>
      </c>
      <c r="D127" s="318" t="s">
        <v>457</v>
      </c>
      <c r="E127" s="318"/>
      <c r="F127" s="313" t="s">
        <v>395</v>
      </c>
      <c r="G127" s="313" t="s">
        <v>1392</v>
      </c>
      <c r="H127" s="305"/>
      <c r="I127" s="305"/>
      <c r="J127" s="370">
        <v>0</v>
      </c>
      <c r="K127" s="370">
        <v>0</v>
      </c>
      <c r="L127" s="370">
        <f t="shared" si="58"/>
        <v>0</v>
      </c>
      <c r="M127" s="316" t="s">
        <v>487</v>
      </c>
      <c r="N127" s="356"/>
      <c r="O127" s="398"/>
      <c r="P127" s="305"/>
      <c r="Q127" s="324">
        <v>1.12E-2</v>
      </c>
      <c r="R127" s="305"/>
      <c r="S127" s="305"/>
      <c r="T127" s="305"/>
      <c r="U127" s="305" t="s">
        <v>235</v>
      </c>
      <c r="V127" s="426"/>
      <c r="W127" s="317"/>
      <c r="X127" s="317"/>
      <c r="Y127" s="317" t="str">
        <f t="shared" si="59"/>
        <v/>
      </c>
      <c r="Z127" s="318"/>
      <c r="AA127" s="318"/>
      <c r="AB127" s="318"/>
      <c r="AC127" s="318">
        <v>2</v>
      </c>
      <c r="AD127" s="318"/>
      <c r="AE127" s="483">
        <f t="shared" si="79"/>
        <v>0</v>
      </c>
      <c r="AF127" s="482">
        <f t="shared" si="79"/>
        <v>0</v>
      </c>
      <c r="AG127" s="482">
        <f t="shared" si="79"/>
        <v>0</v>
      </c>
      <c r="AH127" s="482">
        <f t="shared" si="79"/>
        <v>0</v>
      </c>
      <c r="AI127" s="482">
        <f t="shared" si="79"/>
        <v>0</v>
      </c>
      <c r="AJ127" s="482">
        <f t="shared" si="79"/>
        <v>0</v>
      </c>
      <c r="AK127" s="556">
        <f t="shared" si="83"/>
        <v>0</v>
      </c>
      <c r="AL127" s="557">
        <f t="shared" si="83"/>
        <v>0</v>
      </c>
      <c r="AM127" s="557">
        <f t="shared" si="83"/>
        <v>0</v>
      </c>
      <c r="AN127" s="557">
        <f t="shared" si="83"/>
        <v>0</v>
      </c>
      <c r="AO127" s="557">
        <f t="shared" si="83"/>
        <v>0</v>
      </c>
      <c r="AP127" s="557">
        <f t="shared" si="83"/>
        <v>0</v>
      </c>
      <c r="AQ127" s="483">
        <f t="shared" si="54"/>
        <v>0</v>
      </c>
      <c r="AR127" s="482">
        <f t="shared" si="65"/>
        <v>0</v>
      </c>
      <c r="AS127" s="482">
        <f t="shared" si="65"/>
        <v>0</v>
      </c>
      <c r="AT127" s="482">
        <f t="shared" si="65"/>
        <v>0</v>
      </c>
      <c r="AU127" s="482">
        <f t="shared" si="65"/>
        <v>0</v>
      </c>
      <c r="AV127" s="482">
        <f t="shared" si="55"/>
        <v>0</v>
      </c>
      <c r="AW127" s="483">
        <f t="shared" si="71"/>
        <v>0</v>
      </c>
      <c r="AX127" s="514">
        <f t="shared" si="68"/>
        <v>0</v>
      </c>
      <c r="AY127" s="514" t="s">
        <v>1034</v>
      </c>
      <c r="AZ127" s="556">
        <f t="shared" si="84"/>
        <v>0</v>
      </c>
      <c r="BA127" s="557">
        <v>0</v>
      </c>
      <c r="BB127" s="557">
        <v>0</v>
      </c>
      <c r="BC127" s="557">
        <v>0</v>
      </c>
      <c r="BD127" s="557">
        <v>0</v>
      </c>
      <c r="BE127" s="557">
        <v>0</v>
      </c>
      <c r="BF127" s="556">
        <f t="shared" si="61"/>
        <v>0</v>
      </c>
      <c r="BG127" s="557">
        <v>0</v>
      </c>
      <c r="BH127" s="557">
        <v>0</v>
      </c>
      <c r="BI127" s="557">
        <v>0</v>
      </c>
      <c r="BJ127" s="557">
        <v>0</v>
      </c>
      <c r="BK127" s="557">
        <v>0</v>
      </c>
      <c r="BL127" s="556">
        <f t="shared" si="56"/>
        <v>0</v>
      </c>
      <c r="BM127" s="557">
        <v>0</v>
      </c>
      <c r="BN127" s="557">
        <v>0</v>
      </c>
      <c r="BO127" s="557">
        <v>0</v>
      </c>
      <c r="BP127" s="557">
        <v>0</v>
      </c>
      <c r="BQ127" s="557">
        <v>0</v>
      </c>
      <c r="BR127" s="318"/>
      <c r="BS127" s="318"/>
      <c r="BT127" s="318"/>
      <c r="BU127" s="318"/>
      <c r="BV127" s="318"/>
      <c r="BW127" s="318"/>
      <c r="BX127" s="318"/>
      <c r="BY127" s="318"/>
      <c r="BZ127" s="318"/>
      <c r="CA127" s="318"/>
      <c r="CB127" s="318"/>
      <c r="CC127" s="318"/>
      <c r="CD127" s="318"/>
      <c r="CE127" s="457"/>
      <c r="CF127" s="318"/>
      <c r="CG127" s="360"/>
      <c r="CH127" s="360"/>
      <c r="CI127" s="360"/>
      <c r="CJ127" s="360"/>
      <c r="CK127" s="360"/>
      <c r="CL127" s="360"/>
      <c r="CM127" s="360"/>
      <c r="CN127" s="360"/>
      <c r="CO127" s="360"/>
      <c r="CP127" s="360"/>
    </row>
    <row r="128" spans="1:94" s="315" customFormat="1" ht="19.5" hidden="1" customHeight="1" x14ac:dyDescent="0.25">
      <c r="A128" s="403">
        <v>117</v>
      </c>
      <c r="B128" s="313" t="s">
        <v>741</v>
      </c>
      <c r="C128" s="313" t="s">
        <v>718</v>
      </c>
      <c r="D128" s="318" t="s">
        <v>457</v>
      </c>
      <c r="E128" s="318"/>
      <c r="F128" s="313" t="s">
        <v>242</v>
      </c>
      <c r="G128" s="313" t="s">
        <v>32</v>
      </c>
      <c r="H128" s="305"/>
      <c r="I128" s="305"/>
      <c r="J128" s="370">
        <v>0</v>
      </c>
      <c r="K128" s="370">
        <v>0</v>
      </c>
      <c r="L128" s="370">
        <f t="shared" si="58"/>
        <v>0</v>
      </c>
      <c r="M128" s="316" t="s">
        <v>1208</v>
      </c>
      <c r="N128" s="356"/>
      <c r="O128" s="398">
        <v>2017</v>
      </c>
      <c r="P128" s="305" t="s">
        <v>519</v>
      </c>
      <c r="Q128" s="304"/>
      <c r="R128" s="305"/>
      <c r="S128" s="305"/>
      <c r="T128" s="305"/>
      <c r="U128" s="305" t="s">
        <v>235</v>
      </c>
      <c r="V128" s="426"/>
      <c r="W128" s="317"/>
      <c r="X128" s="317"/>
      <c r="Y128" s="317" t="str">
        <f t="shared" si="59"/>
        <v/>
      </c>
      <c r="Z128" s="318"/>
      <c r="AA128" s="318"/>
      <c r="AB128" s="318"/>
      <c r="AC128" s="318">
        <v>3</v>
      </c>
      <c r="AD128" s="318" t="s">
        <v>742</v>
      </c>
      <c r="AE128" s="483">
        <v>0</v>
      </c>
      <c r="AF128" s="482">
        <v>0</v>
      </c>
      <c r="AG128" s="482">
        <v>0</v>
      </c>
      <c r="AH128" s="482">
        <v>0</v>
      </c>
      <c r="AI128" s="482">
        <v>0</v>
      </c>
      <c r="AJ128" s="482">
        <v>0</v>
      </c>
      <c r="AK128" s="556">
        <v>0</v>
      </c>
      <c r="AL128" s="557">
        <v>0</v>
      </c>
      <c r="AM128" s="557">
        <v>0</v>
      </c>
      <c r="AN128" s="557">
        <v>0</v>
      </c>
      <c r="AO128" s="557">
        <v>0</v>
      </c>
      <c r="AP128" s="557">
        <v>0</v>
      </c>
      <c r="AQ128" s="483">
        <v>0</v>
      </c>
      <c r="AR128" s="482">
        <v>0</v>
      </c>
      <c r="AS128" s="482">
        <v>0</v>
      </c>
      <c r="AT128" s="482">
        <v>0</v>
      </c>
      <c r="AU128" s="482">
        <v>0</v>
      </c>
      <c r="AV128" s="482">
        <v>0</v>
      </c>
      <c r="AW128" s="483">
        <f t="shared" si="71"/>
        <v>0</v>
      </c>
      <c r="AX128" s="514">
        <f t="shared" si="68"/>
        <v>0</v>
      </c>
      <c r="AY128" s="514" t="s">
        <v>1034</v>
      </c>
      <c r="AZ128" s="556">
        <f t="shared" si="84"/>
        <v>0</v>
      </c>
      <c r="BA128" s="557">
        <v>0</v>
      </c>
      <c r="BB128" s="557">
        <v>0</v>
      </c>
      <c r="BC128" s="557">
        <v>0</v>
      </c>
      <c r="BD128" s="557">
        <v>0</v>
      </c>
      <c r="BE128" s="557">
        <v>0</v>
      </c>
      <c r="BF128" s="556">
        <f t="shared" si="61"/>
        <v>0</v>
      </c>
      <c r="BG128" s="557">
        <v>0</v>
      </c>
      <c r="BH128" s="557">
        <v>0</v>
      </c>
      <c r="BI128" s="557">
        <v>0</v>
      </c>
      <c r="BJ128" s="557">
        <v>0</v>
      </c>
      <c r="BK128" s="557">
        <v>0</v>
      </c>
      <c r="BL128" s="556">
        <f t="shared" si="56"/>
        <v>0</v>
      </c>
      <c r="BM128" s="557">
        <v>0</v>
      </c>
      <c r="BN128" s="557">
        <v>0</v>
      </c>
      <c r="BO128" s="557">
        <v>0</v>
      </c>
      <c r="BP128" s="557">
        <v>0</v>
      </c>
      <c r="BQ128" s="557">
        <v>0</v>
      </c>
      <c r="BR128" s="318"/>
      <c r="BS128" s="318"/>
      <c r="BT128" s="318"/>
      <c r="BU128" s="318"/>
      <c r="BV128" s="318"/>
      <c r="BW128" s="318"/>
      <c r="BX128" s="318"/>
      <c r="BY128" s="318"/>
      <c r="BZ128" s="318"/>
      <c r="CA128" s="318"/>
      <c r="CB128" s="318"/>
      <c r="CC128" s="318"/>
      <c r="CD128" s="318"/>
      <c r="CE128" s="457"/>
      <c r="CF128" s="318"/>
      <c r="CG128" s="360"/>
      <c r="CH128" s="360"/>
      <c r="CI128" s="360"/>
      <c r="CJ128" s="360"/>
      <c r="CK128" s="360"/>
      <c r="CL128" s="360"/>
      <c r="CM128" s="360"/>
      <c r="CN128" s="360"/>
      <c r="CO128" s="360"/>
      <c r="CP128" s="360"/>
    </row>
    <row r="129" spans="1:94" s="315" customFormat="1" ht="19.5" hidden="1" customHeight="1" x14ac:dyDescent="0.25">
      <c r="A129" s="403">
        <v>118</v>
      </c>
      <c r="B129" s="313" t="s">
        <v>546</v>
      </c>
      <c r="C129" s="313" t="s">
        <v>547</v>
      </c>
      <c r="D129" s="318" t="s">
        <v>457</v>
      </c>
      <c r="E129" s="318" t="s">
        <v>553</v>
      </c>
      <c r="F129" s="313" t="s">
        <v>244</v>
      </c>
      <c r="G129" s="313" t="s">
        <v>574</v>
      </c>
      <c r="H129" s="305"/>
      <c r="I129" s="305" t="s">
        <v>536</v>
      </c>
      <c r="J129" s="370">
        <v>0</v>
      </c>
      <c r="K129" s="370" t="e">
        <f>20000*V129/(IF(#REF!="yes",0.188,1))</f>
        <v>#REF!</v>
      </c>
      <c r="L129" s="370" t="e">
        <f>K129-J96</f>
        <v>#REF!</v>
      </c>
      <c r="M129" s="316" t="s">
        <v>844</v>
      </c>
      <c r="N129" s="398">
        <v>2017</v>
      </c>
      <c r="O129" s="398">
        <v>2020</v>
      </c>
      <c r="P129" s="305" t="s">
        <v>463</v>
      </c>
      <c r="Q129" s="305" t="s">
        <v>776</v>
      </c>
      <c r="R129" s="305" t="s">
        <v>1108</v>
      </c>
      <c r="S129" s="305"/>
      <c r="T129" s="305"/>
      <c r="U129" s="305" t="s">
        <v>235</v>
      </c>
      <c r="V129" s="426">
        <v>0.188</v>
      </c>
      <c r="W129" s="443">
        <v>5</v>
      </c>
      <c r="X129" s="445"/>
      <c r="Y129" s="412" t="e">
        <f t="shared" si="59"/>
        <v>#REF!</v>
      </c>
      <c r="Z129" s="318">
        <v>5</v>
      </c>
      <c r="AA129" s="318">
        <v>5</v>
      </c>
      <c r="AB129" s="318">
        <v>2</v>
      </c>
      <c r="AC129" s="318">
        <v>3</v>
      </c>
      <c r="AD129" s="318" t="s">
        <v>772</v>
      </c>
      <c r="AE129" s="483">
        <f t="shared" si="79"/>
        <v>0</v>
      </c>
      <c r="AF129" s="482">
        <f t="shared" si="79"/>
        <v>0</v>
      </c>
      <c r="AG129" s="482">
        <f t="shared" si="79"/>
        <v>0</v>
      </c>
      <c r="AH129" s="482">
        <f t="shared" si="79"/>
        <v>0</v>
      </c>
      <c r="AI129" s="482">
        <f t="shared" si="79"/>
        <v>0</v>
      </c>
      <c r="AJ129" s="482">
        <f t="shared" si="79"/>
        <v>0</v>
      </c>
      <c r="AK129" s="556">
        <f t="shared" si="83"/>
        <v>0</v>
      </c>
      <c r="AL129" s="557">
        <f t="shared" si="83"/>
        <v>0</v>
      </c>
      <c r="AM129" s="557">
        <f t="shared" si="83"/>
        <v>0</v>
      </c>
      <c r="AN129" s="557">
        <f t="shared" si="83"/>
        <v>0</v>
      </c>
      <c r="AO129" s="557">
        <f t="shared" si="83"/>
        <v>0</v>
      </c>
      <c r="AP129" s="557">
        <f t="shared" si="83"/>
        <v>0</v>
      </c>
      <c r="AQ129" s="483">
        <f t="shared" si="54"/>
        <v>0</v>
      </c>
      <c r="AR129" s="482">
        <f t="shared" si="65"/>
        <v>0</v>
      </c>
      <c r="AS129" s="482">
        <f t="shared" si="65"/>
        <v>0</v>
      </c>
      <c r="AT129" s="482">
        <f t="shared" si="65"/>
        <v>0</v>
      </c>
      <c r="AU129" s="482">
        <f t="shared" si="65"/>
        <v>0</v>
      </c>
      <c r="AV129" s="482">
        <f t="shared" si="55"/>
        <v>0</v>
      </c>
      <c r="AW129" s="483" t="str">
        <f t="shared" si="71"/>
        <v>check</v>
      </c>
      <c r="AX129" s="514" t="str">
        <f t="shared" si="68"/>
        <v>check</v>
      </c>
      <c r="AY129" s="514" t="s">
        <v>1524</v>
      </c>
      <c r="AZ129" s="556">
        <f t="shared" si="84"/>
        <v>0</v>
      </c>
      <c r="BA129" s="557">
        <v>0</v>
      </c>
      <c r="BB129" s="557">
        <v>0</v>
      </c>
      <c r="BC129" s="557">
        <v>0</v>
      </c>
      <c r="BD129" s="557">
        <v>0</v>
      </c>
      <c r="BE129" s="557">
        <v>0</v>
      </c>
      <c r="BF129" s="556">
        <f t="shared" si="61"/>
        <v>0</v>
      </c>
      <c r="BG129" s="557">
        <v>0</v>
      </c>
      <c r="BH129" s="557">
        <v>0</v>
      </c>
      <c r="BI129" s="557">
        <v>0</v>
      </c>
      <c r="BJ129" s="557">
        <v>0</v>
      </c>
      <c r="BK129" s="557">
        <v>0</v>
      </c>
      <c r="BL129" s="556">
        <f t="shared" si="56"/>
        <v>0</v>
      </c>
      <c r="BM129" s="557">
        <v>0</v>
      </c>
      <c r="BN129" s="557">
        <v>0</v>
      </c>
      <c r="BO129" s="557">
        <v>0</v>
      </c>
      <c r="BP129" s="557">
        <v>0</v>
      </c>
      <c r="BQ129" s="557">
        <v>0</v>
      </c>
      <c r="BR129" s="318"/>
      <c r="BS129" s="318"/>
      <c r="BT129" s="318"/>
      <c r="BU129" s="318"/>
      <c r="BV129" s="318"/>
      <c r="BW129" s="318"/>
      <c r="BX129" s="318"/>
      <c r="BY129" s="318"/>
      <c r="BZ129" s="318" t="s">
        <v>1496</v>
      </c>
      <c r="CA129" s="318"/>
      <c r="CB129" s="318"/>
      <c r="CC129" s="318"/>
      <c r="CD129" s="318"/>
      <c r="CE129" s="457"/>
      <c r="CF129" s="443"/>
      <c r="CG129" s="360"/>
      <c r="CH129" s="360"/>
      <c r="CI129" s="360"/>
      <c r="CJ129" s="360"/>
      <c r="CK129" s="360"/>
      <c r="CL129" s="360"/>
      <c r="CM129" s="360"/>
      <c r="CN129" s="360"/>
      <c r="CO129" s="360"/>
      <c r="CP129" s="360"/>
    </row>
    <row r="130" spans="1:94" s="315" customFormat="1" ht="13" hidden="1" x14ac:dyDescent="0.25">
      <c r="A130" s="403">
        <v>119</v>
      </c>
      <c r="B130" s="313" t="s">
        <v>726</v>
      </c>
      <c r="C130" s="303" t="s">
        <v>727</v>
      </c>
      <c r="D130" s="364" t="s">
        <v>457</v>
      </c>
      <c r="E130" s="364"/>
      <c r="F130" s="303" t="s">
        <v>252</v>
      </c>
      <c r="G130" s="303" t="s">
        <v>32</v>
      </c>
      <c r="H130" s="365"/>
      <c r="I130" s="365"/>
      <c r="J130" s="370">
        <v>0</v>
      </c>
      <c r="K130" s="418">
        <v>0</v>
      </c>
      <c r="L130" s="370">
        <f t="shared" si="58"/>
        <v>0</v>
      </c>
      <c r="M130" s="377" t="s">
        <v>487</v>
      </c>
      <c r="N130" s="400"/>
      <c r="O130" s="364"/>
      <c r="P130" s="305" t="s">
        <v>519</v>
      </c>
      <c r="Q130" s="325"/>
      <c r="R130" s="365"/>
      <c r="S130" s="365"/>
      <c r="T130" s="365"/>
      <c r="U130" s="365" t="s">
        <v>235</v>
      </c>
      <c r="V130" s="364"/>
      <c r="W130" s="325"/>
      <c r="X130" s="325"/>
      <c r="Y130" s="317" t="str">
        <f t="shared" si="59"/>
        <v/>
      </c>
      <c r="Z130" s="364"/>
      <c r="AA130" s="364"/>
      <c r="AB130" s="364"/>
      <c r="AC130" s="364"/>
      <c r="AD130" s="364"/>
      <c r="AE130" s="483">
        <f t="shared" ref="AE130:AJ143" si="88">IF(OR($M130="Exploration", $M130="Pre-feasibility", $O130&gt;2017), 0, "check")</f>
        <v>0</v>
      </c>
      <c r="AF130" s="482">
        <f t="shared" si="88"/>
        <v>0</v>
      </c>
      <c r="AG130" s="482">
        <f t="shared" si="88"/>
        <v>0</v>
      </c>
      <c r="AH130" s="482">
        <f t="shared" si="88"/>
        <v>0</v>
      </c>
      <c r="AI130" s="482">
        <f t="shared" si="88"/>
        <v>0</v>
      </c>
      <c r="AJ130" s="482">
        <f t="shared" si="88"/>
        <v>0</v>
      </c>
      <c r="AK130" s="556">
        <f t="shared" si="83"/>
        <v>0</v>
      </c>
      <c r="AL130" s="557">
        <f t="shared" si="83"/>
        <v>0</v>
      </c>
      <c r="AM130" s="557">
        <f t="shared" si="83"/>
        <v>0</v>
      </c>
      <c r="AN130" s="557">
        <f t="shared" si="83"/>
        <v>0</v>
      </c>
      <c r="AO130" s="557">
        <f t="shared" si="83"/>
        <v>0</v>
      </c>
      <c r="AP130" s="557">
        <f t="shared" si="83"/>
        <v>0</v>
      </c>
      <c r="AQ130" s="483">
        <f t="shared" si="54"/>
        <v>0</v>
      </c>
      <c r="AR130" s="482">
        <f t="shared" si="65"/>
        <v>0</v>
      </c>
      <c r="AS130" s="482">
        <f t="shared" si="65"/>
        <v>0</v>
      </c>
      <c r="AT130" s="482">
        <f t="shared" si="65"/>
        <v>0</v>
      </c>
      <c r="AU130" s="482">
        <f t="shared" si="65"/>
        <v>0</v>
      </c>
      <c r="AV130" s="482">
        <f t="shared" si="55"/>
        <v>0</v>
      </c>
      <c r="AW130" s="483">
        <f t="shared" si="71"/>
        <v>0</v>
      </c>
      <c r="AX130" s="514">
        <f t="shared" si="68"/>
        <v>0</v>
      </c>
      <c r="AY130" s="514" t="s">
        <v>1034</v>
      </c>
      <c r="AZ130" s="556">
        <f t="shared" si="84"/>
        <v>0</v>
      </c>
      <c r="BA130" s="557">
        <v>0</v>
      </c>
      <c r="BB130" s="557">
        <v>0</v>
      </c>
      <c r="BC130" s="557">
        <v>0</v>
      </c>
      <c r="BD130" s="557">
        <v>0</v>
      </c>
      <c r="BE130" s="557">
        <v>0</v>
      </c>
      <c r="BF130" s="556">
        <f t="shared" si="61"/>
        <v>0</v>
      </c>
      <c r="BG130" s="557">
        <v>0</v>
      </c>
      <c r="BH130" s="557">
        <v>0</v>
      </c>
      <c r="BI130" s="557">
        <v>0</v>
      </c>
      <c r="BJ130" s="557">
        <v>0</v>
      </c>
      <c r="BK130" s="557">
        <v>0</v>
      </c>
      <c r="BL130" s="556">
        <f t="shared" si="56"/>
        <v>0</v>
      </c>
      <c r="BM130" s="557">
        <v>0</v>
      </c>
      <c r="BN130" s="557">
        <v>0</v>
      </c>
      <c r="BO130" s="557">
        <v>0</v>
      </c>
      <c r="BP130" s="557">
        <v>0</v>
      </c>
      <c r="BQ130" s="557">
        <v>0</v>
      </c>
      <c r="BR130" s="468"/>
      <c r="BS130" s="468"/>
      <c r="BT130" s="468"/>
      <c r="BU130" s="468"/>
      <c r="BV130" s="468"/>
      <c r="BW130" s="468"/>
      <c r="BX130" s="468"/>
      <c r="BY130" s="468"/>
      <c r="BZ130" s="468"/>
      <c r="CA130" s="468"/>
      <c r="CB130" s="468"/>
      <c r="CC130" s="468"/>
      <c r="CD130" s="468"/>
      <c r="CE130" s="469"/>
      <c r="CF130" s="468"/>
      <c r="CG130" s="360"/>
      <c r="CH130" s="360"/>
      <c r="CI130" s="360"/>
      <c r="CJ130" s="360"/>
      <c r="CK130" s="360"/>
      <c r="CL130" s="360"/>
      <c r="CM130" s="360"/>
      <c r="CN130" s="360"/>
      <c r="CO130" s="360"/>
      <c r="CP130" s="360"/>
    </row>
    <row r="131" spans="1:94" s="315" customFormat="1" ht="13" hidden="1" x14ac:dyDescent="0.25">
      <c r="A131" s="403">
        <v>120</v>
      </c>
      <c r="B131" s="313" t="s">
        <v>460</v>
      </c>
      <c r="C131" s="313" t="s">
        <v>529</v>
      </c>
      <c r="D131" s="318" t="s">
        <v>457</v>
      </c>
      <c r="E131" s="318" t="s">
        <v>556</v>
      </c>
      <c r="F131" s="313" t="s">
        <v>462</v>
      </c>
      <c r="G131" s="313" t="s">
        <v>1394</v>
      </c>
      <c r="H131" s="305"/>
      <c r="I131" s="305" t="s">
        <v>734</v>
      </c>
      <c r="J131" s="370">
        <v>0</v>
      </c>
      <c r="K131" s="370" t="e">
        <f>120000*V131/(IF(#REF!="yes",0.188,1))</f>
        <v>#REF!</v>
      </c>
      <c r="L131" s="370" t="e">
        <f>K131-K17</f>
        <v>#REF!</v>
      </c>
      <c r="M131" s="316" t="s">
        <v>687</v>
      </c>
      <c r="N131" s="356"/>
      <c r="O131" s="398">
        <v>2025</v>
      </c>
      <c r="P131" s="305" t="s">
        <v>463</v>
      </c>
      <c r="Q131" s="305" t="s">
        <v>530</v>
      </c>
      <c r="R131" s="305" t="s">
        <v>531</v>
      </c>
      <c r="S131" s="305"/>
      <c r="T131" s="305"/>
      <c r="U131" s="305" t="s">
        <v>528</v>
      </c>
      <c r="V131" s="426">
        <v>0.188</v>
      </c>
      <c r="W131" s="443">
        <v>2.5</v>
      </c>
      <c r="X131" s="445"/>
      <c r="Y131" s="317" t="e">
        <f t="shared" si="59"/>
        <v>#REF!</v>
      </c>
      <c r="Z131" s="318">
        <v>5</v>
      </c>
      <c r="AA131" s="318">
        <v>3</v>
      </c>
      <c r="AB131" s="318">
        <v>3</v>
      </c>
      <c r="AC131" s="318">
        <v>5</v>
      </c>
      <c r="AD131" s="318" t="s">
        <v>735</v>
      </c>
      <c r="AE131" s="483">
        <f t="shared" si="88"/>
        <v>0</v>
      </c>
      <c r="AF131" s="482">
        <f t="shared" si="88"/>
        <v>0</v>
      </c>
      <c r="AG131" s="482">
        <f t="shared" si="88"/>
        <v>0</v>
      </c>
      <c r="AH131" s="482">
        <f t="shared" si="88"/>
        <v>0</v>
      </c>
      <c r="AI131" s="482">
        <f t="shared" si="88"/>
        <v>0</v>
      </c>
      <c r="AJ131" s="482">
        <f t="shared" si="88"/>
        <v>0</v>
      </c>
      <c r="AK131" s="556">
        <f t="shared" si="83"/>
        <v>0</v>
      </c>
      <c r="AL131" s="557">
        <f t="shared" si="83"/>
        <v>0</v>
      </c>
      <c r="AM131" s="557">
        <f t="shared" si="83"/>
        <v>0</v>
      </c>
      <c r="AN131" s="557">
        <f t="shared" si="83"/>
        <v>0</v>
      </c>
      <c r="AO131" s="557">
        <f t="shared" si="83"/>
        <v>0</v>
      </c>
      <c r="AP131" s="557">
        <f t="shared" si="83"/>
        <v>0</v>
      </c>
      <c r="AQ131" s="483">
        <f t="shared" si="54"/>
        <v>0</v>
      </c>
      <c r="AR131" s="482">
        <f t="shared" si="65"/>
        <v>0</v>
      </c>
      <c r="AS131" s="482">
        <f t="shared" si="65"/>
        <v>0</v>
      </c>
      <c r="AT131" s="482">
        <f t="shared" si="65"/>
        <v>0</v>
      </c>
      <c r="AU131" s="482">
        <f t="shared" si="65"/>
        <v>0</v>
      </c>
      <c r="AV131" s="482">
        <f t="shared" si="55"/>
        <v>0</v>
      </c>
      <c r="AW131" s="483">
        <f t="shared" si="71"/>
        <v>0</v>
      </c>
      <c r="AX131" s="514">
        <f t="shared" si="68"/>
        <v>0</v>
      </c>
      <c r="AY131" s="514" t="s">
        <v>1034</v>
      </c>
      <c r="AZ131" s="556">
        <f t="shared" si="84"/>
        <v>0</v>
      </c>
      <c r="BA131" s="557">
        <v>0</v>
      </c>
      <c r="BB131" s="557">
        <v>0</v>
      </c>
      <c r="BC131" s="557">
        <v>0</v>
      </c>
      <c r="BD131" s="557">
        <v>0</v>
      </c>
      <c r="BE131" s="557">
        <v>0</v>
      </c>
      <c r="BF131" s="556">
        <f t="shared" si="61"/>
        <v>0</v>
      </c>
      <c r="BG131" s="557">
        <v>0</v>
      </c>
      <c r="BH131" s="557">
        <v>0</v>
      </c>
      <c r="BI131" s="557">
        <v>0</v>
      </c>
      <c r="BJ131" s="557">
        <v>0</v>
      </c>
      <c r="BK131" s="557">
        <v>0</v>
      </c>
      <c r="BL131" s="556">
        <f t="shared" si="56"/>
        <v>0</v>
      </c>
      <c r="BM131" s="557">
        <v>0</v>
      </c>
      <c r="BN131" s="557">
        <v>0</v>
      </c>
      <c r="BO131" s="557">
        <v>0</v>
      </c>
      <c r="BP131" s="557">
        <v>0</v>
      </c>
      <c r="BQ131" s="557">
        <v>0</v>
      </c>
      <c r="BR131" s="318"/>
      <c r="BS131" s="318"/>
      <c r="BT131" s="318"/>
      <c r="BU131" s="318"/>
      <c r="BV131" s="318"/>
      <c r="BW131" s="318"/>
      <c r="BX131" s="318"/>
      <c r="BY131" s="318"/>
      <c r="BZ131" s="318" t="s">
        <v>1488</v>
      </c>
      <c r="CA131" s="465"/>
      <c r="CB131" s="465"/>
      <c r="CC131" s="465"/>
      <c r="CD131" s="465"/>
      <c r="CE131" s="467"/>
      <c r="CF131" s="443">
        <v>555</v>
      </c>
      <c r="CG131" s="360" t="s">
        <v>460</v>
      </c>
      <c r="CH131" s="430">
        <v>1</v>
      </c>
      <c r="CI131" s="360"/>
      <c r="CJ131" s="360"/>
      <c r="CK131" s="360"/>
      <c r="CL131" s="360"/>
      <c r="CM131" s="360"/>
      <c r="CN131" s="360"/>
      <c r="CO131" s="360"/>
      <c r="CP131" s="360"/>
    </row>
    <row r="132" spans="1:94" s="315" customFormat="1" ht="13" hidden="1" x14ac:dyDescent="0.25">
      <c r="A132" s="403">
        <v>121</v>
      </c>
      <c r="B132" s="313" t="s">
        <v>1418</v>
      </c>
      <c r="C132" s="313" t="s">
        <v>737</v>
      </c>
      <c r="D132" s="318" t="s">
        <v>457</v>
      </c>
      <c r="E132" s="318"/>
      <c r="F132" s="313" t="s">
        <v>476</v>
      </c>
      <c r="G132" s="313" t="s">
        <v>1407</v>
      </c>
      <c r="H132" s="305"/>
      <c r="I132" s="305"/>
      <c r="J132" s="370">
        <v>0</v>
      </c>
      <c r="K132" s="322">
        <v>0</v>
      </c>
      <c r="L132" s="370">
        <f t="shared" si="58"/>
        <v>0</v>
      </c>
      <c r="M132" s="316" t="s">
        <v>807</v>
      </c>
      <c r="N132" s="364"/>
      <c r="O132" s="364"/>
      <c r="P132" s="305" t="s">
        <v>463</v>
      </c>
      <c r="Q132" s="325"/>
      <c r="R132" s="365"/>
      <c r="S132" s="365"/>
      <c r="T132" s="365"/>
      <c r="U132" s="305" t="s">
        <v>235</v>
      </c>
      <c r="V132" s="426"/>
      <c r="W132" s="325"/>
      <c r="X132" s="325"/>
      <c r="Y132" s="317" t="str">
        <f t="shared" si="59"/>
        <v/>
      </c>
      <c r="Z132" s="364"/>
      <c r="AA132" s="364"/>
      <c r="AB132" s="364"/>
      <c r="AC132" s="364"/>
      <c r="AD132" s="364" t="s">
        <v>739</v>
      </c>
      <c r="AE132" s="483">
        <f t="shared" si="88"/>
        <v>0</v>
      </c>
      <c r="AF132" s="482">
        <f t="shared" si="88"/>
        <v>0</v>
      </c>
      <c r="AG132" s="482">
        <f t="shared" si="88"/>
        <v>0</v>
      </c>
      <c r="AH132" s="482">
        <f t="shared" si="88"/>
        <v>0</v>
      </c>
      <c r="AI132" s="482">
        <f t="shared" si="88"/>
        <v>0</v>
      </c>
      <c r="AJ132" s="482">
        <f t="shared" si="88"/>
        <v>0</v>
      </c>
      <c r="AK132" s="556">
        <f t="shared" si="83"/>
        <v>0</v>
      </c>
      <c r="AL132" s="557">
        <f t="shared" si="83"/>
        <v>0</v>
      </c>
      <c r="AM132" s="557">
        <f t="shared" si="83"/>
        <v>0</v>
      </c>
      <c r="AN132" s="557">
        <f t="shared" si="83"/>
        <v>0</v>
      </c>
      <c r="AO132" s="557">
        <f t="shared" si="83"/>
        <v>0</v>
      </c>
      <c r="AP132" s="557">
        <f t="shared" si="83"/>
        <v>0</v>
      </c>
      <c r="AQ132" s="483">
        <f t="shared" si="54"/>
        <v>0</v>
      </c>
      <c r="AR132" s="482">
        <f t="shared" si="65"/>
        <v>0</v>
      </c>
      <c r="AS132" s="482">
        <f t="shared" si="65"/>
        <v>0</v>
      </c>
      <c r="AT132" s="482">
        <f t="shared" si="65"/>
        <v>0</v>
      </c>
      <c r="AU132" s="482">
        <f t="shared" si="65"/>
        <v>0</v>
      </c>
      <c r="AV132" s="482">
        <f t="shared" si="55"/>
        <v>0</v>
      </c>
      <c r="AW132" s="483">
        <f t="shared" si="71"/>
        <v>0</v>
      </c>
      <c r="AX132" s="514">
        <f t="shared" si="68"/>
        <v>0</v>
      </c>
      <c r="AY132" s="514" t="s">
        <v>1034</v>
      </c>
      <c r="AZ132" s="556">
        <f t="shared" si="84"/>
        <v>0</v>
      </c>
      <c r="BA132" s="557">
        <v>0</v>
      </c>
      <c r="BB132" s="557">
        <v>0</v>
      </c>
      <c r="BC132" s="557">
        <v>0</v>
      </c>
      <c r="BD132" s="557">
        <v>0</v>
      </c>
      <c r="BE132" s="557">
        <v>0</v>
      </c>
      <c r="BF132" s="556">
        <f t="shared" si="61"/>
        <v>0</v>
      </c>
      <c r="BG132" s="557">
        <v>0</v>
      </c>
      <c r="BH132" s="557">
        <v>0</v>
      </c>
      <c r="BI132" s="557">
        <v>0</v>
      </c>
      <c r="BJ132" s="557">
        <v>0</v>
      </c>
      <c r="BK132" s="557">
        <v>0</v>
      </c>
      <c r="BL132" s="556">
        <f t="shared" si="56"/>
        <v>0</v>
      </c>
      <c r="BM132" s="557">
        <v>0</v>
      </c>
      <c r="BN132" s="557">
        <v>0</v>
      </c>
      <c r="BO132" s="557">
        <v>0</v>
      </c>
      <c r="BP132" s="557">
        <v>0</v>
      </c>
      <c r="BQ132" s="557">
        <v>0</v>
      </c>
      <c r="BR132" s="468"/>
      <c r="BS132" s="468"/>
      <c r="BT132" s="468"/>
      <c r="BU132" s="468"/>
      <c r="BV132" s="468"/>
      <c r="BW132" s="468"/>
      <c r="BX132" s="468"/>
      <c r="BY132" s="468"/>
      <c r="BZ132" s="468"/>
      <c r="CA132" s="468"/>
      <c r="CB132" s="468"/>
      <c r="CC132" s="468"/>
      <c r="CD132" s="468"/>
      <c r="CE132" s="469" t="s">
        <v>1295</v>
      </c>
      <c r="CF132" s="468"/>
      <c r="CG132" s="360" t="s">
        <v>1293</v>
      </c>
      <c r="CH132" s="430">
        <v>0.51</v>
      </c>
      <c r="CI132" s="360" t="s">
        <v>1294</v>
      </c>
      <c r="CJ132" s="430">
        <v>0.49</v>
      </c>
      <c r="CK132" s="360"/>
      <c r="CL132" s="360"/>
      <c r="CM132" s="360"/>
      <c r="CN132" s="360"/>
      <c r="CO132" s="360"/>
      <c r="CP132" s="360"/>
    </row>
    <row r="133" spans="1:94" s="315" customFormat="1" ht="13" hidden="1" x14ac:dyDescent="0.25">
      <c r="A133" s="403">
        <v>122</v>
      </c>
      <c r="B133" s="313" t="s">
        <v>1418</v>
      </c>
      <c r="C133" s="313" t="s">
        <v>738</v>
      </c>
      <c r="D133" s="318" t="s">
        <v>457</v>
      </c>
      <c r="E133" s="318"/>
      <c r="F133" s="313" t="s">
        <v>476</v>
      </c>
      <c r="G133" s="313" t="s">
        <v>1408</v>
      </c>
      <c r="H133" s="305"/>
      <c r="I133" s="305"/>
      <c r="J133" s="370">
        <v>0</v>
      </c>
      <c r="K133" s="370">
        <v>0</v>
      </c>
      <c r="L133" s="370">
        <f t="shared" si="58"/>
        <v>0</v>
      </c>
      <c r="M133" s="316" t="s">
        <v>807</v>
      </c>
      <c r="N133" s="356"/>
      <c r="O133" s="398"/>
      <c r="P133" s="305" t="s">
        <v>463</v>
      </c>
      <c r="Q133" s="304"/>
      <c r="R133" s="305"/>
      <c r="S133" s="305"/>
      <c r="T133" s="305"/>
      <c r="U133" s="305" t="s">
        <v>235</v>
      </c>
      <c r="V133" s="426"/>
      <c r="W133" s="317"/>
      <c r="X133" s="317"/>
      <c r="Y133" s="317" t="str">
        <f t="shared" si="59"/>
        <v/>
      </c>
      <c r="Z133" s="318"/>
      <c r="AA133" s="318"/>
      <c r="AB133" s="318"/>
      <c r="AC133" s="318"/>
      <c r="AD133" s="318" t="s">
        <v>739</v>
      </c>
      <c r="AE133" s="483">
        <f t="shared" si="88"/>
        <v>0</v>
      </c>
      <c r="AF133" s="482">
        <f t="shared" si="88"/>
        <v>0</v>
      </c>
      <c r="AG133" s="482">
        <f t="shared" si="88"/>
        <v>0</v>
      </c>
      <c r="AH133" s="482">
        <f t="shared" si="88"/>
        <v>0</v>
      </c>
      <c r="AI133" s="482">
        <f t="shared" si="88"/>
        <v>0</v>
      </c>
      <c r="AJ133" s="482">
        <f t="shared" si="88"/>
        <v>0</v>
      </c>
      <c r="AK133" s="556">
        <f t="shared" si="83"/>
        <v>0</v>
      </c>
      <c r="AL133" s="557">
        <f t="shared" si="83"/>
        <v>0</v>
      </c>
      <c r="AM133" s="557">
        <f t="shared" si="83"/>
        <v>0</v>
      </c>
      <c r="AN133" s="557">
        <f t="shared" si="83"/>
        <v>0</v>
      </c>
      <c r="AO133" s="557">
        <f t="shared" si="83"/>
        <v>0</v>
      </c>
      <c r="AP133" s="557">
        <f t="shared" si="83"/>
        <v>0</v>
      </c>
      <c r="AQ133" s="483">
        <f t="shared" si="54"/>
        <v>0</v>
      </c>
      <c r="AR133" s="482">
        <f t="shared" si="65"/>
        <v>0</v>
      </c>
      <c r="AS133" s="482">
        <f t="shared" si="65"/>
        <v>0</v>
      </c>
      <c r="AT133" s="482">
        <f t="shared" si="65"/>
        <v>0</v>
      </c>
      <c r="AU133" s="482">
        <f t="shared" si="65"/>
        <v>0</v>
      </c>
      <c r="AV133" s="482">
        <f t="shared" si="55"/>
        <v>0</v>
      </c>
      <c r="AW133" s="483">
        <f t="shared" si="71"/>
        <v>0</v>
      </c>
      <c r="AX133" s="514">
        <f t="shared" si="68"/>
        <v>0</v>
      </c>
      <c r="AY133" s="514" t="s">
        <v>1034</v>
      </c>
      <c r="AZ133" s="556">
        <f t="shared" si="84"/>
        <v>0</v>
      </c>
      <c r="BA133" s="557">
        <v>0</v>
      </c>
      <c r="BB133" s="557">
        <v>0</v>
      </c>
      <c r="BC133" s="557">
        <v>0</v>
      </c>
      <c r="BD133" s="557">
        <v>0</v>
      </c>
      <c r="BE133" s="557">
        <v>0</v>
      </c>
      <c r="BF133" s="556">
        <f t="shared" si="61"/>
        <v>0</v>
      </c>
      <c r="BG133" s="557">
        <v>0</v>
      </c>
      <c r="BH133" s="557">
        <v>0</v>
      </c>
      <c r="BI133" s="557">
        <v>0</v>
      </c>
      <c r="BJ133" s="557">
        <v>0</v>
      </c>
      <c r="BK133" s="557">
        <v>0</v>
      </c>
      <c r="BL133" s="556">
        <f t="shared" si="56"/>
        <v>0</v>
      </c>
      <c r="BM133" s="557">
        <v>0</v>
      </c>
      <c r="BN133" s="557">
        <v>0</v>
      </c>
      <c r="BO133" s="557">
        <v>0</v>
      </c>
      <c r="BP133" s="557">
        <v>0</v>
      </c>
      <c r="BQ133" s="557">
        <v>0</v>
      </c>
      <c r="BR133" s="318"/>
      <c r="BS133" s="318"/>
      <c r="BT133" s="318"/>
      <c r="BU133" s="318"/>
      <c r="BV133" s="318"/>
      <c r="BW133" s="318"/>
      <c r="BX133" s="318"/>
      <c r="BY133" s="318"/>
      <c r="BZ133" s="318"/>
      <c r="CA133" s="318"/>
      <c r="CB133" s="318"/>
      <c r="CC133" s="318"/>
      <c r="CD133" s="318"/>
      <c r="CE133" s="469" t="s">
        <v>1295</v>
      </c>
      <c r="CF133" s="318"/>
      <c r="CG133" s="360" t="s">
        <v>1293</v>
      </c>
      <c r="CH133" s="430">
        <v>0.51</v>
      </c>
      <c r="CI133" s="360" t="s">
        <v>1294</v>
      </c>
      <c r="CJ133" s="430">
        <v>0.49</v>
      </c>
      <c r="CK133" s="360"/>
      <c r="CL133" s="360"/>
      <c r="CM133" s="360"/>
      <c r="CN133" s="360"/>
      <c r="CO133" s="360"/>
      <c r="CP133" s="360"/>
    </row>
    <row r="134" spans="1:94" s="315" customFormat="1" ht="19.5" hidden="1" customHeight="1" x14ac:dyDescent="0.25">
      <c r="A134" s="403">
        <v>123</v>
      </c>
      <c r="B134" s="313" t="s">
        <v>570</v>
      </c>
      <c r="C134" s="313" t="s">
        <v>571</v>
      </c>
      <c r="D134" s="318" t="s">
        <v>457</v>
      </c>
      <c r="E134" s="318" t="s">
        <v>588</v>
      </c>
      <c r="F134" s="313" t="s">
        <v>244</v>
      </c>
      <c r="G134" s="313" t="s">
        <v>548</v>
      </c>
      <c r="H134" s="305" t="s">
        <v>773</v>
      </c>
      <c r="I134" s="305"/>
      <c r="J134" s="370" t="e">
        <f>17000*V134/(IF(#REF!="yes",0.188,1))</f>
        <v>#REF!</v>
      </c>
      <c r="K134" s="370">
        <v>0</v>
      </c>
      <c r="L134" s="370" t="e">
        <f>J134</f>
        <v>#REF!</v>
      </c>
      <c r="M134" s="316" t="s">
        <v>483</v>
      </c>
      <c r="N134" s="356"/>
      <c r="O134" s="398">
        <v>2017</v>
      </c>
      <c r="P134" s="305" t="s">
        <v>463</v>
      </c>
      <c r="Q134" s="305" t="s">
        <v>777</v>
      </c>
      <c r="R134" s="376" t="s">
        <v>1107</v>
      </c>
      <c r="S134" s="376"/>
      <c r="T134" s="376"/>
      <c r="U134" s="305" t="s">
        <v>532</v>
      </c>
      <c r="V134" s="426">
        <v>0.16300000000000001</v>
      </c>
      <c r="W134" s="443">
        <v>6</v>
      </c>
      <c r="X134" s="445"/>
      <c r="Y134" s="412" t="e">
        <f t="shared" si="59"/>
        <v>#REF!</v>
      </c>
      <c r="Z134" s="318">
        <v>5</v>
      </c>
      <c r="AA134" s="318">
        <v>4</v>
      </c>
      <c r="AB134" s="318">
        <v>2</v>
      </c>
      <c r="AC134" s="318">
        <v>1</v>
      </c>
      <c r="AD134" s="318" t="s">
        <v>772</v>
      </c>
      <c r="AE134" s="483">
        <v>10000</v>
      </c>
      <c r="AF134" s="482" t="s">
        <v>1524</v>
      </c>
      <c r="AG134" s="482" t="s">
        <v>1524</v>
      </c>
      <c r="AH134" s="482" t="s">
        <v>1524</v>
      </c>
      <c r="AI134" s="482" t="s">
        <v>1524</v>
      </c>
      <c r="AJ134" s="482" t="str">
        <f>IF(OR(M134="Exploration", M134="Pre-feasibility", O134&gt;2017), 0, "check")</f>
        <v>check</v>
      </c>
      <c r="AK134" s="556">
        <v>14739.361702127659</v>
      </c>
      <c r="AL134" s="557" t="s">
        <v>1524</v>
      </c>
      <c r="AM134" s="557" t="s">
        <v>1524</v>
      </c>
      <c r="AN134" s="557" t="s">
        <v>1524</v>
      </c>
      <c r="AO134" s="557" t="s">
        <v>1524</v>
      </c>
      <c r="AP134" s="557" t="str">
        <f>IF(OR(M134="Exploration", M134="Pre-feasibility", O134&gt;2018), 0, "check")</f>
        <v>check</v>
      </c>
      <c r="AQ134" s="483" t="str">
        <f t="shared" si="54"/>
        <v>check</v>
      </c>
      <c r="AR134" s="482" t="str">
        <f t="shared" si="65"/>
        <v>check</v>
      </c>
      <c r="AS134" s="482" t="str">
        <f t="shared" si="65"/>
        <v>check</v>
      </c>
      <c r="AT134" s="482" t="str">
        <f t="shared" si="65"/>
        <v>check</v>
      </c>
      <c r="AU134" s="482" t="str">
        <f t="shared" si="65"/>
        <v>check</v>
      </c>
      <c r="AV134" s="482" t="str">
        <f t="shared" si="55"/>
        <v>check</v>
      </c>
      <c r="AW134" s="483" t="e">
        <f t="shared" si="71"/>
        <v>#REF!</v>
      </c>
      <c r="AX134" s="514" t="e">
        <f t="shared" si="68"/>
        <v>#REF!</v>
      </c>
      <c r="AY134" s="514" t="s">
        <v>1524</v>
      </c>
      <c r="AZ134" s="556">
        <f>AE134</f>
        <v>10000</v>
      </c>
      <c r="BA134" s="557" t="s">
        <v>1524</v>
      </c>
      <c r="BB134" s="557" t="s">
        <v>1524</v>
      </c>
      <c r="BC134" s="557" t="s">
        <v>1524</v>
      </c>
      <c r="BD134" s="557" t="s">
        <v>1524</v>
      </c>
      <c r="BE134" s="557" t="s">
        <v>1524</v>
      </c>
      <c r="BF134" s="556">
        <f t="shared" si="61"/>
        <v>14739.361702127659</v>
      </c>
      <c r="BG134" s="557" t="s">
        <v>1524</v>
      </c>
      <c r="BH134" s="557" t="s">
        <v>1524</v>
      </c>
      <c r="BI134" s="557" t="s">
        <v>1524</v>
      </c>
      <c r="BJ134" s="557" t="s">
        <v>1524</v>
      </c>
      <c r="BK134" s="557" t="s">
        <v>1524</v>
      </c>
      <c r="BL134" s="556" t="str">
        <f t="shared" si="56"/>
        <v>check</v>
      </c>
      <c r="BM134" s="557" t="s">
        <v>1524</v>
      </c>
      <c r="BN134" s="557" t="s">
        <v>1524</v>
      </c>
      <c r="BO134" s="557" t="s">
        <v>1524</v>
      </c>
      <c r="BP134" s="557" t="s">
        <v>1524</v>
      </c>
      <c r="BQ134" s="557" t="s">
        <v>1524</v>
      </c>
      <c r="BR134" s="318"/>
      <c r="BS134" s="318"/>
      <c r="BT134" s="318"/>
      <c r="BU134" s="318"/>
      <c r="BV134" s="318"/>
      <c r="BW134" s="318"/>
      <c r="BX134" s="318"/>
      <c r="BY134" s="318"/>
      <c r="BZ134" s="318"/>
      <c r="CA134" s="318"/>
      <c r="CB134" s="318"/>
      <c r="CC134" s="318"/>
      <c r="CD134" s="318"/>
      <c r="CE134" s="457"/>
      <c r="CF134" s="443"/>
      <c r="CG134" s="360" t="s">
        <v>1221</v>
      </c>
      <c r="CH134" s="430">
        <v>1</v>
      </c>
      <c r="CI134" s="360"/>
      <c r="CJ134" s="360"/>
      <c r="CK134" s="360"/>
      <c r="CL134" s="360"/>
      <c r="CM134" s="360"/>
      <c r="CN134" s="360"/>
      <c r="CO134" s="360"/>
      <c r="CP134" s="360"/>
    </row>
    <row r="135" spans="1:94" s="315" customFormat="1" ht="19.5" hidden="1" customHeight="1" x14ac:dyDescent="0.25">
      <c r="A135" s="403">
        <v>124</v>
      </c>
      <c r="B135" s="313" t="s">
        <v>749</v>
      </c>
      <c r="C135" s="313" t="s">
        <v>571</v>
      </c>
      <c r="D135" s="318" t="s">
        <v>457</v>
      </c>
      <c r="E135" s="318"/>
      <c r="F135" s="313" t="s">
        <v>244</v>
      </c>
      <c r="G135" s="313" t="s">
        <v>548</v>
      </c>
      <c r="H135" s="305" t="s">
        <v>1174</v>
      </c>
      <c r="I135" s="305"/>
      <c r="J135" s="370" t="e">
        <f>10000*V135/(IF(#REF!="yes",0.188,1))</f>
        <v>#REF!</v>
      </c>
      <c r="K135" s="370">
        <v>0</v>
      </c>
      <c r="L135" s="370" t="e">
        <f>J135</f>
        <v>#REF!</v>
      </c>
      <c r="M135" s="316" t="s">
        <v>483</v>
      </c>
      <c r="N135" s="356"/>
      <c r="O135" s="398">
        <v>2018</v>
      </c>
      <c r="P135" s="305" t="s">
        <v>463</v>
      </c>
      <c r="Q135" s="305" t="s">
        <v>777</v>
      </c>
      <c r="R135" s="376" t="s">
        <v>1107</v>
      </c>
      <c r="S135" s="376"/>
      <c r="T135" s="376"/>
      <c r="U135" s="305" t="s">
        <v>528</v>
      </c>
      <c r="V135" s="426">
        <v>0.188</v>
      </c>
      <c r="W135" s="443">
        <v>6</v>
      </c>
      <c r="X135" s="445"/>
      <c r="Y135" s="412" t="e">
        <f t="shared" si="59"/>
        <v>#REF!</v>
      </c>
      <c r="Z135" s="318">
        <v>5</v>
      </c>
      <c r="AA135" s="318">
        <v>4</v>
      </c>
      <c r="AB135" s="318">
        <v>2</v>
      </c>
      <c r="AC135" s="318">
        <v>1</v>
      </c>
      <c r="AD135" s="318" t="s">
        <v>772</v>
      </c>
      <c r="AE135" s="483">
        <f t="shared" si="88"/>
        <v>0</v>
      </c>
      <c r="AF135" s="482">
        <f t="shared" si="88"/>
        <v>0</v>
      </c>
      <c r="AG135" s="482">
        <f t="shared" si="88"/>
        <v>0</v>
      </c>
      <c r="AH135" s="482">
        <f t="shared" si="88"/>
        <v>0</v>
      </c>
      <c r="AI135" s="482">
        <f t="shared" si="88"/>
        <v>0</v>
      </c>
      <c r="AJ135" s="482">
        <f t="shared" si="88"/>
        <v>0</v>
      </c>
      <c r="AK135" s="556">
        <v>10000</v>
      </c>
      <c r="AL135" s="557" t="s">
        <v>1524</v>
      </c>
      <c r="AM135" s="557" t="s">
        <v>1524</v>
      </c>
      <c r="AN135" s="557" t="s">
        <v>1524</v>
      </c>
      <c r="AO135" s="557" t="s">
        <v>1524</v>
      </c>
      <c r="AP135" s="557" t="str">
        <f>IF(OR(M135="Exploration", M135="Pre-feasibility", O135&gt;2018), 0, "check")</f>
        <v>check</v>
      </c>
      <c r="AQ135" s="483" t="str">
        <f t="shared" si="54"/>
        <v>check</v>
      </c>
      <c r="AR135" s="482" t="str">
        <f t="shared" si="65"/>
        <v>check</v>
      </c>
      <c r="AS135" s="482" t="str">
        <f t="shared" si="65"/>
        <v>check</v>
      </c>
      <c r="AT135" s="482" t="str">
        <f t="shared" si="65"/>
        <v>check</v>
      </c>
      <c r="AU135" s="482" t="str">
        <f t="shared" si="65"/>
        <v>check</v>
      </c>
      <c r="AV135" s="482" t="str">
        <f t="shared" si="55"/>
        <v>check</v>
      </c>
      <c r="AW135" s="483" t="str">
        <f t="shared" si="71"/>
        <v>check</v>
      </c>
      <c r="AX135" s="514" t="str">
        <f t="shared" si="68"/>
        <v>check</v>
      </c>
      <c r="AY135" s="514" t="s">
        <v>1524</v>
      </c>
      <c r="AZ135" s="556">
        <f>AE135</f>
        <v>0</v>
      </c>
      <c r="BA135" s="557">
        <v>0</v>
      </c>
      <c r="BB135" s="557">
        <v>0</v>
      </c>
      <c r="BC135" s="557">
        <v>0</v>
      </c>
      <c r="BD135" s="557">
        <v>0</v>
      </c>
      <c r="BE135" s="557">
        <v>0</v>
      </c>
      <c r="BF135" s="556">
        <f t="shared" si="61"/>
        <v>10000</v>
      </c>
      <c r="BG135" s="557" t="s">
        <v>1524</v>
      </c>
      <c r="BH135" s="557" t="s">
        <v>1524</v>
      </c>
      <c r="BI135" s="557" t="s">
        <v>1524</v>
      </c>
      <c r="BJ135" s="557" t="s">
        <v>1524</v>
      </c>
      <c r="BK135" s="557" t="s">
        <v>1524</v>
      </c>
      <c r="BL135" s="556" t="str">
        <f t="shared" si="56"/>
        <v>check</v>
      </c>
      <c r="BM135" s="557" t="s">
        <v>1524</v>
      </c>
      <c r="BN135" s="557" t="s">
        <v>1524</v>
      </c>
      <c r="BO135" s="557" t="s">
        <v>1524</v>
      </c>
      <c r="BP135" s="557" t="s">
        <v>1524</v>
      </c>
      <c r="BQ135" s="557" t="s">
        <v>1524</v>
      </c>
      <c r="BR135" s="318"/>
      <c r="BS135" s="318"/>
      <c r="BT135" s="318"/>
      <c r="BU135" s="318"/>
      <c r="BV135" s="318"/>
      <c r="BW135" s="318"/>
      <c r="BX135" s="318"/>
      <c r="BY135" s="318"/>
      <c r="BZ135" s="318"/>
      <c r="CA135" s="318"/>
      <c r="CB135" s="318"/>
      <c r="CC135" s="318"/>
      <c r="CD135" s="318"/>
      <c r="CE135" s="457"/>
      <c r="CF135" s="443"/>
      <c r="CG135" s="360" t="s">
        <v>1221</v>
      </c>
      <c r="CH135" s="430">
        <v>1</v>
      </c>
      <c r="CI135" s="360"/>
      <c r="CJ135" s="360"/>
      <c r="CK135" s="360"/>
      <c r="CL135" s="360"/>
      <c r="CM135" s="360"/>
      <c r="CN135" s="360"/>
      <c r="CO135" s="360"/>
      <c r="CP135" s="360"/>
    </row>
    <row r="136" spans="1:94" s="315" customFormat="1" ht="19.5" hidden="1" customHeight="1" x14ac:dyDescent="0.25">
      <c r="A136" s="403">
        <v>125</v>
      </c>
      <c r="B136" s="312" t="s">
        <v>568</v>
      </c>
      <c r="C136" s="313" t="s">
        <v>578</v>
      </c>
      <c r="D136" s="318" t="s">
        <v>457</v>
      </c>
      <c r="E136" s="318" t="s">
        <v>552</v>
      </c>
      <c r="F136" s="313" t="s">
        <v>244</v>
      </c>
      <c r="G136" s="313" t="s">
        <v>548</v>
      </c>
      <c r="H136" s="305" t="s">
        <v>536</v>
      </c>
      <c r="I136" s="305"/>
      <c r="J136" s="370">
        <v>10000</v>
      </c>
      <c r="K136" s="370">
        <v>0</v>
      </c>
      <c r="L136" s="370">
        <f>J136</f>
        <v>10000</v>
      </c>
      <c r="M136" s="316" t="s">
        <v>483</v>
      </c>
      <c r="N136" s="356"/>
      <c r="O136" s="398">
        <v>2017</v>
      </c>
      <c r="P136" s="305" t="s">
        <v>463</v>
      </c>
      <c r="Q136" s="305" t="s">
        <v>549</v>
      </c>
      <c r="R136" s="374" t="s">
        <v>775</v>
      </c>
      <c r="S136" s="374"/>
      <c r="T136" s="374"/>
      <c r="U136" s="305" t="s">
        <v>528</v>
      </c>
      <c r="V136" s="426">
        <v>2.4E-2</v>
      </c>
      <c r="W136" s="443">
        <v>5.2</v>
      </c>
      <c r="X136" s="445"/>
      <c r="Y136" s="412" t="e">
        <f t="shared" si="59"/>
        <v>#REF!</v>
      </c>
      <c r="Z136" s="318">
        <v>3</v>
      </c>
      <c r="AA136" s="318">
        <v>3</v>
      </c>
      <c r="AB136" s="318">
        <v>1</v>
      </c>
      <c r="AC136" s="318">
        <v>2</v>
      </c>
      <c r="AD136" s="318" t="s">
        <v>772</v>
      </c>
      <c r="AE136" s="483">
        <v>5000</v>
      </c>
      <c r="AF136" s="482" t="s">
        <v>1524</v>
      </c>
      <c r="AG136" s="482" t="s">
        <v>1524</v>
      </c>
      <c r="AH136" s="482" t="s">
        <v>1524</v>
      </c>
      <c r="AI136" s="482" t="s">
        <v>1524</v>
      </c>
      <c r="AJ136" s="482" t="str">
        <f>IF(OR(M136="Exploration", M136="Pre-feasibility", O136&gt;2017), 0, "check")</f>
        <v>check</v>
      </c>
      <c r="AK136" s="556">
        <v>10000</v>
      </c>
      <c r="AL136" s="557" t="s">
        <v>1524</v>
      </c>
      <c r="AM136" s="557" t="s">
        <v>1524</v>
      </c>
      <c r="AN136" s="557" t="s">
        <v>1524</v>
      </c>
      <c r="AO136" s="557" t="s">
        <v>1524</v>
      </c>
      <c r="AP136" s="557" t="str">
        <f>IF(OR(M136="Exploration", M136="Pre-feasibility", O136&gt;2018), 0, "check")</f>
        <v>check</v>
      </c>
      <c r="AQ136" s="483" t="str">
        <f t="shared" ref="AQ136:AQ151" si="89">IF(OR(M136="Exploration", M136="Pre-feasibility", O136&gt;2019), 0, "check")</f>
        <v>check</v>
      </c>
      <c r="AR136" s="482" t="str">
        <f t="shared" si="65"/>
        <v>check</v>
      </c>
      <c r="AS136" s="482" t="str">
        <f t="shared" si="65"/>
        <v>check</v>
      </c>
      <c r="AT136" s="482" t="str">
        <f t="shared" si="65"/>
        <v>check</v>
      </c>
      <c r="AU136" s="482" t="str">
        <f t="shared" si="65"/>
        <v>check</v>
      </c>
      <c r="AV136" s="482" t="str">
        <f t="shared" ref="AV136:AV151" si="90">IF(OR(M136="Exploration", M136="Pre-feasibility", O136&gt;2019), 0, "check")</f>
        <v>check</v>
      </c>
      <c r="AW136" s="483">
        <f t="shared" si="71"/>
        <v>10000</v>
      </c>
      <c r="AX136" s="514" t="str">
        <f t="shared" si="68"/>
        <v>check</v>
      </c>
      <c r="AY136" s="514" t="s">
        <v>1524</v>
      </c>
      <c r="AZ136" s="556">
        <f t="shared" ref="AZ136:AZ199" si="91">AE136</f>
        <v>5000</v>
      </c>
      <c r="BA136" s="557" t="s">
        <v>1524</v>
      </c>
      <c r="BB136" s="557" t="s">
        <v>1524</v>
      </c>
      <c r="BC136" s="557" t="s">
        <v>1524</v>
      </c>
      <c r="BD136" s="557" t="s">
        <v>1524</v>
      </c>
      <c r="BE136" s="557" t="s">
        <v>1524</v>
      </c>
      <c r="BF136" s="556">
        <f t="shared" si="61"/>
        <v>10000</v>
      </c>
      <c r="BG136" s="557" t="s">
        <v>1524</v>
      </c>
      <c r="BH136" s="557" t="s">
        <v>1524</v>
      </c>
      <c r="BI136" s="557" t="s">
        <v>1524</v>
      </c>
      <c r="BJ136" s="557" t="s">
        <v>1524</v>
      </c>
      <c r="BK136" s="557" t="s">
        <v>1524</v>
      </c>
      <c r="BL136" s="556" t="str">
        <f t="shared" si="56"/>
        <v>check</v>
      </c>
      <c r="BM136" s="557" t="s">
        <v>1524</v>
      </c>
      <c r="BN136" s="557" t="s">
        <v>1524</v>
      </c>
      <c r="BO136" s="557" t="s">
        <v>1524</v>
      </c>
      <c r="BP136" s="557" t="s">
        <v>1524</v>
      </c>
      <c r="BQ136" s="557" t="s">
        <v>1524</v>
      </c>
      <c r="BR136" s="318"/>
      <c r="BS136" s="318"/>
      <c r="BT136" s="318"/>
      <c r="BU136" s="318"/>
      <c r="BV136" s="318"/>
      <c r="BW136" s="318"/>
      <c r="BX136" s="318"/>
      <c r="BY136" s="318"/>
      <c r="BZ136" s="318"/>
      <c r="CA136" s="318"/>
      <c r="CB136" s="318"/>
      <c r="CC136" s="318"/>
      <c r="CD136" s="318"/>
      <c r="CE136" s="457"/>
      <c r="CF136" s="443">
        <v>8.5</v>
      </c>
      <c r="CG136" s="360" t="s">
        <v>785</v>
      </c>
      <c r="CH136" s="430">
        <v>1</v>
      </c>
      <c r="CI136" s="360"/>
      <c r="CJ136" s="360"/>
      <c r="CK136" s="360"/>
      <c r="CL136" s="360"/>
      <c r="CM136" s="360"/>
      <c r="CN136" s="360"/>
      <c r="CO136" s="360"/>
      <c r="CP136" s="360"/>
    </row>
    <row r="137" spans="1:94" s="315" customFormat="1" ht="19.5" hidden="1" customHeight="1" x14ac:dyDescent="0.25">
      <c r="A137" s="403">
        <v>126</v>
      </c>
      <c r="B137" s="312" t="s">
        <v>568</v>
      </c>
      <c r="C137" s="313" t="s">
        <v>578</v>
      </c>
      <c r="D137" s="318" t="s">
        <v>457</v>
      </c>
      <c r="E137" s="318" t="s">
        <v>553</v>
      </c>
      <c r="F137" s="313" t="s">
        <v>244</v>
      </c>
      <c r="G137" s="313" t="s">
        <v>548</v>
      </c>
      <c r="H137" s="305" t="s">
        <v>536</v>
      </c>
      <c r="I137" s="305"/>
      <c r="J137" s="370">
        <v>0</v>
      </c>
      <c r="K137" s="370">
        <v>20000</v>
      </c>
      <c r="L137" s="370">
        <f>K137-J136</f>
        <v>10000</v>
      </c>
      <c r="M137" s="316" t="s">
        <v>484</v>
      </c>
      <c r="N137" s="356"/>
      <c r="O137" s="398">
        <v>2020</v>
      </c>
      <c r="P137" s="305" t="s">
        <v>463</v>
      </c>
      <c r="Q137" s="305" t="s">
        <v>549</v>
      </c>
      <c r="R137" s="374" t="s">
        <v>775</v>
      </c>
      <c r="S137" s="374"/>
      <c r="T137" s="374"/>
      <c r="U137" s="305" t="s">
        <v>528</v>
      </c>
      <c r="V137" s="426">
        <v>2.4E-2</v>
      </c>
      <c r="W137" s="443">
        <v>5.2</v>
      </c>
      <c r="X137" s="445"/>
      <c r="Y137" s="412" t="e">
        <f t="shared" si="59"/>
        <v>#REF!</v>
      </c>
      <c r="Z137" s="318">
        <v>3</v>
      </c>
      <c r="AA137" s="318">
        <v>3</v>
      </c>
      <c r="AB137" s="318">
        <v>1</v>
      </c>
      <c r="AC137" s="318">
        <v>2</v>
      </c>
      <c r="AD137" s="318" t="s">
        <v>772</v>
      </c>
      <c r="AE137" s="483">
        <f t="shared" si="88"/>
        <v>0</v>
      </c>
      <c r="AF137" s="482">
        <f t="shared" si="88"/>
        <v>0</v>
      </c>
      <c r="AG137" s="482">
        <f t="shared" si="88"/>
        <v>0</v>
      </c>
      <c r="AH137" s="482">
        <f t="shared" si="88"/>
        <v>0</v>
      </c>
      <c r="AI137" s="482">
        <f t="shared" si="88"/>
        <v>0</v>
      </c>
      <c r="AJ137" s="482">
        <f t="shared" si="88"/>
        <v>0</v>
      </c>
      <c r="AK137" s="556">
        <f t="shared" ref="AK137:AP139" si="92">IF(OR($M137="Exploration", $M137="Pre-feasibility", $O137&gt;2018), 0, "check")</f>
        <v>0</v>
      </c>
      <c r="AL137" s="557">
        <f t="shared" si="92"/>
        <v>0</v>
      </c>
      <c r="AM137" s="557">
        <f t="shared" si="92"/>
        <v>0</v>
      </c>
      <c r="AN137" s="557">
        <f t="shared" si="92"/>
        <v>0</v>
      </c>
      <c r="AO137" s="557">
        <f t="shared" si="92"/>
        <v>0</v>
      </c>
      <c r="AP137" s="557">
        <f t="shared" si="92"/>
        <v>0</v>
      </c>
      <c r="AQ137" s="483">
        <f t="shared" si="89"/>
        <v>0</v>
      </c>
      <c r="AR137" s="482">
        <f t="shared" si="65"/>
        <v>0</v>
      </c>
      <c r="AS137" s="482">
        <f t="shared" si="65"/>
        <v>0</v>
      </c>
      <c r="AT137" s="482">
        <f t="shared" si="65"/>
        <v>0</v>
      </c>
      <c r="AU137" s="482">
        <f t="shared" si="65"/>
        <v>0</v>
      </c>
      <c r="AV137" s="482">
        <f t="shared" si="90"/>
        <v>0</v>
      </c>
      <c r="AW137" s="483" t="str">
        <f t="shared" si="71"/>
        <v>check</v>
      </c>
      <c r="AX137" s="514" t="str">
        <f t="shared" si="68"/>
        <v>check</v>
      </c>
      <c r="AY137" s="514" t="s">
        <v>1524</v>
      </c>
      <c r="AZ137" s="556">
        <f t="shared" si="91"/>
        <v>0</v>
      </c>
      <c r="BA137" s="557">
        <v>0</v>
      </c>
      <c r="BB137" s="557">
        <v>0</v>
      </c>
      <c r="BC137" s="557">
        <v>0</v>
      </c>
      <c r="BD137" s="557">
        <v>0</v>
      </c>
      <c r="BE137" s="557">
        <v>0</v>
      </c>
      <c r="BF137" s="556">
        <f t="shared" si="61"/>
        <v>0</v>
      </c>
      <c r="BG137" s="557">
        <v>0</v>
      </c>
      <c r="BH137" s="557">
        <v>0</v>
      </c>
      <c r="BI137" s="557">
        <v>0</v>
      </c>
      <c r="BJ137" s="557">
        <v>0</v>
      </c>
      <c r="BK137" s="557">
        <v>0</v>
      </c>
      <c r="BL137" s="556">
        <f t="shared" si="56"/>
        <v>0</v>
      </c>
      <c r="BM137" s="557">
        <v>0</v>
      </c>
      <c r="BN137" s="557">
        <v>0</v>
      </c>
      <c r="BO137" s="557">
        <v>0</v>
      </c>
      <c r="BP137" s="557">
        <v>0</v>
      </c>
      <c r="BQ137" s="557">
        <v>0</v>
      </c>
      <c r="BR137" s="318"/>
      <c r="BS137" s="318"/>
      <c r="BT137" s="318"/>
      <c r="BU137" s="318"/>
      <c r="BV137" s="318"/>
      <c r="BW137" s="318"/>
      <c r="BX137" s="318"/>
      <c r="BY137" s="318"/>
      <c r="BZ137" s="318"/>
      <c r="CA137" s="318"/>
      <c r="CB137" s="318"/>
      <c r="CC137" s="318"/>
      <c r="CD137" s="318"/>
      <c r="CE137" s="457"/>
      <c r="CF137" s="443">
        <v>8.5</v>
      </c>
      <c r="CG137" s="360" t="s">
        <v>785</v>
      </c>
      <c r="CH137" s="430">
        <v>1</v>
      </c>
      <c r="CI137" s="360"/>
      <c r="CJ137" s="360"/>
      <c r="CK137" s="360"/>
      <c r="CL137" s="360"/>
      <c r="CM137" s="360"/>
      <c r="CN137" s="360"/>
      <c r="CO137" s="360"/>
      <c r="CP137" s="360"/>
    </row>
    <row r="138" spans="1:94" s="315" customFormat="1" ht="19.5" hidden="1" customHeight="1" x14ac:dyDescent="0.25">
      <c r="A138" s="403">
        <v>127</v>
      </c>
      <c r="B138" s="313" t="s">
        <v>573</v>
      </c>
      <c r="C138" s="313" t="s">
        <v>578</v>
      </c>
      <c r="D138" s="318" t="s">
        <v>457</v>
      </c>
      <c r="E138" s="318"/>
      <c r="F138" s="313" t="s">
        <v>244</v>
      </c>
      <c r="G138" s="313" t="s">
        <v>548</v>
      </c>
      <c r="H138" s="305"/>
      <c r="I138" s="305"/>
      <c r="J138" s="370">
        <v>0</v>
      </c>
      <c r="K138" s="370">
        <v>30000</v>
      </c>
      <c r="L138" s="370">
        <f t="shared" si="58"/>
        <v>30000</v>
      </c>
      <c r="M138" s="316" t="s">
        <v>484</v>
      </c>
      <c r="N138" s="356"/>
      <c r="O138" s="398">
        <v>2020</v>
      </c>
      <c r="P138" s="305" t="s">
        <v>463</v>
      </c>
      <c r="Q138" s="305" t="s">
        <v>549</v>
      </c>
      <c r="R138" s="374" t="s">
        <v>775</v>
      </c>
      <c r="S138" s="374"/>
      <c r="T138" s="374"/>
      <c r="U138" s="305" t="s">
        <v>528</v>
      </c>
      <c r="V138" s="426">
        <v>0.188</v>
      </c>
      <c r="W138" s="443">
        <v>6.5</v>
      </c>
      <c r="X138" s="445"/>
      <c r="Y138" s="412" t="e">
        <f t="shared" si="59"/>
        <v>#REF!</v>
      </c>
      <c r="Z138" s="318">
        <v>3</v>
      </c>
      <c r="AA138" s="318">
        <v>5</v>
      </c>
      <c r="AB138" s="318">
        <v>1</v>
      </c>
      <c r="AC138" s="318">
        <v>3</v>
      </c>
      <c r="AD138" s="318" t="s">
        <v>772</v>
      </c>
      <c r="AE138" s="483">
        <f t="shared" si="88"/>
        <v>0</v>
      </c>
      <c r="AF138" s="482">
        <f t="shared" si="88"/>
        <v>0</v>
      </c>
      <c r="AG138" s="482">
        <f t="shared" si="88"/>
        <v>0</v>
      </c>
      <c r="AH138" s="482">
        <f t="shared" si="88"/>
        <v>0</v>
      </c>
      <c r="AI138" s="482">
        <f t="shared" si="88"/>
        <v>0</v>
      </c>
      <c r="AJ138" s="482">
        <f t="shared" si="88"/>
        <v>0</v>
      </c>
      <c r="AK138" s="556">
        <f t="shared" si="92"/>
        <v>0</v>
      </c>
      <c r="AL138" s="557">
        <f t="shared" si="92"/>
        <v>0</v>
      </c>
      <c r="AM138" s="557">
        <f t="shared" si="92"/>
        <v>0</v>
      </c>
      <c r="AN138" s="557">
        <f t="shared" si="92"/>
        <v>0</v>
      </c>
      <c r="AO138" s="557">
        <f t="shared" si="92"/>
        <v>0</v>
      </c>
      <c r="AP138" s="557">
        <f t="shared" si="92"/>
        <v>0</v>
      </c>
      <c r="AQ138" s="483">
        <f t="shared" si="89"/>
        <v>0</v>
      </c>
      <c r="AR138" s="482">
        <f t="shared" si="65"/>
        <v>0</v>
      </c>
      <c r="AS138" s="482">
        <f t="shared" si="65"/>
        <v>0</v>
      </c>
      <c r="AT138" s="482">
        <f t="shared" si="65"/>
        <v>0</v>
      </c>
      <c r="AU138" s="482">
        <f t="shared" si="65"/>
        <v>0</v>
      </c>
      <c r="AV138" s="482">
        <f t="shared" si="90"/>
        <v>0</v>
      </c>
      <c r="AW138" s="483" t="str">
        <f t="shared" si="71"/>
        <v>check</v>
      </c>
      <c r="AX138" s="514" t="str">
        <f t="shared" si="68"/>
        <v>check</v>
      </c>
      <c r="AY138" s="514" t="s">
        <v>1524</v>
      </c>
      <c r="AZ138" s="556">
        <f t="shared" si="91"/>
        <v>0</v>
      </c>
      <c r="BA138" s="557">
        <v>0</v>
      </c>
      <c r="BB138" s="557">
        <v>0</v>
      </c>
      <c r="BC138" s="557">
        <v>0</v>
      </c>
      <c r="BD138" s="557">
        <v>0</v>
      </c>
      <c r="BE138" s="557">
        <v>0</v>
      </c>
      <c r="BF138" s="556">
        <f t="shared" si="61"/>
        <v>0</v>
      </c>
      <c r="BG138" s="557">
        <v>0</v>
      </c>
      <c r="BH138" s="557">
        <v>0</v>
      </c>
      <c r="BI138" s="557">
        <v>0</v>
      </c>
      <c r="BJ138" s="557">
        <v>0</v>
      </c>
      <c r="BK138" s="557">
        <v>0</v>
      </c>
      <c r="BL138" s="556">
        <f t="shared" si="56"/>
        <v>0</v>
      </c>
      <c r="BM138" s="557">
        <v>0</v>
      </c>
      <c r="BN138" s="557">
        <v>0</v>
      </c>
      <c r="BO138" s="557">
        <v>0</v>
      </c>
      <c r="BP138" s="557">
        <v>0</v>
      </c>
      <c r="BQ138" s="557">
        <v>0</v>
      </c>
      <c r="BR138" s="318"/>
      <c r="BS138" s="318"/>
      <c r="BT138" s="318"/>
      <c r="BU138" s="318"/>
      <c r="BV138" s="318"/>
      <c r="BW138" s="318"/>
      <c r="BX138" s="318"/>
      <c r="BY138" s="318"/>
      <c r="BZ138" s="318"/>
      <c r="CA138" s="318"/>
      <c r="CB138" s="318"/>
      <c r="CC138" s="318"/>
      <c r="CD138" s="318"/>
      <c r="CE138" s="457"/>
      <c r="CF138" s="443"/>
      <c r="CG138" s="360" t="s">
        <v>1222</v>
      </c>
      <c r="CH138" s="430">
        <v>1</v>
      </c>
      <c r="CI138" s="360"/>
      <c r="CJ138" s="360"/>
      <c r="CK138" s="360"/>
      <c r="CL138" s="360"/>
      <c r="CM138" s="360"/>
      <c r="CN138" s="360"/>
      <c r="CO138" s="360"/>
      <c r="CP138" s="360"/>
    </row>
    <row r="139" spans="1:94" s="315" customFormat="1" ht="19.5" hidden="1" customHeight="1" x14ac:dyDescent="0.25">
      <c r="A139" s="403">
        <v>128</v>
      </c>
      <c r="B139" s="312" t="s">
        <v>471</v>
      </c>
      <c r="C139" s="313" t="s">
        <v>931</v>
      </c>
      <c r="D139" s="318" t="s">
        <v>457</v>
      </c>
      <c r="E139" s="318"/>
      <c r="F139" s="313" t="s">
        <v>244</v>
      </c>
      <c r="G139" s="313" t="s">
        <v>576</v>
      </c>
      <c r="H139" s="305"/>
      <c r="I139" s="305"/>
      <c r="J139" s="370">
        <v>0</v>
      </c>
      <c r="K139" s="370">
        <v>0</v>
      </c>
      <c r="L139" s="370">
        <f t="shared" si="58"/>
        <v>0</v>
      </c>
      <c r="M139" s="316" t="s">
        <v>611</v>
      </c>
      <c r="N139" s="356"/>
      <c r="O139" s="398"/>
      <c r="P139" s="305" t="s">
        <v>474</v>
      </c>
      <c r="Q139" s="304" t="s">
        <v>584</v>
      </c>
      <c r="R139" s="305"/>
      <c r="S139" s="305"/>
      <c r="T139" s="305"/>
      <c r="U139" s="305" t="s">
        <v>528</v>
      </c>
      <c r="V139" s="426">
        <v>2.4E-2</v>
      </c>
      <c r="W139" s="443">
        <f>0.03/V139/0.188</f>
        <v>6.6489361702127656</v>
      </c>
      <c r="X139" s="445"/>
      <c r="Y139" s="317" t="e">
        <f t="shared" si="59"/>
        <v>#REF!</v>
      </c>
      <c r="Z139" s="318">
        <v>2</v>
      </c>
      <c r="AA139" s="318"/>
      <c r="AB139" s="318"/>
      <c r="AC139" s="318">
        <v>5</v>
      </c>
      <c r="AD139" s="318" t="s">
        <v>772</v>
      </c>
      <c r="AE139" s="483" t="str">
        <f t="shared" si="88"/>
        <v>check</v>
      </c>
      <c r="AF139" s="482" t="str">
        <f t="shared" si="88"/>
        <v>check</v>
      </c>
      <c r="AG139" s="482" t="str">
        <f t="shared" si="88"/>
        <v>check</v>
      </c>
      <c r="AH139" s="482" t="str">
        <f t="shared" si="88"/>
        <v>check</v>
      </c>
      <c r="AI139" s="482" t="str">
        <f t="shared" si="88"/>
        <v>check</v>
      </c>
      <c r="AJ139" s="482">
        <f>SUM(AF139:AI139)</f>
        <v>0</v>
      </c>
      <c r="AK139" s="556" t="str">
        <f t="shared" si="92"/>
        <v>check</v>
      </c>
      <c r="AL139" s="557" t="str">
        <f t="shared" si="92"/>
        <v>check</v>
      </c>
      <c r="AM139" s="557" t="str">
        <f t="shared" si="92"/>
        <v>check</v>
      </c>
      <c r="AN139" s="557" t="str">
        <f t="shared" si="92"/>
        <v>check</v>
      </c>
      <c r="AO139" s="557" t="str">
        <f t="shared" si="92"/>
        <v>check</v>
      </c>
      <c r="AP139" s="557">
        <f>SUM(AL139:AO139)</f>
        <v>0</v>
      </c>
      <c r="AQ139" s="483" t="str">
        <f t="shared" si="89"/>
        <v>check</v>
      </c>
      <c r="AR139" s="482" t="str">
        <f t="shared" si="65"/>
        <v>check</v>
      </c>
      <c r="AS139" s="482" t="str">
        <f t="shared" si="65"/>
        <v>check</v>
      </c>
      <c r="AT139" s="482" t="str">
        <f t="shared" si="65"/>
        <v>check</v>
      </c>
      <c r="AU139" s="482" t="str">
        <f t="shared" si="65"/>
        <v>check</v>
      </c>
      <c r="AV139" s="482">
        <f>SUM(AR139:AU139)</f>
        <v>0</v>
      </c>
      <c r="AW139" s="483">
        <f t="shared" si="71"/>
        <v>0</v>
      </c>
      <c r="AX139" s="514">
        <f t="shared" si="68"/>
        <v>0</v>
      </c>
      <c r="AY139" s="514" t="s">
        <v>1524</v>
      </c>
      <c r="AZ139" s="556" t="str">
        <f t="shared" si="91"/>
        <v>check</v>
      </c>
      <c r="BA139" s="557" t="s">
        <v>1524</v>
      </c>
      <c r="BB139" s="557" t="s">
        <v>1524</v>
      </c>
      <c r="BC139" s="557" t="s">
        <v>1524</v>
      </c>
      <c r="BD139" s="557" t="s">
        <v>1524</v>
      </c>
      <c r="BE139" s="557">
        <v>0</v>
      </c>
      <c r="BF139" s="556" t="str">
        <f t="shared" si="61"/>
        <v>check</v>
      </c>
      <c r="BG139" s="557" t="s">
        <v>1524</v>
      </c>
      <c r="BH139" s="557" t="s">
        <v>1524</v>
      </c>
      <c r="BI139" s="557" t="s">
        <v>1524</v>
      </c>
      <c r="BJ139" s="557" t="s">
        <v>1524</v>
      </c>
      <c r="BK139" s="557">
        <v>0</v>
      </c>
      <c r="BL139" s="556" t="str">
        <f t="shared" si="56"/>
        <v>check</v>
      </c>
      <c r="BM139" s="557" t="s">
        <v>1524</v>
      </c>
      <c r="BN139" s="557" t="s">
        <v>1524</v>
      </c>
      <c r="BO139" s="557" t="s">
        <v>1524</v>
      </c>
      <c r="BP139" s="557" t="s">
        <v>1524</v>
      </c>
      <c r="BQ139" s="557">
        <v>0</v>
      </c>
      <c r="BR139" s="318"/>
      <c r="BS139" s="318"/>
      <c r="BT139" s="318"/>
      <c r="BU139" s="318"/>
      <c r="BV139" s="318"/>
      <c r="BW139" s="318"/>
      <c r="BX139" s="318"/>
      <c r="BY139" s="318"/>
      <c r="BZ139" s="318"/>
      <c r="CA139" s="318"/>
      <c r="CB139" s="318"/>
      <c r="CC139" s="318"/>
      <c r="CD139" s="318"/>
      <c r="CE139" s="457"/>
      <c r="CF139" s="318"/>
      <c r="CG139" s="360"/>
      <c r="CH139" s="360"/>
      <c r="CI139" s="360"/>
      <c r="CJ139" s="360"/>
      <c r="CK139" s="360"/>
      <c r="CL139" s="360"/>
      <c r="CM139" s="360"/>
      <c r="CN139" s="360"/>
      <c r="CO139" s="360"/>
      <c r="CP139" s="360"/>
    </row>
    <row r="140" spans="1:94" s="315" customFormat="1" ht="32.25" hidden="1" customHeight="1" x14ac:dyDescent="0.25">
      <c r="A140" s="403">
        <v>129</v>
      </c>
      <c r="B140" s="313" t="s">
        <v>562</v>
      </c>
      <c r="C140" s="313" t="s">
        <v>774</v>
      </c>
      <c r="D140" s="318" t="s">
        <v>457</v>
      </c>
      <c r="E140" s="318"/>
      <c r="F140" s="313" t="s">
        <v>244</v>
      </c>
      <c r="G140" s="313" t="s">
        <v>550</v>
      </c>
      <c r="H140" s="421" t="s">
        <v>771</v>
      </c>
      <c r="I140" s="305"/>
      <c r="J140" s="370" t="e">
        <f>60000*V140/(IF(#REF!="yes",0.188,1))</f>
        <v>#REF!</v>
      </c>
      <c r="K140" s="370">
        <v>0</v>
      </c>
      <c r="L140" s="370" t="e">
        <f>J140</f>
        <v>#REF!</v>
      </c>
      <c r="M140" s="316" t="s">
        <v>483</v>
      </c>
      <c r="N140" s="356"/>
      <c r="O140" s="398">
        <v>2015</v>
      </c>
      <c r="P140" s="305" t="s">
        <v>519</v>
      </c>
      <c r="Q140" s="354" t="s">
        <v>1033</v>
      </c>
      <c r="R140" s="305"/>
      <c r="S140" s="305"/>
      <c r="T140" s="305" t="s">
        <v>1433</v>
      </c>
      <c r="U140" s="305" t="s">
        <v>528</v>
      </c>
      <c r="V140" s="426">
        <f>6%*40%</f>
        <v>2.4E-2</v>
      </c>
      <c r="W140" s="443">
        <f>0.03/V140/0.188</f>
        <v>6.6489361702127656</v>
      </c>
      <c r="X140" s="445"/>
      <c r="Y140" s="317" t="e">
        <f>IF(W140="","",5-((W140-(MIN($W$12:$W$261)))/(MAX($W$12:$W$261)-MIN($W$12:$W$261)))*5)</f>
        <v>#REF!</v>
      </c>
      <c r="Z140" s="318">
        <v>2</v>
      </c>
      <c r="AA140" s="318">
        <v>5</v>
      </c>
      <c r="AB140" s="318">
        <v>3</v>
      </c>
      <c r="AC140" s="318">
        <v>4</v>
      </c>
      <c r="AD140" s="318" t="s">
        <v>772</v>
      </c>
      <c r="AE140" s="483">
        <v>5000</v>
      </c>
      <c r="AF140" s="482" t="s">
        <v>1524</v>
      </c>
      <c r="AG140" s="482" t="s">
        <v>1524</v>
      </c>
      <c r="AH140" s="482" t="s">
        <v>1524</v>
      </c>
      <c r="AI140" s="482" t="s">
        <v>1524</v>
      </c>
      <c r="AJ140" s="482" t="str">
        <f>IF(OR(M140="Exploration", M140="Pre-feasibility", O140&gt;2017), 0, "check")</f>
        <v>check</v>
      </c>
      <c r="AK140" s="556">
        <v>7659.5744680851067</v>
      </c>
      <c r="AL140" s="557" t="s">
        <v>1524</v>
      </c>
      <c r="AM140" s="557" t="s">
        <v>1524</v>
      </c>
      <c r="AN140" s="557" t="s">
        <v>1524</v>
      </c>
      <c r="AO140" s="557" t="s">
        <v>1524</v>
      </c>
      <c r="AP140" s="557" t="str">
        <f>IF(OR(M140="Exploration", M140="Pre-feasibility", O140&gt;2018), 0, "check")</f>
        <v>check</v>
      </c>
      <c r="AQ140" s="483" t="str">
        <f t="shared" si="89"/>
        <v>check</v>
      </c>
      <c r="AR140" s="482" t="str">
        <f t="shared" si="65"/>
        <v>check</v>
      </c>
      <c r="AS140" s="482" t="str">
        <f t="shared" si="65"/>
        <v>check</v>
      </c>
      <c r="AT140" s="482" t="str">
        <f t="shared" si="65"/>
        <v>check</v>
      </c>
      <c r="AU140" s="482" t="str">
        <f t="shared" si="65"/>
        <v>check</v>
      </c>
      <c r="AV140" s="482" t="str">
        <f t="shared" si="90"/>
        <v>check</v>
      </c>
      <c r="AW140" s="483" t="e">
        <f t="shared" si="71"/>
        <v>#REF!</v>
      </c>
      <c r="AX140" s="514" t="e">
        <f t="shared" si="68"/>
        <v>#REF!</v>
      </c>
      <c r="AY140" s="514" t="s">
        <v>1524</v>
      </c>
      <c r="AZ140" s="556">
        <f t="shared" si="91"/>
        <v>5000</v>
      </c>
      <c r="BA140" s="557" t="s">
        <v>1524</v>
      </c>
      <c r="BB140" s="557" t="s">
        <v>1524</v>
      </c>
      <c r="BC140" s="557" t="s">
        <v>1524</v>
      </c>
      <c r="BD140" s="557" t="s">
        <v>1524</v>
      </c>
      <c r="BE140" s="557" t="s">
        <v>1524</v>
      </c>
      <c r="BF140" s="556">
        <f t="shared" si="61"/>
        <v>7659.5744680851067</v>
      </c>
      <c r="BG140" s="557" t="s">
        <v>1524</v>
      </c>
      <c r="BH140" s="557" t="s">
        <v>1524</v>
      </c>
      <c r="BI140" s="557" t="s">
        <v>1524</v>
      </c>
      <c r="BJ140" s="557" t="s">
        <v>1524</v>
      </c>
      <c r="BK140" s="557" t="s">
        <v>1524</v>
      </c>
      <c r="BL140" s="556" t="str">
        <f t="shared" ref="BL140:BL203" si="93">AQ140</f>
        <v>check</v>
      </c>
      <c r="BM140" s="557" t="s">
        <v>1524</v>
      </c>
      <c r="BN140" s="557" t="s">
        <v>1524</v>
      </c>
      <c r="BO140" s="557" t="s">
        <v>1524</v>
      </c>
      <c r="BP140" s="557" t="s">
        <v>1524</v>
      </c>
      <c r="BQ140" s="557" t="s">
        <v>1524</v>
      </c>
      <c r="BR140" s="318"/>
      <c r="BS140" s="318"/>
      <c r="BT140" s="318"/>
      <c r="BU140" s="318"/>
      <c r="BV140" s="318"/>
      <c r="BW140" s="318"/>
      <c r="BX140" s="318"/>
      <c r="BY140" s="318"/>
      <c r="BZ140" s="318"/>
      <c r="CA140" s="318"/>
      <c r="CB140" s="318"/>
      <c r="CC140" s="318"/>
      <c r="CD140" s="318"/>
      <c r="CE140" s="457"/>
      <c r="CF140" s="443">
        <v>482.7</v>
      </c>
      <c r="CG140" s="360" t="s">
        <v>562</v>
      </c>
      <c r="CH140" s="430">
        <v>1</v>
      </c>
      <c r="CI140" s="360"/>
      <c r="CJ140" s="360"/>
      <c r="CK140" s="360"/>
      <c r="CL140" s="360"/>
      <c r="CM140" s="360"/>
      <c r="CN140" s="360"/>
      <c r="CO140" s="360"/>
      <c r="CP140" s="360"/>
    </row>
    <row r="141" spans="1:94" s="315" customFormat="1" ht="13" hidden="1" x14ac:dyDescent="0.25">
      <c r="A141" s="403">
        <v>130</v>
      </c>
      <c r="B141" s="313" t="s">
        <v>787</v>
      </c>
      <c r="C141" s="313" t="s">
        <v>786</v>
      </c>
      <c r="D141" s="318" t="s">
        <v>457</v>
      </c>
      <c r="E141" s="318"/>
      <c r="F141" s="313" t="s">
        <v>465</v>
      </c>
      <c r="G141" s="313" t="s">
        <v>1396</v>
      </c>
      <c r="H141" s="305"/>
      <c r="I141" s="305"/>
      <c r="J141" s="370">
        <v>0</v>
      </c>
      <c r="K141" s="370">
        <v>0</v>
      </c>
      <c r="L141" s="370">
        <f>K141-J141</f>
        <v>0</v>
      </c>
      <c r="M141" s="316" t="s">
        <v>487</v>
      </c>
      <c r="N141" s="356"/>
      <c r="O141" s="398"/>
      <c r="P141" s="305" t="s">
        <v>463</v>
      </c>
      <c r="Q141" s="304"/>
      <c r="R141" s="305"/>
      <c r="S141" s="305"/>
      <c r="T141" s="305"/>
      <c r="U141" s="305" t="s">
        <v>235</v>
      </c>
      <c r="V141" s="426"/>
      <c r="W141" s="317"/>
      <c r="X141" s="317"/>
      <c r="Y141" s="317" t="str">
        <f t="shared" ref="Y141:Y204" si="94">IF(W141="","",5-((W141-(MIN($W$12:$W$261)))/(MAX($W$12:$W$261)-MIN($W$12:$W$261)))*5)</f>
        <v/>
      </c>
      <c r="Z141" s="318"/>
      <c r="AA141" s="318"/>
      <c r="AB141" s="318"/>
      <c r="AC141" s="318"/>
      <c r="AD141" s="318" t="s">
        <v>788</v>
      </c>
      <c r="AE141" s="483">
        <f t="shared" si="88"/>
        <v>0</v>
      </c>
      <c r="AF141" s="482">
        <f t="shared" si="88"/>
        <v>0</v>
      </c>
      <c r="AG141" s="482">
        <f t="shared" si="88"/>
        <v>0</v>
      </c>
      <c r="AH141" s="482">
        <f t="shared" si="88"/>
        <v>0</v>
      </c>
      <c r="AI141" s="482">
        <f t="shared" si="88"/>
        <v>0</v>
      </c>
      <c r="AJ141" s="482">
        <f t="shared" si="88"/>
        <v>0</v>
      </c>
      <c r="AK141" s="556">
        <f t="shared" ref="AK141:AP143" si="95">IF(OR($M141="Exploration", $M141="Pre-feasibility", $O141&gt;2018), 0, "check")</f>
        <v>0</v>
      </c>
      <c r="AL141" s="557">
        <f t="shared" si="95"/>
        <v>0</v>
      </c>
      <c r="AM141" s="557">
        <f t="shared" si="95"/>
        <v>0</v>
      </c>
      <c r="AN141" s="557">
        <f t="shared" si="95"/>
        <v>0</v>
      </c>
      <c r="AO141" s="557">
        <f t="shared" si="95"/>
        <v>0</v>
      </c>
      <c r="AP141" s="557">
        <f t="shared" si="95"/>
        <v>0</v>
      </c>
      <c r="AQ141" s="483">
        <f t="shared" si="89"/>
        <v>0</v>
      </c>
      <c r="AR141" s="482">
        <f t="shared" si="65"/>
        <v>0</v>
      </c>
      <c r="AS141" s="482">
        <f t="shared" si="65"/>
        <v>0</v>
      </c>
      <c r="AT141" s="482">
        <f t="shared" si="65"/>
        <v>0</v>
      </c>
      <c r="AU141" s="482">
        <f t="shared" si="65"/>
        <v>0</v>
      </c>
      <c r="AV141" s="482">
        <f t="shared" si="90"/>
        <v>0</v>
      </c>
      <c r="AW141" s="483">
        <f t="shared" si="71"/>
        <v>0</v>
      </c>
      <c r="AX141" s="514">
        <f t="shared" si="68"/>
        <v>0</v>
      </c>
      <c r="AY141" s="514" t="s">
        <v>1034</v>
      </c>
      <c r="AZ141" s="556">
        <f t="shared" si="91"/>
        <v>0</v>
      </c>
      <c r="BA141" s="557">
        <v>0</v>
      </c>
      <c r="BB141" s="557">
        <v>0</v>
      </c>
      <c r="BC141" s="557">
        <v>0</v>
      </c>
      <c r="BD141" s="557">
        <v>0</v>
      </c>
      <c r="BE141" s="557">
        <v>0</v>
      </c>
      <c r="BF141" s="556">
        <f t="shared" ref="BF141:BF204" si="96">AK141</f>
        <v>0</v>
      </c>
      <c r="BG141" s="557">
        <v>0</v>
      </c>
      <c r="BH141" s="557">
        <v>0</v>
      </c>
      <c r="BI141" s="557">
        <v>0</v>
      </c>
      <c r="BJ141" s="557">
        <v>0</v>
      </c>
      <c r="BK141" s="557">
        <v>0</v>
      </c>
      <c r="BL141" s="556">
        <f t="shared" si="93"/>
        <v>0</v>
      </c>
      <c r="BM141" s="557">
        <v>0</v>
      </c>
      <c r="BN141" s="557">
        <v>0</v>
      </c>
      <c r="BO141" s="557">
        <v>0</v>
      </c>
      <c r="BP141" s="557">
        <v>0</v>
      </c>
      <c r="BQ141" s="557">
        <v>0</v>
      </c>
      <c r="BR141" s="318"/>
      <c r="BS141" s="318"/>
      <c r="BT141" s="318"/>
      <c r="BU141" s="318"/>
      <c r="BV141" s="318"/>
      <c r="BW141" s="318"/>
      <c r="BX141" s="318"/>
      <c r="BY141" s="318"/>
      <c r="BZ141" s="318"/>
      <c r="CA141" s="318"/>
      <c r="CB141" s="318"/>
      <c r="CC141" s="318"/>
      <c r="CD141" s="318"/>
      <c r="CE141" s="457"/>
      <c r="CF141" s="318"/>
      <c r="CG141" s="360"/>
      <c r="CH141" s="360"/>
      <c r="CI141" s="360"/>
      <c r="CJ141" s="360"/>
      <c r="CK141" s="360"/>
      <c r="CL141" s="360"/>
      <c r="CM141" s="360"/>
      <c r="CN141" s="360"/>
      <c r="CO141" s="360"/>
      <c r="CP141" s="360"/>
    </row>
    <row r="142" spans="1:94" s="315" customFormat="1" ht="13" hidden="1" x14ac:dyDescent="0.25">
      <c r="A142" s="403">
        <v>131</v>
      </c>
      <c r="B142" s="313" t="s">
        <v>471</v>
      </c>
      <c r="C142" s="313" t="s">
        <v>936</v>
      </c>
      <c r="D142" s="318" t="s">
        <v>594</v>
      </c>
      <c r="E142" s="318" t="s">
        <v>552</v>
      </c>
      <c r="F142" s="313" t="s">
        <v>247</v>
      </c>
      <c r="G142" s="313" t="s">
        <v>1214</v>
      </c>
      <c r="H142" s="305"/>
      <c r="I142" s="305" t="s">
        <v>795</v>
      </c>
      <c r="J142" s="370">
        <v>0</v>
      </c>
      <c r="K142" s="370" t="e">
        <f>24000*V142/(IF(#REF!="yes",0.188,1))</f>
        <v>#REF!</v>
      </c>
      <c r="L142" s="370" t="e">
        <f>K142-J142</f>
        <v>#REF!</v>
      </c>
      <c r="M142" s="316" t="s">
        <v>484</v>
      </c>
      <c r="N142" s="398">
        <v>2017</v>
      </c>
      <c r="O142" s="398">
        <v>2019</v>
      </c>
      <c r="P142" s="305" t="s">
        <v>519</v>
      </c>
      <c r="Q142" s="304"/>
      <c r="R142" s="305"/>
      <c r="S142" s="305"/>
      <c r="T142" s="305"/>
      <c r="U142" s="305" t="s">
        <v>579</v>
      </c>
      <c r="V142" s="426">
        <v>0.16600000000000001</v>
      </c>
      <c r="W142" s="443">
        <v>5.4</v>
      </c>
      <c r="X142" s="445"/>
      <c r="Y142" s="317" t="e">
        <f t="shared" si="94"/>
        <v>#REF!</v>
      </c>
      <c r="Z142" s="318">
        <v>4</v>
      </c>
      <c r="AA142" s="318">
        <v>4</v>
      </c>
      <c r="AB142" s="318">
        <v>4</v>
      </c>
      <c r="AC142" s="318">
        <v>4</v>
      </c>
      <c r="AD142" s="318" t="s">
        <v>794</v>
      </c>
      <c r="AE142" s="483">
        <f t="shared" si="88"/>
        <v>0</v>
      </c>
      <c r="AF142" s="482">
        <f t="shared" si="88"/>
        <v>0</v>
      </c>
      <c r="AG142" s="482">
        <f t="shared" si="88"/>
        <v>0</v>
      </c>
      <c r="AH142" s="482">
        <f t="shared" si="88"/>
        <v>0</v>
      </c>
      <c r="AI142" s="482">
        <f t="shared" si="88"/>
        <v>0</v>
      </c>
      <c r="AJ142" s="482">
        <f t="shared" ref="AJ142:AJ147" si="97">SUM(AF142:AI142)</f>
        <v>0</v>
      </c>
      <c r="AK142" s="556">
        <f t="shared" si="95"/>
        <v>0</v>
      </c>
      <c r="AL142" s="557">
        <f t="shared" si="95"/>
        <v>0</v>
      </c>
      <c r="AM142" s="557">
        <f t="shared" si="95"/>
        <v>0</v>
      </c>
      <c r="AN142" s="557">
        <f t="shared" si="95"/>
        <v>0</v>
      </c>
      <c r="AO142" s="557">
        <f t="shared" si="95"/>
        <v>0</v>
      </c>
      <c r="AP142" s="557">
        <f t="shared" ref="AP142:AP147" si="98">SUM(AL142:AO142)</f>
        <v>0</v>
      </c>
      <c r="AQ142" s="483" t="str">
        <f t="shared" si="89"/>
        <v>check</v>
      </c>
      <c r="AR142" s="482" t="str">
        <f t="shared" si="65"/>
        <v>check</v>
      </c>
      <c r="AS142" s="482" t="str">
        <f t="shared" si="65"/>
        <v>check</v>
      </c>
      <c r="AT142" s="482" t="str">
        <f t="shared" si="65"/>
        <v>check</v>
      </c>
      <c r="AU142" s="482" t="str">
        <f t="shared" si="65"/>
        <v>check</v>
      </c>
      <c r="AV142" s="482">
        <f t="shared" ref="AV142:AV147" si="99">SUM(AR142:AU142)</f>
        <v>0</v>
      </c>
      <c r="AW142" s="483" t="str">
        <f t="shared" si="71"/>
        <v>check</v>
      </c>
      <c r="AX142" s="514" t="str">
        <f t="shared" si="68"/>
        <v>check</v>
      </c>
      <c r="AY142" s="514" t="s">
        <v>1524</v>
      </c>
      <c r="AZ142" s="556">
        <f t="shared" si="91"/>
        <v>0</v>
      </c>
      <c r="BA142" s="557">
        <v>0</v>
      </c>
      <c r="BB142" s="557">
        <v>0</v>
      </c>
      <c r="BC142" s="557">
        <v>0</v>
      </c>
      <c r="BD142" s="557">
        <v>0</v>
      </c>
      <c r="BE142" s="557">
        <v>0</v>
      </c>
      <c r="BF142" s="556">
        <f t="shared" si="96"/>
        <v>0</v>
      </c>
      <c r="BG142" s="557">
        <v>0</v>
      </c>
      <c r="BH142" s="557">
        <v>0</v>
      </c>
      <c r="BI142" s="557">
        <v>0</v>
      </c>
      <c r="BJ142" s="557">
        <v>0</v>
      </c>
      <c r="BK142" s="557">
        <v>0</v>
      </c>
      <c r="BL142" s="556" t="str">
        <f t="shared" si="93"/>
        <v>check</v>
      </c>
      <c r="BM142" s="557" t="s">
        <v>1524</v>
      </c>
      <c r="BN142" s="557" t="s">
        <v>1524</v>
      </c>
      <c r="BO142" s="557" t="s">
        <v>1524</v>
      </c>
      <c r="BP142" s="557" t="s">
        <v>1524</v>
      </c>
      <c r="BQ142" s="557" t="s">
        <v>1524</v>
      </c>
      <c r="BR142" s="318"/>
      <c r="BS142" s="318"/>
      <c r="BT142" s="318"/>
      <c r="BU142" s="318"/>
      <c r="BV142" s="318"/>
      <c r="BW142" s="318"/>
      <c r="BX142" s="318"/>
      <c r="BY142" s="318"/>
      <c r="BZ142" s="412">
        <f t="shared" ref="BZ142:BZ147" si="100">(1130633568.13/32257.5)/6.5/1000</f>
        <v>5.392346767919209</v>
      </c>
      <c r="CA142" s="318"/>
      <c r="CB142" s="318"/>
      <c r="CC142" s="318"/>
      <c r="CD142" s="318"/>
      <c r="CE142" s="457"/>
      <c r="CF142" s="443">
        <v>191</v>
      </c>
      <c r="CG142" s="360" t="s">
        <v>471</v>
      </c>
      <c r="CH142" s="430">
        <v>1</v>
      </c>
      <c r="CI142" s="360"/>
      <c r="CJ142" s="360"/>
      <c r="CK142" s="360"/>
      <c r="CL142" s="360"/>
      <c r="CM142" s="360"/>
      <c r="CN142" s="360"/>
      <c r="CO142" s="360"/>
      <c r="CP142" s="360"/>
    </row>
    <row r="143" spans="1:94" s="315" customFormat="1" ht="13" hidden="1" x14ac:dyDescent="0.25">
      <c r="A143" s="403">
        <v>132</v>
      </c>
      <c r="B143" s="313" t="s">
        <v>471</v>
      </c>
      <c r="C143" s="313" t="s">
        <v>936</v>
      </c>
      <c r="D143" s="318" t="s">
        <v>594</v>
      </c>
      <c r="E143" s="318" t="s">
        <v>553</v>
      </c>
      <c r="F143" s="313" t="s">
        <v>247</v>
      </c>
      <c r="G143" s="313" t="s">
        <v>1214</v>
      </c>
      <c r="H143" s="305"/>
      <c r="I143" s="305" t="s">
        <v>796</v>
      </c>
      <c r="J143" s="370">
        <v>0</v>
      </c>
      <c r="K143" s="370" t="e">
        <f>48000*V142/(IF(#REF!="yes",0.188,1))</f>
        <v>#REF!</v>
      </c>
      <c r="L143" s="370" t="e">
        <f>K143-K142</f>
        <v>#REF!</v>
      </c>
      <c r="M143" s="316" t="s">
        <v>687</v>
      </c>
      <c r="N143" s="398">
        <v>2020</v>
      </c>
      <c r="O143" s="398">
        <v>2023</v>
      </c>
      <c r="P143" s="305" t="s">
        <v>519</v>
      </c>
      <c r="Q143" s="304"/>
      <c r="R143" s="305"/>
      <c r="S143" s="305"/>
      <c r="T143" s="305"/>
      <c r="U143" s="305" t="s">
        <v>579</v>
      </c>
      <c r="V143" s="426">
        <v>0.16600000000000001</v>
      </c>
      <c r="W143" s="443">
        <v>5.4</v>
      </c>
      <c r="X143" s="445"/>
      <c r="Y143" s="317" t="e">
        <f t="shared" si="94"/>
        <v>#REF!</v>
      </c>
      <c r="Z143" s="318">
        <v>4</v>
      </c>
      <c r="AA143" s="318">
        <v>4</v>
      </c>
      <c r="AB143" s="318">
        <v>5</v>
      </c>
      <c r="AC143" s="318">
        <v>4</v>
      </c>
      <c r="AD143" s="318" t="s">
        <v>794</v>
      </c>
      <c r="AE143" s="483">
        <f t="shared" si="88"/>
        <v>0</v>
      </c>
      <c r="AF143" s="482">
        <f t="shared" si="88"/>
        <v>0</v>
      </c>
      <c r="AG143" s="482">
        <f t="shared" si="88"/>
        <v>0</v>
      </c>
      <c r="AH143" s="482">
        <f t="shared" si="88"/>
        <v>0</v>
      </c>
      <c r="AI143" s="482">
        <f t="shared" si="88"/>
        <v>0</v>
      </c>
      <c r="AJ143" s="482">
        <f t="shared" si="97"/>
        <v>0</v>
      </c>
      <c r="AK143" s="556">
        <f t="shared" si="95"/>
        <v>0</v>
      </c>
      <c r="AL143" s="557">
        <f t="shared" si="95"/>
        <v>0</v>
      </c>
      <c r="AM143" s="557">
        <f t="shared" si="95"/>
        <v>0</v>
      </c>
      <c r="AN143" s="557">
        <f t="shared" si="95"/>
        <v>0</v>
      </c>
      <c r="AO143" s="557">
        <f t="shared" si="95"/>
        <v>0</v>
      </c>
      <c r="AP143" s="557">
        <f t="shared" si="98"/>
        <v>0</v>
      </c>
      <c r="AQ143" s="483">
        <f t="shared" si="89"/>
        <v>0</v>
      </c>
      <c r="AR143" s="482">
        <f t="shared" si="65"/>
        <v>0</v>
      </c>
      <c r="AS143" s="482">
        <f t="shared" si="65"/>
        <v>0</v>
      </c>
      <c r="AT143" s="482">
        <f t="shared" si="65"/>
        <v>0</v>
      </c>
      <c r="AU143" s="482">
        <f t="shared" si="65"/>
        <v>0</v>
      </c>
      <c r="AV143" s="482">
        <f t="shared" si="99"/>
        <v>0</v>
      </c>
      <c r="AW143" s="483">
        <f t="shared" si="71"/>
        <v>0</v>
      </c>
      <c r="AX143" s="514">
        <f t="shared" si="68"/>
        <v>0</v>
      </c>
      <c r="AY143" s="514" t="s">
        <v>1034</v>
      </c>
      <c r="AZ143" s="556">
        <f t="shared" si="91"/>
        <v>0</v>
      </c>
      <c r="BA143" s="557">
        <v>0</v>
      </c>
      <c r="BB143" s="557">
        <v>0</v>
      </c>
      <c r="BC143" s="557">
        <v>0</v>
      </c>
      <c r="BD143" s="557">
        <v>0</v>
      </c>
      <c r="BE143" s="557">
        <v>0</v>
      </c>
      <c r="BF143" s="556">
        <f t="shared" si="96"/>
        <v>0</v>
      </c>
      <c r="BG143" s="557">
        <v>0</v>
      </c>
      <c r="BH143" s="557">
        <v>0</v>
      </c>
      <c r="BI143" s="557">
        <v>0</v>
      </c>
      <c r="BJ143" s="557">
        <v>0</v>
      </c>
      <c r="BK143" s="557">
        <v>0</v>
      </c>
      <c r="BL143" s="556">
        <f t="shared" si="93"/>
        <v>0</v>
      </c>
      <c r="BM143" s="557">
        <v>0</v>
      </c>
      <c r="BN143" s="557">
        <v>0</v>
      </c>
      <c r="BO143" s="557">
        <v>0</v>
      </c>
      <c r="BP143" s="557">
        <v>0</v>
      </c>
      <c r="BQ143" s="557">
        <v>0</v>
      </c>
      <c r="BR143" s="318"/>
      <c r="BS143" s="318"/>
      <c r="BT143" s="318"/>
      <c r="BU143" s="318"/>
      <c r="BV143" s="318"/>
      <c r="BW143" s="318"/>
      <c r="BX143" s="318"/>
      <c r="BY143" s="318"/>
      <c r="BZ143" s="412">
        <f t="shared" si="100"/>
        <v>5.392346767919209</v>
      </c>
      <c r="CA143" s="318"/>
      <c r="CB143" s="318"/>
      <c r="CC143" s="318"/>
      <c r="CD143" s="318"/>
      <c r="CE143" s="457"/>
      <c r="CF143" s="443">
        <v>191</v>
      </c>
      <c r="CG143" s="360" t="s">
        <v>471</v>
      </c>
      <c r="CH143" s="430">
        <v>1</v>
      </c>
      <c r="CI143" s="360"/>
      <c r="CJ143" s="360"/>
      <c r="CK143" s="360"/>
      <c r="CL143" s="360"/>
      <c r="CM143" s="360"/>
      <c r="CN143" s="360"/>
      <c r="CO143" s="360"/>
      <c r="CP143" s="360"/>
    </row>
    <row r="144" spans="1:94" s="315" customFormat="1" ht="50" hidden="1" x14ac:dyDescent="0.25">
      <c r="A144" s="403">
        <v>133</v>
      </c>
      <c r="B144" s="313" t="s">
        <v>471</v>
      </c>
      <c r="C144" s="313" t="s">
        <v>1091</v>
      </c>
      <c r="D144" s="318" t="s">
        <v>594</v>
      </c>
      <c r="E144" s="318"/>
      <c r="F144" s="313" t="s">
        <v>244</v>
      </c>
      <c r="G144" s="313" t="s">
        <v>576</v>
      </c>
      <c r="H144" s="305" t="s">
        <v>1054</v>
      </c>
      <c r="I144" s="305"/>
      <c r="J144" s="370" t="e">
        <f>8000*V144/(IF(#REF!="yes",0.188,1))</f>
        <v>#REF!</v>
      </c>
      <c r="K144" s="370" t="e">
        <f>J144</f>
        <v>#REF!</v>
      </c>
      <c r="L144" s="370" t="e">
        <f>J144</f>
        <v>#REF!</v>
      </c>
      <c r="M144" s="316" t="s">
        <v>483</v>
      </c>
      <c r="N144" s="356"/>
      <c r="O144" s="398">
        <v>2000</v>
      </c>
      <c r="P144" s="305" t="s">
        <v>519</v>
      </c>
      <c r="Q144" s="304"/>
      <c r="R144" s="305"/>
      <c r="S144" s="305"/>
      <c r="T144" s="305"/>
      <c r="U144" s="305" t="s">
        <v>536</v>
      </c>
      <c r="V144" s="426">
        <v>0.188</v>
      </c>
      <c r="W144" s="443">
        <v>5.4</v>
      </c>
      <c r="X144" s="448"/>
      <c r="Y144" s="429" t="e">
        <f t="shared" si="94"/>
        <v>#REF!</v>
      </c>
      <c r="Z144" s="318">
        <v>5</v>
      </c>
      <c r="AA144" s="318">
        <v>5</v>
      </c>
      <c r="AB144" s="318">
        <v>5</v>
      </c>
      <c r="AC144" s="318">
        <v>4</v>
      </c>
      <c r="AD144" s="318" t="s">
        <v>797</v>
      </c>
      <c r="AE144" s="483">
        <v>8000</v>
      </c>
      <c r="AF144" s="482" t="s">
        <v>1524</v>
      </c>
      <c r="AG144" s="482" t="s">
        <v>1524</v>
      </c>
      <c r="AH144" s="482" t="s">
        <v>1524</v>
      </c>
      <c r="AI144" s="482" t="s">
        <v>1524</v>
      </c>
      <c r="AJ144" s="482">
        <f t="shared" si="97"/>
        <v>0</v>
      </c>
      <c r="AK144" s="556">
        <v>8000</v>
      </c>
      <c r="AL144" s="557" t="s">
        <v>1524</v>
      </c>
      <c r="AM144" s="557" t="s">
        <v>1524</v>
      </c>
      <c r="AN144" s="557" t="s">
        <v>1524</v>
      </c>
      <c r="AO144" s="557" t="s">
        <v>1524</v>
      </c>
      <c r="AP144" s="557">
        <f t="shared" si="98"/>
        <v>0</v>
      </c>
      <c r="AQ144" s="483" t="str">
        <f t="shared" si="89"/>
        <v>check</v>
      </c>
      <c r="AR144" s="482" t="str">
        <f t="shared" si="65"/>
        <v>check</v>
      </c>
      <c r="AS144" s="482" t="str">
        <f t="shared" si="65"/>
        <v>check</v>
      </c>
      <c r="AT144" s="482" t="str">
        <f t="shared" si="65"/>
        <v>check</v>
      </c>
      <c r="AU144" s="482" t="str">
        <f t="shared" si="65"/>
        <v>check</v>
      </c>
      <c r="AV144" s="482">
        <f t="shared" si="99"/>
        <v>0</v>
      </c>
      <c r="AW144" s="483" t="e">
        <f t="shared" si="71"/>
        <v>#REF!</v>
      </c>
      <c r="AX144" s="514" t="e">
        <f t="shared" si="68"/>
        <v>#REF!</v>
      </c>
      <c r="AY144" s="514" t="s">
        <v>1524</v>
      </c>
      <c r="AZ144" s="556">
        <f t="shared" si="91"/>
        <v>8000</v>
      </c>
      <c r="BA144" s="557" t="s">
        <v>1524</v>
      </c>
      <c r="BB144" s="557" t="s">
        <v>1524</v>
      </c>
      <c r="BC144" s="557" t="s">
        <v>1524</v>
      </c>
      <c r="BD144" s="557" t="s">
        <v>1524</v>
      </c>
      <c r="BE144" s="557">
        <v>0</v>
      </c>
      <c r="BF144" s="556">
        <f t="shared" si="96"/>
        <v>8000</v>
      </c>
      <c r="BG144" s="557" t="s">
        <v>1524</v>
      </c>
      <c r="BH144" s="557" t="s">
        <v>1524</v>
      </c>
      <c r="BI144" s="557" t="s">
        <v>1524</v>
      </c>
      <c r="BJ144" s="557" t="s">
        <v>1524</v>
      </c>
      <c r="BK144" s="557">
        <v>0</v>
      </c>
      <c r="BL144" s="556" t="str">
        <f t="shared" si="93"/>
        <v>check</v>
      </c>
      <c r="BM144" s="557" t="s">
        <v>1524</v>
      </c>
      <c r="BN144" s="557" t="s">
        <v>1524</v>
      </c>
      <c r="BO144" s="557" t="s">
        <v>1524</v>
      </c>
      <c r="BP144" s="557" t="s">
        <v>1524</v>
      </c>
      <c r="BQ144" s="557">
        <v>0</v>
      </c>
      <c r="BR144" s="318"/>
      <c r="BS144" s="318"/>
      <c r="BT144" s="318"/>
      <c r="BU144" s="318"/>
      <c r="BV144" s="318"/>
      <c r="BW144" s="318"/>
      <c r="BX144" s="318"/>
      <c r="BY144" s="318"/>
      <c r="BZ144" s="412">
        <f t="shared" si="100"/>
        <v>5.392346767919209</v>
      </c>
      <c r="CA144" s="318"/>
      <c r="CB144" s="318"/>
      <c r="CC144" s="318"/>
      <c r="CD144" s="318"/>
      <c r="CE144" s="457"/>
      <c r="CF144" s="443">
        <v>191</v>
      </c>
      <c r="CG144" s="360" t="s">
        <v>471</v>
      </c>
      <c r="CH144" s="430">
        <v>1</v>
      </c>
      <c r="CI144" s="360"/>
      <c r="CJ144" s="360"/>
      <c r="CK144" s="360"/>
      <c r="CL144" s="360"/>
      <c r="CM144" s="360"/>
      <c r="CN144" s="360"/>
      <c r="CO144" s="360"/>
      <c r="CP144" s="360"/>
    </row>
    <row r="145" spans="1:94" s="315" customFormat="1" ht="13" hidden="1" x14ac:dyDescent="0.25">
      <c r="A145" s="403">
        <v>134</v>
      </c>
      <c r="B145" s="313" t="s">
        <v>471</v>
      </c>
      <c r="C145" s="313" t="s">
        <v>798</v>
      </c>
      <c r="D145" s="318" t="s">
        <v>594</v>
      </c>
      <c r="E145" s="318"/>
      <c r="F145" s="313" t="s">
        <v>244</v>
      </c>
      <c r="G145" s="313" t="s">
        <v>792</v>
      </c>
      <c r="H145" s="305" t="s">
        <v>799</v>
      </c>
      <c r="I145" s="305"/>
      <c r="J145" s="370" t="e">
        <f>17000*V145/(IF(#REF!="yes",0.188,1))</f>
        <v>#REF!</v>
      </c>
      <c r="K145" s="370" t="e">
        <f>J145</f>
        <v>#REF!</v>
      </c>
      <c r="L145" s="370" t="e">
        <f>J145</f>
        <v>#REF!</v>
      </c>
      <c r="M145" s="316" t="s">
        <v>483</v>
      </c>
      <c r="N145" s="356"/>
      <c r="O145" s="398">
        <v>2017</v>
      </c>
      <c r="P145" s="305" t="s">
        <v>519</v>
      </c>
      <c r="Q145" s="304"/>
      <c r="R145" s="305"/>
      <c r="S145" s="305"/>
      <c r="T145" s="305"/>
      <c r="U145" s="305" t="s">
        <v>536</v>
      </c>
      <c r="V145" s="426">
        <v>0.188</v>
      </c>
      <c r="W145" s="443">
        <v>5.4</v>
      </c>
      <c r="X145" s="448"/>
      <c r="Y145" s="429" t="e">
        <f t="shared" si="94"/>
        <v>#REF!</v>
      </c>
      <c r="Z145" s="318">
        <v>5</v>
      </c>
      <c r="AA145" s="318">
        <v>5</v>
      </c>
      <c r="AB145" s="318">
        <v>5</v>
      </c>
      <c r="AC145" s="318">
        <v>4</v>
      </c>
      <c r="AD145" s="318"/>
      <c r="AE145" s="483">
        <v>17000</v>
      </c>
      <c r="AF145" s="482" t="s">
        <v>1524</v>
      </c>
      <c r="AG145" s="482" t="s">
        <v>1524</v>
      </c>
      <c r="AH145" s="482" t="s">
        <v>1524</v>
      </c>
      <c r="AI145" s="482" t="s">
        <v>1524</v>
      </c>
      <c r="AJ145" s="482">
        <f t="shared" si="97"/>
        <v>0</v>
      </c>
      <c r="AK145" s="556">
        <v>17000</v>
      </c>
      <c r="AL145" s="557" t="s">
        <v>1524</v>
      </c>
      <c r="AM145" s="557" t="s">
        <v>1524</v>
      </c>
      <c r="AN145" s="557" t="s">
        <v>1524</v>
      </c>
      <c r="AO145" s="557" t="s">
        <v>1524</v>
      </c>
      <c r="AP145" s="557">
        <f t="shared" si="98"/>
        <v>0</v>
      </c>
      <c r="AQ145" s="483" t="str">
        <f t="shared" si="89"/>
        <v>check</v>
      </c>
      <c r="AR145" s="482" t="str">
        <f t="shared" si="65"/>
        <v>check</v>
      </c>
      <c r="AS145" s="482" t="str">
        <f t="shared" si="65"/>
        <v>check</v>
      </c>
      <c r="AT145" s="482" t="str">
        <f t="shared" si="65"/>
        <v>check</v>
      </c>
      <c r="AU145" s="482" t="str">
        <f t="shared" si="65"/>
        <v>check</v>
      </c>
      <c r="AV145" s="482">
        <f t="shared" si="99"/>
        <v>0</v>
      </c>
      <c r="AW145" s="483" t="e">
        <f t="shared" si="71"/>
        <v>#REF!</v>
      </c>
      <c r="AX145" s="514" t="e">
        <f t="shared" si="68"/>
        <v>#REF!</v>
      </c>
      <c r="AY145" s="514" t="s">
        <v>1524</v>
      </c>
      <c r="AZ145" s="556">
        <f t="shared" si="91"/>
        <v>17000</v>
      </c>
      <c r="BA145" s="557" t="s">
        <v>1524</v>
      </c>
      <c r="BB145" s="557" t="s">
        <v>1524</v>
      </c>
      <c r="BC145" s="557" t="s">
        <v>1524</v>
      </c>
      <c r="BD145" s="557" t="s">
        <v>1524</v>
      </c>
      <c r="BE145" s="557">
        <v>0</v>
      </c>
      <c r="BF145" s="556">
        <f t="shared" si="96"/>
        <v>17000</v>
      </c>
      <c r="BG145" s="557" t="s">
        <v>1524</v>
      </c>
      <c r="BH145" s="557" t="s">
        <v>1524</v>
      </c>
      <c r="BI145" s="557" t="s">
        <v>1524</v>
      </c>
      <c r="BJ145" s="557" t="s">
        <v>1524</v>
      </c>
      <c r="BK145" s="557">
        <v>0</v>
      </c>
      <c r="BL145" s="556" t="str">
        <f t="shared" si="93"/>
        <v>check</v>
      </c>
      <c r="BM145" s="557" t="s">
        <v>1524</v>
      </c>
      <c r="BN145" s="557" t="s">
        <v>1524</v>
      </c>
      <c r="BO145" s="557" t="s">
        <v>1524</v>
      </c>
      <c r="BP145" s="557" t="s">
        <v>1524</v>
      </c>
      <c r="BQ145" s="557">
        <v>0</v>
      </c>
      <c r="BR145" s="318"/>
      <c r="BS145" s="318"/>
      <c r="BT145" s="318"/>
      <c r="BU145" s="318"/>
      <c r="BV145" s="318"/>
      <c r="BW145" s="318"/>
      <c r="BX145" s="318"/>
      <c r="BY145" s="318"/>
      <c r="BZ145" s="412">
        <f t="shared" si="100"/>
        <v>5.392346767919209</v>
      </c>
      <c r="CA145" s="318"/>
      <c r="CB145" s="318"/>
      <c r="CC145" s="318"/>
      <c r="CD145" s="318"/>
      <c r="CE145" s="457"/>
      <c r="CF145" s="443">
        <v>191</v>
      </c>
      <c r="CG145" s="360" t="s">
        <v>471</v>
      </c>
      <c r="CH145" s="430">
        <v>1</v>
      </c>
      <c r="CI145" s="360"/>
      <c r="CJ145" s="360"/>
      <c r="CK145" s="360"/>
      <c r="CL145" s="360"/>
      <c r="CM145" s="360"/>
      <c r="CN145" s="360"/>
      <c r="CO145" s="360"/>
      <c r="CP145" s="360"/>
    </row>
    <row r="146" spans="1:94" s="315" customFormat="1" ht="13" hidden="1" x14ac:dyDescent="0.25">
      <c r="A146" s="403">
        <v>135</v>
      </c>
      <c r="B146" s="313" t="s">
        <v>471</v>
      </c>
      <c r="C146" s="313" t="s">
        <v>800</v>
      </c>
      <c r="D146" s="318" t="s">
        <v>594</v>
      </c>
      <c r="E146" s="318"/>
      <c r="F146" s="313" t="s">
        <v>244</v>
      </c>
      <c r="G146" s="313" t="s">
        <v>1409</v>
      </c>
      <c r="H146" s="305" t="s">
        <v>801</v>
      </c>
      <c r="I146" s="305"/>
      <c r="J146" s="370" t="e">
        <f>600*V146/(IF(#REF!="yes",0.188,1))</f>
        <v>#REF!</v>
      </c>
      <c r="K146" s="370" t="e">
        <f>J146</f>
        <v>#REF!</v>
      </c>
      <c r="L146" s="370" t="e">
        <f>J146</f>
        <v>#REF!</v>
      </c>
      <c r="M146" s="316" t="s">
        <v>483</v>
      </c>
      <c r="N146" s="356"/>
      <c r="O146" s="398">
        <v>2010</v>
      </c>
      <c r="P146" s="305" t="s">
        <v>519</v>
      </c>
      <c r="Q146" s="304"/>
      <c r="R146" s="305"/>
      <c r="S146" s="305"/>
      <c r="T146" s="305"/>
      <c r="U146" s="305" t="s">
        <v>804</v>
      </c>
      <c r="V146" s="426">
        <v>1</v>
      </c>
      <c r="W146" s="443">
        <v>5.4</v>
      </c>
      <c r="X146" s="448"/>
      <c r="Y146" s="429" t="e">
        <f t="shared" si="94"/>
        <v>#REF!</v>
      </c>
      <c r="Z146" s="318">
        <v>5</v>
      </c>
      <c r="AA146" s="318">
        <v>5</v>
      </c>
      <c r="AB146" s="318">
        <v>5</v>
      </c>
      <c r="AC146" s="318">
        <v>4</v>
      </c>
      <c r="AD146" s="318" t="s">
        <v>805</v>
      </c>
      <c r="AE146" s="483">
        <v>3000</v>
      </c>
      <c r="AF146" s="482" t="s">
        <v>1524</v>
      </c>
      <c r="AG146" s="482" t="s">
        <v>1524</v>
      </c>
      <c r="AH146" s="482" t="s">
        <v>1524</v>
      </c>
      <c r="AI146" s="482" t="s">
        <v>1524</v>
      </c>
      <c r="AJ146" s="482">
        <f t="shared" si="97"/>
        <v>0</v>
      </c>
      <c r="AK146" s="556">
        <v>3191.4893617021276</v>
      </c>
      <c r="AL146" s="557" t="s">
        <v>1524</v>
      </c>
      <c r="AM146" s="557" t="s">
        <v>1524</v>
      </c>
      <c r="AN146" s="557" t="s">
        <v>1524</v>
      </c>
      <c r="AO146" s="557" t="s">
        <v>1524</v>
      </c>
      <c r="AP146" s="557">
        <f t="shared" si="98"/>
        <v>0</v>
      </c>
      <c r="AQ146" s="483" t="str">
        <f t="shared" si="89"/>
        <v>check</v>
      </c>
      <c r="AR146" s="482" t="str">
        <f t="shared" si="65"/>
        <v>check</v>
      </c>
      <c r="AS146" s="482" t="str">
        <f t="shared" si="65"/>
        <v>check</v>
      </c>
      <c r="AT146" s="482" t="str">
        <f t="shared" si="65"/>
        <v>check</v>
      </c>
      <c r="AU146" s="482" t="str">
        <f t="shared" si="65"/>
        <v>check</v>
      </c>
      <c r="AV146" s="482">
        <f t="shared" si="99"/>
        <v>0</v>
      </c>
      <c r="AW146" s="483" t="e">
        <f t="shared" si="71"/>
        <v>#REF!</v>
      </c>
      <c r="AX146" s="514" t="e">
        <f t="shared" si="68"/>
        <v>#REF!</v>
      </c>
      <c r="AY146" s="514" t="s">
        <v>1524</v>
      </c>
      <c r="AZ146" s="556">
        <f t="shared" si="91"/>
        <v>3000</v>
      </c>
      <c r="BA146" s="557" t="s">
        <v>1524</v>
      </c>
      <c r="BB146" s="557" t="s">
        <v>1524</v>
      </c>
      <c r="BC146" s="557" t="s">
        <v>1524</v>
      </c>
      <c r="BD146" s="557" t="s">
        <v>1524</v>
      </c>
      <c r="BE146" s="557">
        <v>0</v>
      </c>
      <c r="BF146" s="556">
        <f t="shared" si="96"/>
        <v>3191.4893617021276</v>
      </c>
      <c r="BG146" s="557" t="s">
        <v>1524</v>
      </c>
      <c r="BH146" s="557" t="s">
        <v>1524</v>
      </c>
      <c r="BI146" s="557" t="s">
        <v>1524</v>
      </c>
      <c r="BJ146" s="557" t="s">
        <v>1524</v>
      </c>
      <c r="BK146" s="557">
        <v>0</v>
      </c>
      <c r="BL146" s="556" t="str">
        <f t="shared" si="93"/>
        <v>check</v>
      </c>
      <c r="BM146" s="557" t="s">
        <v>1524</v>
      </c>
      <c r="BN146" s="557" t="s">
        <v>1524</v>
      </c>
      <c r="BO146" s="557" t="s">
        <v>1524</v>
      </c>
      <c r="BP146" s="557" t="s">
        <v>1524</v>
      </c>
      <c r="BQ146" s="557">
        <v>0</v>
      </c>
      <c r="BR146" s="318"/>
      <c r="BS146" s="318"/>
      <c r="BT146" s="318"/>
      <c r="BU146" s="318"/>
      <c r="BV146" s="318"/>
      <c r="BW146" s="318"/>
      <c r="BX146" s="318"/>
      <c r="BY146" s="318"/>
      <c r="BZ146" s="412">
        <f t="shared" si="100"/>
        <v>5.392346767919209</v>
      </c>
      <c r="CA146" s="318"/>
      <c r="CB146" s="318"/>
      <c r="CC146" s="318"/>
      <c r="CD146" s="318"/>
      <c r="CE146" s="457"/>
      <c r="CF146" s="443">
        <v>191</v>
      </c>
      <c r="CG146" s="360" t="s">
        <v>471</v>
      </c>
      <c r="CH146" s="430">
        <v>1</v>
      </c>
      <c r="CI146" s="360"/>
      <c r="CJ146" s="360"/>
      <c r="CK146" s="360"/>
      <c r="CL146" s="360"/>
      <c r="CM146" s="360"/>
      <c r="CN146" s="360"/>
      <c r="CO146" s="360"/>
      <c r="CP146" s="360"/>
    </row>
    <row r="147" spans="1:94" s="315" customFormat="1" ht="13" hidden="1" x14ac:dyDescent="0.25">
      <c r="A147" s="403">
        <v>136</v>
      </c>
      <c r="B147" s="313" t="s">
        <v>471</v>
      </c>
      <c r="C147" s="313" t="s">
        <v>802</v>
      </c>
      <c r="D147" s="318" t="s">
        <v>594</v>
      </c>
      <c r="E147" s="318"/>
      <c r="F147" s="313" t="s">
        <v>244</v>
      </c>
      <c r="G147" s="313" t="s">
        <v>576</v>
      </c>
      <c r="H147" s="305"/>
      <c r="I147" s="305" t="s">
        <v>803</v>
      </c>
      <c r="J147" s="370">
        <v>0</v>
      </c>
      <c r="K147" s="370" t="e">
        <f>20000*V147/(IF(#REF!="yes",0.188,1))</f>
        <v>#REF!</v>
      </c>
      <c r="L147" s="370" t="e">
        <f>K147-J147</f>
        <v>#REF!</v>
      </c>
      <c r="M147" s="316" t="s">
        <v>484</v>
      </c>
      <c r="N147" s="398">
        <v>2018</v>
      </c>
      <c r="O147" s="398">
        <v>2020</v>
      </c>
      <c r="P147" s="305" t="s">
        <v>519</v>
      </c>
      <c r="Q147" s="304"/>
      <c r="R147" s="305"/>
      <c r="S147" s="305"/>
      <c r="T147" s="305"/>
      <c r="U147" s="305" t="s">
        <v>536</v>
      </c>
      <c r="V147" s="426">
        <v>0.188</v>
      </c>
      <c r="W147" s="443">
        <v>5.4</v>
      </c>
      <c r="X147" s="448"/>
      <c r="Y147" s="429" t="e">
        <f t="shared" si="94"/>
        <v>#REF!</v>
      </c>
      <c r="Z147" s="318">
        <v>5</v>
      </c>
      <c r="AA147" s="318">
        <v>5</v>
      </c>
      <c r="AB147" s="318">
        <v>5</v>
      </c>
      <c r="AC147" s="318">
        <v>4</v>
      </c>
      <c r="AD147" s="318" t="s">
        <v>806</v>
      </c>
      <c r="AE147" s="483">
        <f t="shared" ref="AE147:AJ150" si="101">IF(OR($M147="Exploration", $M147="Pre-feasibility", $O147&gt;2017), 0, "check")</f>
        <v>0</v>
      </c>
      <c r="AF147" s="482">
        <f t="shared" si="101"/>
        <v>0</v>
      </c>
      <c r="AG147" s="482">
        <f t="shared" si="101"/>
        <v>0</v>
      </c>
      <c r="AH147" s="482">
        <f t="shared" si="101"/>
        <v>0</v>
      </c>
      <c r="AI147" s="482">
        <f t="shared" si="101"/>
        <v>0</v>
      </c>
      <c r="AJ147" s="482">
        <f t="shared" si="97"/>
        <v>0</v>
      </c>
      <c r="AK147" s="556">
        <f t="shared" ref="AK147:AP150" si="102">IF(OR($M147="Exploration", $M147="Pre-feasibility", $O147&gt;2018), 0, "check")</f>
        <v>0</v>
      </c>
      <c r="AL147" s="557">
        <f t="shared" si="102"/>
        <v>0</v>
      </c>
      <c r="AM147" s="557">
        <f t="shared" si="102"/>
        <v>0</v>
      </c>
      <c r="AN147" s="557">
        <f t="shared" si="102"/>
        <v>0</v>
      </c>
      <c r="AO147" s="557">
        <f t="shared" si="102"/>
        <v>0</v>
      </c>
      <c r="AP147" s="557">
        <f t="shared" si="98"/>
        <v>0</v>
      </c>
      <c r="AQ147" s="483" t="s">
        <v>1524</v>
      </c>
      <c r="AR147" s="482">
        <f t="shared" si="65"/>
        <v>0</v>
      </c>
      <c r="AS147" s="482">
        <f t="shared" si="65"/>
        <v>0</v>
      </c>
      <c r="AT147" s="482">
        <f t="shared" si="65"/>
        <v>0</v>
      </c>
      <c r="AU147" s="482">
        <f t="shared" ref="AR147:AU162" si="103">IF(OR($M147="Exploration", $M147="Pre-feasibility", $O147&gt;2019), 0, "check")</f>
        <v>0</v>
      </c>
      <c r="AV147" s="482">
        <f t="shared" si="99"/>
        <v>0</v>
      </c>
      <c r="AW147" s="483" t="str">
        <f t="shared" si="71"/>
        <v>check</v>
      </c>
      <c r="AX147" s="514" t="str">
        <f t="shared" si="68"/>
        <v>check</v>
      </c>
      <c r="AY147" s="514" t="s">
        <v>1524</v>
      </c>
      <c r="AZ147" s="556">
        <f t="shared" si="91"/>
        <v>0</v>
      </c>
      <c r="BA147" s="557">
        <v>0</v>
      </c>
      <c r="BB147" s="557">
        <v>0</v>
      </c>
      <c r="BC147" s="557">
        <v>0</v>
      </c>
      <c r="BD147" s="557">
        <v>0</v>
      </c>
      <c r="BE147" s="557">
        <v>0</v>
      </c>
      <c r="BF147" s="556">
        <f t="shared" si="96"/>
        <v>0</v>
      </c>
      <c r="BG147" s="557">
        <v>0</v>
      </c>
      <c r="BH147" s="557">
        <v>0</v>
      </c>
      <c r="BI147" s="557">
        <v>0</v>
      </c>
      <c r="BJ147" s="557">
        <v>0</v>
      </c>
      <c r="BK147" s="557">
        <v>0</v>
      </c>
      <c r="BL147" s="556" t="str">
        <f t="shared" si="93"/>
        <v>check</v>
      </c>
      <c r="BM147" s="557">
        <v>0</v>
      </c>
      <c r="BN147" s="557">
        <v>0</v>
      </c>
      <c r="BO147" s="557">
        <v>0</v>
      </c>
      <c r="BP147" s="557">
        <v>0</v>
      </c>
      <c r="BQ147" s="557">
        <v>0</v>
      </c>
      <c r="BR147" s="318"/>
      <c r="BS147" s="318"/>
      <c r="BT147" s="318"/>
      <c r="BU147" s="318"/>
      <c r="BV147" s="318"/>
      <c r="BW147" s="318"/>
      <c r="BX147" s="318"/>
      <c r="BY147" s="318"/>
      <c r="BZ147" s="412">
        <f t="shared" si="100"/>
        <v>5.392346767919209</v>
      </c>
      <c r="CA147" s="318"/>
      <c r="CB147" s="318"/>
      <c r="CC147" s="318"/>
      <c r="CD147" s="318"/>
      <c r="CE147" s="457"/>
      <c r="CF147" s="443">
        <v>191</v>
      </c>
      <c r="CG147" s="360" t="s">
        <v>471</v>
      </c>
      <c r="CH147" s="430">
        <v>1</v>
      </c>
      <c r="CI147" s="360"/>
      <c r="CJ147" s="360"/>
      <c r="CK147" s="360"/>
      <c r="CL147" s="360"/>
      <c r="CM147" s="360"/>
      <c r="CN147" s="360"/>
      <c r="CO147" s="360"/>
      <c r="CP147" s="360"/>
    </row>
    <row r="148" spans="1:94" s="315" customFormat="1" ht="25" hidden="1" x14ac:dyDescent="0.25">
      <c r="A148" s="403">
        <v>137</v>
      </c>
      <c r="B148" s="313" t="s">
        <v>811</v>
      </c>
      <c r="C148" s="313" t="s">
        <v>812</v>
      </c>
      <c r="D148" s="318" t="s">
        <v>457</v>
      </c>
      <c r="E148" s="318"/>
      <c r="F148" s="313" t="s">
        <v>397</v>
      </c>
      <c r="G148" s="313" t="s">
        <v>1398</v>
      </c>
      <c r="H148" s="305"/>
      <c r="I148" s="305" t="s">
        <v>1307</v>
      </c>
      <c r="J148" s="370">
        <v>0</v>
      </c>
      <c r="K148" s="370" t="e">
        <f>115000*V148/(IF(#REF!="yes",0.188,1))</f>
        <v>#REF!</v>
      </c>
      <c r="L148" s="370" t="e">
        <f>K148-J148</f>
        <v>#REF!</v>
      </c>
      <c r="M148" s="316" t="s">
        <v>807</v>
      </c>
      <c r="N148" s="398"/>
      <c r="O148" s="398">
        <v>2021</v>
      </c>
      <c r="P148" s="305" t="s">
        <v>519</v>
      </c>
      <c r="Q148" s="324">
        <v>1.2E-2</v>
      </c>
      <c r="R148" s="305"/>
      <c r="S148" s="305"/>
      <c r="T148" s="305" t="s">
        <v>1017</v>
      </c>
      <c r="U148" s="305" t="s">
        <v>528</v>
      </c>
      <c r="V148" s="426">
        <f>6%*40%</f>
        <v>2.4E-2</v>
      </c>
      <c r="W148" s="317">
        <f>(367*1.3)/1000</f>
        <v>0.47710000000000002</v>
      </c>
      <c r="X148" s="317">
        <f>(367*1.3)/1000</f>
        <v>0.47710000000000002</v>
      </c>
      <c r="Y148" s="317" t="e">
        <f t="shared" si="94"/>
        <v>#REF!</v>
      </c>
      <c r="Z148" s="318"/>
      <c r="AA148" s="318"/>
      <c r="AB148" s="318"/>
      <c r="AC148" s="318"/>
      <c r="AD148" s="318" t="s">
        <v>945</v>
      </c>
      <c r="AE148" s="483">
        <f t="shared" si="101"/>
        <v>0</v>
      </c>
      <c r="AF148" s="482">
        <f t="shared" si="101"/>
        <v>0</v>
      </c>
      <c r="AG148" s="482">
        <f t="shared" si="101"/>
        <v>0</v>
      </c>
      <c r="AH148" s="482">
        <f t="shared" si="101"/>
        <v>0</v>
      </c>
      <c r="AI148" s="482">
        <f t="shared" si="101"/>
        <v>0</v>
      </c>
      <c r="AJ148" s="482">
        <f t="shared" si="101"/>
        <v>0</v>
      </c>
      <c r="AK148" s="556">
        <f t="shared" si="102"/>
        <v>0</v>
      </c>
      <c r="AL148" s="557">
        <f t="shared" si="102"/>
        <v>0</v>
      </c>
      <c r="AM148" s="557">
        <f t="shared" si="102"/>
        <v>0</v>
      </c>
      <c r="AN148" s="557">
        <f t="shared" si="102"/>
        <v>0</v>
      </c>
      <c r="AO148" s="557">
        <f t="shared" si="102"/>
        <v>0</v>
      </c>
      <c r="AP148" s="557">
        <f t="shared" si="102"/>
        <v>0</v>
      </c>
      <c r="AQ148" s="483">
        <f t="shared" si="89"/>
        <v>0</v>
      </c>
      <c r="AR148" s="482">
        <f t="shared" si="103"/>
        <v>0</v>
      </c>
      <c r="AS148" s="482">
        <f t="shared" si="103"/>
        <v>0</v>
      </c>
      <c r="AT148" s="482">
        <f t="shared" si="103"/>
        <v>0</v>
      </c>
      <c r="AU148" s="482">
        <f t="shared" si="103"/>
        <v>0</v>
      </c>
      <c r="AV148" s="482">
        <f t="shared" si="90"/>
        <v>0</v>
      </c>
      <c r="AW148" s="483">
        <f t="shared" si="71"/>
        <v>0</v>
      </c>
      <c r="AX148" s="514">
        <f t="shared" si="68"/>
        <v>0</v>
      </c>
      <c r="AY148" s="514" t="s">
        <v>1034</v>
      </c>
      <c r="AZ148" s="556">
        <f t="shared" si="91"/>
        <v>0</v>
      </c>
      <c r="BA148" s="557">
        <v>0</v>
      </c>
      <c r="BB148" s="557">
        <v>0</v>
      </c>
      <c r="BC148" s="557">
        <v>0</v>
      </c>
      <c r="BD148" s="557">
        <v>0</v>
      </c>
      <c r="BE148" s="557">
        <v>0</v>
      </c>
      <c r="BF148" s="556">
        <f t="shared" si="96"/>
        <v>0</v>
      </c>
      <c r="BG148" s="557">
        <v>0</v>
      </c>
      <c r="BH148" s="557">
        <v>0</v>
      </c>
      <c r="BI148" s="557">
        <v>0</v>
      </c>
      <c r="BJ148" s="557">
        <v>0</v>
      </c>
      <c r="BK148" s="557">
        <v>0</v>
      </c>
      <c r="BL148" s="556">
        <f t="shared" si="93"/>
        <v>0</v>
      </c>
      <c r="BM148" s="557">
        <v>0</v>
      </c>
      <c r="BN148" s="557">
        <v>0</v>
      </c>
      <c r="BO148" s="557">
        <v>0</v>
      </c>
      <c r="BP148" s="557">
        <v>0</v>
      </c>
      <c r="BQ148" s="557">
        <v>0</v>
      </c>
      <c r="BR148" s="318"/>
      <c r="BS148" s="318"/>
      <c r="BT148" s="318"/>
      <c r="BU148" s="318"/>
      <c r="BV148" s="318"/>
      <c r="BW148" s="318"/>
      <c r="BX148" s="318"/>
      <c r="BY148" s="318"/>
      <c r="BZ148" s="318"/>
      <c r="CA148" s="318"/>
      <c r="CB148" s="318"/>
      <c r="CC148" s="318"/>
      <c r="CD148" s="318"/>
      <c r="CE148" s="457"/>
      <c r="CF148" s="318"/>
      <c r="CG148" s="360"/>
      <c r="CH148" s="360"/>
      <c r="CI148" s="360"/>
      <c r="CJ148" s="360"/>
      <c r="CK148" s="360"/>
      <c r="CL148" s="360"/>
      <c r="CM148" s="360"/>
      <c r="CN148" s="360"/>
      <c r="CO148" s="360"/>
      <c r="CP148" s="360"/>
    </row>
    <row r="149" spans="1:94" s="315" customFormat="1" ht="13" hidden="1" x14ac:dyDescent="0.25">
      <c r="A149" s="403">
        <v>138</v>
      </c>
      <c r="B149" s="313" t="s">
        <v>769</v>
      </c>
      <c r="C149" s="313" t="s">
        <v>816</v>
      </c>
      <c r="D149" s="318" t="s">
        <v>457</v>
      </c>
      <c r="E149" s="318"/>
      <c r="F149" s="313" t="s">
        <v>247</v>
      </c>
      <c r="G149" s="313" t="s">
        <v>1214</v>
      </c>
      <c r="H149" s="305"/>
      <c r="I149" s="305"/>
      <c r="J149" s="370">
        <v>0</v>
      </c>
      <c r="K149" s="370">
        <v>0</v>
      </c>
      <c r="L149" s="370">
        <f>K149-J149</f>
        <v>0</v>
      </c>
      <c r="M149" s="316" t="s">
        <v>487</v>
      </c>
      <c r="N149" s="398"/>
      <c r="O149" s="398"/>
      <c r="P149" s="305" t="s">
        <v>519</v>
      </c>
      <c r="Q149" s="324">
        <v>1.4E-2</v>
      </c>
      <c r="R149" s="305"/>
      <c r="S149" s="305"/>
      <c r="T149" s="305" t="s">
        <v>1018</v>
      </c>
      <c r="U149" s="305" t="s">
        <v>235</v>
      </c>
      <c r="V149" s="426"/>
      <c r="W149" s="317"/>
      <c r="X149" s="317"/>
      <c r="Y149" s="317" t="str">
        <f t="shared" si="94"/>
        <v/>
      </c>
      <c r="Z149" s="318"/>
      <c r="AA149" s="318"/>
      <c r="AB149" s="318"/>
      <c r="AC149" s="318">
        <v>1</v>
      </c>
      <c r="AD149" s="318" t="s">
        <v>852</v>
      </c>
      <c r="AE149" s="483">
        <f t="shared" si="101"/>
        <v>0</v>
      </c>
      <c r="AF149" s="482">
        <f t="shared" si="101"/>
        <v>0</v>
      </c>
      <c r="AG149" s="482">
        <f t="shared" si="101"/>
        <v>0</v>
      </c>
      <c r="AH149" s="482">
        <f t="shared" si="101"/>
        <v>0</v>
      </c>
      <c r="AI149" s="482">
        <f t="shared" si="101"/>
        <v>0</v>
      </c>
      <c r="AJ149" s="482">
        <f t="shared" si="101"/>
        <v>0</v>
      </c>
      <c r="AK149" s="556">
        <f t="shared" si="102"/>
        <v>0</v>
      </c>
      <c r="AL149" s="557">
        <f t="shared" si="102"/>
        <v>0</v>
      </c>
      <c r="AM149" s="557">
        <f t="shared" si="102"/>
        <v>0</v>
      </c>
      <c r="AN149" s="557">
        <f t="shared" si="102"/>
        <v>0</v>
      </c>
      <c r="AO149" s="557">
        <f t="shared" si="102"/>
        <v>0</v>
      </c>
      <c r="AP149" s="557">
        <f t="shared" si="102"/>
        <v>0</v>
      </c>
      <c r="AQ149" s="483">
        <f t="shared" si="89"/>
        <v>0</v>
      </c>
      <c r="AR149" s="482">
        <f t="shared" si="103"/>
        <v>0</v>
      </c>
      <c r="AS149" s="482">
        <f t="shared" si="103"/>
        <v>0</v>
      </c>
      <c r="AT149" s="482">
        <f t="shared" si="103"/>
        <v>0</v>
      </c>
      <c r="AU149" s="482">
        <f t="shared" si="103"/>
        <v>0</v>
      </c>
      <c r="AV149" s="482">
        <f t="shared" si="90"/>
        <v>0</v>
      </c>
      <c r="AW149" s="483">
        <f t="shared" si="71"/>
        <v>0</v>
      </c>
      <c r="AX149" s="514">
        <f t="shared" si="68"/>
        <v>0</v>
      </c>
      <c r="AY149" s="514" t="s">
        <v>1034</v>
      </c>
      <c r="AZ149" s="556">
        <f t="shared" si="91"/>
        <v>0</v>
      </c>
      <c r="BA149" s="557">
        <v>0</v>
      </c>
      <c r="BB149" s="557">
        <v>0</v>
      </c>
      <c r="BC149" s="557">
        <v>0</v>
      </c>
      <c r="BD149" s="557">
        <v>0</v>
      </c>
      <c r="BE149" s="557">
        <v>0</v>
      </c>
      <c r="BF149" s="556">
        <f t="shared" si="96"/>
        <v>0</v>
      </c>
      <c r="BG149" s="557">
        <v>0</v>
      </c>
      <c r="BH149" s="557">
        <v>0</v>
      </c>
      <c r="BI149" s="557">
        <v>0</v>
      </c>
      <c r="BJ149" s="557">
        <v>0</v>
      </c>
      <c r="BK149" s="557">
        <v>0</v>
      </c>
      <c r="BL149" s="556">
        <f t="shared" si="93"/>
        <v>0</v>
      </c>
      <c r="BM149" s="557">
        <v>0</v>
      </c>
      <c r="BN149" s="557">
        <v>0</v>
      </c>
      <c r="BO149" s="557">
        <v>0</v>
      </c>
      <c r="BP149" s="557">
        <v>0</v>
      </c>
      <c r="BQ149" s="557">
        <v>0</v>
      </c>
      <c r="BR149" s="318"/>
      <c r="BS149" s="318"/>
      <c r="BT149" s="318"/>
      <c r="BU149" s="318"/>
      <c r="BV149" s="318"/>
      <c r="BW149" s="318"/>
      <c r="BX149" s="318"/>
      <c r="BY149" s="318"/>
      <c r="BZ149" s="318"/>
      <c r="CA149" s="318"/>
      <c r="CB149" s="318"/>
      <c r="CC149" s="318"/>
      <c r="CD149" s="318"/>
      <c r="CE149" s="457"/>
      <c r="CF149" s="318"/>
      <c r="CG149" s="360" t="s">
        <v>1299</v>
      </c>
      <c r="CH149" s="430">
        <v>0.15</v>
      </c>
      <c r="CI149" s="360"/>
      <c r="CJ149" s="360"/>
      <c r="CK149" s="360"/>
      <c r="CL149" s="360"/>
      <c r="CM149" s="360"/>
      <c r="CN149" s="360"/>
      <c r="CO149" s="360"/>
      <c r="CP149" s="360"/>
    </row>
    <row r="150" spans="1:94" s="315" customFormat="1" ht="13" hidden="1" x14ac:dyDescent="0.25">
      <c r="A150" s="403">
        <v>139</v>
      </c>
      <c r="B150" s="313" t="s">
        <v>469</v>
      </c>
      <c r="C150" s="313" t="s">
        <v>817</v>
      </c>
      <c r="D150" s="318" t="s">
        <v>457</v>
      </c>
      <c r="E150" s="318"/>
      <c r="F150" s="313" t="s">
        <v>247</v>
      </c>
      <c r="G150" s="313" t="s">
        <v>1214</v>
      </c>
      <c r="H150" s="305"/>
      <c r="I150" s="305"/>
      <c r="J150" s="375">
        <v>0</v>
      </c>
      <c r="K150" s="375">
        <v>0</v>
      </c>
      <c r="L150" s="375">
        <f>K150-J150</f>
        <v>0</v>
      </c>
      <c r="M150" s="316" t="s">
        <v>487</v>
      </c>
      <c r="N150" s="398"/>
      <c r="O150" s="398"/>
      <c r="P150" s="305" t="s">
        <v>519</v>
      </c>
      <c r="Q150" s="324">
        <v>1.2500000000000001E-2</v>
      </c>
      <c r="R150" s="305"/>
      <c r="S150" s="305"/>
      <c r="T150" s="305" t="s">
        <v>1019</v>
      </c>
      <c r="U150" s="305" t="s">
        <v>235</v>
      </c>
      <c r="V150" s="426"/>
      <c r="W150" s="317"/>
      <c r="X150" s="317"/>
      <c r="Y150" s="317" t="str">
        <f t="shared" si="94"/>
        <v/>
      </c>
      <c r="Z150" s="318"/>
      <c r="AA150" s="318"/>
      <c r="AB150" s="318"/>
      <c r="AC150" s="318">
        <v>3</v>
      </c>
      <c r="AD150" s="318" t="s">
        <v>671</v>
      </c>
      <c r="AE150" s="483">
        <f t="shared" si="101"/>
        <v>0</v>
      </c>
      <c r="AF150" s="482">
        <f t="shared" si="101"/>
        <v>0</v>
      </c>
      <c r="AG150" s="482">
        <f t="shared" si="101"/>
        <v>0</v>
      </c>
      <c r="AH150" s="482">
        <f t="shared" si="101"/>
        <v>0</v>
      </c>
      <c r="AI150" s="482">
        <f t="shared" si="101"/>
        <v>0</v>
      </c>
      <c r="AJ150" s="482">
        <f t="shared" si="101"/>
        <v>0</v>
      </c>
      <c r="AK150" s="556">
        <f t="shared" si="102"/>
        <v>0</v>
      </c>
      <c r="AL150" s="557">
        <f t="shared" si="102"/>
        <v>0</v>
      </c>
      <c r="AM150" s="557">
        <f t="shared" si="102"/>
        <v>0</v>
      </c>
      <c r="AN150" s="557">
        <f t="shared" si="102"/>
        <v>0</v>
      </c>
      <c r="AO150" s="557">
        <f t="shared" si="102"/>
        <v>0</v>
      </c>
      <c r="AP150" s="557">
        <f t="shared" si="102"/>
        <v>0</v>
      </c>
      <c r="AQ150" s="483">
        <f t="shared" si="89"/>
        <v>0</v>
      </c>
      <c r="AR150" s="482">
        <f t="shared" si="103"/>
        <v>0</v>
      </c>
      <c r="AS150" s="482">
        <f t="shared" si="103"/>
        <v>0</v>
      </c>
      <c r="AT150" s="482">
        <f t="shared" si="103"/>
        <v>0</v>
      </c>
      <c r="AU150" s="482">
        <f t="shared" si="103"/>
        <v>0</v>
      </c>
      <c r="AV150" s="482">
        <f t="shared" si="90"/>
        <v>0</v>
      </c>
      <c r="AW150" s="483">
        <f t="shared" si="71"/>
        <v>0</v>
      </c>
      <c r="AX150" s="514">
        <f t="shared" ref="AX150:AX206" si="104">IF($O150&gt;2020,0,IF(AW150=0,0,"check"))</f>
        <v>0</v>
      </c>
      <c r="AY150" s="514" t="s">
        <v>1034</v>
      </c>
      <c r="AZ150" s="556">
        <f>AE150</f>
        <v>0</v>
      </c>
      <c r="BA150" s="557">
        <v>0</v>
      </c>
      <c r="BB150" s="557">
        <v>0</v>
      </c>
      <c r="BC150" s="557">
        <v>0</v>
      </c>
      <c r="BD150" s="557">
        <v>0</v>
      </c>
      <c r="BE150" s="557">
        <v>0</v>
      </c>
      <c r="BF150" s="556">
        <f t="shared" si="96"/>
        <v>0</v>
      </c>
      <c r="BG150" s="557">
        <v>0</v>
      </c>
      <c r="BH150" s="557">
        <v>0</v>
      </c>
      <c r="BI150" s="557">
        <v>0</v>
      </c>
      <c r="BJ150" s="557">
        <v>0</v>
      </c>
      <c r="BK150" s="557">
        <v>0</v>
      </c>
      <c r="BL150" s="556">
        <f t="shared" si="93"/>
        <v>0</v>
      </c>
      <c r="BM150" s="557">
        <v>0</v>
      </c>
      <c r="BN150" s="557">
        <v>0</v>
      </c>
      <c r="BO150" s="557">
        <v>0</v>
      </c>
      <c r="BP150" s="557">
        <v>0</v>
      </c>
      <c r="BQ150" s="557">
        <v>0</v>
      </c>
      <c r="BR150" s="318"/>
      <c r="BS150" s="318"/>
      <c r="BT150" s="318"/>
      <c r="BU150" s="318"/>
      <c r="BV150" s="318"/>
      <c r="BW150" s="318"/>
      <c r="BX150" s="318"/>
      <c r="BY150" s="318"/>
      <c r="BZ150" s="318"/>
      <c r="CA150" s="318"/>
      <c r="CB150" s="318"/>
      <c r="CC150" s="318"/>
      <c r="CD150" s="318"/>
      <c r="CE150" s="457"/>
      <c r="CF150" s="318">
        <v>43.25</v>
      </c>
      <c r="CG150" s="430" t="s">
        <v>469</v>
      </c>
      <c r="CH150" s="430">
        <v>1</v>
      </c>
      <c r="CI150" s="360"/>
      <c r="CJ150" s="360"/>
      <c r="CK150" s="360"/>
      <c r="CL150" s="360"/>
      <c r="CM150" s="360"/>
      <c r="CN150" s="360"/>
      <c r="CO150" s="360"/>
      <c r="CP150" s="360"/>
    </row>
    <row r="151" spans="1:94" s="315" customFormat="1" ht="13" hidden="1" x14ac:dyDescent="0.25">
      <c r="A151" s="403">
        <v>140</v>
      </c>
      <c r="B151" s="313" t="s">
        <v>562</v>
      </c>
      <c r="C151" s="313" t="s">
        <v>1102</v>
      </c>
      <c r="D151" s="318" t="s">
        <v>594</v>
      </c>
      <c r="E151" s="318" t="s">
        <v>552</v>
      </c>
      <c r="F151" s="313" t="s">
        <v>244</v>
      </c>
      <c r="G151" s="313" t="s">
        <v>550</v>
      </c>
      <c r="H151" s="305" t="s">
        <v>1436</v>
      </c>
      <c r="I151" s="305" t="s">
        <v>821</v>
      </c>
      <c r="J151" s="370" t="e">
        <f>23000*V151/(IF(#REF!="yes",0.188,1))</f>
        <v>#REF!</v>
      </c>
      <c r="K151" s="370" t="e">
        <f>29000*V151/(IF(#REF!="yes",0.188,1))</f>
        <v>#REF!</v>
      </c>
      <c r="L151" s="370" t="e">
        <f>K151</f>
        <v>#REF!</v>
      </c>
      <c r="M151" s="316" t="s">
        <v>483</v>
      </c>
      <c r="N151" s="398">
        <v>2007</v>
      </c>
      <c r="O151" s="398">
        <v>2019</v>
      </c>
      <c r="P151" s="305" t="s">
        <v>463</v>
      </c>
      <c r="Q151" s="324"/>
      <c r="R151" s="305"/>
      <c r="S151" s="305"/>
      <c r="T151" s="305"/>
      <c r="U151" s="305" t="s">
        <v>536</v>
      </c>
      <c r="V151" s="426">
        <v>0.188</v>
      </c>
      <c r="W151" s="443">
        <v>7</v>
      </c>
      <c r="X151" s="448"/>
      <c r="Y151" s="429" t="e">
        <f t="shared" si="94"/>
        <v>#REF!</v>
      </c>
      <c r="Z151" s="318">
        <v>5</v>
      </c>
      <c r="AA151" s="318">
        <v>5</v>
      </c>
      <c r="AB151" s="318">
        <v>5</v>
      </c>
      <c r="AC151" s="318">
        <v>4</v>
      </c>
      <c r="AD151" s="318"/>
      <c r="AE151" s="483">
        <v>15000</v>
      </c>
      <c r="AF151" s="482" t="s">
        <v>1524</v>
      </c>
      <c r="AG151" s="482" t="s">
        <v>1524</v>
      </c>
      <c r="AH151" s="482" t="s">
        <v>1524</v>
      </c>
      <c r="AI151" s="482" t="s">
        <v>1524</v>
      </c>
      <c r="AJ151" s="482">
        <f>IF(OR(M151="Exploration", M151="Pre-feasibility", O151&gt;2017), 0, "check")</f>
        <v>0</v>
      </c>
      <c r="AK151" s="556">
        <v>23000</v>
      </c>
      <c r="AL151" s="557" t="s">
        <v>1524</v>
      </c>
      <c r="AM151" s="557" t="s">
        <v>1524</v>
      </c>
      <c r="AN151" s="557" t="s">
        <v>1524</v>
      </c>
      <c r="AO151" s="557" t="s">
        <v>1524</v>
      </c>
      <c r="AP151" s="557">
        <f>IF(OR(M151="Exploration", M151="Pre-feasibility", O151&gt;2018), 0, "check")</f>
        <v>0</v>
      </c>
      <c r="AQ151" s="483" t="str">
        <f t="shared" si="89"/>
        <v>check</v>
      </c>
      <c r="AR151" s="482" t="str">
        <f t="shared" si="103"/>
        <v>check</v>
      </c>
      <c r="AS151" s="482" t="str">
        <f t="shared" si="103"/>
        <v>check</v>
      </c>
      <c r="AT151" s="482" t="str">
        <f t="shared" si="103"/>
        <v>check</v>
      </c>
      <c r="AU151" s="482" t="str">
        <f t="shared" si="103"/>
        <v>check</v>
      </c>
      <c r="AV151" s="482" t="str">
        <f t="shared" si="90"/>
        <v>check</v>
      </c>
      <c r="AW151" s="483" t="str">
        <f t="shared" si="71"/>
        <v>check</v>
      </c>
      <c r="AX151" s="514" t="str">
        <f t="shared" si="104"/>
        <v>check</v>
      </c>
      <c r="AY151" s="514" t="s">
        <v>1524</v>
      </c>
      <c r="AZ151" s="556">
        <f t="shared" si="91"/>
        <v>15000</v>
      </c>
      <c r="BA151" s="557" t="s">
        <v>1524</v>
      </c>
      <c r="BB151" s="557" t="s">
        <v>1524</v>
      </c>
      <c r="BC151" s="557" t="s">
        <v>1524</v>
      </c>
      <c r="BD151" s="557" t="s">
        <v>1524</v>
      </c>
      <c r="BE151" s="557">
        <v>0</v>
      </c>
      <c r="BF151" s="556">
        <f t="shared" si="96"/>
        <v>23000</v>
      </c>
      <c r="BG151" s="557" t="s">
        <v>1524</v>
      </c>
      <c r="BH151" s="557" t="s">
        <v>1524</v>
      </c>
      <c r="BI151" s="557" t="s">
        <v>1524</v>
      </c>
      <c r="BJ151" s="557" t="s">
        <v>1524</v>
      </c>
      <c r="BK151" s="557">
        <v>0</v>
      </c>
      <c r="BL151" s="556" t="str">
        <f t="shared" si="93"/>
        <v>check</v>
      </c>
      <c r="BM151" s="557" t="s">
        <v>1524</v>
      </c>
      <c r="BN151" s="557" t="s">
        <v>1524</v>
      </c>
      <c r="BO151" s="557" t="s">
        <v>1524</v>
      </c>
      <c r="BP151" s="557" t="s">
        <v>1524</v>
      </c>
      <c r="BQ151" s="557" t="s">
        <v>1524</v>
      </c>
      <c r="BR151" s="318"/>
      <c r="BS151" s="318"/>
      <c r="BT151" s="318"/>
      <c r="BU151" s="318"/>
      <c r="BV151" s="318"/>
      <c r="BW151" s="318"/>
      <c r="BX151" s="318"/>
      <c r="BY151" s="318"/>
      <c r="BZ151" s="415">
        <f>(1583326291.82+306790660.43)/((153.11/(0.166*0.188))+36406.58)/6.5/1000</f>
        <v>7.0386894815275944</v>
      </c>
      <c r="CA151" s="318"/>
      <c r="CB151" s="318"/>
      <c r="CC151" s="318"/>
      <c r="CD151" s="318"/>
      <c r="CE151" s="457" t="s">
        <v>1437</v>
      </c>
      <c r="CF151" s="443">
        <v>482.7</v>
      </c>
      <c r="CG151" s="360" t="s">
        <v>562</v>
      </c>
      <c r="CH151" s="430">
        <v>1</v>
      </c>
      <c r="CI151" s="360"/>
      <c r="CJ151" s="360"/>
      <c r="CK151" s="360"/>
      <c r="CL151" s="360"/>
      <c r="CM151" s="360"/>
      <c r="CN151" s="360"/>
      <c r="CO151" s="360"/>
      <c r="CP151" s="360"/>
    </row>
    <row r="152" spans="1:94" s="315" customFormat="1" ht="13" hidden="1" x14ac:dyDescent="0.25">
      <c r="A152" s="403">
        <v>141</v>
      </c>
      <c r="B152" s="313" t="s">
        <v>562</v>
      </c>
      <c r="C152" s="313" t="s">
        <v>1126</v>
      </c>
      <c r="D152" s="318" t="s">
        <v>594</v>
      </c>
      <c r="E152" s="318" t="s">
        <v>553</v>
      </c>
      <c r="F152" s="313" t="s">
        <v>244</v>
      </c>
      <c r="G152" s="313" t="s">
        <v>550</v>
      </c>
      <c r="H152" s="305" t="s">
        <v>1434</v>
      </c>
      <c r="I152" s="305" t="s">
        <v>1435</v>
      </c>
      <c r="J152" s="370" t="e">
        <f>16000*V152/(IF(#REF!="yes",0.188,1))</f>
        <v>#REF!</v>
      </c>
      <c r="K152" s="370" t="e">
        <f>31000*V152/(IF(#REF!="yes",0.188,1))</f>
        <v>#REF!</v>
      </c>
      <c r="L152" s="370" t="e">
        <f>K152</f>
        <v>#REF!</v>
      </c>
      <c r="M152" s="316" t="s">
        <v>483</v>
      </c>
      <c r="N152" s="398">
        <v>2016</v>
      </c>
      <c r="O152" s="398">
        <v>2018</v>
      </c>
      <c r="P152" s="305" t="s">
        <v>519</v>
      </c>
      <c r="Q152" s="324"/>
      <c r="R152" s="305"/>
      <c r="S152" s="305"/>
      <c r="T152" s="305"/>
      <c r="U152" s="305" t="s">
        <v>579</v>
      </c>
      <c r="V152" s="426">
        <v>0.16600000000000001</v>
      </c>
      <c r="W152" s="443">
        <v>7</v>
      </c>
      <c r="X152" s="414"/>
      <c r="Y152" s="412" t="e">
        <f t="shared" si="94"/>
        <v>#REF!</v>
      </c>
      <c r="Z152" s="318">
        <v>5</v>
      </c>
      <c r="AA152" s="318">
        <v>5</v>
      </c>
      <c r="AB152" s="318">
        <v>5</v>
      </c>
      <c r="AC152" s="318">
        <v>4</v>
      </c>
      <c r="AD152" s="318"/>
      <c r="AE152" s="483">
        <v>14127.659574468085</v>
      </c>
      <c r="AF152" s="482" t="s">
        <v>1524</v>
      </c>
      <c r="AG152" s="482" t="s">
        <v>1524</v>
      </c>
      <c r="AH152" s="482" t="s">
        <v>1524</v>
      </c>
      <c r="AI152" s="482" t="s">
        <v>1524</v>
      </c>
      <c r="AJ152" s="482">
        <f>IF(OR(M152="Exploration", M152="Pre-feasibility", O152&gt;2017), 0, "check")</f>
        <v>0</v>
      </c>
      <c r="AK152" s="556">
        <v>14127.659574468085</v>
      </c>
      <c r="AL152" s="557" t="s">
        <v>1524</v>
      </c>
      <c r="AM152" s="557" t="s">
        <v>1524</v>
      </c>
      <c r="AN152" s="557" t="s">
        <v>1524</v>
      </c>
      <c r="AO152" s="557" t="s">
        <v>1524</v>
      </c>
      <c r="AP152" s="557" t="str">
        <f>IF(OR(M152="Exploration", M152="Pre-feasibility", O152&gt;2018), 0, "check")</f>
        <v>check</v>
      </c>
      <c r="AQ152" s="483" t="str">
        <f t="shared" ref="AQ152:AQ192" si="105">IF(OR(M152="Exploration", M152="Pre-feasibility", O152&gt;2019), 0, "check")</f>
        <v>check</v>
      </c>
      <c r="AR152" s="482" t="str">
        <f t="shared" si="103"/>
        <v>check</v>
      </c>
      <c r="AS152" s="482" t="str">
        <f t="shared" si="103"/>
        <v>check</v>
      </c>
      <c r="AT152" s="482" t="str">
        <f t="shared" si="103"/>
        <v>check</v>
      </c>
      <c r="AU152" s="482" t="str">
        <f t="shared" si="103"/>
        <v>check</v>
      </c>
      <c r="AV152" s="482" t="str">
        <f t="shared" ref="AV152:AV192" si="106">IF(OR(M152="Exploration", M152="Pre-feasibility", O152&gt;2019), 0, "check")</f>
        <v>check</v>
      </c>
      <c r="AW152" s="483" t="str">
        <f t="shared" si="71"/>
        <v>check</v>
      </c>
      <c r="AX152" s="514" t="str">
        <f t="shared" si="104"/>
        <v>check</v>
      </c>
      <c r="AY152" s="514" t="s">
        <v>1524</v>
      </c>
      <c r="AZ152" s="556">
        <f t="shared" si="91"/>
        <v>14127.659574468085</v>
      </c>
      <c r="BA152" s="557" t="s">
        <v>1524</v>
      </c>
      <c r="BB152" s="557" t="s">
        <v>1524</v>
      </c>
      <c r="BC152" s="557" t="s">
        <v>1524</v>
      </c>
      <c r="BD152" s="557" t="s">
        <v>1524</v>
      </c>
      <c r="BE152" s="557">
        <v>0</v>
      </c>
      <c r="BF152" s="556">
        <f t="shared" si="96"/>
        <v>14127.659574468085</v>
      </c>
      <c r="BG152" s="557" t="s">
        <v>1524</v>
      </c>
      <c r="BH152" s="557" t="s">
        <v>1524</v>
      </c>
      <c r="BI152" s="557" t="s">
        <v>1524</v>
      </c>
      <c r="BJ152" s="557" t="s">
        <v>1524</v>
      </c>
      <c r="BK152" s="557" t="s">
        <v>1524</v>
      </c>
      <c r="BL152" s="556" t="str">
        <f t="shared" si="93"/>
        <v>check</v>
      </c>
      <c r="BM152" s="557" t="s">
        <v>1524</v>
      </c>
      <c r="BN152" s="557" t="s">
        <v>1524</v>
      </c>
      <c r="BO152" s="557" t="s">
        <v>1524</v>
      </c>
      <c r="BP152" s="557" t="s">
        <v>1524</v>
      </c>
      <c r="BQ152" s="557" t="s">
        <v>1524</v>
      </c>
      <c r="BR152" s="318"/>
      <c r="BS152" s="318"/>
      <c r="BT152" s="318"/>
      <c r="BU152" s="318"/>
      <c r="BV152" s="318"/>
      <c r="BW152" s="318"/>
      <c r="BX152" s="318"/>
      <c r="BY152" s="318"/>
      <c r="BZ152" s="415">
        <f>(1583326291.82+306790660.43)/((153.11/(0.166*0.188))+36406.58)/6.5/1000</f>
        <v>7.0386894815275944</v>
      </c>
      <c r="CA152" s="318"/>
      <c r="CB152" s="318"/>
      <c r="CC152" s="318"/>
      <c r="CD152" s="318"/>
      <c r="CE152" s="457" t="s">
        <v>1437</v>
      </c>
      <c r="CF152" s="443">
        <v>482.7</v>
      </c>
      <c r="CG152" s="360" t="s">
        <v>562</v>
      </c>
      <c r="CH152" s="430">
        <v>1</v>
      </c>
      <c r="CI152" s="360"/>
      <c r="CJ152" s="360"/>
      <c r="CK152" s="360"/>
      <c r="CL152" s="360"/>
      <c r="CM152" s="360"/>
      <c r="CN152" s="360"/>
      <c r="CO152" s="360"/>
      <c r="CP152" s="360"/>
    </row>
    <row r="153" spans="1:94" s="315" customFormat="1" ht="13" hidden="1" x14ac:dyDescent="0.25">
      <c r="A153" s="403">
        <v>142</v>
      </c>
      <c r="B153" s="313" t="s">
        <v>562</v>
      </c>
      <c r="C153" s="313" t="s">
        <v>575</v>
      </c>
      <c r="D153" s="318" t="s">
        <v>594</v>
      </c>
      <c r="E153" s="318"/>
      <c r="F153" s="313" t="s">
        <v>244</v>
      </c>
      <c r="G153" s="313" t="s">
        <v>550</v>
      </c>
      <c r="H153" s="305" t="s">
        <v>874</v>
      </c>
      <c r="I153" s="305"/>
      <c r="J153" s="370" t="e">
        <f>2800*V153/(IF(#REF!="yes",0.188,1))</f>
        <v>#REF!</v>
      </c>
      <c r="K153" s="370" t="e">
        <f>J153</f>
        <v>#REF!</v>
      </c>
      <c r="L153" s="370" t="e">
        <f>J153</f>
        <v>#REF!</v>
      </c>
      <c r="M153" s="316" t="s">
        <v>483</v>
      </c>
      <c r="N153" s="398"/>
      <c r="O153" s="398">
        <v>2013</v>
      </c>
      <c r="P153" s="305" t="s">
        <v>519</v>
      </c>
      <c r="Q153" s="324"/>
      <c r="R153" s="305"/>
      <c r="S153" s="305"/>
      <c r="T153" s="305"/>
      <c r="U153" s="518" t="s">
        <v>804</v>
      </c>
      <c r="V153" s="426">
        <v>0.16600000000000001</v>
      </c>
      <c r="W153" s="443">
        <v>7</v>
      </c>
      <c r="X153" s="414"/>
      <c r="Y153" s="412" t="e">
        <f t="shared" si="94"/>
        <v>#REF!</v>
      </c>
      <c r="Z153" s="318">
        <v>5</v>
      </c>
      <c r="AA153" s="318">
        <v>5</v>
      </c>
      <c r="AB153" s="318">
        <v>5</v>
      </c>
      <c r="AC153" s="318">
        <v>4</v>
      </c>
      <c r="AD153" s="318"/>
      <c r="AE153" s="483">
        <v>1000</v>
      </c>
      <c r="AF153" s="482" t="s">
        <v>1524</v>
      </c>
      <c r="AG153" s="482" t="s">
        <v>1524</v>
      </c>
      <c r="AH153" s="482" t="s">
        <v>1524</v>
      </c>
      <c r="AI153" s="482" t="s">
        <v>1524</v>
      </c>
      <c r="AJ153" s="482" t="str">
        <f>IF(OR(M153="Exploration", M153="Pre-feasibility", O153&gt;2017), 0, "check")</f>
        <v>check</v>
      </c>
      <c r="AK153" s="556">
        <v>2472.3404255319151</v>
      </c>
      <c r="AL153" s="557" t="s">
        <v>1524</v>
      </c>
      <c r="AM153" s="557" t="s">
        <v>1524</v>
      </c>
      <c r="AN153" s="557" t="s">
        <v>1524</v>
      </c>
      <c r="AO153" s="557" t="s">
        <v>1524</v>
      </c>
      <c r="AP153" s="557" t="str">
        <f>IF(OR(M153="Exploration", M153="Pre-feasibility", O153&gt;2018), 0, "check")</f>
        <v>check</v>
      </c>
      <c r="AQ153" s="483">
        <v>2472.3404255319151</v>
      </c>
      <c r="AR153" s="482" t="str">
        <f t="shared" si="103"/>
        <v>check</v>
      </c>
      <c r="AS153" s="482" t="str">
        <f t="shared" si="103"/>
        <v>check</v>
      </c>
      <c r="AT153" s="482" t="str">
        <f t="shared" si="103"/>
        <v>check</v>
      </c>
      <c r="AU153" s="482" t="str">
        <f t="shared" si="103"/>
        <v>check</v>
      </c>
      <c r="AV153" s="482" t="str">
        <f t="shared" si="106"/>
        <v>check</v>
      </c>
      <c r="AW153" s="483" t="e">
        <f t="shared" si="71"/>
        <v>#REF!</v>
      </c>
      <c r="AX153" s="514" t="e">
        <f t="shared" si="104"/>
        <v>#REF!</v>
      </c>
      <c r="AY153" s="514" t="s">
        <v>1524</v>
      </c>
      <c r="AZ153" s="556">
        <f t="shared" si="91"/>
        <v>1000</v>
      </c>
      <c r="BA153" s="557" t="s">
        <v>1524</v>
      </c>
      <c r="BB153" s="557" t="s">
        <v>1524</v>
      </c>
      <c r="BC153" s="557" t="s">
        <v>1524</v>
      </c>
      <c r="BD153" s="557" t="s">
        <v>1524</v>
      </c>
      <c r="BE153" s="557" t="s">
        <v>1524</v>
      </c>
      <c r="BF153" s="556">
        <f t="shared" si="96"/>
        <v>2472.3404255319151</v>
      </c>
      <c r="BG153" s="557" t="s">
        <v>1524</v>
      </c>
      <c r="BH153" s="557" t="s">
        <v>1524</v>
      </c>
      <c r="BI153" s="557" t="s">
        <v>1524</v>
      </c>
      <c r="BJ153" s="557" t="s">
        <v>1524</v>
      </c>
      <c r="BK153" s="557" t="s">
        <v>1524</v>
      </c>
      <c r="BL153" s="556">
        <f t="shared" si="93"/>
        <v>2472.3404255319151</v>
      </c>
      <c r="BM153" s="557" t="s">
        <v>1524</v>
      </c>
      <c r="BN153" s="557" t="s">
        <v>1524</v>
      </c>
      <c r="BO153" s="557" t="s">
        <v>1524</v>
      </c>
      <c r="BP153" s="557" t="s">
        <v>1524</v>
      </c>
      <c r="BQ153" s="557" t="s">
        <v>1524</v>
      </c>
      <c r="BR153" s="318"/>
      <c r="BS153" s="318"/>
      <c r="BT153" s="318"/>
      <c r="BU153" s="318"/>
      <c r="BV153" s="318"/>
      <c r="BW153" s="318"/>
      <c r="BX153" s="318"/>
      <c r="BY153" s="318"/>
      <c r="BZ153" s="415">
        <f>(1583326291.82+306790660.43)/((153.11/(0.166*0.188))+36406.58)/6.5/1000</f>
        <v>7.0386894815275944</v>
      </c>
      <c r="CA153" s="318"/>
      <c r="CB153" s="318"/>
      <c r="CC153" s="318"/>
      <c r="CD153" s="318"/>
      <c r="CE153" s="457"/>
      <c r="CF153" s="443">
        <v>482.7</v>
      </c>
      <c r="CG153" s="360" t="s">
        <v>562</v>
      </c>
      <c r="CH153" s="430">
        <v>1</v>
      </c>
      <c r="CI153" s="360"/>
      <c r="CJ153" s="360"/>
      <c r="CK153" s="360"/>
      <c r="CL153" s="360"/>
      <c r="CM153" s="360"/>
      <c r="CN153" s="360"/>
      <c r="CO153" s="360"/>
      <c r="CP153" s="360"/>
    </row>
    <row r="154" spans="1:94" s="315" customFormat="1" ht="13" hidden="1" x14ac:dyDescent="0.25">
      <c r="A154" s="403">
        <v>143</v>
      </c>
      <c r="B154" s="313" t="s">
        <v>562</v>
      </c>
      <c r="C154" s="313" t="s">
        <v>822</v>
      </c>
      <c r="D154" s="318" t="s">
        <v>594</v>
      </c>
      <c r="E154" s="318"/>
      <c r="F154" s="313" t="s">
        <v>244</v>
      </c>
      <c r="G154" s="313" t="s">
        <v>550</v>
      </c>
      <c r="H154" s="305" t="s">
        <v>922</v>
      </c>
      <c r="I154" s="305"/>
      <c r="J154" s="370" t="e">
        <f>500*V154/(IF(#REF!="yes",0.188,1))</f>
        <v>#REF!</v>
      </c>
      <c r="K154" s="370" t="e">
        <f>J154</f>
        <v>#REF!</v>
      </c>
      <c r="L154" s="370" t="e">
        <f>J154</f>
        <v>#REF!</v>
      </c>
      <c r="M154" s="316" t="s">
        <v>483</v>
      </c>
      <c r="N154" s="398"/>
      <c r="O154" s="398">
        <v>2011</v>
      </c>
      <c r="P154" s="305" t="s">
        <v>519</v>
      </c>
      <c r="Q154" s="324"/>
      <c r="R154" s="305"/>
      <c r="S154" s="305"/>
      <c r="T154" s="305"/>
      <c r="U154" s="305" t="s">
        <v>804</v>
      </c>
      <c r="V154" s="426">
        <v>1</v>
      </c>
      <c r="W154" s="443">
        <v>7</v>
      </c>
      <c r="X154" s="448"/>
      <c r="Y154" s="429" t="e">
        <f t="shared" si="94"/>
        <v>#REF!</v>
      </c>
      <c r="Z154" s="318">
        <v>5</v>
      </c>
      <c r="AA154" s="318">
        <v>5</v>
      </c>
      <c r="AB154" s="318">
        <v>5</v>
      </c>
      <c r="AC154" s="318">
        <v>4</v>
      </c>
      <c r="AD154" s="318"/>
      <c r="AE154" s="483">
        <v>1000</v>
      </c>
      <c r="AF154" s="482" t="s">
        <v>1524</v>
      </c>
      <c r="AG154" s="482" t="s">
        <v>1524</v>
      </c>
      <c r="AH154" s="482" t="s">
        <v>1524</v>
      </c>
      <c r="AI154" s="482" t="s">
        <v>1524</v>
      </c>
      <c r="AJ154" s="482" t="str">
        <f>IF(OR(M154="Exploration", M154="Pre-feasibility", O154&gt;2017), 0, "check")</f>
        <v>check</v>
      </c>
      <c r="AK154" s="556">
        <v>2659.5744680851062</v>
      </c>
      <c r="AL154" s="557" t="s">
        <v>1524</v>
      </c>
      <c r="AM154" s="557" t="s">
        <v>1524</v>
      </c>
      <c r="AN154" s="557" t="s">
        <v>1524</v>
      </c>
      <c r="AO154" s="557" t="s">
        <v>1524</v>
      </c>
      <c r="AP154" s="557" t="str">
        <f>IF(OR(M154="Exploration", M154="Pre-feasibility", O154&gt;2018), 0, "check")</f>
        <v>check</v>
      </c>
      <c r="AQ154" s="483">
        <v>2659.5744680851062</v>
      </c>
      <c r="AR154" s="482" t="str">
        <f t="shared" si="103"/>
        <v>check</v>
      </c>
      <c r="AS154" s="482" t="str">
        <f t="shared" si="103"/>
        <v>check</v>
      </c>
      <c r="AT154" s="482" t="str">
        <f t="shared" si="103"/>
        <v>check</v>
      </c>
      <c r="AU154" s="482" t="str">
        <f t="shared" si="103"/>
        <v>check</v>
      </c>
      <c r="AV154" s="482" t="str">
        <f t="shared" si="106"/>
        <v>check</v>
      </c>
      <c r="AW154" s="483" t="e">
        <f t="shared" ref="AW154:AW217" si="107">IF(OR(ISBLANK($O154),$O154&gt;2022,$M154="Cancelled",$N154&gt;2020),0,IF($M154="Pre-feasibility",0,IF($O154&lt;2018,$L154,"check")))</f>
        <v>#REF!</v>
      </c>
      <c r="AX154" s="514" t="e">
        <f t="shared" si="104"/>
        <v>#REF!</v>
      </c>
      <c r="AY154" s="514" t="s">
        <v>1524</v>
      </c>
      <c r="AZ154" s="556">
        <f t="shared" si="91"/>
        <v>1000</v>
      </c>
      <c r="BA154" s="557" t="s">
        <v>1524</v>
      </c>
      <c r="BB154" s="557" t="s">
        <v>1524</v>
      </c>
      <c r="BC154" s="557" t="s">
        <v>1524</v>
      </c>
      <c r="BD154" s="557" t="s">
        <v>1524</v>
      </c>
      <c r="BE154" s="557" t="s">
        <v>1524</v>
      </c>
      <c r="BF154" s="556">
        <f t="shared" si="96"/>
        <v>2659.5744680851062</v>
      </c>
      <c r="BG154" s="557" t="s">
        <v>1524</v>
      </c>
      <c r="BH154" s="557" t="s">
        <v>1524</v>
      </c>
      <c r="BI154" s="557" t="s">
        <v>1524</v>
      </c>
      <c r="BJ154" s="557" t="s">
        <v>1524</v>
      </c>
      <c r="BK154" s="557" t="s">
        <v>1524</v>
      </c>
      <c r="BL154" s="556">
        <f t="shared" si="93"/>
        <v>2659.5744680851062</v>
      </c>
      <c r="BM154" s="557" t="s">
        <v>1524</v>
      </c>
      <c r="BN154" s="557" t="s">
        <v>1524</v>
      </c>
      <c r="BO154" s="557" t="s">
        <v>1524</v>
      </c>
      <c r="BP154" s="557" t="s">
        <v>1524</v>
      </c>
      <c r="BQ154" s="557" t="s">
        <v>1524</v>
      </c>
      <c r="BR154" s="318"/>
      <c r="BS154" s="318"/>
      <c r="BT154" s="318"/>
      <c r="BU154" s="318"/>
      <c r="BV154" s="318"/>
      <c r="BW154" s="318"/>
      <c r="BX154" s="318"/>
      <c r="BY154" s="318"/>
      <c r="BZ154" s="415">
        <f>(1583326291.82+306790660.43)/((153.11/(0.166*0.188))+36406.58)/6.5/1000</f>
        <v>7.0386894815275944</v>
      </c>
      <c r="CA154" s="318"/>
      <c r="CB154" s="318"/>
      <c r="CC154" s="318"/>
      <c r="CD154" s="318"/>
      <c r="CE154" s="457"/>
      <c r="CF154" s="443">
        <v>482.7</v>
      </c>
      <c r="CG154" s="360" t="s">
        <v>562</v>
      </c>
      <c r="CH154" s="430">
        <v>1</v>
      </c>
      <c r="CI154" s="360"/>
      <c r="CJ154" s="360"/>
      <c r="CK154" s="360"/>
      <c r="CL154" s="360"/>
      <c r="CM154" s="360"/>
      <c r="CN154" s="360"/>
      <c r="CO154" s="360"/>
      <c r="CP154" s="360"/>
    </row>
    <row r="155" spans="1:94" s="315" customFormat="1" ht="13" hidden="1" x14ac:dyDescent="0.25">
      <c r="A155" s="403">
        <v>144</v>
      </c>
      <c r="B155" s="313" t="s">
        <v>562</v>
      </c>
      <c r="C155" s="313" t="s">
        <v>823</v>
      </c>
      <c r="D155" s="318" t="s">
        <v>594</v>
      </c>
      <c r="E155" s="318"/>
      <c r="F155" s="313" t="s">
        <v>244</v>
      </c>
      <c r="G155" s="313" t="s">
        <v>550</v>
      </c>
      <c r="H155" s="305"/>
      <c r="I155" s="305" t="s">
        <v>829</v>
      </c>
      <c r="J155" s="370" t="e">
        <f>15000*V155/(IF(#REF!="yes",0.188,1))</f>
        <v>#REF!</v>
      </c>
      <c r="K155" s="370" t="e">
        <f>17500*V155/(IF(#REF!="yes",0.188,1))</f>
        <v>#REF!</v>
      </c>
      <c r="L155" s="370" t="e">
        <f>K155</f>
        <v>#REF!</v>
      </c>
      <c r="M155" s="316" t="s">
        <v>484</v>
      </c>
      <c r="N155" s="398">
        <v>2017</v>
      </c>
      <c r="O155" s="398">
        <v>2019</v>
      </c>
      <c r="P155" s="305" t="s">
        <v>519</v>
      </c>
      <c r="Q155" s="324"/>
      <c r="R155" s="305"/>
      <c r="S155" s="305"/>
      <c r="T155" s="305"/>
      <c r="U155" s="305" t="s">
        <v>536</v>
      </c>
      <c r="V155" s="426">
        <v>0.188</v>
      </c>
      <c r="W155" s="443">
        <v>7</v>
      </c>
      <c r="X155" s="448"/>
      <c r="Y155" s="429" t="e">
        <f t="shared" si="94"/>
        <v>#REF!</v>
      </c>
      <c r="Z155" s="318">
        <v>5</v>
      </c>
      <c r="AA155" s="318">
        <v>5</v>
      </c>
      <c r="AB155" s="318">
        <v>5</v>
      </c>
      <c r="AC155" s="318">
        <v>4</v>
      </c>
      <c r="AD155" s="318"/>
      <c r="AE155" s="483">
        <f t="shared" ref="AE155:AJ156" si="108">IF(OR($M155="Exploration", $M155="Pre-feasibility", $O155&gt;2017), 0, "check")</f>
        <v>0</v>
      </c>
      <c r="AF155" s="482">
        <f t="shared" si="108"/>
        <v>0</v>
      </c>
      <c r="AG155" s="482">
        <f t="shared" si="108"/>
        <v>0</v>
      </c>
      <c r="AH155" s="482">
        <f t="shared" si="108"/>
        <v>0</v>
      </c>
      <c r="AI155" s="482">
        <f t="shared" si="108"/>
        <v>0</v>
      </c>
      <c r="AJ155" s="482">
        <f t="shared" si="108"/>
        <v>0</v>
      </c>
      <c r="AK155" s="556">
        <v>15000</v>
      </c>
      <c r="AL155" s="557" t="s">
        <v>1524</v>
      </c>
      <c r="AM155" s="557" t="s">
        <v>1524</v>
      </c>
      <c r="AN155" s="557" t="s">
        <v>1524</v>
      </c>
      <c r="AO155" s="557" t="s">
        <v>1524</v>
      </c>
      <c r="AP155" s="557">
        <f>IF(OR(M155="Exploration", M155="Pre-feasibility", O155&gt;2018), 0, "check")</f>
        <v>0</v>
      </c>
      <c r="AQ155" s="483" t="str">
        <f t="shared" si="105"/>
        <v>check</v>
      </c>
      <c r="AR155" s="482" t="str">
        <f t="shared" si="103"/>
        <v>check</v>
      </c>
      <c r="AS155" s="482" t="str">
        <f t="shared" si="103"/>
        <v>check</v>
      </c>
      <c r="AT155" s="482" t="str">
        <f t="shared" si="103"/>
        <v>check</v>
      </c>
      <c r="AU155" s="482" t="str">
        <f t="shared" si="103"/>
        <v>check</v>
      </c>
      <c r="AV155" s="482" t="str">
        <f t="shared" si="106"/>
        <v>check</v>
      </c>
      <c r="AW155" s="483" t="str">
        <f t="shared" si="107"/>
        <v>check</v>
      </c>
      <c r="AX155" s="514" t="str">
        <f t="shared" si="104"/>
        <v>check</v>
      </c>
      <c r="AY155" s="514" t="s">
        <v>1524</v>
      </c>
      <c r="AZ155" s="556">
        <f t="shared" si="91"/>
        <v>0</v>
      </c>
      <c r="BA155" s="557">
        <v>0</v>
      </c>
      <c r="BB155" s="557">
        <v>0</v>
      </c>
      <c r="BC155" s="557">
        <v>0</v>
      </c>
      <c r="BD155" s="557">
        <v>0</v>
      </c>
      <c r="BE155" s="557">
        <v>0</v>
      </c>
      <c r="BF155" s="556">
        <f t="shared" si="96"/>
        <v>15000</v>
      </c>
      <c r="BG155" s="557" t="s">
        <v>1524</v>
      </c>
      <c r="BH155" s="557" t="s">
        <v>1524</v>
      </c>
      <c r="BI155" s="557" t="s">
        <v>1524</v>
      </c>
      <c r="BJ155" s="557" t="s">
        <v>1524</v>
      </c>
      <c r="BK155" s="557">
        <v>0</v>
      </c>
      <c r="BL155" s="556" t="str">
        <f t="shared" si="93"/>
        <v>check</v>
      </c>
      <c r="BM155" s="557" t="s">
        <v>1524</v>
      </c>
      <c r="BN155" s="557" t="s">
        <v>1524</v>
      </c>
      <c r="BO155" s="557" t="s">
        <v>1524</v>
      </c>
      <c r="BP155" s="557" t="s">
        <v>1524</v>
      </c>
      <c r="BQ155" s="557" t="s">
        <v>1524</v>
      </c>
      <c r="BR155" s="318"/>
      <c r="BS155" s="318"/>
      <c r="BT155" s="318"/>
      <c r="BU155" s="318"/>
      <c r="BV155" s="318"/>
      <c r="BW155" s="318"/>
      <c r="BX155" s="318"/>
      <c r="BY155" s="318"/>
      <c r="BZ155" s="318"/>
      <c r="CA155" s="318"/>
      <c r="CB155" s="318"/>
      <c r="CC155" s="318"/>
      <c r="CD155" s="318"/>
      <c r="CE155" s="457"/>
      <c r="CF155" s="443">
        <v>482.7</v>
      </c>
      <c r="CG155" s="360" t="s">
        <v>562</v>
      </c>
      <c r="CH155" s="430">
        <v>1</v>
      </c>
      <c r="CI155" s="360"/>
      <c r="CJ155" s="360"/>
      <c r="CK155" s="360"/>
      <c r="CL155" s="360"/>
      <c r="CM155" s="360"/>
      <c r="CN155" s="360"/>
      <c r="CO155" s="360"/>
      <c r="CP155" s="360"/>
    </row>
    <row r="156" spans="1:94" s="315" customFormat="1" ht="37.5" hidden="1" x14ac:dyDescent="0.25">
      <c r="A156" s="403">
        <v>145</v>
      </c>
      <c r="B156" s="313" t="s">
        <v>562</v>
      </c>
      <c r="C156" s="313" t="s">
        <v>828</v>
      </c>
      <c r="D156" s="318" t="s">
        <v>594</v>
      </c>
      <c r="E156" s="318"/>
      <c r="F156" s="313" t="s">
        <v>244</v>
      </c>
      <c r="G156" s="313" t="s">
        <v>834</v>
      </c>
      <c r="H156" s="305"/>
      <c r="I156" s="305"/>
      <c r="J156" s="370">
        <v>0</v>
      </c>
      <c r="K156" s="370">
        <v>0</v>
      </c>
      <c r="L156" s="546">
        <f>K156-J156</f>
        <v>0</v>
      </c>
      <c r="M156" s="316" t="s">
        <v>483</v>
      </c>
      <c r="N156" s="398"/>
      <c r="O156" s="398">
        <v>2016</v>
      </c>
      <c r="P156" s="305" t="s">
        <v>234</v>
      </c>
      <c r="Q156" s="324"/>
      <c r="R156" s="305"/>
      <c r="S156" s="305"/>
      <c r="T156" s="305"/>
      <c r="U156" s="305" t="s">
        <v>921</v>
      </c>
      <c r="V156" s="426">
        <v>1</v>
      </c>
      <c r="W156" s="443"/>
      <c r="X156" s="448"/>
      <c r="Y156" s="429" t="str">
        <f t="shared" si="94"/>
        <v/>
      </c>
      <c r="Z156" s="318">
        <v>5</v>
      </c>
      <c r="AA156" s="318">
        <v>5</v>
      </c>
      <c r="AB156" s="318">
        <v>5</v>
      </c>
      <c r="AC156" s="318">
        <v>4</v>
      </c>
      <c r="AD156" s="318"/>
      <c r="AE156" s="483" t="str">
        <f t="shared" si="108"/>
        <v>check</v>
      </c>
      <c r="AF156" s="482" t="str">
        <f t="shared" si="108"/>
        <v>check</v>
      </c>
      <c r="AG156" s="482" t="str">
        <f t="shared" si="108"/>
        <v>check</v>
      </c>
      <c r="AH156" s="482" t="str">
        <f t="shared" si="108"/>
        <v>check</v>
      </c>
      <c r="AI156" s="482" t="str">
        <f t="shared" si="108"/>
        <v>check</v>
      </c>
      <c r="AJ156" s="482" t="str">
        <f t="shared" si="108"/>
        <v>check</v>
      </c>
      <c r="AK156" s="556" t="str">
        <f t="shared" ref="AK156:AP156" si="109">IF(OR($M156="Exploration", $M156="Pre-feasibility", $O156&gt;2018), 0, "check")</f>
        <v>check</v>
      </c>
      <c r="AL156" s="557" t="str">
        <f t="shared" si="109"/>
        <v>check</v>
      </c>
      <c r="AM156" s="557" t="str">
        <f t="shared" si="109"/>
        <v>check</v>
      </c>
      <c r="AN156" s="557" t="str">
        <f t="shared" si="109"/>
        <v>check</v>
      </c>
      <c r="AO156" s="557" t="str">
        <f t="shared" si="109"/>
        <v>check</v>
      </c>
      <c r="AP156" s="557" t="str">
        <f t="shared" si="109"/>
        <v>check</v>
      </c>
      <c r="AQ156" s="483" t="str">
        <f t="shared" si="105"/>
        <v>check</v>
      </c>
      <c r="AR156" s="482" t="str">
        <f t="shared" si="103"/>
        <v>check</v>
      </c>
      <c r="AS156" s="482" t="str">
        <f t="shared" si="103"/>
        <v>check</v>
      </c>
      <c r="AT156" s="482" t="str">
        <f t="shared" si="103"/>
        <v>check</v>
      </c>
      <c r="AU156" s="482" t="str">
        <f t="shared" si="103"/>
        <v>check</v>
      </c>
      <c r="AV156" s="482" t="str">
        <f t="shared" si="106"/>
        <v>check</v>
      </c>
      <c r="AW156" s="520" t="s">
        <v>1524</v>
      </c>
      <c r="AX156" s="514" t="str">
        <f t="shared" si="104"/>
        <v>check</v>
      </c>
      <c r="AY156" s="514" t="s">
        <v>1524</v>
      </c>
      <c r="AZ156" s="556" t="str">
        <f t="shared" si="91"/>
        <v>check</v>
      </c>
      <c r="BA156" s="557" t="s">
        <v>1524</v>
      </c>
      <c r="BB156" s="557" t="s">
        <v>1524</v>
      </c>
      <c r="BC156" s="557" t="s">
        <v>1524</v>
      </c>
      <c r="BD156" s="557" t="s">
        <v>1524</v>
      </c>
      <c r="BE156" s="557" t="s">
        <v>1524</v>
      </c>
      <c r="BF156" s="556" t="str">
        <f t="shared" si="96"/>
        <v>check</v>
      </c>
      <c r="BG156" s="557" t="s">
        <v>1524</v>
      </c>
      <c r="BH156" s="557" t="s">
        <v>1524</v>
      </c>
      <c r="BI156" s="557" t="s">
        <v>1524</v>
      </c>
      <c r="BJ156" s="557" t="s">
        <v>1524</v>
      </c>
      <c r="BK156" s="557" t="s">
        <v>1524</v>
      </c>
      <c r="BL156" s="556" t="str">
        <f t="shared" si="93"/>
        <v>check</v>
      </c>
      <c r="BM156" s="557" t="s">
        <v>1524</v>
      </c>
      <c r="BN156" s="557" t="s">
        <v>1524</v>
      </c>
      <c r="BO156" s="557" t="s">
        <v>1524</v>
      </c>
      <c r="BP156" s="557" t="s">
        <v>1524</v>
      </c>
      <c r="BQ156" s="557" t="s">
        <v>1524</v>
      </c>
      <c r="BR156" s="318"/>
      <c r="BS156" s="318"/>
      <c r="BT156" s="318"/>
      <c r="BU156" s="318"/>
      <c r="BV156" s="318"/>
      <c r="BW156" s="318"/>
      <c r="BX156" s="318"/>
      <c r="BY156" s="318"/>
      <c r="BZ156" s="318"/>
      <c r="CA156" s="318"/>
      <c r="CB156" s="318"/>
      <c r="CC156" s="318"/>
      <c r="CD156" s="318"/>
      <c r="CE156" s="457"/>
      <c r="CF156" s="443">
        <v>482.7</v>
      </c>
      <c r="CG156" s="360" t="s">
        <v>562</v>
      </c>
      <c r="CH156" s="430">
        <v>1</v>
      </c>
      <c r="CI156" s="360"/>
      <c r="CJ156" s="360"/>
      <c r="CK156" s="360"/>
      <c r="CL156" s="360"/>
      <c r="CM156" s="360"/>
      <c r="CN156" s="360"/>
      <c r="CO156" s="360"/>
      <c r="CP156" s="360"/>
    </row>
    <row r="157" spans="1:94" s="315" customFormat="1" ht="62.5" hidden="1" x14ac:dyDescent="0.25">
      <c r="A157" s="403">
        <v>146</v>
      </c>
      <c r="B157" s="313" t="s">
        <v>875</v>
      </c>
      <c r="C157" s="313" t="s">
        <v>825</v>
      </c>
      <c r="D157" s="318" t="s">
        <v>594</v>
      </c>
      <c r="E157" s="318"/>
      <c r="F157" s="313" t="s">
        <v>244</v>
      </c>
      <c r="G157" s="313" t="s">
        <v>792</v>
      </c>
      <c r="H157" s="305" t="s">
        <v>876</v>
      </c>
      <c r="I157" s="305"/>
      <c r="J157" s="370" t="e">
        <f>6500*V157/(IF(#REF!="yes",0.188,1))</f>
        <v>#REF!</v>
      </c>
      <c r="K157" s="370" t="e">
        <f>J157</f>
        <v>#REF!</v>
      </c>
      <c r="L157" s="370" t="e">
        <f>J157</f>
        <v>#REF!</v>
      </c>
      <c r="M157" s="316" t="s">
        <v>483</v>
      </c>
      <c r="N157" s="398"/>
      <c r="O157" s="398">
        <v>2012</v>
      </c>
      <c r="P157" s="305" t="s">
        <v>519</v>
      </c>
      <c r="Q157" s="324"/>
      <c r="R157" s="305"/>
      <c r="S157" s="305"/>
      <c r="T157" s="305"/>
      <c r="U157" s="305" t="s">
        <v>536</v>
      </c>
      <c r="V157" s="426">
        <v>0.188</v>
      </c>
      <c r="W157" s="443">
        <v>4.5</v>
      </c>
      <c r="X157" s="414"/>
      <c r="Y157" s="412" t="e">
        <f>IF(W157="","",5-((W157-(MIN($W$12:$W$261)))/(MAX($W$12:$W$261)-MIN($W$12:$W$261)))*5)</f>
        <v>#REF!</v>
      </c>
      <c r="Z157" s="318">
        <v>4</v>
      </c>
      <c r="AA157" s="318">
        <v>3</v>
      </c>
      <c r="AB157" s="318">
        <v>3</v>
      </c>
      <c r="AC157" s="318">
        <v>1</v>
      </c>
      <c r="AD157" s="318"/>
      <c r="AE157" s="483">
        <v>6000</v>
      </c>
      <c r="AF157" s="482" t="s">
        <v>1524</v>
      </c>
      <c r="AG157" s="482" t="s">
        <v>1524</v>
      </c>
      <c r="AH157" s="482" t="s">
        <v>1524</v>
      </c>
      <c r="AI157" s="482" t="s">
        <v>1524</v>
      </c>
      <c r="AJ157" s="482" t="str">
        <f t="shared" ref="AJ157:AJ163" si="110">IF(OR(M157="Exploration", M157="Pre-feasibility", O157&gt;2017), 0, "check")</f>
        <v>check</v>
      </c>
      <c r="AK157" s="556">
        <v>6500</v>
      </c>
      <c r="AL157" s="557" t="s">
        <v>1524</v>
      </c>
      <c r="AM157" s="557" t="s">
        <v>1524</v>
      </c>
      <c r="AN157" s="557" t="s">
        <v>1524</v>
      </c>
      <c r="AO157" s="557" t="s">
        <v>1524</v>
      </c>
      <c r="AP157" s="557" t="str">
        <f t="shared" ref="AP157:AP163" si="111">IF(OR(M157="Exploration", M157="Pre-feasibility", O157&gt;2018), 0, "check")</f>
        <v>check</v>
      </c>
      <c r="AQ157" s="483" t="str">
        <f t="shared" si="105"/>
        <v>check</v>
      </c>
      <c r="AR157" s="482" t="str">
        <f t="shared" si="103"/>
        <v>check</v>
      </c>
      <c r="AS157" s="482" t="str">
        <f t="shared" si="103"/>
        <v>check</v>
      </c>
      <c r="AT157" s="482" t="str">
        <f t="shared" si="103"/>
        <v>check</v>
      </c>
      <c r="AU157" s="482" t="str">
        <f t="shared" si="103"/>
        <v>check</v>
      </c>
      <c r="AV157" s="482" t="str">
        <f t="shared" si="106"/>
        <v>check</v>
      </c>
      <c r="AW157" s="483" t="e">
        <f t="shared" si="107"/>
        <v>#REF!</v>
      </c>
      <c r="AX157" s="514" t="e">
        <f t="shared" si="104"/>
        <v>#REF!</v>
      </c>
      <c r="AY157" s="514" t="s">
        <v>1524</v>
      </c>
      <c r="AZ157" s="556">
        <f t="shared" si="91"/>
        <v>6000</v>
      </c>
      <c r="BA157" s="557" t="s">
        <v>1524</v>
      </c>
      <c r="BB157" s="557" t="s">
        <v>1524</v>
      </c>
      <c r="BC157" s="557" t="s">
        <v>1524</v>
      </c>
      <c r="BD157" s="557" t="s">
        <v>1524</v>
      </c>
      <c r="BE157" s="557" t="s">
        <v>1524</v>
      </c>
      <c r="BF157" s="556">
        <f t="shared" si="96"/>
        <v>6500</v>
      </c>
      <c r="BG157" s="557" t="s">
        <v>1524</v>
      </c>
      <c r="BH157" s="557" t="s">
        <v>1524</v>
      </c>
      <c r="BI157" s="557" t="s">
        <v>1524</v>
      </c>
      <c r="BJ157" s="557" t="s">
        <v>1524</v>
      </c>
      <c r="BK157" s="557" t="s">
        <v>1524</v>
      </c>
      <c r="BL157" s="556" t="str">
        <f t="shared" si="93"/>
        <v>check</v>
      </c>
      <c r="BM157" s="557" t="s">
        <v>1524</v>
      </c>
      <c r="BN157" s="557" t="s">
        <v>1524</v>
      </c>
      <c r="BO157" s="557" t="s">
        <v>1524</v>
      </c>
      <c r="BP157" s="557" t="s">
        <v>1524</v>
      </c>
      <c r="BQ157" s="557" t="s">
        <v>1524</v>
      </c>
      <c r="BR157" s="318"/>
      <c r="BS157" s="318"/>
      <c r="BT157" s="318"/>
      <c r="BU157" s="318"/>
      <c r="BV157" s="318"/>
      <c r="BW157" s="318"/>
      <c r="BX157" s="318"/>
      <c r="BY157" s="318"/>
      <c r="BZ157" s="318" t="s">
        <v>1511</v>
      </c>
      <c r="CA157" s="318"/>
      <c r="CB157" s="318"/>
      <c r="CC157" s="318"/>
      <c r="CD157" s="318"/>
      <c r="CE157" s="457"/>
      <c r="CF157" s="443"/>
      <c r="CG157" s="360" t="s">
        <v>875</v>
      </c>
      <c r="CH157" s="430">
        <v>1</v>
      </c>
      <c r="CI157" s="360"/>
      <c r="CJ157" s="360"/>
      <c r="CK157" s="360"/>
      <c r="CL157" s="360"/>
      <c r="CM157" s="360"/>
      <c r="CN157" s="360"/>
      <c r="CO157" s="360"/>
      <c r="CP157" s="360"/>
    </row>
    <row r="158" spans="1:94" s="315" customFormat="1" ht="25" hidden="1" x14ac:dyDescent="0.25">
      <c r="A158" s="403">
        <v>147</v>
      </c>
      <c r="B158" s="313" t="s">
        <v>988</v>
      </c>
      <c r="C158" s="313" t="s">
        <v>1055</v>
      </c>
      <c r="D158" s="318" t="s">
        <v>594</v>
      </c>
      <c r="E158" s="318"/>
      <c r="F158" s="313" t="s">
        <v>244</v>
      </c>
      <c r="G158" s="313" t="s">
        <v>576</v>
      </c>
      <c r="H158" s="305" t="s">
        <v>1176</v>
      </c>
      <c r="I158" s="305" t="s">
        <v>1177</v>
      </c>
      <c r="J158" s="370" t="e">
        <f>10000*V158/(IF(#REF!="yes",0.188,1))</f>
        <v>#REF!</v>
      </c>
      <c r="K158" s="370" t="e">
        <f>20000*V158/(IF(#REF!="yes",0.188,1))</f>
        <v>#REF!</v>
      </c>
      <c r="L158" s="370" t="e">
        <f>K158</f>
        <v>#REF!</v>
      </c>
      <c r="M158" s="316" t="s">
        <v>484</v>
      </c>
      <c r="N158" s="398">
        <v>2017</v>
      </c>
      <c r="O158" s="398">
        <v>2020</v>
      </c>
      <c r="P158" s="305" t="s">
        <v>519</v>
      </c>
      <c r="Q158" s="324"/>
      <c r="R158" s="305"/>
      <c r="S158" s="305"/>
      <c r="T158" s="305"/>
      <c r="U158" s="305" t="s">
        <v>536</v>
      </c>
      <c r="V158" s="426">
        <v>0.188</v>
      </c>
      <c r="W158" s="443">
        <v>5</v>
      </c>
      <c r="X158" s="448"/>
      <c r="Y158" s="412" t="e">
        <f t="shared" si="94"/>
        <v>#REF!</v>
      </c>
      <c r="Z158" s="318">
        <v>2</v>
      </c>
      <c r="AA158" s="318">
        <v>3</v>
      </c>
      <c r="AB158" s="318">
        <v>2</v>
      </c>
      <c r="AC158" s="318">
        <v>3</v>
      </c>
      <c r="AD158" s="318"/>
      <c r="AE158" s="493">
        <v>10000</v>
      </c>
      <c r="AF158" s="482">
        <v>0</v>
      </c>
      <c r="AG158" s="482">
        <v>0</v>
      </c>
      <c r="AH158" s="482">
        <v>0</v>
      </c>
      <c r="AI158" s="482">
        <v>0</v>
      </c>
      <c r="AJ158" s="482">
        <f t="shared" si="110"/>
        <v>0</v>
      </c>
      <c r="AK158" s="554">
        <v>10000</v>
      </c>
      <c r="AL158" s="557">
        <v>0</v>
      </c>
      <c r="AM158" s="557">
        <v>0</v>
      </c>
      <c r="AN158" s="557">
        <v>0</v>
      </c>
      <c r="AO158" s="557">
        <v>0</v>
      </c>
      <c r="AP158" s="557">
        <f t="shared" si="111"/>
        <v>0</v>
      </c>
      <c r="AQ158" s="483">
        <f t="shared" si="105"/>
        <v>0</v>
      </c>
      <c r="AR158" s="482">
        <f t="shared" si="103"/>
        <v>0</v>
      </c>
      <c r="AS158" s="482">
        <f t="shared" si="103"/>
        <v>0</v>
      </c>
      <c r="AT158" s="482">
        <f t="shared" si="103"/>
        <v>0</v>
      </c>
      <c r="AU158" s="482">
        <f t="shared" si="103"/>
        <v>0</v>
      </c>
      <c r="AV158" s="482">
        <f t="shared" si="106"/>
        <v>0</v>
      </c>
      <c r="AW158" s="483" t="str">
        <f t="shared" si="107"/>
        <v>check</v>
      </c>
      <c r="AX158" s="514" t="str">
        <f t="shared" si="104"/>
        <v>check</v>
      </c>
      <c r="AY158" s="514" t="s">
        <v>1524</v>
      </c>
      <c r="AZ158" s="556">
        <f t="shared" si="91"/>
        <v>10000</v>
      </c>
      <c r="BA158" s="557">
        <v>0</v>
      </c>
      <c r="BB158" s="557">
        <v>0</v>
      </c>
      <c r="BC158" s="557">
        <v>0</v>
      </c>
      <c r="BD158" s="557">
        <v>0</v>
      </c>
      <c r="BE158" s="557" t="str">
        <f t="shared" ref="BE158" si="112">IF(OR(AH158="Exploration", AH158="Pre-feasibility", AJ158&gt;2017), 0, "check")</f>
        <v>check</v>
      </c>
      <c r="BF158" s="556">
        <f t="shared" si="96"/>
        <v>10000</v>
      </c>
      <c r="BG158" s="557">
        <v>0</v>
      </c>
      <c r="BH158" s="557">
        <v>0</v>
      </c>
      <c r="BI158" s="557">
        <v>0</v>
      </c>
      <c r="BJ158" s="557">
        <v>0</v>
      </c>
      <c r="BK158" s="557" t="str">
        <f t="shared" ref="BK158" si="113">IF(OR(AH158="Exploration", AH158="Pre-feasibility", AJ158&gt;2018), 0, "check")</f>
        <v>check</v>
      </c>
      <c r="BL158" s="556">
        <f t="shared" si="93"/>
        <v>0</v>
      </c>
      <c r="BM158" s="557">
        <f t="shared" ref="BM158:BP158" si="114">IF(OR($M158="Exploration", $M158="Pre-feasibility", $O158&gt;2019), 0, "check")</f>
        <v>0</v>
      </c>
      <c r="BN158" s="557">
        <f t="shared" si="114"/>
        <v>0</v>
      </c>
      <c r="BO158" s="557">
        <f t="shared" si="114"/>
        <v>0</v>
      </c>
      <c r="BP158" s="557">
        <f t="shared" si="114"/>
        <v>0</v>
      </c>
      <c r="BQ158" s="557" t="str">
        <f t="shared" ref="BQ158" si="115">IF(OR(AH158="Exploration", AH158="Pre-feasibility", AJ158&gt;2019), 0, "check")</f>
        <v>check</v>
      </c>
      <c r="BR158" s="318"/>
      <c r="BS158" s="318"/>
      <c r="BT158" s="318"/>
      <c r="BU158" s="318"/>
      <c r="BV158" s="318"/>
      <c r="BW158" s="318"/>
      <c r="BX158" s="318"/>
      <c r="BY158" s="318"/>
      <c r="BZ158" s="318" t="s">
        <v>1511</v>
      </c>
      <c r="CA158" s="318"/>
      <c r="CB158" s="318"/>
      <c r="CC158" s="318"/>
      <c r="CD158" s="318"/>
      <c r="CE158" s="457"/>
      <c r="CF158" s="443">
        <v>26.7</v>
      </c>
      <c r="CG158" s="360" t="s">
        <v>988</v>
      </c>
      <c r="CH158" s="430">
        <v>1</v>
      </c>
      <c r="CI158" s="360"/>
      <c r="CJ158" s="360"/>
      <c r="CK158" s="360"/>
      <c r="CL158" s="360"/>
      <c r="CM158" s="360"/>
      <c r="CN158" s="360"/>
      <c r="CO158" s="360"/>
      <c r="CP158" s="360"/>
    </row>
    <row r="159" spans="1:94" s="315" customFormat="1" ht="37.5" hidden="1" x14ac:dyDescent="0.25">
      <c r="A159" s="403">
        <v>148</v>
      </c>
      <c r="B159" s="313" t="s">
        <v>855</v>
      </c>
      <c r="C159" s="313" t="s">
        <v>1092</v>
      </c>
      <c r="D159" s="318" t="s">
        <v>594</v>
      </c>
      <c r="E159" s="318"/>
      <c r="F159" s="313" t="s">
        <v>244</v>
      </c>
      <c r="G159" s="313" t="s">
        <v>576</v>
      </c>
      <c r="H159" s="375" t="s">
        <v>1097</v>
      </c>
      <c r="I159" s="375"/>
      <c r="J159" s="370" t="e">
        <f>6000*V159/(IF(#REF!="yes",0.188,1))</f>
        <v>#REF!</v>
      </c>
      <c r="K159" s="370" t="e">
        <f>J159</f>
        <v>#REF!</v>
      </c>
      <c r="L159" s="370" t="e">
        <f>J159</f>
        <v>#REF!</v>
      </c>
      <c r="M159" s="316" t="s">
        <v>483</v>
      </c>
      <c r="N159" s="398"/>
      <c r="O159" s="398">
        <v>2016</v>
      </c>
      <c r="P159" s="305" t="s">
        <v>519</v>
      </c>
      <c r="Q159" s="324"/>
      <c r="R159" s="305"/>
      <c r="S159" s="305"/>
      <c r="T159" s="305"/>
      <c r="U159" s="305" t="s">
        <v>579</v>
      </c>
      <c r="V159" s="426">
        <v>0.16600000000000001</v>
      </c>
      <c r="W159" s="443">
        <v>5</v>
      </c>
      <c r="X159" s="414"/>
      <c r="Y159" s="412" t="e">
        <f t="shared" si="94"/>
        <v>#REF!</v>
      </c>
      <c r="Z159" s="318">
        <v>3</v>
      </c>
      <c r="AA159" s="318">
        <v>3</v>
      </c>
      <c r="AB159" s="318">
        <v>3</v>
      </c>
      <c r="AC159" s="318">
        <v>3</v>
      </c>
      <c r="AD159" s="318" t="s">
        <v>1094</v>
      </c>
      <c r="AE159" s="483">
        <v>5000</v>
      </c>
      <c r="AF159" s="482" t="s">
        <v>1524</v>
      </c>
      <c r="AG159" s="482" t="s">
        <v>1524</v>
      </c>
      <c r="AH159" s="482" t="s">
        <v>1524</v>
      </c>
      <c r="AI159" s="482" t="s">
        <v>1524</v>
      </c>
      <c r="AJ159" s="482" t="str">
        <f t="shared" si="110"/>
        <v>check</v>
      </c>
      <c r="AK159" s="556">
        <v>5297.8723404255315</v>
      </c>
      <c r="AL159" s="557" t="s">
        <v>1524</v>
      </c>
      <c r="AM159" s="557" t="s">
        <v>1524</v>
      </c>
      <c r="AN159" s="557" t="s">
        <v>1524</v>
      </c>
      <c r="AO159" s="557" t="s">
        <v>1524</v>
      </c>
      <c r="AP159" s="557" t="str">
        <f t="shared" si="111"/>
        <v>check</v>
      </c>
      <c r="AQ159" s="483">
        <v>5297.8723404255315</v>
      </c>
      <c r="AR159" s="482" t="str">
        <f t="shared" si="103"/>
        <v>check</v>
      </c>
      <c r="AS159" s="482" t="str">
        <f t="shared" si="103"/>
        <v>check</v>
      </c>
      <c r="AT159" s="482" t="str">
        <f t="shared" si="103"/>
        <v>check</v>
      </c>
      <c r="AU159" s="482" t="str">
        <f t="shared" si="103"/>
        <v>check</v>
      </c>
      <c r="AV159" s="482" t="str">
        <f t="shared" si="106"/>
        <v>check</v>
      </c>
      <c r="AW159" s="483" t="e">
        <f t="shared" si="107"/>
        <v>#REF!</v>
      </c>
      <c r="AX159" s="514" t="e">
        <f t="shared" si="104"/>
        <v>#REF!</v>
      </c>
      <c r="AY159" s="514" t="s">
        <v>1524</v>
      </c>
      <c r="AZ159" s="556">
        <f t="shared" si="91"/>
        <v>5000</v>
      </c>
      <c r="BA159" s="557" t="s">
        <v>1524</v>
      </c>
      <c r="BB159" s="557" t="s">
        <v>1524</v>
      </c>
      <c r="BC159" s="557" t="s">
        <v>1524</v>
      </c>
      <c r="BD159" s="557" t="s">
        <v>1524</v>
      </c>
      <c r="BE159" s="557" t="s">
        <v>1524</v>
      </c>
      <c r="BF159" s="556">
        <f t="shared" si="96"/>
        <v>5297.8723404255315</v>
      </c>
      <c r="BG159" s="557" t="s">
        <v>1524</v>
      </c>
      <c r="BH159" s="557" t="s">
        <v>1524</v>
      </c>
      <c r="BI159" s="557" t="s">
        <v>1524</v>
      </c>
      <c r="BJ159" s="557" t="s">
        <v>1524</v>
      </c>
      <c r="BK159" s="557" t="s">
        <v>1524</v>
      </c>
      <c r="BL159" s="556">
        <f t="shared" si="93"/>
        <v>5297.8723404255315</v>
      </c>
      <c r="BM159" s="557" t="s">
        <v>1524</v>
      </c>
      <c r="BN159" s="557" t="s">
        <v>1524</v>
      </c>
      <c r="BO159" s="557" t="s">
        <v>1524</v>
      </c>
      <c r="BP159" s="557" t="s">
        <v>1524</v>
      </c>
      <c r="BQ159" s="557" t="s">
        <v>1524</v>
      </c>
      <c r="BR159" s="318"/>
      <c r="BS159" s="318"/>
      <c r="BT159" s="318"/>
      <c r="BU159" s="318"/>
      <c r="BV159" s="318"/>
      <c r="BW159" s="318"/>
      <c r="BX159" s="318"/>
      <c r="BY159" s="318"/>
      <c r="BZ159" s="318" t="s">
        <v>1511</v>
      </c>
      <c r="CA159" s="318"/>
      <c r="CB159" s="318"/>
      <c r="CC159" s="318"/>
      <c r="CD159" s="318"/>
      <c r="CE159" s="457"/>
      <c r="CF159" s="443">
        <v>33.6</v>
      </c>
      <c r="CG159" s="360" t="s">
        <v>855</v>
      </c>
      <c r="CH159" s="430">
        <v>1</v>
      </c>
      <c r="CI159" s="360"/>
      <c r="CJ159" s="360"/>
      <c r="CK159" s="360"/>
      <c r="CL159" s="360"/>
      <c r="CM159" s="360"/>
      <c r="CN159" s="360"/>
      <c r="CO159" s="360"/>
      <c r="CP159" s="360"/>
    </row>
    <row r="160" spans="1:94" s="315" customFormat="1" ht="37.5" hidden="1" x14ac:dyDescent="0.25">
      <c r="A160" s="403">
        <v>149</v>
      </c>
      <c r="B160" s="313" t="s">
        <v>855</v>
      </c>
      <c r="C160" s="313" t="s">
        <v>1093</v>
      </c>
      <c r="D160" s="318" t="s">
        <v>594</v>
      </c>
      <c r="E160" s="318"/>
      <c r="F160" s="313" t="s">
        <v>244</v>
      </c>
      <c r="G160" s="313" t="s">
        <v>576</v>
      </c>
      <c r="H160" s="375" t="s">
        <v>1095</v>
      </c>
      <c r="I160" s="375"/>
      <c r="J160" s="370" t="e">
        <f>12000*V160/(IF(#REF!="yes",0.188,1))</f>
        <v>#REF!</v>
      </c>
      <c r="K160" s="370" t="e">
        <f>J160</f>
        <v>#REF!</v>
      </c>
      <c r="L160" s="370" t="e">
        <f>J160</f>
        <v>#REF!</v>
      </c>
      <c r="M160" s="316" t="s">
        <v>483</v>
      </c>
      <c r="N160" s="398"/>
      <c r="O160" s="398">
        <v>2018</v>
      </c>
      <c r="P160" s="305" t="s">
        <v>519</v>
      </c>
      <c r="Q160" s="324"/>
      <c r="R160" s="305"/>
      <c r="S160" s="305"/>
      <c r="T160" s="305"/>
      <c r="U160" s="305" t="s">
        <v>579</v>
      </c>
      <c r="V160" s="426">
        <v>0.16600000000000001</v>
      </c>
      <c r="W160" s="443">
        <v>5</v>
      </c>
      <c r="X160" s="414"/>
      <c r="Y160" s="412" t="e">
        <f t="shared" si="94"/>
        <v>#REF!</v>
      </c>
      <c r="Z160" s="318">
        <v>3</v>
      </c>
      <c r="AA160" s="318">
        <v>3</v>
      </c>
      <c r="AB160" s="318">
        <v>3</v>
      </c>
      <c r="AC160" s="318">
        <v>3</v>
      </c>
      <c r="AD160" s="318" t="s">
        <v>1094</v>
      </c>
      <c r="AE160" s="483" t="s">
        <v>1524</v>
      </c>
      <c r="AF160" s="482" t="s">
        <v>1524</v>
      </c>
      <c r="AG160" s="482" t="s">
        <v>1524</v>
      </c>
      <c r="AH160" s="482" t="s">
        <v>1524</v>
      </c>
      <c r="AI160" s="482" t="s">
        <v>1524</v>
      </c>
      <c r="AJ160" s="482">
        <f t="shared" si="110"/>
        <v>0</v>
      </c>
      <c r="AK160" s="556">
        <v>10595.744680851063</v>
      </c>
      <c r="AL160" s="557" t="s">
        <v>1524</v>
      </c>
      <c r="AM160" s="557" t="s">
        <v>1524</v>
      </c>
      <c r="AN160" s="557" t="s">
        <v>1524</v>
      </c>
      <c r="AO160" s="557" t="s">
        <v>1524</v>
      </c>
      <c r="AP160" s="557" t="str">
        <f t="shared" si="111"/>
        <v>check</v>
      </c>
      <c r="AQ160" s="483" t="str">
        <f t="shared" si="105"/>
        <v>check</v>
      </c>
      <c r="AR160" s="482" t="str">
        <f t="shared" si="103"/>
        <v>check</v>
      </c>
      <c r="AS160" s="482" t="str">
        <f t="shared" si="103"/>
        <v>check</v>
      </c>
      <c r="AT160" s="482" t="str">
        <f t="shared" si="103"/>
        <v>check</v>
      </c>
      <c r="AU160" s="482" t="str">
        <f t="shared" si="103"/>
        <v>check</v>
      </c>
      <c r="AV160" s="482" t="str">
        <f t="shared" si="106"/>
        <v>check</v>
      </c>
      <c r="AW160" s="483" t="str">
        <f t="shared" si="107"/>
        <v>check</v>
      </c>
      <c r="AX160" s="514" t="str">
        <f t="shared" si="104"/>
        <v>check</v>
      </c>
      <c r="AY160" s="514" t="s">
        <v>1524</v>
      </c>
      <c r="AZ160" s="556" t="str">
        <f t="shared" si="91"/>
        <v>check</v>
      </c>
      <c r="BA160" s="557" t="s">
        <v>1524</v>
      </c>
      <c r="BB160" s="557" t="s">
        <v>1524</v>
      </c>
      <c r="BC160" s="557" t="s">
        <v>1524</v>
      </c>
      <c r="BD160" s="557" t="s">
        <v>1524</v>
      </c>
      <c r="BE160" s="557">
        <v>0</v>
      </c>
      <c r="BF160" s="556">
        <f t="shared" si="96"/>
        <v>10595.744680851063</v>
      </c>
      <c r="BG160" s="557" t="s">
        <v>1524</v>
      </c>
      <c r="BH160" s="557" t="s">
        <v>1524</v>
      </c>
      <c r="BI160" s="557" t="s">
        <v>1524</v>
      </c>
      <c r="BJ160" s="557" t="s">
        <v>1524</v>
      </c>
      <c r="BK160" s="557" t="s">
        <v>1524</v>
      </c>
      <c r="BL160" s="556" t="str">
        <f t="shared" si="93"/>
        <v>check</v>
      </c>
      <c r="BM160" s="557" t="s">
        <v>1524</v>
      </c>
      <c r="BN160" s="557" t="s">
        <v>1524</v>
      </c>
      <c r="BO160" s="557" t="s">
        <v>1524</v>
      </c>
      <c r="BP160" s="557" t="s">
        <v>1524</v>
      </c>
      <c r="BQ160" s="557" t="s">
        <v>1524</v>
      </c>
      <c r="BR160" s="318"/>
      <c r="BS160" s="318"/>
      <c r="BT160" s="318"/>
      <c r="BU160" s="318"/>
      <c r="BV160" s="318"/>
      <c r="BW160" s="318"/>
      <c r="BX160" s="318"/>
      <c r="BY160" s="318"/>
      <c r="BZ160" s="318" t="s">
        <v>1511</v>
      </c>
      <c r="CA160" s="318"/>
      <c r="CB160" s="318"/>
      <c r="CC160" s="318"/>
      <c r="CD160" s="318"/>
      <c r="CE160" s="457"/>
      <c r="CF160" s="443">
        <v>33.6</v>
      </c>
      <c r="CG160" s="360" t="s">
        <v>855</v>
      </c>
      <c r="CH160" s="430">
        <v>1</v>
      </c>
      <c r="CI160" s="360"/>
      <c r="CJ160" s="360"/>
      <c r="CK160" s="360"/>
      <c r="CL160" s="360"/>
      <c r="CM160" s="360"/>
      <c r="CN160" s="360"/>
      <c r="CO160" s="360"/>
      <c r="CP160" s="360"/>
    </row>
    <row r="161" spans="1:103" s="315" customFormat="1" ht="13" hidden="1" x14ac:dyDescent="0.25">
      <c r="A161" s="403">
        <v>150</v>
      </c>
      <c r="B161" s="313" t="s">
        <v>855</v>
      </c>
      <c r="C161" s="420" t="s">
        <v>1111</v>
      </c>
      <c r="D161" s="318" t="s">
        <v>594</v>
      </c>
      <c r="E161" s="318"/>
      <c r="F161" s="313" t="s">
        <v>244</v>
      </c>
      <c r="G161" s="313" t="s">
        <v>576</v>
      </c>
      <c r="H161" s="305"/>
      <c r="I161" s="305"/>
      <c r="J161" s="370">
        <v>6000</v>
      </c>
      <c r="K161" s="370">
        <f>J161</f>
        <v>6000</v>
      </c>
      <c r="L161" s="370">
        <f>J161</f>
        <v>6000</v>
      </c>
      <c r="M161" s="316" t="s">
        <v>483</v>
      </c>
      <c r="N161" s="398"/>
      <c r="O161" s="398">
        <v>2015</v>
      </c>
      <c r="P161" s="305" t="s">
        <v>519</v>
      </c>
      <c r="Q161" s="324"/>
      <c r="R161" s="305"/>
      <c r="S161" s="305"/>
      <c r="T161" s="305"/>
      <c r="U161" s="305" t="s">
        <v>536</v>
      </c>
      <c r="V161" s="426">
        <v>0.188</v>
      </c>
      <c r="W161" s="443">
        <v>4.5</v>
      </c>
      <c r="X161" s="414"/>
      <c r="Y161" s="412" t="e">
        <f t="shared" si="94"/>
        <v>#REF!</v>
      </c>
      <c r="Z161" s="318">
        <v>3</v>
      </c>
      <c r="AA161" s="318">
        <v>3</v>
      </c>
      <c r="AB161" s="318">
        <v>3</v>
      </c>
      <c r="AC161" s="318">
        <v>3</v>
      </c>
      <c r="AD161" s="318" t="s">
        <v>1096</v>
      </c>
      <c r="AE161" s="483">
        <v>6000</v>
      </c>
      <c r="AF161" s="482" t="s">
        <v>1524</v>
      </c>
      <c r="AG161" s="482" t="s">
        <v>1524</v>
      </c>
      <c r="AH161" s="482" t="s">
        <v>1524</v>
      </c>
      <c r="AI161" s="482" t="s">
        <v>1524</v>
      </c>
      <c r="AJ161" s="482" t="str">
        <f t="shared" si="110"/>
        <v>check</v>
      </c>
      <c r="AK161" s="556">
        <v>6000</v>
      </c>
      <c r="AL161" s="557" t="s">
        <v>1524</v>
      </c>
      <c r="AM161" s="557" t="s">
        <v>1524</v>
      </c>
      <c r="AN161" s="557" t="s">
        <v>1524</v>
      </c>
      <c r="AO161" s="557" t="s">
        <v>1524</v>
      </c>
      <c r="AP161" s="557" t="str">
        <f t="shared" si="111"/>
        <v>check</v>
      </c>
      <c r="AQ161" s="483" t="str">
        <f t="shared" si="105"/>
        <v>check</v>
      </c>
      <c r="AR161" s="482" t="str">
        <f t="shared" si="103"/>
        <v>check</v>
      </c>
      <c r="AS161" s="482" t="str">
        <f t="shared" si="103"/>
        <v>check</v>
      </c>
      <c r="AT161" s="482" t="str">
        <f t="shared" si="103"/>
        <v>check</v>
      </c>
      <c r="AU161" s="482" t="str">
        <f t="shared" si="103"/>
        <v>check</v>
      </c>
      <c r="AV161" s="482" t="str">
        <f t="shared" si="106"/>
        <v>check</v>
      </c>
      <c r="AW161" s="483">
        <f t="shared" si="107"/>
        <v>6000</v>
      </c>
      <c r="AX161" s="514" t="str">
        <f t="shared" si="104"/>
        <v>check</v>
      </c>
      <c r="AY161" s="514" t="s">
        <v>1524</v>
      </c>
      <c r="AZ161" s="556">
        <f t="shared" si="91"/>
        <v>6000</v>
      </c>
      <c r="BA161" s="557" t="s">
        <v>1524</v>
      </c>
      <c r="BB161" s="557" t="s">
        <v>1524</v>
      </c>
      <c r="BC161" s="557" t="s">
        <v>1524</v>
      </c>
      <c r="BD161" s="557" t="s">
        <v>1524</v>
      </c>
      <c r="BE161" s="557" t="s">
        <v>1524</v>
      </c>
      <c r="BF161" s="556">
        <f t="shared" si="96"/>
        <v>6000</v>
      </c>
      <c r="BG161" s="557" t="s">
        <v>1524</v>
      </c>
      <c r="BH161" s="557" t="s">
        <v>1524</v>
      </c>
      <c r="BI161" s="557" t="s">
        <v>1524</v>
      </c>
      <c r="BJ161" s="557" t="s">
        <v>1524</v>
      </c>
      <c r="BK161" s="557" t="s">
        <v>1524</v>
      </c>
      <c r="BL161" s="556" t="str">
        <f t="shared" si="93"/>
        <v>check</v>
      </c>
      <c r="BM161" s="557" t="s">
        <v>1524</v>
      </c>
      <c r="BN161" s="557" t="s">
        <v>1524</v>
      </c>
      <c r="BO161" s="557" t="s">
        <v>1524</v>
      </c>
      <c r="BP161" s="557" t="s">
        <v>1524</v>
      </c>
      <c r="BQ161" s="557" t="s">
        <v>1524</v>
      </c>
      <c r="BR161" s="318"/>
      <c r="BS161" s="318"/>
      <c r="BT161" s="318"/>
      <c r="BU161" s="318"/>
      <c r="BV161" s="318"/>
      <c r="BW161" s="318"/>
      <c r="BX161" s="318"/>
      <c r="BY161" s="318"/>
      <c r="BZ161" s="318" t="s">
        <v>1511</v>
      </c>
      <c r="CA161" s="318"/>
      <c r="CB161" s="318"/>
      <c r="CC161" s="318"/>
      <c r="CD161" s="318"/>
      <c r="CE161" s="457"/>
      <c r="CF161" s="443">
        <v>33.6</v>
      </c>
      <c r="CG161" s="360" t="s">
        <v>855</v>
      </c>
      <c r="CH161" s="430">
        <v>1</v>
      </c>
      <c r="CI161" s="360"/>
      <c r="CJ161" s="360"/>
      <c r="CK161" s="360"/>
      <c r="CL161" s="360"/>
      <c r="CM161" s="360"/>
      <c r="CN161" s="360"/>
      <c r="CO161" s="360"/>
      <c r="CP161" s="360"/>
    </row>
    <row r="162" spans="1:103" s="315" customFormat="1" ht="13" hidden="1" x14ac:dyDescent="0.25">
      <c r="A162" s="403">
        <v>151</v>
      </c>
      <c r="B162" s="313" t="s">
        <v>824</v>
      </c>
      <c r="C162" s="313" t="s">
        <v>827</v>
      </c>
      <c r="D162" s="318" t="s">
        <v>594</v>
      </c>
      <c r="E162" s="318"/>
      <c r="F162" s="313" t="s">
        <v>244</v>
      </c>
      <c r="G162" s="313" t="s">
        <v>576</v>
      </c>
      <c r="H162" s="305"/>
      <c r="I162" s="305"/>
      <c r="J162" s="370">
        <v>6000</v>
      </c>
      <c r="K162" s="370">
        <f>J162</f>
        <v>6000</v>
      </c>
      <c r="L162" s="370">
        <f>J162</f>
        <v>6000</v>
      </c>
      <c r="M162" s="316" t="s">
        <v>483</v>
      </c>
      <c r="N162" s="398"/>
      <c r="O162" s="398">
        <v>2016</v>
      </c>
      <c r="P162" s="305" t="s">
        <v>519</v>
      </c>
      <c r="Q162" s="324"/>
      <c r="R162" s="305"/>
      <c r="S162" s="305"/>
      <c r="T162" s="305"/>
      <c r="U162" s="305" t="s">
        <v>536</v>
      </c>
      <c r="V162" s="426">
        <v>0.188</v>
      </c>
      <c r="W162" s="443">
        <v>4.5</v>
      </c>
      <c r="X162" s="414"/>
      <c r="Y162" s="412" t="e">
        <f t="shared" si="94"/>
        <v>#REF!</v>
      </c>
      <c r="Z162" s="318">
        <v>3</v>
      </c>
      <c r="AA162" s="318">
        <v>2</v>
      </c>
      <c r="AB162" s="318">
        <v>2</v>
      </c>
      <c r="AC162" s="318">
        <v>2</v>
      </c>
      <c r="AD162" s="318"/>
      <c r="AE162" s="483">
        <v>6000</v>
      </c>
      <c r="AF162" s="482" t="s">
        <v>1524</v>
      </c>
      <c r="AG162" s="482" t="s">
        <v>1524</v>
      </c>
      <c r="AH162" s="482" t="s">
        <v>1524</v>
      </c>
      <c r="AI162" s="482" t="s">
        <v>1524</v>
      </c>
      <c r="AJ162" s="482" t="str">
        <f t="shared" si="110"/>
        <v>check</v>
      </c>
      <c r="AK162" s="556">
        <v>6000</v>
      </c>
      <c r="AL162" s="557" t="s">
        <v>1524</v>
      </c>
      <c r="AM162" s="557" t="s">
        <v>1524</v>
      </c>
      <c r="AN162" s="557" t="s">
        <v>1524</v>
      </c>
      <c r="AO162" s="557" t="s">
        <v>1524</v>
      </c>
      <c r="AP162" s="557" t="s">
        <v>1524</v>
      </c>
      <c r="AQ162" s="483" t="str">
        <f t="shared" si="105"/>
        <v>check</v>
      </c>
      <c r="AR162" s="482" t="str">
        <f t="shared" si="103"/>
        <v>check</v>
      </c>
      <c r="AS162" s="482" t="str">
        <f t="shared" si="103"/>
        <v>check</v>
      </c>
      <c r="AT162" s="482" t="str">
        <f t="shared" si="103"/>
        <v>check</v>
      </c>
      <c r="AU162" s="482" t="str">
        <f t="shared" si="103"/>
        <v>check</v>
      </c>
      <c r="AV162" s="482" t="str">
        <f t="shared" si="106"/>
        <v>check</v>
      </c>
      <c r="AW162" s="483">
        <f t="shared" si="107"/>
        <v>6000</v>
      </c>
      <c r="AX162" s="514" t="str">
        <f t="shared" si="104"/>
        <v>check</v>
      </c>
      <c r="AY162" s="514" t="s">
        <v>1524</v>
      </c>
      <c r="AZ162" s="556">
        <f t="shared" si="91"/>
        <v>6000</v>
      </c>
      <c r="BA162" s="557" t="s">
        <v>1524</v>
      </c>
      <c r="BB162" s="557" t="s">
        <v>1524</v>
      </c>
      <c r="BC162" s="557" t="s">
        <v>1524</v>
      </c>
      <c r="BD162" s="557" t="s">
        <v>1524</v>
      </c>
      <c r="BE162" s="557" t="s">
        <v>1524</v>
      </c>
      <c r="BF162" s="556">
        <f t="shared" si="96"/>
        <v>6000</v>
      </c>
      <c r="BG162" s="557" t="s">
        <v>1524</v>
      </c>
      <c r="BH162" s="557" t="s">
        <v>1524</v>
      </c>
      <c r="BI162" s="557" t="s">
        <v>1524</v>
      </c>
      <c r="BJ162" s="557" t="s">
        <v>1524</v>
      </c>
      <c r="BK162" s="557" t="s">
        <v>1524</v>
      </c>
      <c r="BL162" s="556" t="str">
        <f t="shared" si="93"/>
        <v>check</v>
      </c>
      <c r="BM162" s="557" t="s">
        <v>1524</v>
      </c>
      <c r="BN162" s="557" t="s">
        <v>1524</v>
      </c>
      <c r="BO162" s="557" t="s">
        <v>1524</v>
      </c>
      <c r="BP162" s="557" t="s">
        <v>1524</v>
      </c>
      <c r="BQ162" s="557" t="s">
        <v>1524</v>
      </c>
      <c r="BR162" s="318"/>
      <c r="BS162" s="318"/>
      <c r="BT162" s="318"/>
      <c r="BU162" s="318"/>
      <c r="BV162" s="318"/>
      <c r="BW162" s="318"/>
      <c r="BX162" s="318"/>
      <c r="BY162" s="318"/>
      <c r="BZ162" s="318" t="s">
        <v>1511</v>
      </c>
      <c r="CA162" s="318"/>
      <c r="CB162" s="318"/>
      <c r="CC162" s="318"/>
      <c r="CD162" s="318"/>
      <c r="CE162" s="457"/>
      <c r="CF162" s="443">
        <v>1.47</v>
      </c>
      <c r="CG162" s="360" t="s">
        <v>824</v>
      </c>
      <c r="CH162" s="430">
        <v>1</v>
      </c>
      <c r="CI162" s="360"/>
      <c r="CJ162" s="360"/>
      <c r="CK162" s="360"/>
      <c r="CL162" s="360"/>
      <c r="CM162" s="360"/>
      <c r="CN162" s="360"/>
      <c r="CO162" s="360"/>
      <c r="CP162" s="360"/>
    </row>
    <row r="163" spans="1:103" s="315" customFormat="1" ht="13" hidden="1" x14ac:dyDescent="0.25">
      <c r="A163" s="403">
        <v>152</v>
      </c>
      <c r="B163" s="313" t="s">
        <v>1194</v>
      </c>
      <c r="C163" s="313" t="s">
        <v>826</v>
      </c>
      <c r="D163" s="318" t="s">
        <v>594</v>
      </c>
      <c r="E163" s="318"/>
      <c r="F163" s="313" t="s">
        <v>244</v>
      </c>
      <c r="G163" s="313" t="s">
        <v>576</v>
      </c>
      <c r="H163" s="305"/>
      <c r="I163" s="305"/>
      <c r="J163" s="370">
        <v>3000</v>
      </c>
      <c r="K163" s="370">
        <f>J163</f>
        <v>3000</v>
      </c>
      <c r="L163" s="370">
        <f>J163</f>
        <v>3000</v>
      </c>
      <c r="M163" s="316" t="s">
        <v>483</v>
      </c>
      <c r="N163" s="398"/>
      <c r="O163" s="398">
        <v>2016</v>
      </c>
      <c r="P163" s="305" t="s">
        <v>519</v>
      </c>
      <c r="Q163" s="324"/>
      <c r="R163" s="305"/>
      <c r="S163" s="305"/>
      <c r="T163" s="305"/>
      <c r="U163" s="305" t="s">
        <v>536</v>
      </c>
      <c r="V163" s="426">
        <v>0.188</v>
      </c>
      <c r="W163" s="443">
        <v>4.5</v>
      </c>
      <c r="X163" s="414"/>
      <c r="Y163" s="412" t="e">
        <f t="shared" si="94"/>
        <v>#REF!</v>
      </c>
      <c r="Z163" s="318">
        <v>2</v>
      </c>
      <c r="AA163" s="318">
        <v>4</v>
      </c>
      <c r="AB163" s="318">
        <v>2</v>
      </c>
      <c r="AC163" s="318">
        <v>2</v>
      </c>
      <c r="AD163" s="318"/>
      <c r="AE163" s="483">
        <v>3000</v>
      </c>
      <c r="AF163" s="482" t="s">
        <v>1524</v>
      </c>
      <c r="AG163" s="482" t="s">
        <v>1524</v>
      </c>
      <c r="AH163" s="482" t="s">
        <v>1524</v>
      </c>
      <c r="AI163" s="482" t="s">
        <v>1524</v>
      </c>
      <c r="AJ163" s="482" t="str">
        <f t="shared" si="110"/>
        <v>check</v>
      </c>
      <c r="AK163" s="556">
        <v>3000</v>
      </c>
      <c r="AL163" s="557" t="s">
        <v>1524</v>
      </c>
      <c r="AM163" s="557" t="s">
        <v>1524</v>
      </c>
      <c r="AN163" s="557" t="s">
        <v>1524</v>
      </c>
      <c r="AO163" s="557" t="s">
        <v>1524</v>
      </c>
      <c r="AP163" s="557" t="str">
        <f t="shared" si="111"/>
        <v>check</v>
      </c>
      <c r="AQ163" s="483" t="str">
        <f t="shared" si="105"/>
        <v>check</v>
      </c>
      <c r="AR163" s="482" t="str">
        <f t="shared" ref="AR163:AU192" si="116">IF(OR($M163="Exploration", $M163="Pre-feasibility", $O163&gt;2019), 0, "check")</f>
        <v>check</v>
      </c>
      <c r="AS163" s="482" t="str">
        <f t="shared" si="116"/>
        <v>check</v>
      </c>
      <c r="AT163" s="482" t="str">
        <f t="shared" si="116"/>
        <v>check</v>
      </c>
      <c r="AU163" s="482" t="str">
        <f t="shared" si="116"/>
        <v>check</v>
      </c>
      <c r="AV163" s="482" t="str">
        <f t="shared" si="106"/>
        <v>check</v>
      </c>
      <c r="AW163" s="483">
        <f t="shared" si="107"/>
        <v>3000</v>
      </c>
      <c r="AX163" s="514" t="str">
        <f t="shared" si="104"/>
        <v>check</v>
      </c>
      <c r="AY163" s="514" t="s">
        <v>1524</v>
      </c>
      <c r="AZ163" s="556">
        <f t="shared" si="91"/>
        <v>3000</v>
      </c>
      <c r="BA163" s="557" t="s">
        <v>1524</v>
      </c>
      <c r="BB163" s="557" t="s">
        <v>1524</v>
      </c>
      <c r="BC163" s="557" t="s">
        <v>1524</v>
      </c>
      <c r="BD163" s="557" t="s">
        <v>1524</v>
      </c>
      <c r="BE163" s="557" t="s">
        <v>1524</v>
      </c>
      <c r="BF163" s="556">
        <f t="shared" si="96"/>
        <v>3000</v>
      </c>
      <c r="BG163" s="557" t="s">
        <v>1524</v>
      </c>
      <c r="BH163" s="557" t="s">
        <v>1524</v>
      </c>
      <c r="BI163" s="557" t="s">
        <v>1524</v>
      </c>
      <c r="BJ163" s="557" t="s">
        <v>1524</v>
      </c>
      <c r="BK163" s="557" t="s">
        <v>1524</v>
      </c>
      <c r="BL163" s="556" t="str">
        <f t="shared" si="93"/>
        <v>check</v>
      </c>
      <c r="BM163" s="557" t="s">
        <v>1524</v>
      </c>
      <c r="BN163" s="557" t="s">
        <v>1524</v>
      </c>
      <c r="BO163" s="557" t="s">
        <v>1524</v>
      </c>
      <c r="BP163" s="557" t="s">
        <v>1524</v>
      </c>
      <c r="BQ163" s="557" t="s">
        <v>1524</v>
      </c>
      <c r="BR163" s="318"/>
      <c r="BS163" s="318"/>
      <c r="BT163" s="318"/>
      <c r="BU163" s="318"/>
      <c r="BV163" s="318"/>
      <c r="BW163" s="318"/>
      <c r="BX163" s="318"/>
      <c r="BY163" s="318"/>
      <c r="BZ163" s="318" t="s">
        <v>1511</v>
      </c>
      <c r="CA163" s="318"/>
      <c r="CB163" s="318"/>
      <c r="CC163" s="318"/>
      <c r="CD163" s="318"/>
      <c r="CE163" s="457"/>
      <c r="CF163" s="443">
        <v>6.6</v>
      </c>
      <c r="CG163" s="360" t="s">
        <v>1194</v>
      </c>
      <c r="CH163" s="430">
        <v>1</v>
      </c>
      <c r="CI163" s="360"/>
      <c r="CJ163" s="360"/>
      <c r="CK163" s="360"/>
      <c r="CL163" s="360"/>
      <c r="CM163" s="360"/>
      <c r="CN163" s="360"/>
      <c r="CO163" s="360"/>
      <c r="CP163" s="360"/>
    </row>
    <row r="164" spans="1:103" s="315" customFormat="1" ht="25" hidden="1" x14ac:dyDescent="0.25">
      <c r="A164" s="403">
        <v>153</v>
      </c>
      <c r="B164" s="313" t="s">
        <v>830</v>
      </c>
      <c r="C164" s="313" t="s">
        <v>1057</v>
      </c>
      <c r="D164" s="318" t="s">
        <v>594</v>
      </c>
      <c r="E164" s="318"/>
      <c r="F164" s="313" t="s">
        <v>244</v>
      </c>
      <c r="G164" s="313" t="s">
        <v>1060</v>
      </c>
      <c r="H164" s="305"/>
      <c r="I164" s="375" t="s">
        <v>1112</v>
      </c>
      <c r="J164" s="370">
        <v>0</v>
      </c>
      <c r="K164" s="370">
        <v>0</v>
      </c>
      <c r="L164" s="370">
        <v>0</v>
      </c>
      <c r="M164" s="316" t="s">
        <v>1208</v>
      </c>
      <c r="N164" s="398"/>
      <c r="O164" s="398">
        <v>2019</v>
      </c>
      <c r="P164" s="305"/>
      <c r="Q164" s="324"/>
      <c r="R164" s="305"/>
      <c r="S164" s="305"/>
      <c r="T164" s="305"/>
      <c r="U164" s="305" t="s">
        <v>536</v>
      </c>
      <c r="V164" s="426">
        <v>0.188</v>
      </c>
      <c r="W164" s="412">
        <v>5</v>
      </c>
      <c r="X164" s="412"/>
      <c r="Y164" s="412" t="e">
        <f t="shared" si="94"/>
        <v>#REF!</v>
      </c>
      <c r="Z164" s="318">
        <v>4</v>
      </c>
      <c r="AA164" s="318">
        <v>3</v>
      </c>
      <c r="AB164" s="318">
        <v>1</v>
      </c>
      <c r="AC164" s="318">
        <v>1</v>
      </c>
      <c r="AD164" s="318"/>
      <c r="AE164" s="483">
        <f t="shared" ref="AE164:AJ179" si="117">IF(OR($M164="Exploration", $M164="Pre-feasibility", $O164&gt;2017), 0, "check")</f>
        <v>0</v>
      </c>
      <c r="AF164" s="482">
        <f t="shared" si="117"/>
        <v>0</v>
      </c>
      <c r="AG164" s="482">
        <f t="shared" si="117"/>
        <v>0</v>
      </c>
      <c r="AH164" s="482">
        <f t="shared" si="117"/>
        <v>0</v>
      </c>
      <c r="AI164" s="482">
        <f t="shared" si="117"/>
        <v>0</v>
      </c>
      <c r="AJ164" s="482">
        <f t="shared" si="117"/>
        <v>0</v>
      </c>
      <c r="AK164" s="556">
        <f t="shared" ref="AK164:AP167" si="118">IF(OR($M164="Exploration", $M164="Pre-feasibility", $O164&gt;2018), 0, "check")</f>
        <v>0</v>
      </c>
      <c r="AL164" s="557">
        <f t="shared" si="118"/>
        <v>0</v>
      </c>
      <c r="AM164" s="557">
        <f t="shared" si="118"/>
        <v>0</v>
      </c>
      <c r="AN164" s="557">
        <f t="shared" si="118"/>
        <v>0</v>
      </c>
      <c r="AO164" s="557">
        <f t="shared" si="118"/>
        <v>0</v>
      </c>
      <c r="AP164" s="557">
        <f t="shared" si="118"/>
        <v>0</v>
      </c>
      <c r="AQ164" s="483">
        <v>0</v>
      </c>
      <c r="AR164" s="482">
        <v>0</v>
      </c>
      <c r="AS164" s="482">
        <v>0</v>
      </c>
      <c r="AT164" s="482">
        <v>0</v>
      </c>
      <c r="AU164" s="482">
        <v>0</v>
      </c>
      <c r="AV164" s="482">
        <v>0</v>
      </c>
      <c r="AW164" s="483">
        <f t="shared" si="107"/>
        <v>0</v>
      </c>
      <c r="AX164" s="514">
        <f t="shared" si="104"/>
        <v>0</v>
      </c>
      <c r="AY164" s="514" t="s">
        <v>1034</v>
      </c>
      <c r="AZ164" s="556">
        <f t="shared" si="91"/>
        <v>0</v>
      </c>
      <c r="BA164" s="557">
        <v>0</v>
      </c>
      <c r="BB164" s="557">
        <v>0</v>
      </c>
      <c r="BC164" s="557">
        <v>0</v>
      </c>
      <c r="BD164" s="557">
        <v>0</v>
      </c>
      <c r="BE164" s="557">
        <v>0</v>
      </c>
      <c r="BF164" s="556">
        <f t="shared" si="96"/>
        <v>0</v>
      </c>
      <c r="BG164" s="557">
        <v>0</v>
      </c>
      <c r="BH164" s="557">
        <v>0</v>
      </c>
      <c r="BI164" s="557">
        <v>0</v>
      </c>
      <c r="BJ164" s="557">
        <v>0</v>
      </c>
      <c r="BK164" s="557">
        <v>0</v>
      </c>
      <c r="BL164" s="556">
        <f t="shared" si="93"/>
        <v>0</v>
      </c>
      <c r="BM164" s="557">
        <v>0</v>
      </c>
      <c r="BN164" s="557">
        <v>0</v>
      </c>
      <c r="BO164" s="557">
        <v>0</v>
      </c>
      <c r="BP164" s="557">
        <v>0</v>
      </c>
      <c r="BQ164" s="557">
        <v>0</v>
      </c>
      <c r="BR164" s="318"/>
      <c r="BS164" s="318"/>
      <c r="BT164" s="318"/>
      <c r="BU164" s="318"/>
      <c r="BV164" s="318"/>
      <c r="BW164" s="318"/>
      <c r="BX164" s="318"/>
      <c r="BY164" s="318"/>
      <c r="BZ164" s="318"/>
      <c r="CA164" s="318"/>
      <c r="CB164" s="318"/>
      <c r="CC164" s="318"/>
      <c r="CD164" s="318"/>
      <c r="CE164" s="457"/>
      <c r="CF164" s="443"/>
      <c r="CG164" s="360" t="s">
        <v>830</v>
      </c>
      <c r="CH164" s="430">
        <v>1</v>
      </c>
      <c r="CI164" s="360"/>
      <c r="CJ164" s="360"/>
      <c r="CK164" s="360"/>
      <c r="CL164" s="360"/>
      <c r="CM164" s="360"/>
      <c r="CN164" s="360"/>
      <c r="CO164" s="360"/>
      <c r="CP164" s="360"/>
    </row>
    <row r="165" spans="1:103" s="315" customFormat="1" ht="50" hidden="1" x14ac:dyDescent="0.25">
      <c r="A165" s="403">
        <v>154</v>
      </c>
      <c r="B165" s="421" t="s">
        <v>886</v>
      </c>
      <c r="C165" s="313" t="s">
        <v>1061</v>
      </c>
      <c r="D165" s="318" t="s">
        <v>594</v>
      </c>
      <c r="E165" s="318"/>
      <c r="F165" s="313" t="s">
        <v>244</v>
      </c>
      <c r="G165" s="313" t="s">
        <v>550</v>
      </c>
      <c r="H165" s="305"/>
      <c r="I165" s="305" t="s">
        <v>1051</v>
      </c>
      <c r="J165" s="370">
        <v>0</v>
      </c>
      <c r="K165" s="370" t="e">
        <f>8000*V165/(IF(#REF!="yes",0.188,1))</f>
        <v>#REF!</v>
      </c>
      <c r="L165" s="370" t="e">
        <f>K165-J165</f>
        <v>#REF!</v>
      </c>
      <c r="M165" s="316" t="s">
        <v>483</v>
      </c>
      <c r="N165" s="398"/>
      <c r="O165" s="398">
        <v>2018</v>
      </c>
      <c r="P165" s="305" t="s">
        <v>519</v>
      </c>
      <c r="Q165" s="324"/>
      <c r="R165" s="305"/>
      <c r="S165" s="305"/>
      <c r="T165" s="305"/>
      <c r="U165" s="305" t="s">
        <v>536</v>
      </c>
      <c r="V165" s="426">
        <v>0.188</v>
      </c>
      <c r="W165" s="443">
        <v>5</v>
      </c>
      <c r="X165" s="414"/>
      <c r="Y165" s="412" t="e">
        <f t="shared" si="94"/>
        <v>#REF!</v>
      </c>
      <c r="Z165" s="318">
        <v>4</v>
      </c>
      <c r="AA165" s="318">
        <v>3</v>
      </c>
      <c r="AB165" s="318">
        <v>3</v>
      </c>
      <c r="AC165" s="318">
        <v>1</v>
      </c>
      <c r="AD165" s="318" t="s">
        <v>887</v>
      </c>
      <c r="AE165" s="483">
        <f t="shared" si="117"/>
        <v>0</v>
      </c>
      <c r="AF165" s="482">
        <f t="shared" si="117"/>
        <v>0</v>
      </c>
      <c r="AG165" s="482">
        <f t="shared" si="117"/>
        <v>0</v>
      </c>
      <c r="AH165" s="482">
        <f t="shared" si="117"/>
        <v>0</v>
      </c>
      <c r="AI165" s="482">
        <f t="shared" si="117"/>
        <v>0</v>
      </c>
      <c r="AJ165" s="482">
        <f t="shared" si="117"/>
        <v>0</v>
      </c>
      <c r="AK165" s="556" t="str">
        <f t="shared" si="118"/>
        <v>check</v>
      </c>
      <c r="AL165" s="557" t="str">
        <f t="shared" si="118"/>
        <v>check</v>
      </c>
      <c r="AM165" s="557" t="str">
        <f t="shared" si="118"/>
        <v>check</v>
      </c>
      <c r="AN165" s="557" t="str">
        <f t="shared" si="118"/>
        <v>check</v>
      </c>
      <c r="AO165" s="557" t="str">
        <f t="shared" si="118"/>
        <v>check</v>
      </c>
      <c r="AP165" s="557" t="str">
        <f t="shared" si="118"/>
        <v>check</v>
      </c>
      <c r="AQ165" s="483" t="str">
        <f t="shared" si="105"/>
        <v>check</v>
      </c>
      <c r="AR165" s="482" t="str">
        <f t="shared" si="116"/>
        <v>check</v>
      </c>
      <c r="AS165" s="482" t="str">
        <f t="shared" si="116"/>
        <v>check</v>
      </c>
      <c r="AT165" s="482" t="str">
        <f t="shared" si="116"/>
        <v>check</v>
      </c>
      <c r="AU165" s="482" t="str">
        <f t="shared" si="116"/>
        <v>check</v>
      </c>
      <c r="AV165" s="482" t="str">
        <f t="shared" si="106"/>
        <v>check</v>
      </c>
      <c r="AW165" s="483" t="str">
        <f t="shared" si="107"/>
        <v>check</v>
      </c>
      <c r="AX165" s="514" t="str">
        <f t="shared" si="104"/>
        <v>check</v>
      </c>
      <c r="AY165" s="514" t="s">
        <v>1524</v>
      </c>
      <c r="AZ165" s="556">
        <f t="shared" si="91"/>
        <v>0</v>
      </c>
      <c r="BA165" s="557">
        <f t="shared" ref="AZ165:BE165" si="119">IF(OR($M165="Exploration", $M165="Pre-feasibility", $O165&gt;2017), 0, "check")</f>
        <v>0</v>
      </c>
      <c r="BB165" s="557">
        <f t="shared" si="119"/>
        <v>0</v>
      </c>
      <c r="BC165" s="557">
        <f t="shared" si="119"/>
        <v>0</v>
      </c>
      <c r="BD165" s="557">
        <f t="shared" si="119"/>
        <v>0</v>
      </c>
      <c r="BE165" s="557">
        <f t="shared" si="119"/>
        <v>0</v>
      </c>
      <c r="BF165" s="556" t="str">
        <f t="shared" si="96"/>
        <v>check</v>
      </c>
      <c r="BG165" s="557" t="s">
        <v>1524</v>
      </c>
      <c r="BH165" s="557" t="s">
        <v>1524</v>
      </c>
      <c r="BI165" s="557" t="s">
        <v>1524</v>
      </c>
      <c r="BJ165" s="557" t="s">
        <v>1524</v>
      </c>
      <c r="BK165" s="557" t="s">
        <v>1524</v>
      </c>
      <c r="BL165" s="556" t="str">
        <f t="shared" si="93"/>
        <v>check</v>
      </c>
      <c r="BM165" s="557" t="s">
        <v>1524</v>
      </c>
      <c r="BN165" s="557" t="s">
        <v>1524</v>
      </c>
      <c r="BO165" s="557" t="s">
        <v>1524</v>
      </c>
      <c r="BP165" s="557" t="s">
        <v>1524</v>
      </c>
      <c r="BQ165" s="557" t="s">
        <v>1524</v>
      </c>
      <c r="BR165" s="318"/>
      <c r="BS165" s="318"/>
      <c r="BT165" s="318"/>
      <c r="BU165" s="318"/>
      <c r="BV165" s="318"/>
      <c r="BW165" s="318"/>
      <c r="BX165" s="318"/>
      <c r="BY165" s="318"/>
      <c r="BZ165" s="318" t="s">
        <v>1511</v>
      </c>
      <c r="CA165" s="318"/>
      <c r="CB165" s="318"/>
      <c r="CC165" s="318"/>
      <c r="CD165" s="318"/>
      <c r="CE165" s="457"/>
      <c r="CF165" s="443"/>
      <c r="CG165" s="360" t="s">
        <v>875</v>
      </c>
      <c r="CH165" s="430">
        <v>0.7</v>
      </c>
      <c r="CI165" s="360" t="s">
        <v>1225</v>
      </c>
      <c r="CJ165" s="430">
        <v>0.3</v>
      </c>
      <c r="CK165" s="360"/>
      <c r="CL165" s="360"/>
      <c r="CM165" s="360"/>
      <c r="CN165" s="360"/>
      <c r="CO165" s="360"/>
      <c r="CP165" s="360"/>
    </row>
    <row r="166" spans="1:103" s="315" customFormat="1" ht="50" hidden="1" x14ac:dyDescent="0.25">
      <c r="A166" s="403">
        <v>155</v>
      </c>
      <c r="B166" s="313" t="s">
        <v>831</v>
      </c>
      <c r="C166" s="313" t="s">
        <v>1098</v>
      </c>
      <c r="D166" s="318" t="s">
        <v>594</v>
      </c>
      <c r="E166" s="318"/>
      <c r="F166" s="313" t="s">
        <v>244</v>
      </c>
      <c r="G166" s="313" t="s">
        <v>576</v>
      </c>
      <c r="H166" s="305"/>
      <c r="I166" s="305" t="s">
        <v>1114</v>
      </c>
      <c r="J166" s="370">
        <v>0</v>
      </c>
      <c r="K166" s="370" t="e">
        <f>8000*V166/(IF(#REF!="yes",0.188,1))</f>
        <v>#REF!</v>
      </c>
      <c r="L166" s="370" t="e">
        <f>K166-J166</f>
        <v>#REF!</v>
      </c>
      <c r="M166" s="316" t="s">
        <v>483</v>
      </c>
      <c r="N166" s="398"/>
      <c r="O166" s="398">
        <v>2018</v>
      </c>
      <c r="P166" s="305" t="s">
        <v>519</v>
      </c>
      <c r="Q166" s="324"/>
      <c r="R166" s="305"/>
      <c r="S166" s="305"/>
      <c r="T166" s="305"/>
      <c r="U166" s="305" t="s">
        <v>536</v>
      </c>
      <c r="V166" s="426">
        <v>0.188</v>
      </c>
      <c r="W166" s="443">
        <v>5</v>
      </c>
      <c r="X166" s="414"/>
      <c r="Y166" s="412" t="e">
        <f t="shared" si="94"/>
        <v>#REF!</v>
      </c>
      <c r="Z166" s="318">
        <v>2</v>
      </c>
      <c r="AA166" s="318">
        <v>3</v>
      </c>
      <c r="AB166" s="318">
        <v>2</v>
      </c>
      <c r="AC166" s="318">
        <v>3</v>
      </c>
      <c r="AD166" s="318" t="s">
        <v>1100</v>
      </c>
      <c r="AE166" s="483">
        <f t="shared" si="117"/>
        <v>0</v>
      </c>
      <c r="AF166" s="482">
        <f t="shared" si="117"/>
        <v>0</v>
      </c>
      <c r="AG166" s="482">
        <f t="shared" si="117"/>
        <v>0</v>
      </c>
      <c r="AH166" s="482">
        <f t="shared" si="117"/>
        <v>0</v>
      </c>
      <c r="AI166" s="482">
        <f t="shared" si="117"/>
        <v>0</v>
      </c>
      <c r="AJ166" s="482">
        <f t="shared" si="117"/>
        <v>0</v>
      </c>
      <c r="AK166" s="556" t="str">
        <f t="shared" si="118"/>
        <v>check</v>
      </c>
      <c r="AL166" s="557" t="str">
        <f t="shared" si="118"/>
        <v>check</v>
      </c>
      <c r="AM166" s="557" t="str">
        <f t="shared" si="118"/>
        <v>check</v>
      </c>
      <c r="AN166" s="557" t="str">
        <f t="shared" si="118"/>
        <v>check</v>
      </c>
      <c r="AO166" s="557" t="str">
        <f t="shared" si="118"/>
        <v>check</v>
      </c>
      <c r="AP166" s="557" t="str">
        <f t="shared" si="118"/>
        <v>check</v>
      </c>
      <c r="AQ166" s="483" t="str">
        <f t="shared" si="105"/>
        <v>check</v>
      </c>
      <c r="AR166" s="482" t="str">
        <f t="shared" si="116"/>
        <v>check</v>
      </c>
      <c r="AS166" s="482" t="str">
        <f t="shared" si="116"/>
        <v>check</v>
      </c>
      <c r="AT166" s="482" t="str">
        <f t="shared" si="116"/>
        <v>check</v>
      </c>
      <c r="AU166" s="482" t="str">
        <f t="shared" si="116"/>
        <v>check</v>
      </c>
      <c r="AV166" s="482" t="str">
        <f t="shared" si="106"/>
        <v>check</v>
      </c>
      <c r="AW166" s="483" t="str">
        <f t="shared" si="107"/>
        <v>check</v>
      </c>
      <c r="AX166" s="514" t="str">
        <f t="shared" si="104"/>
        <v>check</v>
      </c>
      <c r="AY166" s="514" t="s">
        <v>1524</v>
      </c>
      <c r="AZ166" s="556">
        <f t="shared" si="91"/>
        <v>0</v>
      </c>
      <c r="BA166" s="557">
        <v>0</v>
      </c>
      <c r="BB166" s="557">
        <v>0</v>
      </c>
      <c r="BC166" s="557">
        <v>0</v>
      </c>
      <c r="BD166" s="557">
        <v>0</v>
      </c>
      <c r="BE166" s="557">
        <v>0</v>
      </c>
      <c r="BF166" s="556" t="str">
        <f t="shared" si="96"/>
        <v>check</v>
      </c>
      <c r="BG166" s="557" t="s">
        <v>1524</v>
      </c>
      <c r="BH166" s="557" t="s">
        <v>1524</v>
      </c>
      <c r="BI166" s="557" t="s">
        <v>1524</v>
      </c>
      <c r="BJ166" s="557" t="s">
        <v>1524</v>
      </c>
      <c r="BK166" s="557" t="s">
        <v>1524</v>
      </c>
      <c r="BL166" s="556" t="str">
        <f t="shared" si="93"/>
        <v>check</v>
      </c>
      <c r="BM166" s="557" t="s">
        <v>1524</v>
      </c>
      <c r="BN166" s="557" t="s">
        <v>1524</v>
      </c>
      <c r="BO166" s="557" t="s">
        <v>1524</v>
      </c>
      <c r="BP166" s="557" t="s">
        <v>1524</v>
      </c>
      <c r="BQ166" s="557" t="s">
        <v>1524</v>
      </c>
      <c r="BR166" s="318"/>
      <c r="BS166" s="318"/>
      <c r="BT166" s="318"/>
      <c r="BU166" s="318"/>
      <c r="BV166" s="318"/>
      <c r="BW166" s="318"/>
      <c r="BX166" s="318"/>
      <c r="BY166" s="318"/>
      <c r="BZ166" s="318" t="s">
        <v>1511</v>
      </c>
      <c r="CA166" s="318"/>
      <c r="CB166" s="318"/>
      <c r="CC166" s="318"/>
      <c r="CD166" s="318"/>
      <c r="CE166" s="457"/>
      <c r="CF166" s="443">
        <v>29.22</v>
      </c>
      <c r="CG166" s="360" t="s">
        <v>831</v>
      </c>
      <c r="CH166" s="430">
        <v>1</v>
      </c>
      <c r="CI166" s="360"/>
      <c r="CJ166" s="360"/>
      <c r="CK166" s="360"/>
      <c r="CL166" s="360"/>
      <c r="CM166" s="360"/>
      <c r="CN166" s="360"/>
      <c r="CO166" s="360"/>
      <c r="CP166" s="360"/>
    </row>
    <row r="167" spans="1:103" s="315" customFormat="1" ht="25" hidden="1" x14ac:dyDescent="0.25">
      <c r="A167" s="403">
        <v>156</v>
      </c>
      <c r="B167" s="313" t="s">
        <v>1101</v>
      </c>
      <c r="C167" s="313" t="s">
        <v>1513</v>
      </c>
      <c r="D167" s="318" t="s">
        <v>594</v>
      </c>
      <c r="E167" s="318"/>
      <c r="F167" s="313" t="s">
        <v>244</v>
      </c>
      <c r="G167" s="313" t="s">
        <v>792</v>
      </c>
      <c r="H167" s="305"/>
      <c r="I167" s="305" t="s">
        <v>1301</v>
      </c>
      <c r="J167" s="370">
        <v>0</v>
      </c>
      <c r="K167" s="370" t="e">
        <f>10000*V167/(IF(#REF!="yes",0.188,1))</f>
        <v>#REF!</v>
      </c>
      <c r="L167" s="370" t="e">
        <f>K167-J167</f>
        <v>#REF!</v>
      </c>
      <c r="M167" s="544" t="s">
        <v>484</v>
      </c>
      <c r="N167" s="398"/>
      <c r="O167" s="547">
        <v>2018</v>
      </c>
      <c r="P167" s="305" t="s">
        <v>519</v>
      </c>
      <c r="Q167" s="324"/>
      <c r="R167" s="305"/>
      <c r="S167" s="305"/>
      <c r="T167" s="305"/>
      <c r="U167" s="305" t="s">
        <v>536</v>
      </c>
      <c r="V167" s="426">
        <v>0.188</v>
      </c>
      <c r="W167" s="443">
        <v>5</v>
      </c>
      <c r="X167" s="414"/>
      <c r="Y167" s="412" t="e">
        <f t="shared" si="94"/>
        <v>#REF!</v>
      </c>
      <c r="Z167" s="318">
        <v>2</v>
      </c>
      <c r="AA167" s="318">
        <v>3</v>
      </c>
      <c r="AB167" s="318">
        <v>2</v>
      </c>
      <c r="AC167" s="318">
        <v>1</v>
      </c>
      <c r="AD167" s="318"/>
      <c r="AE167" s="483">
        <f t="shared" si="117"/>
        <v>0</v>
      </c>
      <c r="AF167" s="482">
        <f t="shared" si="117"/>
        <v>0</v>
      </c>
      <c r="AG167" s="482">
        <f t="shared" si="117"/>
        <v>0</v>
      </c>
      <c r="AH167" s="482">
        <f t="shared" si="117"/>
        <v>0</v>
      </c>
      <c r="AI167" s="482">
        <f t="shared" si="117"/>
        <v>0</v>
      </c>
      <c r="AJ167" s="482">
        <f t="shared" si="117"/>
        <v>0</v>
      </c>
      <c r="AK167" s="556" t="str">
        <f t="shared" si="118"/>
        <v>check</v>
      </c>
      <c r="AL167" s="557" t="str">
        <f t="shared" si="118"/>
        <v>check</v>
      </c>
      <c r="AM167" s="557" t="str">
        <f t="shared" si="118"/>
        <v>check</v>
      </c>
      <c r="AN167" s="557" t="str">
        <f t="shared" si="118"/>
        <v>check</v>
      </c>
      <c r="AO167" s="557" t="str">
        <f t="shared" si="118"/>
        <v>check</v>
      </c>
      <c r="AP167" s="557" t="str">
        <f t="shared" si="118"/>
        <v>check</v>
      </c>
      <c r="AQ167" s="483" t="str">
        <f t="shared" si="105"/>
        <v>check</v>
      </c>
      <c r="AR167" s="482" t="str">
        <f t="shared" si="116"/>
        <v>check</v>
      </c>
      <c r="AS167" s="482" t="str">
        <f t="shared" si="116"/>
        <v>check</v>
      </c>
      <c r="AT167" s="482" t="str">
        <f t="shared" si="116"/>
        <v>check</v>
      </c>
      <c r="AU167" s="482" t="str">
        <f t="shared" si="116"/>
        <v>check</v>
      </c>
      <c r="AV167" s="482" t="str">
        <f t="shared" si="106"/>
        <v>check</v>
      </c>
      <c r="AW167" s="483" t="str">
        <f t="shared" si="107"/>
        <v>check</v>
      </c>
      <c r="AX167" s="514" t="str">
        <f t="shared" si="104"/>
        <v>check</v>
      </c>
      <c r="AY167" s="514" t="s">
        <v>1524</v>
      </c>
      <c r="AZ167" s="556">
        <f t="shared" si="91"/>
        <v>0</v>
      </c>
      <c r="BA167" s="557">
        <v>0</v>
      </c>
      <c r="BB167" s="557">
        <v>0</v>
      </c>
      <c r="BC167" s="557">
        <v>0</v>
      </c>
      <c r="BD167" s="557">
        <v>0</v>
      </c>
      <c r="BE167" s="557">
        <v>0</v>
      </c>
      <c r="BF167" s="556" t="str">
        <f t="shared" si="96"/>
        <v>check</v>
      </c>
      <c r="BG167" s="557" t="s">
        <v>1524</v>
      </c>
      <c r="BH167" s="557" t="s">
        <v>1524</v>
      </c>
      <c r="BI167" s="557" t="s">
        <v>1524</v>
      </c>
      <c r="BJ167" s="557" t="s">
        <v>1524</v>
      </c>
      <c r="BK167" s="557" t="s">
        <v>1524</v>
      </c>
      <c r="BL167" s="556" t="str">
        <f t="shared" si="93"/>
        <v>check</v>
      </c>
      <c r="BM167" s="557" t="s">
        <v>1524</v>
      </c>
      <c r="BN167" s="557" t="s">
        <v>1524</v>
      </c>
      <c r="BO167" s="557" t="s">
        <v>1524</v>
      </c>
      <c r="BP167" s="557" t="s">
        <v>1524</v>
      </c>
      <c r="BQ167" s="557" t="s">
        <v>1524</v>
      </c>
      <c r="BR167" s="318"/>
      <c r="BS167" s="318"/>
      <c r="BT167" s="318"/>
      <c r="BU167" s="318"/>
      <c r="BV167" s="318"/>
      <c r="BW167" s="318"/>
      <c r="BX167" s="318"/>
      <c r="BY167" s="318"/>
      <c r="BZ167" s="318" t="s">
        <v>1511</v>
      </c>
      <c r="CA167" s="318"/>
      <c r="CB167" s="318"/>
      <c r="CC167" s="318"/>
      <c r="CD167" s="318"/>
      <c r="CE167" s="457"/>
      <c r="CF167" s="443"/>
      <c r="CG167" s="360" t="s">
        <v>1224</v>
      </c>
      <c r="CH167" s="430">
        <v>1</v>
      </c>
      <c r="CI167" s="360"/>
      <c r="CJ167" s="360"/>
      <c r="CK167" s="360"/>
      <c r="CL167" s="360"/>
      <c r="CM167" s="360"/>
      <c r="CN167" s="360"/>
      <c r="CO167" s="360"/>
      <c r="CP167" s="360"/>
    </row>
    <row r="168" spans="1:103" s="315" customFormat="1" ht="62.5" hidden="1" x14ac:dyDescent="0.25">
      <c r="A168" s="403">
        <v>157</v>
      </c>
      <c r="B168" s="313" t="s">
        <v>832</v>
      </c>
      <c r="C168" s="313" t="s">
        <v>1102</v>
      </c>
      <c r="D168" s="318" t="s">
        <v>594</v>
      </c>
      <c r="E168" s="318" t="s">
        <v>552</v>
      </c>
      <c r="F168" s="313" t="s">
        <v>244</v>
      </c>
      <c r="G168" s="313" t="s">
        <v>550</v>
      </c>
      <c r="H168" s="305" t="s">
        <v>1120</v>
      </c>
      <c r="I168" s="305"/>
      <c r="J168" s="370" t="e">
        <f>11000*$V168/(IF(#REF!="yes",0.188,1))</f>
        <v>#REF!</v>
      </c>
      <c r="K168" s="370"/>
      <c r="L168" s="370" t="e">
        <f>J168</f>
        <v>#REF!</v>
      </c>
      <c r="M168" s="316" t="s">
        <v>483</v>
      </c>
      <c r="N168" s="398"/>
      <c r="O168" s="398">
        <v>2018</v>
      </c>
      <c r="P168" s="305" t="s">
        <v>519</v>
      </c>
      <c r="Q168" s="324"/>
      <c r="R168" s="305"/>
      <c r="S168" s="305"/>
      <c r="T168" s="305"/>
      <c r="U168" s="305" t="s">
        <v>536</v>
      </c>
      <c r="V168" s="426">
        <v>0.188</v>
      </c>
      <c r="W168" s="443">
        <v>5</v>
      </c>
      <c r="X168" s="414"/>
      <c r="Y168" s="412" t="e">
        <f t="shared" si="94"/>
        <v>#REF!</v>
      </c>
      <c r="Z168" s="318">
        <v>2</v>
      </c>
      <c r="AA168" s="318">
        <v>3</v>
      </c>
      <c r="AB168" s="318">
        <v>3</v>
      </c>
      <c r="AC168" s="318">
        <v>3</v>
      </c>
      <c r="AD168" s="318" t="s">
        <v>1103</v>
      </c>
      <c r="AE168" s="483">
        <f t="shared" si="117"/>
        <v>0</v>
      </c>
      <c r="AF168" s="482">
        <f t="shared" si="117"/>
        <v>0</v>
      </c>
      <c r="AG168" s="482">
        <f t="shared" si="117"/>
        <v>0</v>
      </c>
      <c r="AH168" s="482">
        <f t="shared" si="117"/>
        <v>0</v>
      </c>
      <c r="AI168" s="482">
        <f t="shared" si="117"/>
        <v>0</v>
      </c>
      <c r="AJ168" s="482">
        <f t="shared" si="117"/>
        <v>0</v>
      </c>
      <c r="AK168" s="556">
        <v>11000</v>
      </c>
      <c r="AL168" s="557" t="s">
        <v>1524</v>
      </c>
      <c r="AM168" s="557" t="s">
        <v>1524</v>
      </c>
      <c r="AN168" s="557" t="s">
        <v>1524</v>
      </c>
      <c r="AO168" s="557" t="s">
        <v>1524</v>
      </c>
      <c r="AP168" s="557" t="str">
        <f>IF(OR(M168="Exploration", M168="Pre-feasibility", O168&gt;2018), 0, "check")</f>
        <v>check</v>
      </c>
      <c r="AQ168" s="483" t="str">
        <f t="shared" si="105"/>
        <v>check</v>
      </c>
      <c r="AR168" s="482" t="str">
        <f t="shared" si="116"/>
        <v>check</v>
      </c>
      <c r="AS168" s="482" t="str">
        <f t="shared" si="116"/>
        <v>check</v>
      </c>
      <c r="AT168" s="482" t="str">
        <f t="shared" si="116"/>
        <v>check</v>
      </c>
      <c r="AU168" s="482" t="str">
        <f t="shared" si="116"/>
        <v>check</v>
      </c>
      <c r="AV168" s="482" t="str">
        <f t="shared" si="106"/>
        <v>check</v>
      </c>
      <c r="AW168" s="483" t="str">
        <f t="shared" si="107"/>
        <v>check</v>
      </c>
      <c r="AX168" s="514" t="str">
        <f t="shared" si="104"/>
        <v>check</v>
      </c>
      <c r="AY168" s="514" t="s">
        <v>1524</v>
      </c>
      <c r="AZ168" s="556">
        <f t="shared" si="91"/>
        <v>0</v>
      </c>
      <c r="BA168" s="557">
        <v>0</v>
      </c>
      <c r="BB168" s="557">
        <v>0</v>
      </c>
      <c r="BC168" s="557">
        <v>0</v>
      </c>
      <c r="BD168" s="557">
        <v>0</v>
      </c>
      <c r="BE168" s="557">
        <v>0</v>
      </c>
      <c r="BF168" s="556">
        <f t="shared" si="96"/>
        <v>11000</v>
      </c>
      <c r="BG168" s="557" t="s">
        <v>1524</v>
      </c>
      <c r="BH168" s="557" t="s">
        <v>1524</v>
      </c>
      <c r="BI168" s="557" t="s">
        <v>1524</v>
      </c>
      <c r="BJ168" s="557" t="s">
        <v>1524</v>
      </c>
      <c r="BK168" s="557" t="s">
        <v>1524</v>
      </c>
      <c r="BL168" s="556" t="str">
        <f t="shared" si="93"/>
        <v>check</v>
      </c>
      <c r="BM168" s="557" t="s">
        <v>1524</v>
      </c>
      <c r="BN168" s="557" t="s">
        <v>1524</v>
      </c>
      <c r="BO168" s="557" t="s">
        <v>1524</v>
      </c>
      <c r="BP168" s="557" t="s">
        <v>1524</v>
      </c>
      <c r="BQ168" s="557" t="s">
        <v>1524</v>
      </c>
      <c r="BR168" s="318"/>
      <c r="BS168" s="318"/>
      <c r="BT168" s="318"/>
      <c r="BU168" s="318"/>
      <c r="BV168" s="318"/>
      <c r="BW168" s="318"/>
      <c r="BX168" s="318"/>
      <c r="BY168" s="318"/>
      <c r="BZ168" s="318" t="s">
        <v>1511</v>
      </c>
      <c r="CA168" s="318"/>
      <c r="CB168" s="318"/>
      <c r="CC168" s="318"/>
      <c r="CD168" s="318"/>
      <c r="CE168" s="457"/>
      <c r="CF168" s="443">
        <v>65</v>
      </c>
      <c r="CG168" s="360" t="s">
        <v>832</v>
      </c>
      <c r="CH168" s="430">
        <v>1</v>
      </c>
      <c r="CI168" s="360"/>
      <c r="CJ168" s="360"/>
      <c r="CK168" s="360"/>
      <c r="CL168" s="360"/>
      <c r="CM168" s="360"/>
      <c r="CN168" s="360"/>
      <c r="CO168" s="360"/>
      <c r="CP168" s="360"/>
    </row>
    <row r="169" spans="1:103" s="315" customFormat="1" ht="13" hidden="1" x14ac:dyDescent="0.25">
      <c r="A169" s="403">
        <v>158</v>
      </c>
      <c r="B169" s="313" t="s">
        <v>833</v>
      </c>
      <c r="C169" s="313" t="s">
        <v>834</v>
      </c>
      <c r="D169" s="318" t="s">
        <v>594</v>
      </c>
      <c r="E169" s="318"/>
      <c r="F169" s="313" t="s">
        <v>244</v>
      </c>
      <c r="G169" s="313" t="s">
        <v>834</v>
      </c>
      <c r="H169" s="305"/>
      <c r="I169" s="305">
        <v>10000</v>
      </c>
      <c r="J169" s="370">
        <v>0</v>
      </c>
      <c r="K169" s="370" t="e">
        <f>10000*V169/(IF(#REF!="yes",0.188,1))</f>
        <v>#REF!</v>
      </c>
      <c r="L169" s="370" t="e">
        <f>K169-J169</f>
        <v>#REF!</v>
      </c>
      <c r="M169" s="544" t="s">
        <v>484</v>
      </c>
      <c r="N169" s="398"/>
      <c r="O169" s="547">
        <v>2018</v>
      </c>
      <c r="P169" s="305" t="s">
        <v>519</v>
      </c>
      <c r="Q169" s="324"/>
      <c r="R169" s="305"/>
      <c r="S169" s="305"/>
      <c r="T169" s="305"/>
      <c r="U169" s="305" t="s">
        <v>536</v>
      </c>
      <c r="V169" s="426">
        <v>0.188</v>
      </c>
      <c r="W169" s="443">
        <v>4.5</v>
      </c>
      <c r="X169" s="414"/>
      <c r="Y169" s="412" t="e">
        <f t="shared" si="94"/>
        <v>#REF!</v>
      </c>
      <c r="Z169" s="318">
        <v>3</v>
      </c>
      <c r="AA169" s="318">
        <v>2</v>
      </c>
      <c r="AB169" s="318">
        <v>2</v>
      </c>
      <c r="AC169" s="318">
        <v>1</v>
      </c>
      <c r="AD169" s="318"/>
      <c r="AE169" s="483">
        <f t="shared" si="117"/>
        <v>0</v>
      </c>
      <c r="AF169" s="482">
        <f t="shared" si="117"/>
        <v>0</v>
      </c>
      <c r="AG169" s="482">
        <f t="shared" si="117"/>
        <v>0</v>
      </c>
      <c r="AH169" s="482">
        <f t="shared" si="117"/>
        <v>0</v>
      </c>
      <c r="AI169" s="482">
        <f t="shared" si="117"/>
        <v>0</v>
      </c>
      <c r="AJ169" s="482">
        <f t="shared" si="117"/>
        <v>0</v>
      </c>
      <c r="AK169" s="556" t="str">
        <f t="shared" ref="AK169:AP170" si="120">IF(OR($M169="Exploration", $M169="Pre-feasibility", $O169&gt;2018), 0, "check")</f>
        <v>check</v>
      </c>
      <c r="AL169" s="557" t="str">
        <f t="shared" si="120"/>
        <v>check</v>
      </c>
      <c r="AM169" s="557" t="str">
        <f t="shared" si="120"/>
        <v>check</v>
      </c>
      <c r="AN169" s="557" t="str">
        <f t="shared" si="120"/>
        <v>check</v>
      </c>
      <c r="AO169" s="557" t="str">
        <f t="shared" si="120"/>
        <v>check</v>
      </c>
      <c r="AP169" s="557" t="str">
        <f t="shared" si="120"/>
        <v>check</v>
      </c>
      <c r="AQ169" s="483" t="str">
        <f t="shared" si="105"/>
        <v>check</v>
      </c>
      <c r="AR169" s="482" t="str">
        <f t="shared" si="116"/>
        <v>check</v>
      </c>
      <c r="AS169" s="482" t="str">
        <f t="shared" si="116"/>
        <v>check</v>
      </c>
      <c r="AT169" s="482" t="str">
        <f t="shared" si="116"/>
        <v>check</v>
      </c>
      <c r="AU169" s="482" t="str">
        <f t="shared" si="116"/>
        <v>check</v>
      </c>
      <c r="AV169" s="482" t="str">
        <f t="shared" si="106"/>
        <v>check</v>
      </c>
      <c r="AW169" s="483" t="str">
        <f t="shared" si="107"/>
        <v>check</v>
      </c>
      <c r="AX169" s="514" t="str">
        <f t="shared" si="104"/>
        <v>check</v>
      </c>
      <c r="AY169" s="514" t="s">
        <v>1524</v>
      </c>
      <c r="AZ169" s="556">
        <f t="shared" si="91"/>
        <v>0</v>
      </c>
      <c r="BA169" s="557">
        <v>0</v>
      </c>
      <c r="BB169" s="557">
        <v>0</v>
      </c>
      <c r="BC169" s="557">
        <v>0</v>
      </c>
      <c r="BD169" s="557">
        <v>0</v>
      </c>
      <c r="BE169" s="557">
        <v>0</v>
      </c>
      <c r="BF169" s="556" t="str">
        <f t="shared" si="96"/>
        <v>check</v>
      </c>
      <c r="BG169" s="557" t="s">
        <v>1524</v>
      </c>
      <c r="BH169" s="557" t="s">
        <v>1524</v>
      </c>
      <c r="BI169" s="557" t="s">
        <v>1524</v>
      </c>
      <c r="BJ169" s="557" t="s">
        <v>1524</v>
      </c>
      <c r="BK169" s="557" t="s">
        <v>1524</v>
      </c>
      <c r="BL169" s="556" t="str">
        <f t="shared" si="93"/>
        <v>check</v>
      </c>
      <c r="BM169" s="557" t="s">
        <v>1524</v>
      </c>
      <c r="BN169" s="557" t="s">
        <v>1524</v>
      </c>
      <c r="BO169" s="557" t="s">
        <v>1524</v>
      </c>
      <c r="BP169" s="557" t="s">
        <v>1524</v>
      </c>
      <c r="BQ169" s="557" t="s">
        <v>1524</v>
      </c>
      <c r="BR169" s="318"/>
      <c r="BS169" s="318"/>
      <c r="BT169" s="318"/>
      <c r="BU169" s="318"/>
      <c r="BV169" s="318"/>
      <c r="BW169" s="318"/>
      <c r="BX169" s="318"/>
      <c r="BY169" s="318"/>
      <c r="BZ169" s="318" t="s">
        <v>1511</v>
      </c>
      <c r="CA169" s="318"/>
      <c r="CB169" s="318"/>
      <c r="CC169" s="318"/>
      <c r="CD169" s="318"/>
      <c r="CE169" s="457"/>
      <c r="CF169" s="443"/>
      <c r="CG169" s="360" t="s">
        <v>833</v>
      </c>
      <c r="CH169" s="430">
        <v>1</v>
      </c>
      <c r="CI169" s="360"/>
      <c r="CJ169" s="360"/>
      <c r="CK169" s="360"/>
      <c r="CL169" s="360"/>
      <c r="CM169" s="360"/>
      <c r="CN169" s="360"/>
      <c r="CO169" s="360"/>
      <c r="CP169" s="360"/>
    </row>
    <row r="170" spans="1:103" s="315" customFormat="1" ht="50" hidden="1" x14ac:dyDescent="0.25">
      <c r="A170" s="403">
        <v>159</v>
      </c>
      <c r="B170" s="313" t="s">
        <v>831</v>
      </c>
      <c r="C170" s="313" t="s">
        <v>1113</v>
      </c>
      <c r="D170" s="318" t="s">
        <v>594</v>
      </c>
      <c r="E170" s="318"/>
      <c r="F170" s="313" t="s">
        <v>244</v>
      </c>
      <c r="G170" s="313" t="s">
        <v>576</v>
      </c>
      <c r="H170" s="305"/>
      <c r="I170" s="305" t="s">
        <v>1114</v>
      </c>
      <c r="J170" s="370">
        <v>0</v>
      </c>
      <c r="K170" s="370" t="e">
        <f>2000*V170/(IF(#REF!="yes",0.188,1))</f>
        <v>#REF!</v>
      </c>
      <c r="L170" s="370" t="e">
        <f>K170-J170</f>
        <v>#REF!</v>
      </c>
      <c r="M170" s="316" t="s">
        <v>483</v>
      </c>
      <c r="N170" s="398"/>
      <c r="O170" s="398">
        <v>2018</v>
      </c>
      <c r="P170" s="305" t="s">
        <v>519</v>
      </c>
      <c r="Q170" s="324"/>
      <c r="R170" s="305"/>
      <c r="S170" s="305"/>
      <c r="T170" s="305"/>
      <c r="U170" s="305" t="s">
        <v>532</v>
      </c>
      <c r="V170" s="426">
        <v>0.16300000000000001</v>
      </c>
      <c r="W170" s="443">
        <v>4</v>
      </c>
      <c r="X170" s="414"/>
      <c r="Y170" s="412" t="e">
        <f t="shared" si="94"/>
        <v>#REF!</v>
      </c>
      <c r="Z170" s="318">
        <v>2</v>
      </c>
      <c r="AA170" s="318">
        <v>3</v>
      </c>
      <c r="AB170" s="318">
        <v>2</v>
      </c>
      <c r="AC170" s="318">
        <v>3</v>
      </c>
      <c r="AD170" s="318" t="s">
        <v>1100</v>
      </c>
      <c r="AE170" s="483">
        <f t="shared" si="117"/>
        <v>0</v>
      </c>
      <c r="AF170" s="482">
        <f t="shared" si="117"/>
        <v>0</v>
      </c>
      <c r="AG170" s="482">
        <f t="shared" si="117"/>
        <v>0</v>
      </c>
      <c r="AH170" s="482">
        <f t="shared" si="117"/>
        <v>0</v>
      </c>
      <c r="AI170" s="482">
        <f t="shared" si="117"/>
        <v>0</v>
      </c>
      <c r="AJ170" s="482">
        <f t="shared" si="117"/>
        <v>0</v>
      </c>
      <c r="AK170" s="556" t="str">
        <f t="shared" si="120"/>
        <v>check</v>
      </c>
      <c r="AL170" s="557" t="str">
        <f t="shared" si="120"/>
        <v>check</v>
      </c>
      <c r="AM170" s="557" t="str">
        <f t="shared" si="120"/>
        <v>check</v>
      </c>
      <c r="AN170" s="557" t="str">
        <f t="shared" si="120"/>
        <v>check</v>
      </c>
      <c r="AO170" s="557" t="str">
        <f t="shared" si="120"/>
        <v>check</v>
      </c>
      <c r="AP170" s="557" t="str">
        <f t="shared" si="120"/>
        <v>check</v>
      </c>
      <c r="AQ170" s="483" t="str">
        <f t="shared" si="105"/>
        <v>check</v>
      </c>
      <c r="AR170" s="482" t="str">
        <f t="shared" si="116"/>
        <v>check</v>
      </c>
      <c r="AS170" s="482" t="str">
        <f t="shared" si="116"/>
        <v>check</v>
      </c>
      <c r="AT170" s="482" t="str">
        <f t="shared" si="116"/>
        <v>check</v>
      </c>
      <c r="AU170" s="482" t="str">
        <f t="shared" si="116"/>
        <v>check</v>
      </c>
      <c r="AV170" s="482" t="str">
        <f t="shared" si="106"/>
        <v>check</v>
      </c>
      <c r="AW170" s="483" t="str">
        <f t="shared" si="107"/>
        <v>check</v>
      </c>
      <c r="AX170" s="514" t="str">
        <f t="shared" si="104"/>
        <v>check</v>
      </c>
      <c r="AY170" s="514" t="s">
        <v>1524</v>
      </c>
      <c r="AZ170" s="556">
        <f t="shared" si="91"/>
        <v>0</v>
      </c>
      <c r="BA170" s="557">
        <v>0</v>
      </c>
      <c r="BB170" s="557">
        <v>0</v>
      </c>
      <c r="BC170" s="557">
        <v>0</v>
      </c>
      <c r="BD170" s="557">
        <v>0</v>
      </c>
      <c r="BE170" s="557">
        <v>0</v>
      </c>
      <c r="BF170" s="556" t="str">
        <f t="shared" si="96"/>
        <v>check</v>
      </c>
      <c r="BG170" s="557" t="s">
        <v>1524</v>
      </c>
      <c r="BH170" s="557" t="s">
        <v>1524</v>
      </c>
      <c r="BI170" s="557" t="s">
        <v>1524</v>
      </c>
      <c r="BJ170" s="557" t="s">
        <v>1524</v>
      </c>
      <c r="BK170" s="557" t="s">
        <v>1524</v>
      </c>
      <c r="BL170" s="556" t="str">
        <f t="shared" si="93"/>
        <v>check</v>
      </c>
      <c r="BM170" s="557" t="s">
        <v>1524</v>
      </c>
      <c r="BN170" s="557" t="s">
        <v>1524</v>
      </c>
      <c r="BO170" s="557" t="s">
        <v>1524</v>
      </c>
      <c r="BP170" s="557" t="s">
        <v>1524</v>
      </c>
      <c r="BQ170" s="557" t="s">
        <v>1524</v>
      </c>
      <c r="BR170" s="318"/>
      <c r="BS170" s="318"/>
      <c r="BT170" s="318"/>
      <c r="BU170" s="318"/>
      <c r="BV170" s="318"/>
      <c r="BW170" s="318"/>
      <c r="BX170" s="318"/>
      <c r="BY170" s="318"/>
      <c r="BZ170" s="318" t="s">
        <v>1511</v>
      </c>
      <c r="CA170" s="318"/>
      <c r="CB170" s="318"/>
      <c r="CC170" s="318"/>
      <c r="CD170" s="318"/>
      <c r="CE170" s="457"/>
      <c r="CF170" s="443">
        <v>29.22</v>
      </c>
      <c r="CG170" s="360" t="s">
        <v>831</v>
      </c>
      <c r="CH170" s="430">
        <v>1</v>
      </c>
      <c r="CI170" s="360"/>
      <c r="CJ170" s="360"/>
      <c r="CK170" s="360"/>
      <c r="CL170" s="360"/>
      <c r="CM170" s="360"/>
      <c r="CN170" s="360"/>
      <c r="CO170" s="360"/>
      <c r="CP170" s="360"/>
    </row>
    <row r="171" spans="1:103" s="315" customFormat="1" ht="25" hidden="1" x14ac:dyDescent="0.25">
      <c r="A171" s="403">
        <v>160</v>
      </c>
      <c r="B171" s="313" t="s">
        <v>867</v>
      </c>
      <c r="C171" s="313" t="s">
        <v>1064</v>
      </c>
      <c r="D171" s="318" t="s">
        <v>594</v>
      </c>
      <c r="E171" s="318" t="s">
        <v>552</v>
      </c>
      <c r="F171" s="313" t="s">
        <v>244</v>
      </c>
      <c r="G171" s="313" t="s">
        <v>550</v>
      </c>
      <c r="H171" s="305" t="s">
        <v>871</v>
      </c>
      <c r="I171" s="375"/>
      <c r="J171" s="370" t="e">
        <f>10000*V171/(IF(#REF!="yes",0.188,1))</f>
        <v>#REF!</v>
      </c>
      <c r="K171" s="370">
        <v>0</v>
      </c>
      <c r="L171" s="370" t="e">
        <f>J171</f>
        <v>#REF!</v>
      </c>
      <c r="M171" s="316" t="s">
        <v>483</v>
      </c>
      <c r="N171" s="398">
        <v>2017</v>
      </c>
      <c r="O171" s="398">
        <v>2018</v>
      </c>
      <c r="P171" s="305" t="s">
        <v>519</v>
      </c>
      <c r="Q171" s="324"/>
      <c r="R171" s="305"/>
      <c r="S171" s="305"/>
      <c r="T171" s="305"/>
      <c r="U171" s="305" t="s">
        <v>536</v>
      </c>
      <c r="V171" s="426">
        <v>0.188</v>
      </c>
      <c r="W171" s="443">
        <v>5</v>
      </c>
      <c r="X171" s="414"/>
      <c r="Y171" s="412" t="e">
        <f t="shared" si="94"/>
        <v>#REF!</v>
      </c>
      <c r="Z171" s="318">
        <v>3</v>
      </c>
      <c r="AA171" s="318">
        <v>3</v>
      </c>
      <c r="AB171" s="318">
        <v>3</v>
      </c>
      <c r="AC171" s="318">
        <v>4</v>
      </c>
      <c r="AD171" s="318" t="s">
        <v>873</v>
      </c>
      <c r="AE171" s="483">
        <f t="shared" si="117"/>
        <v>0</v>
      </c>
      <c r="AF171" s="482">
        <f t="shared" si="117"/>
        <v>0</v>
      </c>
      <c r="AG171" s="482">
        <f t="shared" si="117"/>
        <v>0</v>
      </c>
      <c r="AH171" s="482">
        <f t="shared" si="117"/>
        <v>0</v>
      </c>
      <c r="AI171" s="482">
        <f t="shared" si="117"/>
        <v>0</v>
      </c>
      <c r="AJ171" s="482">
        <f t="shared" si="117"/>
        <v>0</v>
      </c>
      <c r="AK171" s="556">
        <v>10000</v>
      </c>
      <c r="AL171" s="557" t="s">
        <v>1524</v>
      </c>
      <c r="AM171" s="557" t="s">
        <v>1524</v>
      </c>
      <c r="AN171" s="557" t="s">
        <v>1524</v>
      </c>
      <c r="AO171" s="557" t="s">
        <v>1524</v>
      </c>
      <c r="AP171" s="557" t="str">
        <f>IF(OR(M171="Exploration", M171="Pre-feasibility", O171&gt;2018), 0, "check")</f>
        <v>check</v>
      </c>
      <c r="AQ171" s="483" t="str">
        <f t="shared" si="105"/>
        <v>check</v>
      </c>
      <c r="AR171" s="482" t="str">
        <f t="shared" si="116"/>
        <v>check</v>
      </c>
      <c r="AS171" s="482" t="str">
        <f t="shared" si="116"/>
        <v>check</v>
      </c>
      <c r="AT171" s="482" t="str">
        <f t="shared" si="116"/>
        <v>check</v>
      </c>
      <c r="AU171" s="482" t="str">
        <f t="shared" si="116"/>
        <v>check</v>
      </c>
      <c r="AV171" s="482" t="str">
        <f t="shared" si="106"/>
        <v>check</v>
      </c>
      <c r="AW171" s="483" t="str">
        <f t="shared" si="107"/>
        <v>check</v>
      </c>
      <c r="AX171" s="514" t="str">
        <f t="shared" si="104"/>
        <v>check</v>
      </c>
      <c r="AY171" s="514" t="s">
        <v>1524</v>
      </c>
      <c r="AZ171" s="556">
        <f t="shared" si="91"/>
        <v>0</v>
      </c>
      <c r="BA171" s="557">
        <v>0</v>
      </c>
      <c r="BB171" s="557">
        <v>0</v>
      </c>
      <c r="BC171" s="557">
        <v>0</v>
      </c>
      <c r="BD171" s="557">
        <v>0</v>
      </c>
      <c r="BE171" s="557">
        <v>0</v>
      </c>
      <c r="BF171" s="556">
        <f t="shared" si="96"/>
        <v>10000</v>
      </c>
      <c r="BG171" s="557" t="s">
        <v>1524</v>
      </c>
      <c r="BH171" s="557" t="s">
        <v>1524</v>
      </c>
      <c r="BI171" s="557" t="s">
        <v>1524</v>
      </c>
      <c r="BJ171" s="557" t="s">
        <v>1524</v>
      </c>
      <c r="BK171" s="557" t="s">
        <v>1524</v>
      </c>
      <c r="BL171" s="556" t="str">
        <f t="shared" si="93"/>
        <v>check</v>
      </c>
      <c r="BM171" s="557" t="s">
        <v>1524</v>
      </c>
      <c r="BN171" s="557" t="s">
        <v>1524</v>
      </c>
      <c r="BO171" s="557" t="s">
        <v>1524</v>
      </c>
      <c r="BP171" s="557" t="s">
        <v>1524</v>
      </c>
      <c r="BQ171" s="557" t="s">
        <v>1524</v>
      </c>
      <c r="BR171" s="318"/>
      <c r="BS171" s="318"/>
      <c r="BT171" s="318"/>
      <c r="BU171" s="318"/>
      <c r="BV171" s="318"/>
      <c r="BW171" s="318"/>
      <c r="BX171" s="318"/>
      <c r="BY171" s="318"/>
      <c r="BZ171" s="318" t="s">
        <v>1511</v>
      </c>
      <c r="CA171" s="318"/>
      <c r="CB171" s="318"/>
      <c r="CC171" s="318"/>
      <c r="CD171" s="318"/>
      <c r="CE171" s="457"/>
      <c r="CF171" s="443">
        <v>158</v>
      </c>
      <c r="CG171" s="360" t="s">
        <v>867</v>
      </c>
      <c r="CH171" s="430">
        <v>1</v>
      </c>
      <c r="CI171" s="360"/>
      <c r="CJ171" s="360"/>
      <c r="CK171" s="360"/>
      <c r="CL171" s="360"/>
      <c r="CM171" s="360"/>
      <c r="CN171" s="360"/>
      <c r="CO171" s="360"/>
      <c r="CP171" s="360"/>
    </row>
    <row r="172" spans="1:103" s="315" customFormat="1" ht="13" hidden="1" x14ac:dyDescent="0.25">
      <c r="A172" s="403">
        <v>161</v>
      </c>
      <c r="B172" s="313" t="s">
        <v>1417</v>
      </c>
      <c r="C172" s="313" t="s">
        <v>836</v>
      </c>
      <c r="D172" s="318" t="s">
        <v>457</v>
      </c>
      <c r="E172" s="318"/>
      <c r="F172" s="313" t="s">
        <v>476</v>
      </c>
      <c r="G172" s="313" t="s">
        <v>32</v>
      </c>
      <c r="H172" s="305"/>
      <c r="I172" s="305"/>
      <c r="J172" s="370">
        <v>0</v>
      </c>
      <c r="K172" s="370">
        <v>0</v>
      </c>
      <c r="L172" s="370">
        <f>K172-J172</f>
        <v>0</v>
      </c>
      <c r="M172" s="316" t="s">
        <v>837</v>
      </c>
      <c r="N172" s="398"/>
      <c r="O172" s="398"/>
      <c r="P172" s="305" t="s">
        <v>463</v>
      </c>
      <c r="Q172" s="324"/>
      <c r="R172" s="305"/>
      <c r="S172" s="305"/>
      <c r="T172" s="305"/>
      <c r="U172" s="305" t="s">
        <v>235</v>
      </c>
      <c r="V172" s="426"/>
      <c r="W172" s="317"/>
      <c r="X172" s="317"/>
      <c r="Y172" s="317" t="str">
        <f t="shared" si="94"/>
        <v/>
      </c>
      <c r="Z172" s="318"/>
      <c r="AA172" s="318"/>
      <c r="AB172" s="318"/>
      <c r="AC172" s="318"/>
      <c r="AD172" s="318" t="s">
        <v>835</v>
      </c>
      <c r="AE172" s="483">
        <v>0</v>
      </c>
      <c r="AF172" s="482">
        <v>0</v>
      </c>
      <c r="AG172" s="482">
        <v>0</v>
      </c>
      <c r="AH172" s="482">
        <v>0</v>
      </c>
      <c r="AI172" s="482">
        <v>0</v>
      </c>
      <c r="AJ172" s="482">
        <v>0</v>
      </c>
      <c r="AK172" s="556">
        <v>0</v>
      </c>
      <c r="AL172" s="557">
        <v>0</v>
      </c>
      <c r="AM172" s="557">
        <v>0</v>
      </c>
      <c r="AN172" s="557">
        <v>0</v>
      </c>
      <c r="AO172" s="557">
        <v>0</v>
      </c>
      <c r="AP172" s="557">
        <v>0</v>
      </c>
      <c r="AQ172" s="483">
        <v>0</v>
      </c>
      <c r="AR172" s="482">
        <v>0</v>
      </c>
      <c r="AS172" s="482">
        <v>0</v>
      </c>
      <c r="AT172" s="482">
        <v>0</v>
      </c>
      <c r="AU172" s="482">
        <v>0</v>
      </c>
      <c r="AV172" s="482">
        <v>0</v>
      </c>
      <c r="AW172" s="483">
        <f t="shared" si="107"/>
        <v>0</v>
      </c>
      <c r="AX172" s="514">
        <f t="shared" si="104"/>
        <v>0</v>
      </c>
      <c r="AY172" s="514" t="s">
        <v>1034</v>
      </c>
      <c r="AZ172" s="556">
        <f t="shared" si="91"/>
        <v>0</v>
      </c>
      <c r="BA172" s="557">
        <v>0</v>
      </c>
      <c r="BB172" s="557">
        <v>0</v>
      </c>
      <c r="BC172" s="557">
        <v>0</v>
      </c>
      <c r="BD172" s="557">
        <v>0</v>
      </c>
      <c r="BE172" s="557">
        <v>0</v>
      </c>
      <c r="BF172" s="556">
        <f t="shared" si="96"/>
        <v>0</v>
      </c>
      <c r="BG172" s="557">
        <v>0</v>
      </c>
      <c r="BH172" s="557">
        <v>0</v>
      </c>
      <c r="BI172" s="557">
        <v>0</v>
      </c>
      <c r="BJ172" s="557">
        <v>0</v>
      </c>
      <c r="BK172" s="557">
        <v>0</v>
      </c>
      <c r="BL172" s="556">
        <f t="shared" si="93"/>
        <v>0</v>
      </c>
      <c r="BM172" s="557">
        <v>0</v>
      </c>
      <c r="BN172" s="557">
        <v>0</v>
      </c>
      <c r="BO172" s="557">
        <v>0</v>
      </c>
      <c r="BP172" s="557">
        <v>0</v>
      </c>
      <c r="BQ172" s="557">
        <v>0</v>
      </c>
      <c r="BR172" s="318"/>
      <c r="BS172" s="318"/>
      <c r="BT172" s="318"/>
      <c r="BU172" s="318"/>
      <c r="BV172" s="318"/>
      <c r="BW172" s="318"/>
      <c r="BX172" s="318"/>
      <c r="BY172" s="318"/>
      <c r="BZ172" s="318"/>
      <c r="CA172" s="318"/>
      <c r="CB172" s="318"/>
      <c r="CC172" s="318"/>
      <c r="CD172" s="318"/>
      <c r="CE172" s="457"/>
      <c r="CF172" s="318"/>
      <c r="CG172" s="360"/>
      <c r="CH172" s="360"/>
      <c r="CI172" s="360"/>
      <c r="CJ172" s="360"/>
      <c r="CK172" s="360"/>
      <c r="CL172" s="360"/>
      <c r="CM172" s="360"/>
      <c r="CN172" s="360"/>
      <c r="CO172" s="360"/>
      <c r="CP172" s="360"/>
    </row>
    <row r="173" spans="1:103" s="362" customFormat="1" ht="25" hidden="1" x14ac:dyDescent="0.25">
      <c r="A173" s="403">
        <v>162</v>
      </c>
      <c r="B173" s="313" t="s">
        <v>838</v>
      </c>
      <c r="C173" s="313" t="s">
        <v>842</v>
      </c>
      <c r="D173" s="318" t="s">
        <v>594</v>
      </c>
      <c r="E173" s="318"/>
      <c r="F173" s="313" t="s">
        <v>462</v>
      </c>
      <c r="G173" s="313" t="s">
        <v>1395</v>
      </c>
      <c r="H173" s="305"/>
      <c r="I173" s="305" t="s">
        <v>846</v>
      </c>
      <c r="J173" s="370">
        <v>0</v>
      </c>
      <c r="K173" s="370">
        <v>0</v>
      </c>
      <c r="L173" s="370">
        <f>K173-J173</f>
        <v>0</v>
      </c>
      <c r="M173" s="316" t="s">
        <v>1208</v>
      </c>
      <c r="N173" s="398"/>
      <c r="O173" s="398">
        <v>2021</v>
      </c>
      <c r="P173" s="305" t="s">
        <v>463</v>
      </c>
      <c r="Q173" s="324"/>
      <c r="R173" s="305"/>
      <c r="S173" s="305"/>
      <c r="T173" s="305"/>
      <c r="U173" s="305" t="s">
        <v>840</v>
      </c>
      <c r="V173" s="426"/>
      <c r="W173" s="317"/>
      <c r="X173" s="317"/>
      <c r="Y173" s="317" t="str">
        <f t="shared" si="94"/>
        <v/>
      </c>
      <c r="Z173" s="318"/>
      <c r="AA173" s="318"/>
      <c r="AB173" s="318"/>
      <c r="AC173" s="318">
        <v>5</v>
      </c>
      <c r="AD173" s="318" t="s">
        <v>839</v>
      </c>
      <c r="AE173" s="483">
        <f t="shared" si="117"/>
        <v>0</v>
      </c>
      <c r="AF173" s="482">
        <f t="shared" si="117"/>
        <v>0</v>
      </c>
      <c r="AG173" s="482">
        <f t="shared" si="117"/>
        <v>0</v>
      </c>
      <c r="AH173" s="482">
        <f t="shared" si="117"/>
        <v>0</v>
      </c>
      <c r="AI173" s="482">
        <f t="shared" si="117"/>
        <v>0</v>
      </c>
      <c r="AJ173" s="482">
        <f t="shared" si="117"/>
        <v>0</v>
      </c>
      <c r="AK173" s="556">
        <f t="shared" ref="AK173:AP189" si="121">IF(OR($M173="Exploration", $M173="Pre-feasibility", $O173&gt;2018), 0, "check")</f>
        <v>0</v>
      </c>
      <c r="AL173" s="557">
        <f t="shared" si="121"/>
        <v>0</v>
      </c>
      <c r="AM173" s="557">
        <f t="shared" si="121"/>
        <v>0</v>
      </c>
      <c r="AN173" s="557">
        <f t="shared" si="121"/>
        <v>0</v>
      </c>
      <c r="AO173" s="557">
        <f t="shared" si="121"/>
        <v>0</v>
      </c>
      <c r="AP173" s="557">
        <f t="shared" si="121"/>
        <v>0</v>
      </c>
      <c r="AQ173" s="483">
        <f t="shared" si="105"/>
        <v>0</v>
      </c>
      <c r="AR173" s="482">
        <f t="shared" si="116"/>
        <v>0</v>
      </c>
      <c r="AS173" s="482">
        <f t="shared" si="116"/>
        <v>0</v>
      </c>
      <c r="AT173" s="482">
        <f t="shared" si="116"/>
        <v>0</v>
      </c>
      <c r="AU173" s="482">
        <f t="shared" si="116"/>
        <v>0</v>
      </c>
      <c r="AV173" s="482">
        <f t="shared" si="106"/>
        <v>0</v>
      </c>
      <c r="AW173" s="483">
        <f t="shared" si="107"/>
        <v>0</v>
      </c>
      <c r="AX173" s="514">
        <f t="shared" si="104"/>
        <v>0</v>
      </c>
      <c r="AY173" s="514" t="s">
        <v>1034</v>
      </c>
      <c r="AZ173" s="556">
        <f t="shared" si="91"/>
        <v>0</v>
      </c>
      <c r="BA173" s="557">
        <v>0</v>
      </c>
      <c r="BB173" s="557">
        <v>0</v>
      </c>
      <c r="BC173" s="557">
        <v>0</v>
      </c>
      <c r="BD173" s="557">
        <v>0</v>
      </c>
      <c r="BE173" s="557">
        <v>0</v>
      </c>
      <c r="BF173" s="556">
        <f t="shared" si="96"/>
        <v>0</v>
      </c>
      <c r="BG173" s="557">
        <v>0</v>
      </c>
      <c r="BH173" s="557">
        <v>0</v>
      </c>
      <c r="BI173" s="557">
        <v>0</v>
      </c>
      <c r="BJ173" s="557">
        <v>0</v>
      </c>
      <c r="BK173" s="557">
        <v>0</v>
      </c>
      <c r="BL173" s="556">
        <f t="shared" si="93"/>
        <v>0</v>
      </c>
      <c r="BM173" s="557">
        <v>0</v>
      </c>
      <c r="BN173" s="557">
        <v>0</v>
      </c>
      <c r="BO173" s="557">
        <v>0</v>
      </c>
      <c r="BP173" s="557">
        <v>0</v>
      </c>
      <c r="BQ173" s="557">
        <v>0</v>
      </c>
      <c r="BR173" s="318"/>
      <c r="BS173" s="318"/>
      <c r="BT173" s="318"/>
      <c r="BU173" s="318"/>
      <c r="BV173" s="318"/>
      <c r="BW173" s="318"/>
      <c r="BX173" s="318"/>
      <c r="BY173" s="318"/>
      <c r="BZ173" s="318"/>
      <c r="CA173" s="318"/>
      <c r="CB173" s="318"/>
      <c r="CC173" s="318"/>
      <c r="CD173" s="318"/>
      <c r="CE173" s="457"/>
      <c r="CF173" s="318"/>
      <c r="CG173" s="470"/>
      <c r="CH173" s="470"/>
      <c r="CI173" s="470"/>
      <c r="CJ173" s="470"/>
      <c r="CK173" s="470"/>
      <c r="CL173" s="470"/>
      <c r="CM173" s="470"/>
      <c r="CN173" s="470"/>
      <c r="CO173" s="470"/>
      <c r="CP173" s="470"/>
      <c r="CR173" s="315"/>
      <c r="CS173" s="315"/>
      <c r="CY173" s="315"/>
    </row>
    <row r="174" spans="1:103" s="362" customFormat="1" ht="25" hidden="1" x14ac:dyDescent="0.25">
      <c r="A174" s="403">
        <v>163</v>
      </c>
      <c r="B174" s="313" t="s">
        <v>841</v>
      </c>
      <c r="C174" s="313" t="s">
        <v>842</v>
      </c>
      <c r="D174" s="318" t="s">
        <v>594</v>
      </c>
      <c r="E174" s="318"/>
      <c r="F174" s="313" t="s">
        <v>462</v>
      </c>
      <c r="G174" s="313" t="s">
        <v>1395</v>
      </c>
      <c r="H174" s="305"/>
      <c r="I174" s="305" t="s">
        <v>843</v>
      </c>
      <c r="J174" s="370">
        <v>0</v>
      </c>
      <c r="K174" s="370">
        <v>0</v>
      </c>
      <c r="L174" s="370">
        <f>K174-J174</f>
        <v>0</v>
      </c>
      <c r="M174" s="316" t="s">
        <v>1208</v>
      </c>
      <c r="N174" s="398"/>
      <c r="O174" s="398">
        <v>2021</v>
      </c>
      <c r="P174" s="305" t="s">
        <v>463</v>
      </c>
      <c r="Q174" s="324"/>
      <c r="R174" s="305"/>
      <c r="S174" s="305"/>
      <c r="T174" s="305"/>
      <c r="U174" s="305" t="s">
        <v>840</v>
      </c>
      <c r="V174" s="426"/>
      <c r="W174" s="317"/>
      <c r="X174" s="412"/>
      <c r="Y174" s="412" t="str">
        <f t="shared" si="94"/>
        <v/>
      </c>
      <c r="Z174" s="318"/>
      <c r="AA174" s="318"/>
      <c r="AB174" s="318"/>
      <c r="AC174" s="318">
        <v>5</v>
      </c>
      <c r="AD174" s="318" t="s">
        <v>839</v>
      </c>
      <c r="AE174" s="483">
        <f t="shared" si="117"/>
        <v>0</v>
      </c>
      <c r="AF174" s="482">
        <f t="shared" si="117"/>
        <v>0</v>
      </c>
      <c r="AG174" s="482">
        <f t="shared" si="117"/>
        <v>0</v>
      </c>
      <c r="AH174" s="482">
        <f t="shared" si="117"/>
        <v>0</v>
      </c>
      <c r="AI174" s="482">
        <f t="shared" si="117"/>
        <v>0</v>
      </c>
      <c r="AJ174" s="482">
        <f t="shared" si="117"/>
        <v>0</v>
      </c>
      <c r="AK174" s="556">
        <f t="shared" si="121"/>
        <v>0</v>
      </c>
      <c r="AL174" s="557">
        <f t="shared" si="121"/>
        <v>0</v>
      </c>
      <c r="AM174" s="557">
        <f t="shared" si="121"/>
        <v>0</v>
      </c>
      <c r="AN174" s="557">
        <f t="shared" si="121"/>
        <v>0</v>
      </c>
      <c r="AO174" s="557">
        <f t="shared" si="121"/>
        <v>0</v>
      </c>
      <c r="AP174" s="557">
        <f t="shared" si="121"/>
        <v>0</v>
      </c>
      <c r="AQ174" s="483">
        <f t="shared" si="105"/>
        <v>0</v>
      </c>
      <c r="AR174" s="482">
        <f t="shared" si="116"/>
        <v>0</v>
      </c>
      <c r="AS174" s="482">
        <f t="shared" si="116"/>
        <v>0</v>
      </c>
      <c r="AT174" s="482">
        <f t="shared" si="116"/>
        <v>0</v>
      </c>
      <c r="AU174" s="482">
        <f t="shared" si="116"/>
        <v>0</v>
      </c>
      <c r="AV174" s="482">
        <f t="shared" si="106"/>
        <v>0</v>
      </c>
      <c r="AW174" s="483">
        <f t="shared" si="107"/>
        <v>0</v>
      </c>
      <c r="AX174" s="514">
        <f t="shared" si="104"/>
        <v>0</v>
      </c>
      <c r="AY174" s="514" t="s">
        <v>1034</v>
      </c>
      <c r="AZ174" s="556">
        <f t="shared" si="91"/>
        <v>0</v>
      </c>
      <c r="BA174" s="557">
        <v>0</v>
      </c>
      <c r="BB174" s="557">
        <v>0</v>
      </c>
      <c r="BC174" s="557">
        <v>0</v>
      </c>
      <c r="BD174" s="557">
        <v>0</v>
      </c>
      <c r="BE174" s="557">
        <v>0</v>
      </c>
      <c r="BF174" s="556">
        <f t="shared" si="96"/>
        <v>0</v>
      </c>
      <c r="BG174" s="557">
        <v>0</v>
      </c>
      <c r="BH174" s="557">
        <v>0</v>
      </c>
      <c r="BI174" s="557">
        <v>0</v>
      </c>
      <c r="BJ174" s="557">
        <v>0</v>
      </c>
      <c r="BK174" s="557">
        <v>0</v>
      </c>
      <c r="BL174" s="556">
        <f t="shared" si="93"/>
        <v>0</v>
      </c>
      <c r="BM174" s="557">
        <v>0</v>
      </c>
      <c r="BN174" s="557">
        <v>0</v>
      </c>
      <c r="BO174" s="557">
        <v>0</v>
      </c>
      <c r="BP174" s="557">
        <v>0</v>
      </c>
      <c r="BQ174" s="557">
        <v>0</v>
      </c>
      <c r="BR174" s="318"/>
      <c r="BS174" s="318"/>
      <c r="BT174" s="318"/>
      <c r="BU174" s="318"/>
      <c r="BV174" s="318"/>
      <c r="BW174" s="318"/>
      <c r="BX174" s="318"/>
      <c r="BY174" s="318"/>
      <c r="BZ174" s="318"/>
      <c r="CA174" s="318"/>
      <c r="CB174" s="318"/>
      <c r="CC174" s="318"/>
      <c r="CD174" s="318"/>
      <c r="CE174" s="457"/>
      <c r="CF174" s="456">
        <v>8888</v>
      </c>
      <c r="CG174" s="360" t="s">
        <v>791</v>
      </c>
      <c r="CH174" s="470"/>
      <c r="CI174" s="470"/>
      <c r="CJ174" s="470"/>
      <c r="CK174" s="470"/>
      <c r="CL174" s="470"/>
      <c r="CM174" s="470"/>
      <c r="CN174" s="470"/>
      <c r="CO174" s="470"/>
      <c r="CP174" s="470"/>
      <c r="CR174" s="315"/>
      <c r="CS174" s="315"/>
      <c r="CY174" s="315"/>
    </row>
    <row r="175" spans="1:103" s="362" customFormat="1" ht="25" hidden="1" x14ac:dyDescent="0.25">
      <c r="A175" s="403">
        <v>164</v>
      </c>
      <c r="B175" s="313" t="s">
        <v>845</v>
      </c>
      <c r="C175" s="313" t="s">
        <v>842</v>
      </c>
      <c r="D175" s="318" t="s">
        <v>594</v>
      </c>
      <c r="E175" s="318"/>
      <c r="F175" s="313" t="s">
        <v>462</v>
      </c>
      <c r="G175" s="313" t="s">
        <v>1395</v>
      </c>
      <c r="H175" s="305"/>
      <c r="I175" s="305" t="s">
        <v>928</v>
      </c>
      <c r="J175" s="370">
        <v>0</v>
      </c>
      <c r="K175" s="370">
        <v>0</v>
      </c>
      <c r="L175" s="370">
        <f>K175-J175</f>
        <v>0</v>
      </c>
      <c r="M175" s="316" t="s">
        <v>1208</v>
      </c>
      <c r="N175" s="398"/>
      <c r="O175" s="398">
        <v>2021</v>
      </c>
      <c r="P175" s="305" t="s">
        <v>463</v>
      </c>
      <c r="Q175" s="324"/>
      <c r="R175" s="305"/>
      <c r="S175" s="305"/>
      <c r="T175" s="305"/>
      <c r="U175" s="305" t="s">
        <v>840</v>
      </c>
      <c r="V175" s="426"/>
      <c r="W175" s="317"/>
      <c r="X175" s="317"/>
      <c r="Y175" s="317" t="str">
        <f t="shared" si="94"/>
        <v/>
      </c>
      <c r="Z175" s="318"/>
      <c r="AA175" s="318"/>
      <c r="AB175" s="318"/>
      <c r="AC175" s="318">
        <v>5</v>
      </c>
      <c r="AD175" s="318" t="s">
        <v>839</v>
      </c>
      <c r="AE175" s="483">
        <f t="shared" si="117"/>
        <v>0</v>
      </c>
      <c r="AF175" s="482">
        <f t="shared" si="117"/>
        <v>0</v>
      </c>
      <c r="AG175" s="482">
        <f t="shared" si="117"/>
        <v>0</v>
      </c>
      <c r="AH175" s="482">
        <f t="shared" si="117"/>
        <v>0</v>
      </c>
      <c r="AI175" s="482">
        <f t="shared" si="117"/>
        <v>0</v>
      </c>
      <c r="AJ175" s="482">
        <f t="shared" si="117"/>
        <v>0</v>
      </c>
      <c r="AK175" s="556">
        <f t="shared" si="121"/>
        <v>0</v>
      </c>
      <c r="AL175" s="557">
        <f t="shared" si="121"/>
        <v>0</v>
      </c>
      <c r="AM175" s="557">
        <f t="shared" si="121"/>
        <v>0</v>
      </c>
      <c r="AN175" s="557">
        <f t="shared" si="121"/>
        <v>0</v>
      </c>
      <c r="AO175" s="557">
        <f t="shared" si="121"/>
        <v>0</v>
      </c>
      <c r="AP175" s="557">
        <f t="shared" si="121"/>
        <v>0</v>
      </c>
      <c r="AQ175" s="483">
        <f t="shared" si="105"/>
        <v>0</v>
      </c>
      <c r="AR175" s="482">
        <f t="shared" si="116"/>
        <v>0</v>
      </c>
      <c r="AS175" s="482">
        <f t="shared" si="116"/>
        <v>0</v>
      </c>
      <c r="AT175" s="482">
        <f t="shared" si="116"/>
        <v>0</v>
      </c>
      <c r="AU175" s="482">
        <f t="shared" si="116"/>
        <v>0</v>
      </c>
      <c r="AV175" s="482">
        <f t="shared" si="106"/>
        <v>0</v>
      </c>
      <c r="AW175" s="483">
        <f t="shared" si="107"/>
        <v>0</v>
      </c>
      <c r="AX175" s="514">
        <f t="shared" si="104"/>
        <v>0</v>
      </c>
      <c r="AY175" s="514" t="s">
        <v>1034</v>
      </c>
      <c r="AZ175" s="556">
        <f t="shared" si="91"/>
        <v>0</v>
      </c>
      <c r="BA175" s="557">
        <f t="shared" ref="AZ175:BE176" si="122">IF(OR($M175="Exploration", $M175="Pre-feasibility", $O175&gt;2017), 0, "check")</f>
        <v>0</v>
      </c>
      <c r="BB175" s="557">
        <f t="shared" si="122"/>
        <v>0</v>
      </c>
      <c r="BC175" s="557">
        <f t="shared" si="122"/>
        <v>0</v>
      </c>
      <c r="BD175" s="557">
        <f t="shared" si="122"/>
        <v>0</v>
      </c>
      <c r="BE175" s="557">
        <f t="shared" si="122"/>
        <v>0</v>
      </c>
      <c r="BF175" s="556">
        <f t="shared" si="96"/>
        <v>0</v>
      </c>
      <c r="BG175" s="557">
        <f t="shared" ref="BF175:BK176" si="123">IF(OR($M175="Exploration", $M175="Pre-feasibility", $O175&gt;2018), 0, "check")</f>
        <v>0</v>
      </c>
      <c r="BH175" s="557">
        <f t="shared" si="123"/>
        <v>0</v>
      </c>
      <c r="BI175" s="557">
        <f t="shared" si="123"/>
        <v>0</v>
      </c>
      <c r="BJ175" s="557">
        <f t="shared" si="123"/>
        <v>0</v>
      </c>
      <c r="BK175" s="557">
        <f t="shared" si="123"/>
        <v>0</v>
      </c>
      <c r="BL175" s="556">
        <f t="shared" si="93"/>
        <v>0</v>
      </c>
      <c r="BM175" s="557">
        <f t="shared" ref="BM175:BP176" si="124">IF(OR($M175="Exploration", $M175="Pre-feasibility", $O175&gt;2019), 0, "check")</f>
        <v>0</v>
      </c>
      <c r="BN175" s="557">
        <f t="shared" si="124"/>
        <v>0</v>
      </c>
      <c r="BO175" s="557">
        <f t="shared" si="124"/>
        <v>0</v>
      </c>
      <c r="BP175" s="557">
        <f t="shared" si="124"/>
        <v>0</v>
      </c>
      <c r="BQ175" s="557" t="str">
        <f t="shared" ref="BQ175:BQ176" si="125">IF(OR(AH175="Exploration", AH175="Pre-feasibility", AJ175&gt;2019), 0, "check")</f>
        <v>check</v>
      </c>
      <c r="BR175" s="318"/>
      <c r="BS175" s="318"/>
      <c r="BT175" s="318"/>
      <c r="BU175" s="318"/>
      <c r="BV175" s="318"/>
      <c r="BW175" s="318"/>
      <c r="BX175" s="318"/>
      <c r="BY175" s="318"/>
      <c r="BZ175" s="318"/>
      <c r="CA175" s="318"/>
      <c r="CB175" s="318"/>
      <c r="CC175" s="318"/>
      <c r="CD175" s="318"/>
      <c r="CE175" s="457"/>
      <c r="CF175" s="318"/>
      <c r="CG175" s="470"/>
      <c r="CH175" s="470"/>
      <c r="CI175" s="470"/>
      <c r="CJ175" s="470"/>
      <c r="CK175" s="470"/>
      <c r="CL175" s="470"/>
      <c r="CM175" s="470"/>
      <c r="CN175" s="470"/>
      <c r="CO175" s="470"/>
      <c r="CP175" s="470"/>
      <c r="CR175" s="315"/>
      <c r="CS175" s="315"/>
      <c r="CY175" s="315"/>
    </row>
    <row r="176" spans="1:103" s="315" customFormat="1" ht="25" hidden="1" x14ac:dyDescent="0.25">
      <c r="A176" s="403">
        <v>165</v>
      </c>
      <c r="B176" s="313" t="s">
        <v>867</v>
      </c>
      <c r="C176" s="313" t="s">
        <v>1064</v>
      </c>
      <c r="D176" s="318" t="s">
        <v>594</v>
      </c>
      <c r="E176" s="318" t="s">
        <v>553</v>
      </c>
      <c r="F176" s="313" t="s">
        <v>244</v>
      </c>
      <c r="G176" s="313" t="s">
        <v>550</v>
      </c>
      <c r="H176" s="305"/>
      <c r="I176" s="305" t="s">
        <v>1116</v>
      </c>
      <c r="J176" s="370">
        <v>0</v>
      </c>
      <c r="K176" s="370" t="e">
        <f>15000*V176/(IF(#REF!="yes",0.188,1))</f>
        <v>#REF!</v>
      </c>
      <c r="L176" s="370" t="e">
        <f>K176-$J$171</f>
        <v>#REF!</v>
      </c>
      <c r="M176" s="316" t="s">
        <v>484</v>
      </c>
      <c r="N176" s="398"/>
      <c r="O176" s="398">
        <v>2020</v>
      </c>
      <c r="P176" s="305" t="s">
        <v>519</v>
      </c>
      <c r="Q176" s="324"/>
      <c r="R176" s="305"/>
      <c r="S176" s="305"/>
      <c r="T176" s="305"/>
      <c r="U176" s="305" t="s">
        <v>536</v>
      </c>
      <c r="V176" s="426">
        <v>0.188</v>
      </c>
      <c r="W176" s="443">
        <v>5</v>
      </c>
      <c r="X176" s="414"/>
      <c r="Y176" s="412" t="e">
        <f t="shared" si="94"/>
        <v>#REF!</v>
      </c>
      <c r="Z176" s="318">
        <v>3</v>
      </c>
      <c r="AA176" s="318">
        <v>3</v>
      </c>
      <c r="AB176" s="318">
        <v>3</v>
      </c>
      <c r="AC176" s="318">
        <v>4</v>
      </c>
      <c r="AD176" s="318"/>
      <c r="AE176" s="483">
        <f t="shared" si="117"/>
        <v>0</v>
      </c>
      <c r="AF176" s="482">
        <f t="shared" si="117"/>
        <v>0</v>
      </c>
      <c r="AG176" s="482">
        <f t="shared" si="117"/>
        <v>0</v>
      </c>
      <c r="AH176" s="482">
        <f t="shared" si="117"/>
        <v>0</v>
      </c>
      <c r="AI176" s="482">
        <f t="shared" si="117"/>
        <v>0</v>
      </c>
      <c r="AJ176" s="482">
        <f t="shared" si="117"/>
        <v>0</v>
      </c>
      <c r="AK176" s="556">
        <f t="shared" si="121"/>
        <v>0</v>
      </c>
      <c r="AL176" s="557">
        <f t="shared" si="121"/>
        <v>0</v>
      </c>
      <c r="AM176" s="557">
        <f t="shared" si="121"/>
        <v>0</v>
      </c>
      <c r="AN176" s="557">
        <f t="shared" si="121"/>
        <v>0</v>
      </c>
      <c r="AO176" s="557">
        <f t="shared" si="121"/>
        <v>0</v>
      </c>
      <c r="AP176" s="557">
        <f t="shared" si="121"/>
        <v>0</v>
      </c>
      <c r="AQ176" s="483" t="s">
        <v>1524</v>
      </c>
      <c r="AR176" s="482">
        <f t="shared" si="116"/>
        <v>0</v>
      </c>
      <c r="AS176" s="482">
        <f t="shared" si="116"/>
        <v>0</v>
      </c>
      <c r="AT176" s="482">
        <f t="shared" si="116"/>
        <v>0</v>
      </c>
      <c r="AU176" s="482">
        <f t="shared" si="116"/>
        <v>0</v>
      </c>
      <c r="AV176" s="482">
        <f t="shared" si="106"/>
        <v>0</v>
      </c>
      <c r="AW176" s="483" t="str">
        <f t="shared" si="107"/>
        <v>check</v>
      </c>
      <c r="AX176" s="514" t="str">
        <f t="shared" si="104"/>
        <v>check</v>
      </c>
      <c r="AY176" s="514" t="s">
        <v>1524</v>
      </c>
      <c r="AZ176" s="556">
        <f t="shared" si="91"/>
        <v>0</v>
      </c>
      <c r="BA176" s="557">
        <f t="shared" si="122"/>
        <v>0</v>
      </c>
      <c r="BB176" s="557">
        <f t="shared" si="122"/>
        <v>0</v>
      </c>
      <c r="BC176" s="557">
        <f t="shared" si="122"/>
        <v>0</v>
      </c>
      <c r="BD176" s="557">
        <f t="shared" si="122"/>
        <v>0</v>
      </c>
      <c r="BE176" s="557">
        <f t="shared" si="122"/>
        <v>0</v>
      </c>
      <c r="BF176" s="556">
        <f t="shared" si="96"/>
        <v>0</v>
      </c>
      <c r="BG176" s="557">
        <f t="shared" si="123"/>
        <v>0</v>
      </c>
      <c r="BH176" s="557">
        <f t="shared" si="123"/>
        <v>0</v>
      </c>
      <c r="BI176" s="557">
        <f t="shared" si="123"/>
        <v>0</v>
      </c>
      <c r="BJ176" s="557">
        <f t="shared" si="123"/>
        <v>0</v>
      </c>
      <c r="BK176" s="557">
        <f t="shared" si="123"/>
        <v>0</v>
      </c>
      <c r="BL176" s="556" t="str">
        <f t="shared" si="93"/>
        <v>check</v>
      </c>
      <c r="BM176" s="557">
        <f t="shared" si="124"/>
        <v>0</v>
      </c>
      <c r="BN176" s="557">
        <f t="shared" si="124"/>
        <v>0</v>
      </c>
      <c r="BO176" s="557">
        <f t="shared" si="124"/>
        <v>0</v>
      </c>
      <c r="BP176" s="557">
        <f t="shared" si="124"/>
        <v>0</v>
      </c>
      <c r="BQ176" s="557" t="str">
        <f t="shared" si="125"/>
        <v>check</v>
      </c>
      <c r="BR176" s="318"/>
      <c r="BS176" s="318"/>
      <c r="BT176" s="318"/>
      <c r="BU176" s="318"/>
      <c r="BV176" s="318"/>
      <c r="BW176" s="318"/>
      <c r="BX176" s="318"/>
      <c r="BY176" s="318"/>
      <c r="BZ176" s="318" t="s">
        <v>1511</v>
      </c>
      <c r="CA176" s="318"/>
      <c r="CB176" s="318"/>
      <c r="CC176" s="318"/>
      <c r="CD176" s="318"/>
      <c r="CE176" s="457"/>
      <c r="CF176" s="443">
        <v>158</v>
      </c>
      <c r="CG176" s="360" t="s">
        <v>867</v>
      </c>
      <c r="CH176" s="430">
        <v>1</v>
      </c>
      <c r="CI176" s="360"/>
      <c r="CJ176" s="360"/>
      <c r="CK176" s="360"/>
      <c r="CL176" s="360"/>
      <c r="CM176" s="360"/>
      <c r="CN176" s="360"/>
      <c r="CO176" s="360"/>
      <c r="CP176" s="360"/>
    </row>
    <row r="177" spans="1:94" s="315" customFormat="1" ht="25" hidden="1" x14ac:dyDescent="0.25">
      <c r="A177" s="403">
        <v>166</v>
      </c>
      <c r="B177" s="313" t="s">
        <v>861</v>
      </c>
      <c r="C177" s="313" t="s">
        <v>859</v>
      </c>
      <c r="D177" s="318" t="s">
        <v>457</v>
      </c>
      <c r="E177" s="318"/>
      <c r="F177" s="313" t="s">
        <v>247</v>
      </c>
      <c r="G177" s="313" t="s">
        <v>1214</v>
      </c>
      <c r="H177" s="305"/>
      <c r="I177" s="305" t="s">
        <v>857</v>
      </c>
      <c r="J177" s="370">
        <v>0</v>
      </c>
      <c r="K177" s="370" t="e">
        <f>250000*V177/(IF(#REF!="yes",0.188,1))</f>
        <v>#REF!</v>
      </c>
      <c r="L177" s="370" t="e">
        <f>K177-J177</f>
        <v>#REF!</v>
      </c>
      <c r="M177" s="316" t="s">
        <v>807</v>
      </c>
      <c r="N177" s="398"/>
      <c r="O177" s="398"/>
      <c r="P177" s="305" t="s">
        <v>519</v>
      </c>
      <c r="Q177" s="324">
        <v>1.35E-2</v>
      </c>
      <c r="R177" s="305"/>
      <c r="S177" s="305" t="s">
        <v>1026</v>
      </c>
      <c r="T177" s="305" t="s">
        <v>1025</v>
      </c>
      <c r="U177" s="305" t="s">
        <v>858</v>
      </c>
      <c r="V177" s="426">
        <f>6%*40%</f>
        <v>2.4E-2</v>
      </c>
      <c r="W177" s="317"/>
      <c r="X177" s="317"/>
      <c r="Y177" s="317" t="str">
        <f t="shared" si="94"/>
        <v/>
      </c>
      <c r="Z177" s="318"/>
      <c r="AA177" s="318"/>
      <c r="AB177" s="318"/>
      <c r="AC177" s="318"/>
      <c r="AD177" s="318" t="s">
        <v>860</v>
      </c>
      <c r="AE177" s="483">
        <f t="shared" si="117"/>
        <v>0</v>
      </c>
      <c r="AF177" s="482">
        <f t="shared" si="117"/>
        <v>0</v>
      </c>
      <c r="AG177" s="482">
        <f t="shared" si="117"/>
        <v>0</v>
      </c>
      <c r="AH177" s="482">
        <f t="shared" si="117"/>
        <v>0</v>
      </c>
      <c r="AI177" s="482">
        <f t="shared" si="117"/>
        <v>0</v>
      </c>
      <c r="AJ177" s="482">
        <f t="shared" si="117"/>
        <v>0</v>
      </c>
      <c r="AK177" s="556">
        <f t="shared" si="121"/>
        <v>0</v>
      </c>
      <c r="AL177" s="557">
        <f t="shared" si="121"/>
        <v>0</v>
      </c>
      <c r="AM177" s="557">
        <f t="shared" si="121"/>
        <v>0</v>
      </c>
      <c r="AN177" s="557">
        <f t="shared" si="121"/>
        <v>0</v>
      </c>
      <c r="AO177" s="557">
        <f t="shared" si="121"/>
        <v>0</v>
      </c>
      <c r="AP177" s="557">
        <f t="shared" si="121"/>
        <v>0</v>
      </c>
      <c r="AQ177" s="483">
        <f t="shared" si="105"/>
        <v>0</v>
      </c>
      <c r="AR177" s="482">
        <f t="shared" si="116"/>
        <v>0</v>
      </c>
      <c r="AS177" s="482">
        <f t="shared" si="116"/>
        <v>0</v>
      </c>
      <c r="AT177" s="482">
        <f t="shared" si="116"/>
        <v>0</v>
      </c>
      <c r="AU177" s="482">
        <f t="shared" si="116"/>
        <v>0</v>
      </c>
      <c r="AV177" s="482">
        <f t="shared" si="106"/>
        <v>0</v>
      </c>
      <c r="AW177" s="483">
        <f t="shared" si="107"/>
        <v>0</v>
      </c>
      <c r="AX177" s="514">
        <f t="shared" si="104"/>
        <v>0</v>
      </c>
      <c r="AY177" s="514" t="s">
        <v>1034</v>
      </c>
      <c r="AZ177" s="556">
        <f t="shared" si="91"/>
        <v>0</v>
      </c>
      <c r="BA177" s="557">
        <v>0</v>
      </c>
      <c r="BB177" s="557">
        <v>0</v>
      </c>
      <c r="BC177" s="557">
        <v>0</v>
      </c>
      <c r="BD177" s="557">
        <v>0</v>
      </c>
      <c r="BE177" s="557">
        <v>0</v>
      </c>
      <c r="BF177" s="556">
        <f t="shared" si="96"/>
        <v>0</v>
      </c>
      <c r="BG177" s="557">
        <v>0</v>
      </c>
      <c r="BH177" s="557">
        <v>0</v>
      </c>
      <c r="BI177" s="557">
        <v>0</v>
      </c>
      <c r="BJ177" s="557">
        <v>0</v>
      </c>
      <c r="BK177" s="557">
        <v>0</v>
      </c>
      <c r="BL177" s="556">
        <f t="shared" si="93"/>
        <v>0</v>
      </c>
      <c r="BM177" s="557">
        <v>0</v>
      </c>
      <c r="BN177" s="557">
        <v>0</v>
      </c>
      <c r="BO177" s="557">
        <v>0</v>
      </c>
      <c r="BP177" s="557">
        <v>0</v>
      </c>
      <c r="BQ177" s="557">
        <v>0</v>
      </c>
      <c r="BR177" s="318"/>
      <c r="BS177" s="318"/>
      <c r="BT177" s="318"/>
      <c r="BU177" s="318"/>
      <c r="BV177" s="318"/>
      <c r="BW177" s="318"/>
      <c r="BX177" s="318"/>
      <c r="BY177" s="318"/>
      <c r="BZ177" s="318"/>
      <c r="CA177" s="318"/>
      <c r="CB177" s="318"/>
      <c r="CC177" s="318"/>
      <c r="CD177" s="318"/>
      <c r="CE177" s="457"/>
      <c r="CF177" s="318"/>
      <c r="CG177" s="360"/>
      <c r="CH177" s="360"/>
      <c r="CI177" s="360"/>
      <c r="CJ177" s="360"/>
      <c r="CK177" s="360"/>
      <c r="CL177" s="360"/>
      <c r="CM177" s="360"/>
      <c r="CN177" s="360"/>
      <c r="CO177" s="360"/>
      <c r="CP177" s="360"/>
    </row>
    <row r="178" spans="1:94" s="315" customFormat="1" ht="25" hidden="1" x14ac:dyDescent="0.25">
      <c r="A178" s="403">
        <v>167</v>
      </c>
      <c r="B178" s="313" t="s">
        <v>910</v>
      </c>
      <c r="C178" s="313" t="s">
        <v>1199</v>
      </c>
      <c r="D178" s="318" t="s">
        <v>457</v>
      </c>
      <c r="E178" s="318" t="s">
        <v>552</v>
      </c>
      <c r="F178" s="313" t="s">
        <v>397</v>
      </c>
      <c r="G178" s="313" t="s">
        <v>1398</v>
      </c>
      <c r="H178" s="305"/>
      <c r="I178" s="305" t="s">
        <v>912</v>
      </c>
      <c r="J178" s="370">
        <v>0</v>
      </c>
      <c r="K178" s="370" t="e">
        <f>(23000*V178)/(IF(#REF!="yes",0.188,1))</f>
        <v>#REF!</v>
      </c>
      <c r="L178" s="370" t="e">
        <f>K178-J178</f>
        <v>#REF!</v>
      </c>
      <c r="M178" s="316" t="s">
        <v>484</v>
      </c>
      <c r="N178" s="356"/>
      <c r="O178" s="398">
        <v>2022</v>
      </c>
      <c r="P178" s="305" t="s">
        <v>519</v>
      </c>
      <c r="Q178" s="354">
        <v>1.1900000000000001E-2</v>
      </c>
      <c r="R178" s="305"/>
      <c r="S178" s="305"/>
      <c r="T178" s="305" t="s">
        <v>1024</v>
      </c>
      <c r="U178" s="305" t="s">
        <v>235</v>
      </c>
      <c r="V178" s="426">
        <v>0.188</v>
      </c>
      <c r="W178" s="443">
        <v>2.5699150828952688</v>
      </c>
      <c r="X178" s="445"/>
      <c r="Y178" s="317" t="e">
        <f t="shared" si="94"/>
        <v>#REF!</v>
      </c>
      <c r="Z178" s="318">
        <v>2</v>
      </c>
      <c r="AA178" s="318">
        <v>1</v>
      </c>
      <c r="AB178" s="318">
        <v>3</v>
      </c>
      <c r="AC178" s="318">
        <v>5</v>
      </c>
      <c r="AD178" s="318" t="s">
        <v>953</v>
      </c>
      <c r="AE178" s="483">
        <f t="shared" si="117"/>
        <v>0</v>
      </c>
      <c r="AF178" s="482">
        <f t="shared" si="117"/>
        <v>0</v>
      </c>
      <c r="AG178" s="482">
        <f t="shared" si="117"/>
        <v>0</v>
      </c>
      <c r="AH178" s="482">
        <f t="shared" si="117"/>
        <v>0</v>
      </c>
      <c r="AI178" s="482">
        <f t="shared" si="117"/>
        <v>0</v>
      </c>
      <c r="AJ178" s="482">
        <f t="shared" si="117"/>
        <v>0</v>
      </c>
      <c r="AK178" s="556">
        <f t="shared" si="121"/>
        <v>0</v>
      </c>
      <c r="AL178" s="557">
        <f t="shared" si="121"/>
        <v>0</v>
      </c>
      <c r="AM178" s="557">
        <f t="shared" si="121"/>
        <v>0</v>
      </c>
      <c r="AN178" s="557">
        <f t="shared" si="121"/>
        <v>0</v>
      </c>
      <c r="AO178" s="557">
        <f t="shared" si="121"/>
        <v>0</v>
      </c>
      <c r="AP178" s="557">
        <f t="shared" si="121"/>
        <v>0</v>
      </c>
      <c r="AQ178" s="483">
        <f t="shared" si="105"/>
        <v>0</v>
      </c>
      <c r="AR178" s="482">
        <f t="shared" si="116"/>
        <v>0</v>
      </c>
      <c r="AS178" s="482">
        <f t="shared" si="116"/>
        <v>0</v>
      </c>
      <c r="AT178" s="482">
        <f t="shared" si="116"/>
        <v>0</v>
      </c>
      <c r="AU178" s="482">
        <f t="shared" si="116"/>
        <v>0</v>
      </c>
      <c r="AV178" s="482">
        <f t="shared" si="106"/>
        <v>0</v>
      </c>
      <c r="AW178" s="483">
        <v>0</v>
      </c>
      <c r="AX178" s="514">
        <f t="shared" si="104"/>
        <v>0</v>
      </c>
      <c r="AY178" s="514" t="s">
        <v>1034</v>
      </c>
      <c r="AZ178" s="556">
        <f t="shared" si="91"/>
        <v>0</v>
      </c>
      <c r="BA178" s="557">
        <v>0</v>
      </c>
      <c r="BB178" s="557">
        <v>0</v>
      </c>
      <c r="BC178" s="557">
        <v>0</v>
      </c>
      <c r="BD178" s="557">
        <v>0</v>
      </c>
      <c r="BE178" s="557">
        <v>0</v>
      </c>
      <c r="BF178" s="556">
        <f t="shared" si="96"/>
        <v>0</v>
      </c>
      <c r="BG178" s="557">
        <v>0</v>
      </c>
      <c r="BH178" s="557">
        <v>0</v>
      </c>
      <c r="BI178" s="557">
        <v>0</v>
      </c>
      <c r="BJ178" s="557">
        <v>0</v>
      </c>
      <c r="BK178" s="557">
        <v>0</v>
      </c>
      <c r="BL178" s="556">
        <f t="shared" si="93"/>
        <v>0</v>
      </c>
      <c r="BM178" s="557">
        <v>0</v>
      </c>
      <c r="BN178" s="557">
        <v>0</v>
      </c>
      <c r="BO178" s="557">
        <v>0</v>
      </c>
      <c r="BP178" s="557">
        <v>0</v>
      </c>
      <c r="BQ178" s="557">
        <v>0</v>
      </c>
      <c r="BR178" s="318"/>
      <c r="BS178" s="318"/>
      <c r="BT178" s="318"/>
      <c r="BU178" s="318"/>
      <c r="BV178" s="318"/>
      <c r="BW178" s="318"/>
      <c r="BX178" s="318"/>
      <c r="BY178" s="318"/>
      <c r="BZ178" s="318" t="s">
        <v>1506</v>
      </c>
      <c r="CA178" s="318"/>
      <c r="CB178" s="318"/>
      <c r="CC178" s="318"/>
      <c r="CD178" s="318"/>
      <c r="CE178" s="457"/>
      <c r="CF178" s="443">
        <v>596</v>
      </c>
      <c r="CG178" s="360" t="s">
        <v>911</v>
      </c>
      <c r="CH178" s="430">
        <v>1</v>
      </c>
      <c r="CI178" s="360"/>
      <c r="CJ178" s="360"/>
      <c r="CK178" s="360"/>
      <c r="CL178" s="360"/>
      <c r="CM178" s="360"/>
      <c r="CN178" s="360"/>
      <c r="CO178" s="360"/>
      <c r="CP178" s="360"/>
    </row>
    <row r="179" spans="1:94" s="315" customFormat="1" ht="25" hidden="1" x14ac:dyDescent="0.25">
      <c r="A179" s="403">
        <v>168</v>
      </c>
      <c r="B179" s="313" t="s">
        <v>855</v>
      </c>
      <c r="C179" s="313" t="s">
        <v>1109</v>
      </c>
      <c r="D179" s="318" t="s">
        <v>594</v>
      </c>
      <c r="E179" s="318" t="s">
        <v>552</v>
      </c>
      <c r="F179" s="313" t="s">
        <v>244</v>
      </c>
      <c r="G179" s="313" t="s">
        <v>576</v>
      </c>
      <c r="H179" s="375"/>
      <c r="I179" s="375" t="s">
        <v>1117</v>
      </c>
      <c r="J179" s="370">
        <v>0</v>
      </c>
      <c r="K179" s="370" t="e">
        <f>10000*V179/(IF(#REF!="yes",0.188,1))</f>
        <v>#REF!</v>
      </c>
      <c r="L179" s="370" t="e">
        <f>K179</f>
        <v>#REF!</v>
      </c>
      <c r="M179" s="316" t="s">
        <v>484</v>
      </c>
      <c r="N179" s="398">
        <v>2017</v>
      </c>
      <c r="O179" s="398">
        <v>2019</v>
      </c>
      <c r="P179" s="305" t="s">
        <v>519</v>
      </c>
      <c r="Q179" s="324"/>
      <c r="R179" s="305"/>
      <c r="S179" s="305"/>
      <c r="T179" s="305"/>
      <c r="U179" s="305" t="s">
        <v>536</v>
      </c>
      <c r="V179" s="426">
        <v>0.188</v>
      </c>
      <c r="W179" s="443">
        <v>5</v>
      </c>
      <c r="X179" s="414"/>
      <c r="Y179" s="412" t="e">
        <f t="shared" si="94"/>
        <v>#REF!</v>
      </c>
      <c r="Z179" s="318">
        <v>3</v>
      </c>
      <c r="AA179" s="318">
        <v>3</v>
      </c>
      <c r="AB179" s="318">
        <v>3</v>
      </c>
      <c r="AC179" s="318">
        <v>3</v>
      </c>
      <c r="AD179" s="318" t="s">
        <v>1094</v>
      </c>
      <c r="AE179" s="483">
        <f t="shared" si="117"/>
        <v>0</v>
      </c>
      <c r="AF179" s="482">
        <f t="shared" si="117"/>
        <v>0</v>
      </c>
      <c r="AG179" s="482">
        <f t="shared" si="117"/>
        <v>0</v>
      </c>
      <c r="AH179" s="482">
        <f t="shared" si="117"/>
        <v>0</v>
      </c>
      <c r="AI179" s="482">
        <f t="shared" si="117"/>
        <v>0</v>
      </c>
      <c r="AJ179" s="482">
        <f t="shared" si="117"/>
        <v>0</v>
      </c>
      <c r="AK179" s="556">
        <f t="shared" si="121"/>
        <v>0</v>
      </c>
      <c r="AL179" s="557">
        <f t="shared" si="121"/>
        <v>0</v>
      </c>
      <c r="AM179" s="557">
        <f t="shared" si="121"/>
        <v>0</v>
      </c>
      <c r="AN179" s="557">
        <f t="shared" si="121"/>
        <v>0</v>
      </c>
      <c r="AO179" s="557">
        <f t="shared" si="121"/>
        <v>0</v>
      </c>
      <c r="AP179" s="557">
        <f t="shared" si="121"/>
        <v>0</v>
      </c>
      <c r="AQ179" s="483" t="str">
        <f t="shared" si="105"/>
        <v>check</v>
      </c>
      <c r="AR179" s="482" t="str">
        <f t="shared" si="116"/>
        <v>check</v>
      </c>
      <c r="AS179" s="482" t="str">
        <f t="shared" si="116"/>
        <v>check</v>
      </c>
      <c r="AT179" s="482" t="str">
        <f t="shared" si="116"/>
        <v>check</v>
      </c>
      <c r="AU179" s="482" t="str">
        <f t="shared" si="116"/>
        <v>check</v>
      </c>
      <c r="AV179" s="482" t="str">
        <f t="shared" si="106"/>
        <v>check</v>
      </c>
      <c r="AW179" s="483" t="str">
        <f t="shared" si="107"/>
        <v>check</v>
      </c>
      <c r="AX179" s="514" t="str">
        <f t="shared" si="104"/>
        <v>check</v>
      </c>
      <c r="AY179" s="514" t="s">
        <v>1524</v>
      </c>
      <c r="AZ179" s="556">
        <f t="shared" si="91"/>
        <v>0</v>
      </c>
      <c r="BA179" s="557">
        <v>0</v>
      </c>
      <c r="BB179" s="557">
        <v>0</v>
      </c>
      <c r="BC179" s="557">
        <v>0</v>
      </c>
      <c r="BD179" s="557">
        <v>0</v>
      </c>
      <c r="BE179" s="557">
        <v>0</v>
      </c>
      <c r="BF179" s="556">
        <f t="shared" si="96"/>
        <v>0</v>
      </c>
      <c r="BG179" s="557">
        <v>0</v>
      </c>
      <c r="BH179" s="557">
        <v>0</v>
      </c>
      <c r="BI179" s="557">
        <v>0</v>
      </c>
      <c r="BJ179" s="557">
        <v>0</v>
      </c>
      <c r="BK179" s="557">
        <v>0</v>
      </c>
      <c r="BL179" s="556" t="str">
        <f t="shared" si="93"/>
        <v>check</v>
      </c>
      <c r="BM179" s="557" t="s">
        <v>1524</v>
      </c>
      <c r="BN179" s="557" t="s">
        <v>1524</v>
      </c>
      <c r="BO179" s="557" t="s">
        <v>1524</v>
      </c>
      <c r="BP179" s="557" t="s">
        <v>1524</v>
      </c>
      <c r="BQ179" s="557" t="s">
        <v>1524</v>
      </c>
      <c r="BR179" s="318"/>
      <c r="BS179" s="318"/>
      <c r="BT179" s="318"/>
      <c r="BU179" s="318"/>
      <c r="BV179" s="318"/>
      <c r="BW179" s="318"/>
      <c r="BX179" s="318"/>
      <c r="BY179" s="318"/>
      <c r="BZ179" s="318" t="s">
        <v>1511</v>
      </c>
      <c r="CA179" s="318"/>
      <c r="CB179" s="318"/>
      <c r="CC179" s="318"/>
      <c r="CD179" s="318"/>
      <c r="CE179" s="457"/>
      <c r="CF179" s="443">
        <v>33.6</v>
      </c>
      <c r="CG179" s="360" t="s">
        <v>855</v>
      </c>
      <c r="CH179" s="430">
        <v>1</v>
      </c>
      <c r="CI179" s="360"/>
      <c r="CJ179" s="360"/>
      <c r="CK179" s="360"/>
      <c r="CL179" s="360"/>
      <c r="CM179" s="360"/>
      <c r="CN179" s="360"/>
      <c r="CO179" s="360"/>
      <c r="CP179" s="360"/>
    </row>
    <row r="180" spans="1:94" s="315" customFormat="1" ht="25" hidden="1" x14ac:dyDescent="0.25">
      <c r="A180" s="403">
        <v>169</v>
      </c>
      <c r="B180" s="313" t="s">
        <v>855</v>
      </c>
      <c r="C180" s="313" t="s">
        <v>1109</v>
      </c>
      <c r="D180" s="318" t="s">
        <v>594</v>
      </c>
      <c r="E180" s="318" t="s">
        <v>553</v>
      </c>
      <c r="F180" s="313" t="s">
        <v>244</v>
      </c>
      <c r="G180" s="313" t="s">
        <v>576</v>
      </c>
      <c r="H180" s="375"/>
      <c r="I180" s="375" t="s">
        <v>1118</v>
      </c>
      <c r="J180" s="370">
        <v>0</v>
      </c>
      <c r="K180" s="370" t="e">
        <f>20000*V180/(IF(#REF!="yes",0.188,1))</f>
        <v>#REF!</v>
      </c>
      <c r="L180" s="370" t="e">
        <f>K180-$K$179</f>
        <v>#REF!</v>
      </c>
      <c r="M180" s="316" t="s">
        <v>484</v>
      </c>
      <c r="N180" s="398">
        <v>2020</v>
      </c>
      <c r="O180" s="398">
        <v>2022</v>
      </c>
      <c r="P180" s="305" t="s">
        <v>519</v>
      </c>
      <c r="Q180" s="324"/>
      <c r="R180" s="305"/>
      <c r="S180" s="305"/>
      <c r="T180" s="305"/>
      <c r="U180" s="305" t="s">
        <v>536</v>
      </c>
      <c r="V180" s="426">
        <v>0.188</v>
      </c>
      <c r="W180" s="443">
        <v>5</v>
      </c>
      <c r="X180" s="414"/>
      <c r="Y180" s="412" t="e">
        <f t="shared" si="94"/>
        <v>#REF!</v>
      </c>
      <c r="Z180" s="318">
        <v>3</v>
      </c>
      <c r="AA180" s="318">
        <v>3</v>
      </c>
      <c r="AB180" s="318">
        <v>3</v>
      </c>
      <c r="AC180" s="318">
        <v>3</v>
      </c>
      <c r="AD180" s="318" t="s">
        <v>1094</v>
      </c>
      <c r="AE180" s="483">
        <f t="shared" ref="AE180:AJ183" si="126">IF(OR($M180="Exploration", $M180="Pre-feasibility", $O180&gt;2017), 0, "check")</f>
        <v>0</v>
      </c>
      <c r="AF180" s="482">
        <f t="shared" si="126"/>
        <v>0</v>
      </c>
      <c r="AG180" s="482">
        <f t="shared" si="126"/>
        <v>0</v>
      </c>
      <c r="AH180" s="482">
        <f t="shared" si="126"/>
        <v>0</v>
      </c>
      <c r="AI180" s="482">
        <f t="shared" si="126"/>
        <v>0</v>
      </c>
      <c r="AJ180" s="482">
        <f t="shared" si="126"/>
        <v>0</v>
      </c>
      <c r="AK180" s="556">
        <f t="shared" si="121"/>
        <v>0</v>
      </c>
      <c r="AL180" s="557">
        <f t="shared" si="121"/>
        <v>0</v>
      </c>
      <c r="AM180" s="557">
        <f t="shared" si="121"/>
        <v>0</v>
      </c>
      <c r="AN180" s="557">
        <f t="shared" si="121"/>
        <v>0</v>
      </c>
      <c r="AO180" s="557">
        <f t="shared" si="121"/>
        <v>0</v>
      </c>
      <c r="AP180" s="557">
        <f t="shared" si="121"/>
        <v>0</v>
      </c>
      <c r="AQ180" s="483">
        <f t="shared" si="105"/>
        <v>0</v>
      </c>
      <c r="AR180" s="482">
        <f t="shared" si="116"/>
        <v>0</v>
      </c>
      <c r="AS180" s="482">
        <f t="shared" si="116"/>
        <v>0</v>
      </c>
      <c r="AT180" s="482">
        <f t="shared" si="116"/>
        <v>0</v>
      </c>
      <c r="AU180" s="482">
        <f t="shared" si="116"/>
        <v>0</v>
      </c>
      <c r="AV180" s="482">
        <f t="shared" si="106"/>
        <v>0</v>
      </c>
      <c r="AW180" s="483" t="str">
        <f t="shared" si="107"/>
        <v>check</v>
      </c>
      <c r="AX180" s="514">
        <f t="shared" si="104"/>
        <v>0</v>
      </c>
      <c r="AY180" s="514" t="s">
        <v>1034</v>
      </c>
      <c r="AZ180" s="556">
        <f t="shared" si="91"/>
        <v>0</v>
      </c>
      <c r="BA180" s="557">
        <v>0</v>
      </c>
      <c r="BB180" s="557">
        <v>0</v>
      </c>
      <c r="BC180" s="557">
        <v>0</v>
      </c>
      <c r="BD180" s="557">
        <v>0</v>
      </c>
      <c r="BE180" s="557">
        <v>0</v>
      </c>
      <c r="BF180" s="556">
        <f t="shared" si="96"/>
        <v>0</v>
      </c>
      <c r="BG180" s="557">
        <v>0</v>
      </c>
      <c r="BH180" s="557">
        <v>0</v>
      </c>
      <c r="BI180" s="557">
        <v>0</v>
      </c>
      <c r="BJ180" s="557">
        <v>0</v>
      </c>
      <c r="BK180" s="557">
        <v>0</v>
      </c>
      <c r="BL180" s="556">
        <f t="shared" si="93"/>
        <v>0</v>
      </c>
      <c r="BM180" s="557">
        <v>0</v>
      </c>
      <c r="BN180" s="557">
        <v>0</v>
      </c>
      <c r="BO180" s="557">
        <v>0</v>
      </c>
      <c r="BP180" s="557">
        <v>0</v>
      </c>
      <c r="BQ180" s="557">
        <v>0</v>
      </c>
      <c r="BR180" s="318"/>
      <c r="BS180" s="318"/>
      <c r="BT180" s="318"/>
      <c r="BU180" s="318"/>
      <c r="BV180" s="318"/>
      <c r="BW180" s="318"/>
      <c r="BX180" s="318"/>
      <c r="BY180" s="318"/>
      <c r="BZ180" s="318" t="s">
        <v>1511</v>
      </c>
      <c r="CA180" s="318"/>
      <c r="CB180" s="318"/>
      <c r="CC180" s="318"/>
      <c r="CD180" s="318"/>
      <c r="CE180" s="457"/>
      <c r="CF180" s="443">
        <v>33.6</v>
      </c>
      <c r="CG180" s="360" t="s">
        <v>855</v>
      </c>
      <c r="CH180" s="430">
        <v>1</v>
      </c>
      <c r="CI180" s="360"/>
      <c r="CJ180" s="360"/>
      <c r="CK180" s="360"/>
      <c r="CL180" s="360"/>
      <c r="CM180" s="360"/>
      <c r="CN180" s="360"/>
      <c r="CO180" s="360"/>
      <c r="CP180" s="360"/>
    </row>
    <row r="181" spans="1:94" s="315" customFormat="1" ht="13" hidden="1" x14ac:dyDescent="0.25">
      <c r="A181" s="403">
        <v>170</v>
      </c>
      <c r="B181" s="313" t="s">
        <v>862</v>
      </c>
      <c r="C181" s="313" t="s">
        <v>617</v>
      </c>
      <c r="D181" s="318" t="s">
        <v>457</v>
      </c>
      <c r="E181" s="318"/>
      <c r="F181" s="313" t="s">
        <v>397</v>
      </c>
      <c r="G181" s="313" t="s">
        <v>1398</v>
      </c>
      <c r="H181" s="370"/>
      <c r="I181" s="375"/>
      <c r="J181" s="370">
        <v>0</v>
      </c>
      <c r="K181" s="370">
        <v>0</v>
      </c>
      <c r="L181" s="370">
        <f>K181-J181</f>
        <v>0</v>
      </c>
      <c r="M181" s="316" t="s">
        <v>487</v>
      </c>
      <c r="N181" s="398"/>
      <c r="O181" s="398"/>
      <c r="P181" s="305"/>
      <c r="Q181" s="324"/>
      <c r="R181" s="305"/>
      <c r="S181" s="305"/>
      <c r="T181" s="305"/>
      <c r="U181" s="305" t="s">
        <v>235</v>
      </c>
      <c r="V181" s="426"/>
      <c r="W181" s="317"/>
      <c r="X181" s="317"/>
      <c r="Y181" s="317" t="str">
        <f t="shared" si="94"/>
        <v/>
      </c>
      <c r="Z181" s="318"/>
      <c r="AA181" s="318"/>
      <c r="AB181" s="318"/>
      <c r="AC181" s="318"/>
      <c r="AD181" s="318" t="s">
        <v>863</v>
      </c>
      <c r="AE181" s="483">
        <f t="shared" si="126"/>
        <v>0</v>
      </c>
      <c r="AF181" s="482">
        <f t="shared" si="126"/>
        <v>0</v>
      </c>
      <c r="AG181" s="482">
        <f t="shared" si="126"/>
        <v>0</v>
      </c>
      <c r="AH181" s="482">
        <f t="shared" si="126"/>
        <v>0</v>
      </c>
      <c r="AI181" s="482">
        <f t="shared" si="126"/>
        <v>0</v>
      </c>
      <c r="AJ181" s="482">
        <f t="shared" si="126"/>
        <v>0</v>
      </c>
      <c r="AK181" s="556">
        <f t="shared" si="121"/>
        <v>0</v>
      </c>
      <c r="AL181" s="557">
        <f t="shared" si="121"/>
        <v>0</v>
      </c>
      <c r="AM181" s="557">
        <f t="shared" si="121"/>
        <v>0</v>
      </c>
      <c r="AN181" s="557">
        <f t="shared" si="121"/>
        <v>0</v>
      </c>
      <c r="AO181" s="557">
        <f t="shared" si="121"/>
        <v>0</v>
      </c>
      <c r="AP181" s="557">
        <f t="shared" si="121"/>
        <v>0</v>
      </c>
      <c r="AQ181" s="483">
        <f t="shared" si="105"/>
        <v>0</v>
      </c>
      <c r="AR181" s="482">
        <f t="shared" si="116"/>
        <v>0</v>
      </c>
      <c r="AS181" s="482">
        <f t="shared" si="116"/>
        <v>0</v>
      </c>
      <c r="AT181" s="482">
        <f t="shared" si="116"/>
        <v>0</v>
      </c>
      <c r="AU181" s="482">
        <f t="shared" si="116"/>
        <v>0</v>
      </c>
      <c r="AV181" s="482">
        <f t="shared" si="106"/>
        <v>0</v>
      </c>
      <c r="AW181" s="483">
        <f t="shared" si="107"/>
        <v>0</v>
      </c>
      <c r="AX181" s="514">
        <f t="shared" si="104"/>
        <v>0</v>
      </c>
      <c r="AY181" s="514" t="s">
        <v>1034</v>
      </c>
      <c r="AZ181" s="556">
        <f t="shared" si="91"/>
        <v>0</v>
      </c>
      <c r="BA181" s="557">
        <v>0</v>
      </c>
      <c r="BB181" s="557">
        <v>0</v>
      </c>
      <c r="BC181" s="557">
        <v>0</v>
      </c>
      <c r="BD181" s="557">
        <v>0</v>
      </c>
      <c r="BE181" s="557">
        <v>0</v>
      </c>
      <c r="BF181" s="556">
        <f t="shared" si="96"/>
        <v>0</v>
      </c>
      <c r="BG181" s="557">
        <v>0</v>
      </c>
      <c r="BH181" s="557">
        <v>0</v>
      </c>
      <c r="BI181" s="557">
        <v>0</v>
      </c>
      <c r="BJ181" s="557">
        <v>0</v>
      </c>
      <c r="BK181" s="557">
        <v>0</v>
      </c>
      <c r="BL181" s="556">
        <f t="shared" si="93"/>
        <v>0</v>
      </c>
      <c r="BM181" s="557">
        <v>0</v>
      </c>
      <c r="BN181" s="557">
        <v>0</v>
      </c>
      <c r="BO181" s="557">
        <v>0</v>
      </c>
      <c r="BP181" s="557">
        <v>0</v>
      </c>
      <c r="BQ181" s="557">
        <v>0</v>
      </c>
      <c r="BR181" s="318"/>
      <c r="BS181" s="318"/>
      <c r="BT181" s="318"/>
      <c r="BU181" s="318"/>
      <c r="BV181" s="318"/>
      <c r="BW181" s="318"/>
      <c r="BX181" s="318"/>
      <c r="BY181" s="318"/>
      <c r="BZ181" s="318"/>
      <c r="CA181" s="318"/>
      <c r="CB181" s="318"/>
      <c r="CC181" s="318"/>
      <c r="CD181" s="318"/>
      <c r="CE181" s="457"/>
      <c r="CF181" s="318"/>
      <c r="CG181" s="360"/>
      <c r="CH181" s="360"/>
      <c r="CI181" s="360"/>
      <c r="CJ181" s="360"/>
      <c r="CK181" s="360"/>
      <c r="CL181" s="360"/>
      <c r="CM181" s="360"/>
      <c r="CN181" s="360"/>
      <c r="CO181" s="360"/>
      <c r="CP181" s="360"/>
    </row>
    <row r="182" spans="1:94" s="315" customFormat="1" ht="13" hidden="1" x14ac:dyDescent="0.25">
      <c r="A182" s="403">
        <v>171</v>
      </c>
      <c r="B182" s="313" t="s">
        <v>878</v>
      </c>
      <c r="C182" s="313" t="s">
        <v>881</v>
      </c>
      <c r="D182" s="318" t="s">
        <v>457</v>
      </c>
      <c r="E182" s="318"/>
      <c r="F182" s="313" t="s">
        <v>879</v>
      </c>
      <c r="G182" s="313" t="s">
        <v>32</v>
      </c>
      <c r="H182" s="370"/>
      <c r="I182" s="370"/>
      <c r="J182" s="370">
        <v>0</v>
      </c>
      <c r="K182" s="370">
        <v>0</v>
      </c>
      <c r="L182" s="370">
        <f>K182-J182</f>
        <v>0</v>
      </c>
      <c r="M182" s="316" t="s">
        <v>807</v>
      </c>
      <c r="N182" s="398"/>
      <c r="O182" s="398"/>
      <c r="P182" s="305" t="s">
        <v>519</v>
      </c>
      <c r="Q182" s="324">
        <v>1.17E-2</v>
      </c>
      <c r="R182" s="305"/>
      <c r="S182" s="305"/>
      <c r="T182" s="305" t="s">
        <v>1027</v>
      </c>
      <c r="U182" s="305" t="s">
        <v>579</v>
      </c>
      <c r="V182" s="426">
        <v>0.16600000000000001</v>
      </c>
      <c r="W182" s="366">
        <f>(648*0.75)/1000</f>
        <v>0.48599999999999999</v>
      </c>
      <c r="X182" s="366">
        <f>(648*0.75)/1000</f>
        <v>0.48599999999999999</v>
      </c>
      <c r="Y182" s="317" t="e">
        <f t="shared" si="94"/>
        <v>#REF!</v>
      </c>
      <c r="Z182" s="318"/>
      <c r="AA182" s="318"/>
      <c r="AB182" s="318"/>
      <c r="AC182" s="318"/>
      <c r="AD182" s="318" t="s">
        <v>880</v>
      </c>
      <c r="AE182" s="483">
        <f t="shared" si="126"/>
        <v>0</v>
      </c>
      <c r="AF182" s="482">
        <f t="shared" si="126"/>
        <v>0</v>
      </c>
      <c r="AG182" s="482">
        <f t="shared" si="126"/>
        <v>0</v>
      </c>
      <c r="AH182" s="482">
        <f t="shared" si="126"/>
        <v>0</v>
      </c>
      <c r="AI182" s="482">
        <f t="shared" si="126"/>
        <v>0</v>
      </c>
      <c r="AJ182" s="482">
        <f t="shared" si="126"/>
        <v>0</v>
      </c>
      <c r="AK182" s="556">
        <f t="shared" si="121"/>
        <v>0</v>
      </c>
      <c r="AL182" s="557">
        <f t="shared" si="121"/>
        <v>0</v>
      </c>
      <c r="AM182" s="557">
        <f t="shared" si="121"/>
        <v>0</v>
      </c>
      <c r="AN182" s="557">
        <f t="shared" si="121"/>
        <v>0</v>
      </c>
      <c r="AO182" s="557">
        <f t="shared" si="121"/>
        <v>0</v>
      </c>
      <c r="AP182" s="557">
        <f t="shared" si="121"/>
        <v>0</v>
      </c>
      <c r="AQ182" s="483">
        <f t="shared" si="105"/>
        <v>0</v>
      </c>
      <c r="AR182" s="482">
        <f t="shared" si="116"/>
        <v>0</v>
      </c>
      <c r="AS182" s="482">
        <f t="shared" si="116"/>
        <v>0</v>
      </c>
      <c r="AT182" s="482">
        <f t="shared" si="116"/>
        <v>0</v>
      </c>
      <c r="AU182" s="482">
        <f t="shared" si="116"/>
        <v>0</v>
      </c>
      <c r="AV182" s="482">
        <f t="shared" si="106"/>
        <v>0</v>
      </c>
      <c r="AW182" s="483">
        <f t="shared" si="107"/>
        <v>0</v>
      </c>
      <c r="AX182" s="514">
        <f t="shared" si="104"/>
        <v>0</v>
      </c>
      <c r="AY182" s="514" t="s">
        <v>1034</v>
      </c>
      <c r="AZ182" s="556">
        <f t="shared" si="91"/>
        <v>0</v>
      </c>
      <c r="BA182" s="557">
        <v>0</v>
      </c>
      <c r="BB182" s="557">
        <v>0</v>
      </c>
      <c r="BC182" s="557">
        <v>0</v>
      </c>
      <c r="BD182" s="557">
        <v>0</v>
      </c>
      <c r="BE182" s="557">
        <v>0</v>
      </c>
      <c r="BF182" s="556">
        <f t="shared" si="96"/>
        <v>0</v>
      </c>
      <c r="BG182" s="557">
        <v>0</v>
      </c>
      <c r="BH182" s="557">
        <v>0</v>
      </c>
      <c r="BI182" s="557">
        <v>0</v>
      </c>
      <c r="BJ182" s="557">
        <v>0</v>
      </c>
      <c r="BK182" s="557">
        <v>0</v>
      </c>
      <c r="BL182" s="556">
        <f t="shared" si="93"/>
        <v>0</v>
      </c>
      <c r="BM182" s="557">
        <v>0</v>
      </c>
      <c r="BN182" s="557">
        <v>0</v>
      </c>
      <c r="BO182" s="557">
        <v>0</v>
      </c>
      <c r="BP182" s="557">
        <v>0</v>
      </c>
      <c r="BQ182" s="557">
        <v>0</v>
      </c>
      <c r="BR182" s="318"/>
      <c r="BS182" s="318"/>
      <c r="BT182" s="318"/>
      <c r="BU182" s="318"/>
      <c r="BV182" s="318"/>
      <c r="BW182" s="318"/>
      <c r="BX182" s="318"/>
      <c r="BY182" s="318"/>
      <c r="BZ182" s="318"/>
      <c r="CA182" s="318"/>
      <c r="CB182" s="318"/>
      <c r="CC182" s="318"/>
      <c r="CD182" s="318"/>
      <c r="CE182" s="457"/>
      <c r="CF182" s="318"/>
      <c r="CG182" s="360"/>
      <c r="CH182" s="360"/>
      <c r="CI182" s="360"/>
      <c r="CJ182" s="360"/>
      <c r="CK182" s="360"/>
      <c r="CL182" s="360"/>
      <c r="CM182" s="360"/>
      <c r="CN182" s="360"/>
      <c r="CO182" s="360"/>
      <c r="CP182" s="360"/>
    </row>
    <row r="183" spans="1:94" s="315" customFormat="1" ht="25" hidden="1" x14ac:dyDescent="0.25">
      <c r="A183" s="403">
        <v>172</v>
      </c>
      <c r="B183" s="313" t="s">
        <v>875</v>
      </c>
      <c r="C183" s="313" t="s">
        <v>1066</v>
      </c>
      <c r="D183" s="318" t="s">
        <v>594</v>
      </c>
      <c r="E183" s="318" t="s">
        <v>552</v>
      </c>
      <c r="F183" s="313" t="s">
        <v>244</v>
      </c>
      <c r="G183" s="313" t="s">
        <v>872</v>
      </c>
      <c r="H183" s="375"/>
      <c r="I183" s="375" t="s">
        <v>1233</v>
      </c>
      <c r="J183" s="370">
        <v>0</v>
      </c>
      <c r="K183" s="370" t="e">
        <f>30000*V183/(IF(#REF!="yes",0.188,1))</f>
        <v>#REF!</v>
      </c>
      <c r="L183" s="370" t="e">
        <f>K183-J183</f>
        <v>#REF!</v>
      </c>
      <c r="M183" s="316" t="s">
        <v>484</v>
      </c>
      <c r="N183" s="398"/>
      <c r="O183" s="398">
        <v>2020</v>
      </c>
      <c r="P183" s="305" t="s">
        <v>519</v>
      </c>
      <c r="Q183" s="324"/>
      <c r="R183" s="305"/>
      <c r="S183" s="305"/>
      <c r="T183" s="305"/>
      <c r="U183" s="305" t="s">
        <v>536</v>
      </c>
      <c r="V183" s="426">
        <v>0.188</v>
      </c>
      <c r="W183" s="451">
        <v>5</v>
      </c>
      <c r="X183" s="449"/>
      <c r="Y183" s="412" t="e">
        <f t="shared" si="94"/>
        <v>#REF!</v>
      </c>
      <c r="Z183" s="318">
        <v>4</v>
      </c>
      <c r="AA183" s="318">
        <v>3</v>
      </c>
      <c r="AB183" s="318">
        <v>3</v>
      </c>
      <c r="AC183" s="318">
        <v>1</v>
      </c>
      <c r="AD183" s="318" t="s">
        <v>891</v>
      </c>
      <c r="AE183" s="483">
        <f t="shared" si="126"/>
        <v>0</v>
      </c>
      <c r="AF183" s="482">
        <f t="shared" si="126"/>
        <v>0</v>
      </c>
      <c r="AG183" s="482">
        <f t="shared" si="126"/>
        <v>0</v>
      </c>
      <c r="AH183" s="482">
        <f t="shared" si="126"/>
        <v>0</v>
      </c>
      <c r="AI183" s="482">
        <f t="shared" si="126"/>
        <v>0</v>
      </c>
      <c r="AJ183" s="482">
        <f t="shared" si="126"/>
        <v>0</v>
      </c>
      <c r="AK183" s="556">
        <f t="shared" si="121"/>
        <v>0</v>
      </c>
      <c r="AL183" s="557">
        <f t="shared" si="121"/>
        <v>0</v>
      </c>
      <c r="AM183" s="557">
        <f t="shared" si="121"/>
        <v>0</v>
      </c>
      <c r="AN183" s="557">
        <f t="shared" si="121"/>
        <v>0</v>
      </c>
      <c r="AO183" s="557">
        <f t="shared" si="121"/>
        <v>0</v>
      </c>
      <c r="AP183" s="557">
        <f t="shared" si="121"/>
        <v>0</v>
      </c>
      <c r="AQ183" s="483">
        <f t="shared" si="105"/>
        <v>0</v>
      </c>
      <c r="AR183" s="482">
        <f t="shared" si="116"/>
        <v>0</v>
      </c>
      <c r="AS183" s="482">
        <f t="shared" si="116"/>
        <v>0</v>
      </c>
      <c r="AT183" s="482">
        <f t="shared" si="116"/>
        <v>0</v>
      </c>
      <c r="AU183" s="482">
        <f t="shared" si="116"/>
        <v>0</v>
      </c>
      <c r="AV183" s="482">
        <f t="shared" si="106"/>
        <v>0</v>
      </c>
      <c r="AW183" s="483" t="str">
        <f t="shared" si="107"/>
        <v>check</v>
      </c>
      <c r="AX183" s="514" t="str">
        <f t="shared" si="104"/>
        <v>check</v>
      </c>
      <c r="AY183" s="514" t="s">
        <v>1034</v>
      </c>
      <c r="AZ183" s="556">
        <f t="shared" si="91"/>
        <v>0</v>
      </c>
      <c r="BA183" s="557">
        <v>0</v>
      </c>
      <c r="BB183" s="557">
        <v>0</v>
      </c>
      <c r="BC183" s="557">
        <v>0</v>
      </c>
      <c r="BD183" s="557">
        <v>0</v>
      </c>
      <c r="BE183" s="557">
        <v>0</v>
      </c>
      <c r="BF183" s="556">
        <f t="shared" si="96"/>
        <v>0</v>
      </c>
      <c r="BG183" s="557">
        <v>0</v>
      </c>
      <c r="BH183" s="557">
        <v>0</v>
      </c>
      <c r="BI183" s="557">
        <v>0</v>
      </c>
      <c r="BJ183" s="557">
        <v>0</v>
      </c>
      <c r="BK183" s="557">
        <v>0</v>
      </c>
      <c r="BL183" s="556">
        <f t="shared" si="93"/>
        <v>0</v>
      </c>
      <c r="BM183" s="557">
        <v>0</v>
      </c>
      <c r="BN183" s="557">
        <v>0</v>
      </c>
      <c r="BO183" s="557">
        <v>0</v>
      </c>
      <c r="BP183" s="557">
        <v>0</v>
      </c>
      <c r="BQ183" s="557">
        <v>0</v>
      </c>
      <c r="BR183" s="318"/>
      <c r="BS183" s="318"/>
      <c r="BT183" s="318"/>
      <c r="BU183" s="318"/>
      <c r="BV183" s="318"/>
      <c r="BW183" s="318"/>
      <c r="BX183" s="318"/>
      <c r="BY183" s="318"/>
      <c r="BZ183" s="318" t="s">
        <v>1511</v>
      </c>
      <c r="CA183" s="318"/>
      <c r="CB183" s="318"/>
      <c r="CC183" s="318"/>
      <c r="CD183" s="318"/>
      <c r="CE183" s="457"/>
      <c r="CF183" s="443"/>
      <c r="CG183" s="360" t="s">
        <v>875</v>
      </c>
      <c r="CH183" s="430">
        <v>1</v>
      </c>
      <c r="CI183" s="360"/>
      <c r="CJ183" s="360"/>
      <c r="CK183" s="360"/>
      <c r="CL183" s="360"/>
      <c r="CM183" s="360"/>
      <c r="CN183" s="360"/>
      <c r="CO183" s="360"/>
      <c r="CP183" s="360"/>
    </row>
    <row r="184" spans="1:94" s="315" customFormat="1" ht="25" hidden="1" x14ac:dyDescent="0.25">
      <c r="A184" s="403">
        <v>173</v>
      </c>
      <c r="B184" s="313" t="s">
        <v>875</v>
      </c>
      <c r="C184" s="313" t="s">
        <v>1066</v>
      </c>
      <c r="D184" s="318" t="s">
        <v>594</v>
      </c>
      <c r="E184" s="318" t="s">
        <v>553</v>
      </c>
      <c r="F184" s="313" t="s">
        <v>244</v>
      </c>
      <c r="G184" s="313" t="s">
        <v>872</v>
      </c>
      <c r="H184" s="375"/>
      <c r="I184" s="375" t="s">
        <v>1234</v>
      </c>
      <c r="J184" s="370">
        <v>0</v>
      </c>
      <c r="K184" s="370" t="e">
        <f>60000*V184/(IF(#REF!="yes",0.188,1))</f>
        <v>#REF!</v>
      </c>
      <c r="L184" s="370" t="e">
        <f>K184-$K$183</f>
        <v>#REF!</v>
      </c>
      <c r="M184" s="316" t="s">
        <v>484</v>
      </c>
      <c r="N184" s="398"/>
      <c r="O184" s="398">
        <v>2022</v>
      </c>
      <c r="P184" s="305" t="s">
        <v>519</v>
      </c>
      <c r="Q184" s="324"/>
      <c r="R184" s="305"/>
      <c r="S184" s="305"/>
      <c r="T184" s="305"/>
      <c r="U184" s="305" t="s">
        <v>536</v>
      </c>
      <c r="V184" s="426">
        <v>0.188</v>
      </c>
      <c r="W184" s="451">
        <v>5</v>
      </c>
      <c r="X184" s="449"/>
      <c r="Y184" s="412" t="e">
        <f t="shared" si="94"/>
        <v>#REF!</v>
      </c>
      <c r="Z184" s="318">
        <v>4</v>
      </c>
      <c r="AA184" s="318">
        <v>3</v>
      </c>
      <c r="AB184" s="318">
        <v>3</v>
      </c>
      <c r="AC184" s="318">
        <v>1</v>
      </c>
      <c r="AD184" s="318" t="s">
        <v>892</v>
      </c>
      <c r="AE184" s="483">
        <f t="shared" ref="AE184:AJ184" si="127">IF(OR($M184="Exploration", $M184="Pre-feasibility", $O184&gt;2017), 0, "check")</f>
        <v>0</v>
      </c>
      <c r="AF184" s="482">
        <f t="shared" si="127"/>
        <v>0</v>
      </c>
      <c r="AG184" s="482">
        <f t="shared" si="127"/>
        <v>0</v>
      </c>
      <c r="AH184" s="482">
        <f t="shared" si="127"/>
        <v>0</v>
      </c>
      <c r="AI184" s="482">
        <f t="shared" si="127"/>
        <v>0</v>
      </c>
      <c r="AJ184" s="482">
        <f t="shared" si="127"/>
        <v>0</v>
      </c>
      <c r="AK184" s="556">
        <f t="shared" si="121"/>
        <v>0</v>
      </c>
      <c r="AL184" s="557">
        <f t="shared" si="121"/>
        <v>0</v>
      </c>
      <c r="AM184" s="557">
        <f t="shared" si="121"/>
        <v>0</v>
      </c>
      <c r="AN184" s="557">
        <f t="shared" si="121"/>
        <v>0</v>
      </c>
      <c r="AO184" s="557">
        <f t="shared" si="121"/>
        <v>0</v>
      </c>
      <c r="AP184" s="557">
        <f t="shared" si="121"/>
        <v>0</v>
      </c>
      <c r="AQ184" s="483">
        <f t="shared" si="105"/>
        <v>0</v>
      </c>
      <c r="AR184" s="482">
        <f t="shared" si="116"/>
        <v>0</v>
      </c>
      <c r="AS184" s="482">
        <f t="shared" si="116"/>
        <v>0</v>
      </c>
      <c r="AT184" s="482">
        <f t="shared" si="116"/>
        <v>0</v>
      </c>
      <c r="AU184" s="482">
        <f t="shared" si="116"/>
        <v>0</v>
      </c>
      <c r="AV184" s="482">
        <f t="shared" si="106"/>
        <v>0</v>
      </c>
      <c r="AW184" s="483" t="str">
        <f t="shared" si="107"/>
        <v>check</v>
      </c>
      <c r="AX184" s="514">
        <f t="shared" si="104"/>
        <v>0</v>
      </c>
      <c r="AY184" s="514" t="s">
        <v>1034</v>
      </c>
      <c r="AZ184" s="556">
        <f t="shared" si="91"/>
        <v>0</v>
      </c>
      <c r="BA184" s="557">
        <v>0</v>
      </c>
      <c r="BB184" s="557">
        <v>0</v>
      </c>
      <c r="BC184" s="557">
        <v>0</v>
      </c>
      <c r="BD184" s="557">
        <v>0</v>
      </c>
      <c r="BE184" s="557">
        <v>0</v>
      </c>
      <c r="BF184" s="556">
        <f t="shared" si="96"/>
        <v>0</v>
      </c>
      <c r="BG184" s="557">
        <v>0</v>
      </c>
      <c r="BH184" s="557">
        <v>0</v>
      </c>
      <c r="BI184" s="557">
        <v>0</v>
      </c>
      <c r="BJ184" s="557">
        <v>0</v>
      </c>
      <c r="BK184" s="557">
        <v>0</v>
      </c>
      <c r="BL184" s="556">
        <f t="shared" si="93"/>
        <v>0</v>
      </c>
      <c r="BM184" s="557">
        <v>0</v>
      </c>
      <c r="BN184" s="557">
        <v>0</v>
      </c>
      <c r="BO184" s="557">
        <v>0</v>
      </c>
      <c r="BP184" s="557">
        <v>0</v>
      </c>
      <c r="BQ184" s="557">
        <v>0</v>
      </c>
      <c r="BR184" s="318"/>
      <c r="BS184" s="318"/>
      <c r="BT184" s="318"/>
      <c r="BU184" s="318"/>
      <c r="BV184" s="318"/>
      <c r="BW184" s="318"/>
      <c r="BX184" s="318"/>
      <c r="BY184" s="318"/>
      <c r="BZ184" s="318" t="s">
        <v>1511</v>
      </c>
      <c r="CA184" s="318"/>
      <c r="CB184" s="318"/>
      <c r="CC184" s="318"/>
      <c r="CD184" s="318"/>
      <c r="CE184" s="457"/>
      <c r="CF184" s="443"/>
      <c r="CG184" s="360" t="s">
        <v>875</v>
      </c>
      <c r="CH184" s="430">
        <v>1</v>
      </c>
      <c r="CI184" s="360"/>
      <c r="CJ184" s="360"/>
      <c r="CK184" s="360"/>
      <c r="CL184" s="360"/>
      <c r="CM184" s="360"/>
      <c r="CN184" s="360"/>
      <c r="CO184" s="360"/>
      <c r="CP184" s="360"/>
    </row>
    <row r="185" spans="1:94" s="315" customFormat="1" ht="25" hidden="1" x14ac:dyDescent="0.25">
      <c r="A185" s="403">
        <v>175</v>
      </c>
      <c r="B185" s="313" t="s">
        <v>889</v>
      </c>
      <c r="C185" s="313" t="s">
        <v>890</v>
      </c>
      <c r="D185" s="318" t="s">
        <v>594</v>
      </c>
      <c r="E185" s="318"/>
      <c r="F185" s="313" t="s">
        <v>244</v>
      </c>
      <c r="G185" s="313" t="s">
        <v>550</v>
      </c>
      <c r="H185" s="375"/>
      <c r="I185" s="305" t="s">
        <v>888</v>
      </c>
      <c r="J185" s="370">
        <v>0</v>
      </c>
      <c r="K185" s="370">
        <v>10000</v>
      </c>
      <c r="L185" s="370">
        <f>K185-J185</f>
        <v>10000</v>
      </c>
      <c r="M185" s="316" t="s">
        <v>483</v>
      </c>
      <c r="N185" s="398"/>
      <c r="O185" s="398">
        <v>2017</v>
      </c>
      <c r="P185" s="305" t="s">
        <v>519</v>
      </c>
      <c r="Q185" s="324"/>
      <c r="R185" s="305"/>
      <c r="S185" s="305"/>
      <c r="T185" s="305"/>
      <c r="U185" s="305" t="s">
        <v>536</v>
      </c>
      <c r="V185" s="426">
        <v>0.188</v>
      </c>
      <c r="W185" s="451">
        <v>4.5</v>
      </c>
      <c r="X185" s="449"/>
      <c r="Y185" s="412" t="e">
        <f t="shared" si="94"/>
        <v>#REF!</v>
      </c>
      <c r="Z185" s="318">
        <v>3</v>
      </c>
      <c r="AA185" s="318">
        <v>5</v>
      </c>
      <c r="AB185" s="318">
        <v>3</v>
      </c>
      <c r="AC185" s="318">
        <v>3</v>
      </c>
      <c r="AD185" s="318" t="s">
        <v>893</v>
      </c>
      <c r="AE185" s="483">
        <v>10000</v>
      </c>
      <c r="AF185" s="482" t="s">
        <v>1524</v>
      </c>
      <c r="AG185" s="482" t="s">
        <v>1524</v>
      </c>
      <c r="AH185" s="482" t="s">
        <v>1524</v>
      </c>
      <c r="AI185" s="482" t="s">
        <v>1524</v>
      </c>
      <c r="AJ185" s="482" t="str">
        <f>IF(OR(M185="Exploration", M185="Pre-feasibility", O185&gt;2017), 0, "check")</f>
        <v>check</v>
      </c>
      <c r="AK185" s="556" t="str">
        <f t="shared" si="121"/>
        <v>check</v>
      </c>
      <c r="AL185" s="557" t="str">
        <f t="shared" si="121"/>
        <v>check</v>
      </c>
      <c r="AM185" s="557" t="str">
        <f t="shared" si="121"/>
        <v>check</v>
      </c>
      <c r="AN185" s="557" t="str">
        <f t="shared" si="121"/>
        <v>check</v>
      </c>
      <c r="AO185" s="557" t="str">
        <f t="shared" si="121"/>
        <v>check</v>
      </c>
      <c r="AP185" s="557" t="str">
        <f t="shared" si="121"/>
        <v>check</v>
      </c>
      <c r="AQ185" s="483" t="str">
        <f t="shared" si="105"/>
        <v>check</v>
      </c>
      <c r="AR185" s="482" t="str">
        <f t="shared" si="116"/>
        <v>check</v>
      </c>
      <c r="AS185" s="482" t="str">
        <f t="shared" si="116"/>
        <v>check</v>
      </c>
      <c r="AT185" s="482" t="str">
        <f t="shared" si="116"/>
        <v>check</v>
      </c>
      <c r="AU185" s="482" t="str">
        <f t="shared" si="116"/>
        <v>check</v>
      </c>
      <c r="AV185" s="482" t="str">
        <f t="shared" si="106"/>
        <v>check</v>
      </c>
      <c r="AW185" s="483">
        <f t="shared" si="107"/>
        <v>10000</v>
      </c>
      <c r="AX185" s="514" t="str">
        <f t="shared" si="104"/>
        <v>check</v>
      </c>
      <c r="AY185" s="514" t="s">
        <v>1524</v>
      </c>
      <c r="AZ185" s="556">
        <f t="shared" si="91"/>
        <v>10000</v>
      </c>
      <c r="BA185" s="557" t="s">
        <v>1524</v>
      </c>
      <c r="BB185" s="557" t="s">
        <v>1524</v>
      </c>
      <c r="BC185" s="557" t="s">
        <v>1524</v>
      </c>
      <c r="BD185" s="557" t="s">
        <v>1524</v>
      </c>
      <c r="BE185" s="557" t="s">
        <v>1524</v>
      </c>
      <c r="BF185" s="556" t="str">
        <f t="shared" si="96"/>
        <v>check</v>
      </c>
      <c r="BG185" s="557" t="s">
        <v>1524</v>
      </c>
      <c r="BH185" s="557" t="s">
        <v>1524</v>
      </c>
      <c r="BI185" s="557" t="s">
        <v>1524</v>
      </c>
      <c r="BJ185" s="557" t="s">
        <v>1524</v>
      </c>
      <c r="BK185" s="557" t="s">
        <v>1524</v>
      </c>
      <c r="BL185" s="556" t="str">
        <f t="shared" si="93"/>
        <v>check</v>
      </c>
      <c r="BM185" s="557" t="s">
        <v>1524</v>
      </c>
      <c r="BN185" s="557" t="s">
        <v>1524</v>
      </c>
      <c r="BO185" s="557" t="s">
        <v>1524</v>
      </c>
      <c r="BP185" s="557" t="s">
        <v>1524</v>
      </c>
      <c r="BQ185" s="557" t="s">
        <v>1524</v>
      </c>
      <c r="BR185" s="318"/>
      <c r="BS185" s="318"/>
      <c r="BT185" s="318"/>
      <c r="BU185" s="318"/>
      <c r="BV185" s="318"/>
      <c r="BW185" s="318"/>
      <c r="BX185" s="318"/>
      <c r="BY185" s="318"/>
      <c r="BZ185" s="318" t="s">
        <v>1511</v>
      </c>
      <c r="CA185" s="318"/>
      <c r="CB185" s="318"/>
      <c r="CC185" s="318"/>
      <c r="CD185" s="318"/>
      <c r="CE185" s="457"/>
      <c r="CF185" s="443">
        <v>61.5</v>
      </c>
      <c r="CG185" s="360" t="s">
        <v>1226</v>
      </c>
      <c r="CH185" s="430">
        <v>1</v>
      </c>
      <c r="CI185" s="360"/>
      <c r="CJ185" s="360"/>
      <c r="CK185" s="360"/>
      <c r="CL185" s="360"/>
      <c r="CM185" s="360"/>
      <c r="CN185" s="360"/>
      <c r="CO185" s="360"/>
      <c r="CP185" s="360"/>
    </row>
    <row r="186" spans="1:94" s="315" customFormat="1" ht="89.25" hidden="1" customHeight="1" x14ac:dyDescent="0.25">
      <c r="A186" s="403">
        <v>176</v>
      </c>
      <c r="B186" s="313" t="s">
        <v>895</v>
      </c>
      <c r="C186" s="313" t="s">
        <v>894</v>
      </c>
      <c r="D186" s="318" t="s">
        <v>457</v>
      </c>
      <c r="E186" s="318"/>
      <c r="F186" s="313" t="s">
        <v>517</v>
      </c>
      <c r="G186" s="313" t="s">
        <v>32</v>
      </c>
      <c r="H186" s="370"/>
      <c r="I186" s="321" t="s">
        <v>1131</v>
      </c>
      <c r="J186" s="370">
        <v>0</v>
      </c>
      <c r="K186" s="370" t="e">
        <f>212000*V186/(IF(#REF!="yes",0.188,1))</f>
        <v>#REF!</v>
      </c>
      <c r="L186" s="370" t="e">
        <f>K186-J186</f>
        <v>#REF!</v>
      </c>
      <c r="M186" s="316" t="s">
        <v>619</v>
      </c>
      <c r="N186" s="398"/>
      <c r="O186" s="398">
        <v>2021</v>
      </c>
      <c r="P186" s="305" t="s">
        <v>519</v>
      </c>
      <c r="Q186" s="354">
        <v>1.44E-2</v>
      </c>
      <c r="R186" s="305"/>
      <c r="S186" s="321" t="s">
        <v>1549</v>
      </c>
      <c r="T186" s="322" t="s">
        <v>1550</v>
      </c>
      <c r="U186" s="305" t="s">
        <v>528</v>
      </c>
      <c r="V186" s="426">
        <f>6%*40%</f>
        <v>2.4E-2</v>
      </c>
      <c r="W186" s="451" t="e">
        <f>285/#REF!/10^3</f>
        <v>#REF!</v>
      </c>
      <c r="X186" s="447"/>
      <c r="Y186" s="317" t="e">
        <f>IF(W186="","",5-((W186-(MIN($W$12:$W$261)))/(MAX($W$12:$W$261)-MIN($W$12:$W$261)))*5)</f>
        <v>#REF!</v>
      </c>
      <c r="Z186" s="318">
        <v>2</v>
      </c>
      <c r="AA186" s="318">
        <v>3</v>
      </c>
      <c r="AB186" s="318">
        <v>3</v>
      </c>
      <c r="AC186" s="318">
        <v>2</v>
      </c>
      <c r="AD186" s="318" t="s">
        <v>1132</v>
      </c>
      <c r="AE186" s="483">
        <f t="shared" ref="AE186:AJ187" si="128">IF(OR($M186="Exploration", $M186="Pre-feasibility", $O186&gt;2017), 0, "check")</f>
        <v>0</v>
      </c>
      <c r="AF186" s="482">
        <f t="shared" si="128"/>
        <v>0</v>
      </c>
      <c r="AG186" s="482">
        <f t="shared" si="128"/>
        <v>0</v>
      </c>
      <c r="AH186" s="482">
        <f t="shared" si="128"/>
        <v>0</v>
      </c>
      <c r="AI186" s="482">
        <f t="shared" si="128"/>
        <v>0</v>
      </c>
      <c r="AJ186" s="482">
        <f t="shared" si="128"/>
        <v>0</v>
      </c>
      <c r="AK186" s="556">
        <f t="shared" si="121"/>
        <v>0</v>
      </c>
      <c r="AL186" s="557">
        <f t="shared" si="121"/>
        <v>0</v>
      </c>
      <c r="AM186" s="557">
        <f t="shared" si="121"/>
        <v>0</v>
      </c>
      <c r="AN186" s="557">
        <f t="shared" si="121"/>
        <v>0</v>
      </c>
      <c r="AO186" s="557">
        <f t="shared" si="121"/>
        <v>0</v>
      </c>
      <c r="AP186" s="557">
        <f t="shared" si="121"/>
        <v>0</v>
      </c>
      <c r="AQ186" s="483">
        <f t="shared" si="105"/>
        <v>0</v>
      </c>
      <c r="AR186" s="482">
        <f t="shared" si="116"/>
        <v>0</v>
      </c>
      <c r="AS186" s="482">
        <f t="shared" si="116"/>
        <v>0</v>
      </c>
      <c r="AT186" s="482">
        <f t="shared" si="116"/>
        <v>0</v>
      </c>
      <c r="AU186" s="482">
        <f t="shared" si="116"/>
        <v>0</v>
      </c>
      <c r="AV186" s="482">
        <f t="shared" si="106"/>
        <v>0</v>
      </c>
      <c r="AW186" s="483">
        <v>0</v>
      </c>
      <c r="AX186" s="514">
        <f t="shared" si="104"/>
        <v>0</v>
      </c>
      <c r="AY186" s="514" t="s">
        <v>1034</v>
      </c>
      <c r="AZ186" s="556">
        <f t="shared" si="91"/>
        <v>0</v>
      </c>
      <c r="BA186" s="557">
        <v>0</v>
      </c>
      <c r="BB186" s="557">
        <v>0</v>
      </c>
      <c r="BC186" s="557">
        <v>0</v>
      </c>
      <c r="BD186" s="557">
        <v>0</v>
      </c>
      <c r="BE186" s="557">
        <v>0</v>
      </c>
      <c r="BF186" s="556">
        <f t="shared" si="96"/>
        <v>0</v>
      </c>
      <c r="BG186" s="557">
        <v>0</v>
      </c>
      <c r="BH186" s="557">
        <v>0</v>
      </c>
      <c r="BI186" s="557">
        <v>0</v>
      </c>
      <c r="BJ186" s="557">
        <v>0</v>
      </c>
      <c r="BK186" s="557">
        <v>0</v>
      </c>
      <c r="BL186" s="556">
        <f t="shared" si="93"/>
        <v>0</v>
      </c>
      <c r="BM186" s="557">
        <v>0</v>
      </c>
      <c r="BN186" s="557">
        <v>0</v>
      </c>
      <c r="BO186" s="557">
        <v>0</v>
      </c>
      <c r="BP186" s="557">
        <v>0</v>
      </c>
      <c r="BQ186" s="557">
        <v>0</v>
      </c>
      <c r="BR186" s="318" t="s">
        <v>1155</v>
      </c>
      <c r="BS186" s="318" t="s">
        <v>1128</v>
      </c>
      <c r="BT186" s="318"/>
      <c r="BU186" s="318" t="s">
        <v>1133</v>
      </c>
      <c r="BV186" s="318" t="s">
        <v>1136</v>
      </c>
      <c r="BW186" s="318"/>
      <c r="BX186" s="318" t="s">
        <v>1139</v>
      </c>
      <c r="BY186" s="318" t="s">
        <v>1142</v>
      </c>
      <c r="BZ186" s="321" t="s">
        <v>1507</v>
      </c>
      <c r="CA186" s="318" t="s">
        <v>1141</v>
      </c>
      <c r="CB186" s="318"/>
      <c r="CC186" s="318"/>
      <c r="CD186" s="318"/>
      <c r="CE186" s="457" t="s">
        <v>1145</v>
      </c>
      <c r="CF186" s="443">
        <v>11.15</v>
      </c>
      <c r="CG186" s="360" t="s">
        <v>895</v>
      </c>
      <c r="CH186" s="430">
        <v>0.87</v>
      </c>
      <c r="CI186" s="360" t="s">
        <v>1223</v>
      </c>
      <c r="CJ186" s="430">
        <v>0.13</v>
      </c>
      <c r="CK186" s="360"/>
      <c r="CL186" s="360"/>
      <c r="CM186" s="360"/>
      <c r="CN186" s="360"/>
      <c r="CO186" s="360"/>
      <c r="CP186" s="360"/>
    </row>
    <row r="187" spans="1:94" s="315" customFormat="1" ht="13" hidden="1" x14ac:dyDescent="0.25">
      <c r="A187" s="403">
        <v>177</v>
      </c>
      <c r="B187" s="313" t="s">
        <v>897</v>
      </c>
      <c r="C187" s="313" t="s">
        <v>896</v>
      </c>
      <c r="D187" s="318" t="s">
        <v>457</v>
      </c>
      <c r="E187" s="318"/>
      <c r="F187" s="313" t="s">
        <v>486</v>
      </c>
      <c r="G187" s="313" t="s">
        <v>32</v>
      </c>
      <c r="H187" s="370"/>
      <c r="I187" s="321" t="s">
        <v>946</v>
      </c>
      <c r="J187" s="370">
        <v>0</v>
      </c>
      <c r="K187" s="370" t="e">
        <f>130000*V187/(IF(#REF!="yes",0.188,1))</f>
        <v>#REF!</v>
      </c>
      <c r="L187" s="370" t="e">
        <f>K187-J187</f>
        <v>#REF!</v>
      </c>
      <c r="M187" s="316" t="s">
        <v>807</v>
      </c>
      <c r="N187" s="398"/>
      <c r="O187" s="398"/>
      <c r="P187" s="305" t="s">
        <v>519</v>
      </c>
      <c r="Q187" s="324">
        <v>1.11E-2</v>
      </c>
      <c r="R187" s="305"/>
      <c r="S187" s="305"/>
      <c r="T187" s="305" t="s">
        <v>909</v>
      </c>
      <c r="U187" s="305" t="s">
        <v>528</v>
      </c>
      <c r="V187" s="426">
        <f>6%*40%</f>
        <v>2.4E-2</v>
      </c>
      <c r="W187" s="366">
        <f>400/1000</f>
        <v>0.4</v>
      </c>
      <c r="X187" s="366">
        <f>400/1000</f>
        <v>0.4</v>
      </c>
      <c r="Y187" s="317" t="e">
        <f t="shared" si="94"/>
        <v>#REF!</v>
      </c>
      <c r="Z187" s="318">
        <v>1</v>
      </c>
      <c r="AA187" s="318">
        <v>1</v>
      </c>
      <c r="AB187" s="318">
        <v>2</v>
      </c>
      <c r="AC187" s="318">
        <v>1</v>
      </c>
      <c r="AD187" s="318" t="s">
        <v>947</v>
      </c>
      <c r="AE187" s="483">
        <f t="shared" si="128"/>
        <v>0</v>
      </c>
      <c r="AF187" s="482">
        <f t="shared" si="128"/>
        <v>0</v>
      </c>
      <c r="AG187" s="482">
        <f t="shared" si="128"/>
        <v>0</v>
      </c>
      <c r="AH187" s="482">
        <f t="shared" si="128"/>
        <v>0</v>
      </c>
      <c r="AI187" s="482">
        <f t="shared" si="128"/>
        <v>0</v>
      </c>
      <c r="AJ187" s="482">
        <f t="shared" si="128"/>
        <v>0</v>
      </c>
      <c r="AK187" s="556">
        <f t="shared" si="121"/>
        <v>0</v>
      </c>
      <c r="AL187" s="557">
        <f t="shared" si="121"/>
        <v>0</v>
      </c>
      <c r="AM187" s="557">
        <f t="shared" si="121"/>
        <v>0</v>
      </c>
      <c r="AN187" s="557">
        <f t="shared" si="121"/>
        <v>0</v>
      </c>
      <c r="AO187" s="557">
        <f t="shared" si="121"/>
        <v>0</v>
      </c>
      <c r="AP187" s="557">
        <f t="shared" si="121"/>
        <v>0</v>
      </c>
      <c r="AQ187" s="483">
        <f t="shared" si="105"/>
        <v>0</v>
      </c>
      <c r="AR187" s="482">
        <f t="shared" si="116"/>
        <v>0</v>
      </c>
      <c r="AS187" s="482">
        <f t="shared" si="116"/>
        <v>0</v>
      </c>
      <c r="AT187" s="482">
        <f t="shared" si="116"/>
        <v>0</v>
      </c>
      <c r="AU187" s="482">
        <f t="shared" si="116"/>
        <v>0</v>
      </c>
      <c r="AV187" s="482">
        <f t="shared" si="106"/>
        <v>0</v>
      </c>
      <c r="AW187" s="483">
        <f t="shared" si="107"/>
        <v>0</v>
      </c>
      <c r="AX187" s="514">
        <f t="shared" si="104"/>
        <v>0</v>
      </c>
      <c r="AY187" s="514" t="s">
        <v>1034</v>
      </c>
      <c r="AZ187" s="556">
        <f t="shared" si="91"/>
        <v>0</v>
      </c>
      <c r="BA187" s="557">
        <f t="shared" ref="AZ187:BE187" si="129">IF(OR($M187="Exploration", $M187="Pre-feasibility", $O187&gt;2017), 0, "check")</f>
        <v>0</v>
      </c>
      <c r="BB187" s="557">
        <f t="shared" si="129"/>
        <v>0</v>
      </c>
      <c r="BC187" s="557">
        <f t="shared" si="129"/>
        <v>0</v>
      </c>
      <c r="BD187" s="557">
        <f t="shared" si="129"/>
        <v>0</v>
      </c>
      <c r="BE187" s="557">
        <f t="shared" si="129"/>
        <v>0</v>
      </c>
      <c r="BF187" s="556">
        <f t="shared" si="96"/>
        <v>0</v>
      </c>
      <c r="BG187" s="557">
        <f t="shared" ref="BF187:BK187" si="130">IF(OR($M187="Exploration", $M187="Pre-feasibility", $O187&gt;2018), 0, "check")</f>
        <v>0</v>
      </c>
      <c r="BH187" s="557">
        <f t="shared" si="130"/>
        <v>0</v>
      </c>
      <c r="BI187" s="557">
        <f t="shared" si="130"/>
        <v>0</v>
      </c>
      <c r="BJ187" s="557">
        <f t="shared" si="130"/>
        <v>0</v>
      </c>
      <c r="BK187" s="557">
        <f t="shared" si="130"/>
        <v>0</v>
      </c>
      <c r="BL187" s="556">
        <f t="shared" si="93"/>
        <v>0</v>
      </c>
      <c r="BM187" s="557">
        <f t="shared" ref="BM187:BP187" si="131">IF(OR($M187="Exploration", $M187="Pre-feasibility", $O187&gt;2019), 0, "check")</f>
        <v>0</v>
      </c>
      <c r="BN187" s="557">
        <f t="shared" si="131"/>
        <v>0</v>
      </c>
      <c r="BO187" s="557">
        <f t="shared" si="131"/>
        <v>0</v>
      </c>
      <c r="BP187" s="557">
        <f t="shared" si="131"/>
        <v>0</v>
      </c>
      <c r="BQ187" s="557" t="str">
        <f t="shared" ref="BQ187" si="132">IF(OR(AH187="Exploration", AH187="Pre-feasibility", AJ187&gt;2019), 0, "check")</f>
        <v>check</v>
      </c>
      <c r="BR187" s="318"/>
      <c r="BS187" s="318"/>
      <c r="BT187" s="318"/>
      <c r="BU187" s="318"/>
      <c r="BV187" s="318"/>
      <c r="BW187" s="318"/>
      <c r="BX187" s="318"/>
      <c r="BY187" s="318"/>
      <c r="BZ187" s="318"/>
      <c r="CA187" s="318"/>
      <c r="CB187" s="318"/>
      <c r="CC187" s="318"/>
      <c r="CD187" s="318"/>
      <c r="CE187" s="457"/>
      <c r="CF187" s="318"/>
      <c r="CG187" s="360"/>
      <c r="CH187" s="360"/>
      <c r="CI187" s="360"/>
      <c r="CJ187" s="360"/>
      <c r="CK187" s="360"/>
      <c r="CL187" s="360"/>
      <c r="CM187" s="360"/>
      <c r="CN187" s="360"/>
      <c r="CO187" s="360"/>
      <c r="CP187" s="360"/>
    </row>
    <row r="188" spans="1:94" s="315" customFormat="1" ht="13" hidden="1" x14ac:dyDescent="0.25">
      <c r="A188" s="403">
        <v>178</v>
      </c>
      <c r="B188" s="313" t="s">
        <v>695</v>
      </c>
      <c r="C188" s="521" t="s">
        <v>901</v>
      </c>
      <c r="D188" s="318" t="s">
        <v>457</v>
      </c>
      <c r="E188" s="318"/>
      <c r="F188" s="313" t="s">
        <v>498</v>
      </c>
      <c r="G188" s="313" t="s">
        <v>32</v>
      </c>
      <c r="H188" s="305"/>
      <c r="I188" s="305" t="s">
        <v>1079</v>
      </c>
      <c r="J188" s="370">
        <v>0</v>
      </c>
      <c r="K188" s="370">
        <v>0</v>
      </c>
      <c r="L188" s="370">
        <f>K188-J188</f>
        <v>0</v>
      </c>
      <c r="M188" s="316" t="s">
        <v>807</v>
      </c>
      <c r="N188" s="356"/>
      <c r="O188" s="398"/>
      <c r="P188" s="305" t="s">
        <v>519</v>
      </c>
      <c r="Q188" s="324">
        <v>5.3E-3</v>
      </c>
      <c r="R188" s="305"/>
      <c r="S188" s="305"/>
      <c r="T188" s="305" t="s">
        <v>1023</v>
      </c>
      <c r="U188" s="305" t="s">
        <v>528</v>
      </c>
      <c r="V188" s="426">
        <v>0.188</v>
      </c>
      <c r="W188" s="317">
        <f>2050/1000</f>
        <v>2.0499999999999998</v>
      </c>
      <c r="X188" s="317">
        <f>2050/1000</f>
        <v>2.0499999999999998</v>
      </c>
      <c r="Y188" s="317" t="e">
        <f t="shared" si="94"/>
        <v>#REF!</v>
      </c>
      <c r="Z188" s="318">
        <v>1</v>
      </c>
      <c r="AA188" s="318">
        <v>1</v>
      </c>
      <c r="AB188" s="318">
        <v>2</v>
      </c>
      <c r="AC188" s="318">
        <v>2</v>
      </c>
      <c r="AD188" s="318" t="s">
        <v>905</v>
      </c>
      <c r="AE188" s="483">
        <f t="shared" ref="AE188:AJ188" si="133">IF(OR($M188="Exploration", $M188="Pre-feasibility", $O188&gt;2017), 0, "check")</f>
        <v>0</v>
      </c>
      <c r="AF188" s="482">
        <f t="shared" si="133"/>
        <v>0</v>
      </c>
      <c r="AG188" s="482">
        <f t="shared" si="133"/>
        <v>0</v>
      </c>
      <c r="AH188" s="482">
        <f t="shared" si="133"/>
        <v>0</v>
      </c>
      <c r="AI188" s="482">
        <f t="shared" si="133"/>
        <v>0</v>
      </c>
      <c r="AJ188" s="482">
        <f t="shared" si="133"/>
        <v>0</v>
      </c>
      <c r="AK188" s="556">
        <f t="shared" si="121"/>
        <v>0</v>
      </c>
      <c r="AL188" s="557">
        <f t="shared" si="121"/>
        <v>0</v>
      </c>
      <c r="AM188" s="557">
        <f t="shared" si="121"/>
        <v>0</v>
      </c>
      <c r="AN188" s="557">
        <f t="shared" si="121"/>
        <v>0</v>
      </c>
      <c r="AO188" s="557">
        <f t="shared" si="121"/>
        <v>0</v>
      </c>
      <c r="AP188" s="557">
        <f t="shared" si="121"/>
        <v>0</v>
      </c>
      <c r="AQ188" s="483">
        <f t="shared" si="105"/>
        <v>0</v>
      </c>
      <c r="AR188" s="482">
        <f t="shared" si="116"/>
        <v>0</v>
      </c>
      <c r="AS188" s="482">
        <f t="shared" si="116"/>
        <v>0</v>
      </c>
      <c r="AT188" s="482">
        <f t="shared" si="116"/>
        <v>0</v>
      </c>
      <c r="AU188" s="482">
        <f t="shared" si="116"/>
        <v>0</v>
      </c>
      <c r="AV188" s="482">
        <f t="shared" si="106"/>
        <v>0</v>
      </c>
      <c r="AW188" s="483">
        <f t="shared" si="107"/>
        <v>0</v>
      </c>
      <c r="AX188" s="514">
        <f t="shared" si="104"/>
        <v>0</v>
      </c>
      <c r="AY188" s="514" t="s">
        <v>1034</v>
      </c>
      <c r="AZ188" s="556">
        <f t="shared" si="91"/>
        <v>0</v>
      </c>
      <c r="BA188" s="557">
        <v>0</v>
      </c>
      <c r="BB188" s="557">
        <v>0</v>
      </c>
      <c r="BC188" s="557">
        <v>0</v>
      </c>
      <c r="BD188" s="557">
        <v>0</v>
      </c>
      <c r="BE188" s="557">
        <v>0</v>
      </c>
      <c r="BF188" s="556">
        <f t="shared" si="96"/>
        <v>0</v>
      </c>
      <c r="BG188" s="557">
        <v>0</v>
      </c>
      <c r="BH188" s="557">
        <v>0</v>
      </c>
      <c r="BI188" s="557">
        <v>0</v>
      </c>
      <c r="BJ188" s="557">
        <v>0</v>
      </c>
      <c r="BK188" s="557">
        <v>0</v>
      </c>
      <c r="BL188" s="556">
        <f t="shared" si="93"/>
        <v>0</v>
      </c>
      <c r="BM188" s="557">
        <v>0</v>
      </c>
      <c r="BN188" s="557">
        <v>0</v>
      </c>
      <c r="BO188" s="557">
        <v>0</v>
      </c>
      <c r="BP188" s="557">
        <v>0</v>
      </c>
      <c r="BQ188" s="557">
        <v>0</v>
      </c>
      <c r="BR188" s="318"/>
      <c r="BS188" s="318"/>
      <c r="BT188" s="318"/>
      <c r="BU188" s="318"/>
      <c r="BV188" s="318"/>
      <c r="BW188" s="318"/>
      <c r="BX188" s="318"/>
      <c r="BY188" s="318"/>
      <c r="BZ188" s="318"/>
      <c r="CA188" s="318"/>
      <c r="CB188" s="318"/>
      <c r="CC188" s="318"/>
      <c r="CD188" s="318"/>
      <c r="CE188" s="457"/>
      <c r="CF188" s="318">
        <v>9</v>
      </c>
      <c r="CG188" s="360"/>
      <c r="CH188" s="430"/>
      <c r="CI188" s="360"/>
      <c r="CJ188" s="430"/>
      <c r="CK188" s="360"/>
      <c r="CL188" s="360"/>
      <c r="CM188" s="360"/>
      <c r="CN188" s="360"/>
      <c r="CO188" s="360"/>
      <c r="CP188" s="360"/>
    </row>
    <row r="189" spans="1:94" s="315" customFormat="1" ht="13" hidden="1" x14ac:dyDescent="0.25">
      <c r="A189" s="403">
        <v>179</v>
      </c>
      <c r="B189" s="313" t="s">
        <v>695</v>
      </c>
      <c r="C189" s="521" t="s">
        <v>899</v>
      </c>
      <c r="D189" s="318" t="s">
        <v>457</v>
      </c>
      <c r="E189" s="318" t="s">
        <v>553</v>
      </c>
      <c r="F189" s="313" t="s">
        <v>498</v>
      </c>
      <c r="G189" s="313" t="s">
        <v>1406</v>
      </c>
      <c r="H189" s="305"/>
      <c r="I189" s="305" t="s">
        <v>904</v>
      </c>
      <c r="J189" s="370"/>
      <c r="K189" s="370" t="e">
        <f>(20000*V189)/(IF(#REF!="yes",0.188,1))</f>
        <v>#REF!</v>
      </c>
      <c r="L189" s="370">
        <v>20000</v>
      </c>
      <c r="M189" s="316" t="s">
        <v>619</v>
      </c>
      <c r="N189" s="356"/>
      <c r="O189" s="398">
        <v>2020</v>
      </c>
      <c r="P189" s="305" t="s">
        <v>1198</v>
      </c>
      <c r="Q189" s="354">
        <v>6.3E-3</v>
      </c>
      <c r="R189" s="305"/>
      <c r="S189" s="305"/>
      <c r="T189" s="305" t="s">
        <v>1023</v>
      </c>
      <c r="U189" s="305" t="s">
        <v>528</v>
      </c>
      <c r="V189" s="426">
        <v>0.188</v>
      </c>
      <c r="W189" s="443">
        <f>2050/1000</f>
        <v>2.0499999999999998</v>
      </c>
      <c r="X189" s="445"/>
      <c r="Y189" s="317" t="e">
        <f t="shared" si="94"/>
        <v>#REF!</v>
      </c>
      <c r="Z189" s="318">
        <v>1</v>
      </c>
      <c r="AA189" s="318">
        <v>2</v>
      </c>
      <c r="AB189" s="318">
        <v>3</v>
      </c>
      <c r="AC189" s="318">
        <v>2</v>
      </c>
      <c r="AD189" s="318" t="s">
        <v>900</v>
      </c>
      <c r="AE189" s="483">
        <f t="shared" ref="AE189:AJ189" si="134">IF(OR($M189="Exploration", $M189="Pre-feasibility", $O189&gt;2017), 0, "check")</f>
        <v>0</v>
      </c>
      <c r="AF189" s="482">
        <f t="shared" si="134"/>
        <v>0</v>
      </c>
      <c r="AG189" s="482">
        <f t="shared" si="134"/>
        <v>0</v>
      </c>
      <c r="AH189" s="482">
        <f t="shared" si="134"/>
        <v>0</v>
      </c>
      <c r="AI189" s="482">
        <f t="shared" si="134"/>
        <v>0</v>
      </c>
      <c r="AJ189" s="482">
        <f t="shared" si="134"/>
        <v>0</v>
      </c>
      <c r="AK189" s="556">
        <f t="shared" si="121"/>
        <v>0</v>
      </c>
      <c r="AL189" s="557">
        <f t="shared" si="121"/>
        <v>0</v>
      </c>
      <c r="AM189" s="557">
        <f t="shared" si="121"/>
        <v>0</v>
      </c>
      <c r="AN189" s="557">
        <f t="shared" si="121"/>
        <v>0</v>
      </c>
      <c r="AO189" s="557">
        <f t="shared" si="121"/>
        <v>0</v>
      </c>
      <c r="AP189" s="557">
        <f t="shared" si="121"/>
        <v>0</v>
      </c>
      <c r="AQ189" s="483">
        <f t="shared" si="105"/>
        <v>0</v>
      </c>
      <c r="AR189" s="482">
        <f t="shared" si="116"/>
        <v>0</v>
      </c>
      <c r="AS189" s="482">
        <f t="shared" si="116"/>
        <v>0</v>
      </c>
      <c r="AT189" s="482">
        <f t="shared" si="116"/>
        <v>0</v>
      </c>
      <c r="AU189" s="482">
        <f t="shared" si="116"/>
        <v>0</v>
      </c>
      <c r="AV189" s="482">
        <f t="shared" si="106"/>
        <v>0</v>
      </c>
      <c r="AW189" s="483">
        <v>0</v>
      </c>
      <c r="AX189" s="514">
        <f t="shared" si="104"/>
        <v>0</v>
      </c>
      <c r="AY189" s="514" t="s">
        <v>1034</v>
      </c>
      <c r="AZ189" s="556">
        <f t="shared" si="91"/>
        <v>0</v>
      </c>
      <c r="BA189" s="557">
        <v>0</v>
      </c>
      <c r="BB189" s="557">
        <v>0</v>
      </c>
      <c r="BC189" s="557">
        <v>0</v>
      </c>
      <c r="BD189" s="557">
        <v>0</v>
      </c>
      <c r="BE189" s="557">
        <v>0</v>
      </c>
      <c r="BF189" s="556">
        <f t="shared" si="96"/>
        <v>0</v>
      </c>
      <c r="BG189" s="557">
        <v>0</v>
      </c>
      <c r="BH189" s="557">
        <v>0</v>
      </c>
      <c r="BI189" s="557">
        <v>0</v>
      </c>
      <c r="BJ189" s="557">
        <v>0</v>
      </c>
      <c r="BK189" s="557">
        <v>0</v>
      </c>
      <c r="BL189" s="556">
        <f t="shared" si="93"/>
        <v>0</v>
      </c>
      <c r="BM189" s="557">
        <v>0</v>
      </c>
      <c r="BN189" s="557">
        <v>0</v>
      </c>
      <c r="BO189" s="557">
        <v>0</v>
      </c>
      <c r="BP189" s="557">
        <v>0</v>
      </c>
      <c r="BQ189" s="557">
        <v>0</v>
      </c>
      <c r="BR189" s="318"/>
      <c r="BS189" s="318"/>
      <c r="BT189" s="318"/>
      <c r="BU189" s="318"/>
      <c r="BV189" s="318"/>
      <c r="BW189" s="318"/>
      <c r="BX189" s="318"/>
      <c r="BY189" s="318"/>
      <c r="BZ189" s="318" t="s">
        <v>1508</v>
      </c>
      <c r="CA189" s="318"/>
      <c r="CB189" s="318"/>
      <c r="CC189" s="318"/>
      <c r="CD189" s="318"/>
      <c r="CE189" s="457"/>
      <c r="CF189" s="443">
        <v>9</v>
      </c>
      <c r="CG189" s="360" t="s">
        <v>695</v>
      </c>
      <c r="CH189" s="430">
        <v>0.8</v>
      </c>
      <c r="CI189" s="360" t="s">
        <v>1201</v>
      </c>
      <c r="CJ189" s="430">
        <v>0.2</v>
      </c>
      <c r="CK189" s="360"/>
      <c r="CL189" s="360"/>
      <c r="CM189" s="360"/>
      <c r="CN189" s="360"/>
      <c r="CO189" s="360"/>
      <c r="CP189" s="360"/>
    </row>
    <row r="190" spans="1:94" s="315" customFormat="1" ht="25" hidden="1" x14ac:dyDescent="0.25">
      <c r="A190" s="403">
        <v>180</v>
      </c>
      <c r="B190" s="313" t="s">
        <v>461</v>
      </c>
      <c r="C190" s="313" t="s">
        <v>1340</v>
      </c>
      <c r="D190" s="318" t="s">
        <v>594</v>
      </c>
      <c r="E190" s="318" t="s">
        <v>588</v>
      </c>
      <c r="F190" s="313" t="s">
        <v>462</v>
      </c>
      <c r="G190" s="313" t="s">
        <v>1395</v>
      </c>
      <c r="H190" s="305" t="s">
        <v>1412</v>
      </c>
      <c r="I190" s="305" t="s">
        <v>1068</v>
      </c>
      <c r="J190" s="370" t="e">
        <f>(50000*V190)/(IF(#REF!="yes",0.188,1))</f>
        <v>#REF!</v>
      </c>
      <c r="K190" s="370" t="e">
        <f>(70000*V190)/(IF(#REF!="yes",0.188,1))</f>
        <v>#REF!</v>
      </c>
      <c r="L190" s="370" t="e">
        <f>K190</f>
        <v>#REF!</v>
      </c>
      <c r="M190" s="316" t="s">
        <v>483</v>
      </c>
      <c r="N190" s="398">
        <v>2016</v>
      </c>
      <c r="O190" s="398">
        <v>2018</v>
      </c>
      <c r="P190" s="305" t="s">
        <v>463</v>
      </c>
      <c r="Q190" s="324"/>
      <c r="R190" s="305"/>
      <c r="S190" s="305"/>
      <c r="T190" s="305"/>
      <c r="U190" s="305" t="s">
        <v>536</v>
      </c>
      <c r="V190" s="426">
        <v>0.188</v>
      </c>
      <c r="W190" s="443">
        <v>2.2000000000000002</v>
      </c>
      <c r="X190" s="445"/>
      <c r="Y190" s="317" t="e">
        <f t="shared" si="94"/>
        <v>#REF!</v>
      </c>
      <c r="Z190" s="318">
        <v>5</v>
      </c>
      <c r="AA190" s="318">
        <v>5</v>
      </c>
      <c r="AB190" s="318">
        <v>5</v>
      </c>
      <c r="AC190" s="318">
        <v>5</v>
      </c>
      <c r="AD190" s="458" t="s">
        <v>1339</v>
      </c>
      <c r="AE190" s="493">
        <v>35700</v>
      </c>
      <c r="AF190" s="482" t="s">
        <v>1542</v>
      </c>
      <c r="AG190" s="482" t="s">
        <v>1542</v>
      </c>
      <c r="AH190" s="482" t="s">
        <v>1542</v>
      </c>
      <c r="AI190" s="482" t="s">
        <v>1542</v>
      </c>
      <c r="AJ190" s="482" t="s">
        <v>1542</v>
      </c>
      <c r="AK190" s="556">
        <v>50000</v>
      </c>
      <c r="AL190" s="557" t="s">
        <v>1542</v>
      </c>
      <c r="AM190" s="557" t="s">
        <v>1542</v>
      </c>
      <c r="AN190" s="557" t="s">
        <v>1542</v>
      </c>
      <c r="AO190" s="557" t="s">
        <v>1542</v>
      </c>
      <c r="AP190" s="557" t="s">
        <v>1542</v>
      </c>
      <c r="AQ190" s="483">
        <v>50000</v>
      </c>
      <c r="AR190" s="482" t="s">
        <v>1542</v>
      </c>
      <c r="AS190" s="482" t="s">
        <v>1542</v>
      </c>
      <c r="AT190" s="482" t="s">
        <v>1542</v>
      </c>
      <c r="AU190" s="482" t="s">
        <v>1542</v>
      </c>
      <c r="AV190" s="482" t="s">
        <v>1542</v>
      </c>
      <c r="AW190" s="483" t="str">
        <f t="shared" si="107"/>
        <v>check</v>
      </c>
      <c r="AX190" s="514" t="str">
        <f t="shared" si="104"/>
        <v>check</v>
      </c>
      <c r="AY190" s="514" t="s">
        <v>1555</v>
      </c>
      <c r="AZ190" s="556">
        <f t="shared" si="91"/>
        <v>35700</v>
      </c>
      <c r="BA190" s="557">
        <v>12300</v>
      </c>
      <c r="BB190" s="557">
        <f>11500</f>
        <v>11500</v>
      </c>
      <c r="BC190" s="557">
        <v>12700</v>
      </c>
      <c r="BD190" s="557">
        <f>13200</f>
        <v>13200</v>
      </c>
      <c r="BE190" s="557">
        <f>SUM(BA190:BD190)</f>
        <v>49700</v>
      </c>
      <c r="BF190" s="556">
        <f t="shared" si="96"/>
        <v>50000</v>
      </c>
      <c r="BG190" s="557">
        <v>10000</v>
      </c>
      <c r="BH190" s="557">
        <v>11100</v>
      </c>
      <c r="BI190" s="557">
        <v>9300</v>
      </c>
      <c r="BJ190" s="557">
        <v>14700</v>
      </c>
      <c r="BK190" s="557">
        <f>SUM(BG190:BJ190)</f>
        <v>45100</v>
      </c>
      <c r="BL190" s="556">
        <f t="shared" si="93"/>
        <v>50000</v>
      </c>
      <c r="BM190" s="557">
        <v>10625</v>
      </c>
      <c r="BN190" s="557">
        <v>12125</v>
      </c>
      <c r="BO190" s="557">
        <v>11325</v>
      </c>
      <c r="BP190" s="557">
        <v>11025</v>
      </c>
      <c r="BQ190" s="557">
        <f>SUM(BM190:BP190)</f>
        <v>45100</v>
      </c>
      <c r="BR190" s="318" t="s">
        <v>1346</v>
      </c>
      <c r="BS190" s="318"/>
      <c r="BT190" s="318"/>
      <c r="BU190" s="318"/>
      <c r="BV190" s="318"/>
      <c r="BW190" s="318"/>
      <c r="BX190" s="318"/>
      <c r="BY190" s="318"/>
      <c r="BZ190" s="318" t="s">
        <v>1345</v>
      </c>
      <c r="CA190" s="465"/>
      <c r="CB190" s="465"/>
      <c r="CC190" s="465"/>
      <c r="CD190" s="465"/>
      <c r="CE190" s="467" t="s">
        <v>1349</v>
      </c>
      <c r="CF190" s="443">
        <v>847.86</v>
      </c>
      <c r="CG190" s="360" t="s">
        <v>461</v>
      </c>
      <c r="CH190" s="430">
        <v>1</v>
      </c>
      <c r="CI190" s="360"/>
      <c r="CJ190" s="360"/>
      <c r="CK190" s="360"/>
      <c r="CL190" s="360"/>
      <c r="CM190" s="360"/>
      <c r="CN190" s="360"/>
      <c r="CO190" s="360"/>
      <c r="CP190" s="360"/>
    </row>
    <row r="191" spans="1:94" s="315" customFormat="1" ht="13" hidden="1" x14ac:dyDescent="0.25">
      <c r="A191" s="403">
        <v>181</v>
      </c>
      <c r="B191" s="313" t="s">
        <v>634</v>
      </c>
      <c r="C191" s="313" t="s">
        <v>798</v>
      </c>
      <c r="D191" s="318" t="s">
        <v>594</v>
      </c>
      <c r="E191" s="318"/>
      <c r="F191" s="313" t="s">
        <v>244</v>
      </c>
      <c r="G191" s="313" t="s">
        <v>792</v>
      </c>
      <c r="H191" s="305"/>
      <c r="I191" s="305" t="s">
        <v>917</v>
      </c>
      <c r="J191" s="370">
        <v>0</v>
      </c>
      <c r="K191" s="370" t="e">
        <f>25000*V191/(IF(#REF!="yes",0.188,1))</f>
        <v>#REF!</v>
      </c>
      <c r="L191" s="370" t="e">
        <f>K191-J191</f>
        <v>#REF!</v>
      </c>
      <c r="M191" s="316" t="s">
        <v>807</v>
      </c>
      <c r="N191" s="398"/>
      <c r="O191" s="398">
        <v>2025</v>
      </c>
      <c r="P191" s="305"/>
      <c r="Q191" s="324"/>
      <c r="R191" s="305"/>
      <c r="S191" s="305"/>
      <c r="T191" s="305"/>
      <c r="U191" s="305" t="s">
        <v>579</v>
      </c>
      <c r="V191" s="426">
        <v>0.16600000000000001</v>
      </c>
      <c r="W191" s="412"/>
      <c r="X191" s="412"/>
      <c r="Y191" s="412" t="str">
        <f t="shared" si="94"/>
        <v/>
      </c>
      <c r="Z191" s="318">
        <v>5</v>
      </c>
      <c r="AA191" s="318">
        <v>5</v>
      </c>
      <c r="AB191" s="318">
        <v>5</v>
      </c>
      <c r="AC191" s="318">
        <v>4</v>
      </c>
      <c r="AD191" s="318"/>
      <c r="AE191" s="483">
        <f t="shared" ref="AE191:AJ191" si="135">IF(OR($M191="Exploration", $M191="Pre-feasibility", $O191&gt;2017), 0, "check")</f>
        <v>0</v>
      </c>
      <c r="AF191" s="482">
        <f t="shared" si="135"/>
        <v>0</v>
      </c>
      <c r="AG191" s="482">
        <f t="shared" si="135"/>
        <v>0</v>
      </c>
      <c r="AH191" s="482">
        <f t="shared" si="135"/>
        <v>0</v>
      </c>
      <c r="AI191" s="482">
        <f t="shared" si="135"/>
        <v>0</v>
      </c>
      <c r="AJ191" s="482">
        <f t="shared" si="135"/>
        <v>0</v>
      </c>
      <c r="AK191" s="556">
        <f t="shared" ref="AK191:AP191" si="136">IF(OR($M191="Exploration", $M191="Pre-feasibility", $O191&gt;2018), 0, "check")</f>
        <v>0</v>
      </c>
      <c r="AL191" s="557">
        <f t="shared" si="136"/>
        <v>0</v>
      </c>
      <c r="AM191" s="557">
        <f t="shared" si="136"/>
        <v>0</v>
      </c>
      <c r="AN191" s="557">
        <f t="shared" si="136"/>
        <v>0</v>
      </c>
      <c r="AO191" s="557">
        <f t="shared" si="136"/>
        <v>0</v>
      </c>
      <c r="AP191" s="557">
        <f t="shared" si="136"/>
        <v>0</v>
      </c>
      <c r="AQ191" s="483">
        <f t="shared" si="105"/>
        <v>0</v>
      </c>
      <c r="AR191" s="482">
        <f t="shared" si="116"/>
        <v>0</v>
      </c>
      <c r="AS191" s="482">
        <f t="shared" si="116"/>
        <v>0</v>
      </c>
      <c r="AT191" s="482">
        <f t="shared" si="116"/>
        <v>0</v>
      </c>
      <c r="AU191" s="482">
        <f t="shared" si="116"/>
        <v>0</v>
      </c>
      <c r="AV191" s="482">
        <f t="shared" si="106"/>
        <v>0</v>
      </c>
      <c r="AW191" s="483">
        <f t="shared" si="107"/>
        <v>0</v>
      </c>
      <c r="AX191" s="514">
        <f t="shared" si="104"/>
        <v>0</v>
      </c>
      <c r="AY191" s="514" t="s">
        <v>1034</v>
      </c>
      <c r="AZ191" s="556">
        <f t="shared" si="91"/>
        <v>0</v>
      </c>
      <c r="BA191" s="557">
        <v>0</v>
      </c>
      <c r="BB191" s="557">
        <v>0</v>
      </c>
      <c r="BC191" s="557">
        <v>0</v>
      </c>
      <c r="BD191" s="557">
        <v>0</v>
      </c>
      <c r="BE191" s="557">
        <v>0</v>
      </c>
      <c r="BF191" s="556">
        <f t="shared" si="96"/>
        <v>0</v>
      </c>
      <c r="BG191" s="557">
        <v>0</v>
      </c>
      <c r="BH191" s="557">
        <v>0</v>
      </c>
      <c r="BI191" s="557">
        <v>0</v>
      </c>
      <c r="BJ191" s="557">
        <v>0</v>
      </c>
      <c r="BK191" s="557">
        <v>0</v>
      </c>
      <c r="BL191" s="556">
        <f t="shared" si="93"/>
        <v>0</v>
      </c>
      <c r="BM191" s="557">
        <v>0</v>
      </c>
      <c r="BN191" s="557">
        <v>0</v>
      </c>
      <c r="BO191" s="557">
        <v>0</v>
      </c>
      <c r="BP191" s="557">
        <v>0</v>
      </c>
      <c r="BQ191" s="557">
        <v>0</v>
      </c>
      <c r="BR191" s="318"/>
      <c r="BS191" s="318"/>
      <c r="BT191" s="318"/>
      <c r="BU191" s="318"/>
      <c r="BV191" s="318"/>
      <c r="BW191" s="318"/>
      <c r="BX191" s="318"/>
      <c r="BY191" s="318"/>
      <c r="BZ191" s="318"/>
      <c r="CA191" s="318"/>
      <c r="CB191" s="318"/>
      <c r="CC191" s="318"/>
      <c r="CD191" s="318"/>
      <c r="CE191" s="457"/>
      <c r="CF191" s="318">
        <v>28.3</v>
      </c>
      <c r="CG191" s="360"/>
      <c r="CH191" s="360"/>
      <c r="CI191" s="360"/>
      <c r="CJ191" s="360"/>
      <c r="CK191" s="360"/>
      <c r="CL191" s="360"/>
      <c r="CM191" s="360"/>
      <c r="CN191" s="360"/>
      <c r="CO191" s="360"/>
      <c r="CP191" s="360"/>
    </row>
    <row r="192" spans="1:94" s="315" customFormat="1" ht="13" hidden="1" x14ac:dyDescent="0.25">
      <c r="A192" s="403">
        <v>182</v>
      </c>
      <c r="B192" s="313" t="s">
        <v>634</v>
      </c>
      <c r="C192" s="313" t="s">
        <v>913</v>
      </c>
      <c r="D192" s="318" t="s">
        <v>594</v>
      </c>
      <c r="E192" s="318"/>
      <c r="F192" s="313" t="s">
        <v>395</v>
      </c>
      <c r="G192" s="313" t="s">
        <v>1392</v>
      </c>
      <c r="H192" s="305" t="s">
        <v>994</v>
      </c>
      <c r="I192" s="305" t="s">
        <v>1415</v>
      </c>
      <c r="J192" s="370" t="e">
        <f>500*$V192/(IF(#REF!="yes",0.188,1))</f>
        <v>#REF!</v>
      </c>
      <c r="K192" s="370" t="e">
        <f>5000*$V192/(IF(#REF!="yes",0.188,1))</f>
        <v>#REF!</v>
      </c>
      <c r="L192" s="370" t="e">
        <f>K192</f>
        <v>#REF!</v>
      </c>
      <c r="M192" s="316" t="s">
        <v>483</v>
      </c>
      <c r="N192" s="398">
        <v>2019</v>
      </c>
      <c r="O192" s="398">
        <v>2021</v>
      </c>
      <c r="P192" s="305" t="s">
        <v>234</v>
      </c>
      <c r="Q192" s="324"/>
      <c r="R192" s="305"/>
      <c r="S192" s="305"/>
      <c r="T192" s="305"/>
      <c r="U192" s="305" t="s">
        <v>579</v>
      </c>
      <c r="V192" s="426">
        <v>0.16600000000000001</v>
      </c>
      <c r="W192" s="443">
        <f>(236800/40000)</f>
        <v>5.92</v>
      </c>
      <c r="X192" s="414"/>
      <c r="Y192" s="317" t="e">
        <f t="shared" si="94"/>
        <v>#REF!</v>
      </c>
      <c r="Z192" s="318">
        <v>4</v>
      </c>
      <c r="AA192" s="318">
        <v>5</v>
      </c>
      <c r="AB192" s="318">
        <v>4</v>
      </c>
      <c r="AC192" s="318">
        <v>3</v>
      </c>
      <c r="AD192" s="463" t="s">
        <v>1414</v>
      </c>
      <c r="AE192" s="483">
        <v>441.48936170212767</v>
      </c>
      <c r="AF192" s="482" t="s">
        <v>1524</v>
      </c>
      <c r="AG192" s="482" t="s">
        <v>1524</v>
      </c>
      <c r="AH192" s="482" t="s">
        <v>1524</v>
      </c>
      <c r="AI192" s="482" t="s">
        <v>1524</v>
      </c>
      <c r="AJ192" s="482" t="s">
        <v>1524</v>
      </c>
      <c r="AK192" s="556">
        <v>441.48936170212767</v>
      </c>
      <c r="AL192" s="557" t="s">
        <v>1524</v>
      </c>
      <c r="AM192" s="557" t="s">
        <v>1524</v>
      </c>
      <c r="AN192" s="557" t="s">
        <v>1524</v>
      </c>
      <c r="AO192" s="557" t="s">
        <v>1524</v>
      </c>
      <c r="AP192" s="557" t="s">
        <v>1524</v>
      </c>
      <c r="AQ192" s="483">
        <f t="shared" si="105"/>
        <v>0</v>
      </c>
      <c r="AR192" s="482">
        <f t="shared" si="116"/>
        <v>0</v>
      </c>
      <c r="AS192" s="482">
        <f t="shared" si="116"/>
        <v>0</v>
      </c>
      <c r="AT192" s="482">
        <f t="shared" si="116"/>
        <v>0</v>
      </c>
      <c r="AU192" s="482">
        <f t="shared" si="116"/>
        <v>0</v>
      </c>
      <c r="AV192" s="482">
        <f t="shared" si="106"/>
        <v>0</v>
      </c>
      <c r="AW192" s="483" t="str">
        <f t="shared" si="107"/>
        <v>check</v>
      </c>
      <c r="AX192" s="514">
        <f t="shared" si="104"/>
        <v>0</v>
      </c>
      <c r="AY192" s="514" t="s">
        <v>1034</v>
      </c>
      <c r="AZ192" s="556">
        <f t="shared" si="91"/>
        <v>441.48936170212767</v>
      </c>
      <c r="BA192" s="557" t="s">
        <v>1524</v>
      </c>
      <c r="BB192" s="557" t="s">
        <v>1524</v>
      </c>
      <c r="BC192" s="557" t="s">
        <v>1524</v>
      </c>
      <c r="BD192" s="557" t="s">
        <v>1524</v>
      </c>
      <c r="BE192" s="557" t="s">
        <v>1524</v>
      </c>
      <c r="BF192" s="556">
        <f t="shared" si="96"/>
        <v>441.48936170212767</v>
      </c>
      <c r="BG192" s="557" t="s">
        <v>1524</v>
      </c>
      <c r="BH192" s="557" t="s">
        <v>1524</v>
      </c>
      <c r="BI192" s="557" t="s">
        <v>1524</v>
      </c>
      <c r="BJ192" s="557" t="s">
        <v>1524</v>
      </c>
      <c r="BK192" s="557" t="s">
        <v>1524</v>
      </c>
      <c r="BL192" s="556">
        <f t="shared" si="93"/>
        <v>0</v>
      </c>
      <c r="BM192" s="557">
        <v>0</v>
      </c>
      <c r="BN192" s="557">
        <v>0</v>
      </c>
      <c r="BO192" s="557">
        <v>0</v>
      </c>
      <c r="BP192" s="557">
        <v>0</v>
      </c>
      <c r="BQ192" s="557">
        <v>0</v>
      </c>
      <c r="BR192" s="318"/>
      <c r="BS192" s="318"/>
      <c r="BT192" s="318"/>
      <c r="BU192" s="318"/>
      <c r="BV192" s="318"/>
      <c r="BW192" s="318"/>
      <c r="BX192" s="318"/>
      <c r="BY192" s="318"/>
      <c r="BZ192" s="318" t="s">
        <v>1474</v>
      </c>
      <c r="CA192" s="465"/>
      <c r="CB192" s="465"/>
      <c r="CC192" s="465"/>
      <c r="CD192" s="465"/>
      <c r="CE192" s="467" t="s">
        <v>1413</v>
      </c>
      <c r="CF192" s="443">
        <v>28.3</v>
      </c>
      <c r="CG192" s="360" t="s">
        <v>561</v>
      </c>
      <c r="CH192" s="430">
        <v>1</v>
      </c>
      <c r="CI192" s="360"/>
      <c r="CJ192" s="360"/>
      <c r="CK192" s="360"/>
      <c r="CL192" s="360"/>
      <c r="CM192" s="360"/>
      <c r="CN192" s="360"/>
      <c r="CO192" s="360"/>
      <c r="CP192" s="360"/>
    </row>
    <row r="193" spans="1:94" s="315" customFormat="1" ht="13" hidden="1" x14ac:dyDescent="0.25">
      <c r="A193" s="403">
        <v>183</v>
      </c>
      <c r="B193" s="313" t="s">
        <v>634</v>
      </c>
      <c r="C193" s="313" t="s">
        <v>914</v>
      </c>
      <c r="D193" s="318" t="s">
        <v>594</v>
      </c>
      <c r="E193" s="318"/>
      <c r="F193" s="313" t="s">
        <v>394</v>
      </c>
      <c r="G193" s="313" t="s">
        <v>1410</v>
      </c>
      <c r="H193" s="305" t="s">
        <v>979</v>
      </c>
      <c r="I193" s="305"/>
      <c r="J193" s="370" t="e">
        <f>250*$V193/(IF(#REF!="yes",0.188,1))</f>
        <v>#REF!</v>
      </c>
      <c r="K193" s="370" t="e">
        <f>J193</f>
        <v>#REF!</v>
      </c>
      <c r="L193" s="370" t="e">
        <f>J193</f>
        <v>#REF!</v>
      </c>
      <c r="M193" s="316" t="s">
        <v>483</v>
      </c>
      <c r="N193" s="398"/>
      <c r="O193" s="398">
        <v>2015</v>
      </c>
      <c r="P193" s="305" t="s">
        <v>234</v>
      </c>
      <c r="Q193" s="324"/>
      <c r="R193" s="305"/>
      <c r="S193" s="305"/>
      <c r="T193" s="305"/>
      <c r="U193" s="305" t="s">
        <v>804</v>
      </c>
      <c r="V193" s="426">
        <v>1</v>
      </c>
      <c r="W193" s="443">
        <f>(236800/40000)</f>
        <v>5.92</v>
      </c>
      <c r="X193" s="445"/>
      <c r="Y193" s="317" t="e">
        <f t="shared" si="94"/>
        <v>#REF!</v>
      </c>
      <c r="Z193" s="318">
        <v>4</v>
      </c>
      <c r="AA193" s="318">
        <v>5</v>
      </c>
      <c r="AB193" s="318">
        <v>4</v>
      </c>
      <c r="AC193" s="318">
        <v>3</v>
      </c>
      <c r="AD193" s="318"/>
      <c r="AE193" s="483">
        <v>1329.7872340425531</v>
      </c>
      <c r="AF193" s="482" t="s">
        <v>1524</v>
      </c>
      <c r="AG193" s="482" t="s">
        <v>1524</v>
      </c>
      <c r="AH193" s="482" t="s">
        <v>1524</v>
      </c>
      <c r="AI193" s="482" t="s">
        <v>1524</v>
      </c>
      <c r="AJ193" s="482">
        <f>5.323*101</f>
        <v>537.62300000000005</v>
      </c>
      <c r="AK193" s="556">
        <v>1329.7872340425531</v>
      </c>
      <c r="AL193" s="557" t="s">
        <v>1524</v>
      </c>
      <c r="AM193" s="557" t="s">
        <v>1524</v>
      </c>
      <c r="AN193" s="557" t="s">
        <v>1524</v>
      </c>
      <c r="AO193" s="557" t="s">
        <v>1524</v>
      </c>
      <c r="AP193" s="557">
        <f>5.323*140</f>
        <v>745.22</v>
      </c>
      <c r="AQ193" s="556">
        <v>1329.7872340425531</v>
      </c>
      <c r="AR193" s="482" t="s">
        <v>1524</v>
      </c>
      <c r="AS193" s="482" t="s">
        <v>1524</v>
      </c>
      <c r="AT193" s="482" t="s">
        <v>1524</v>
      </c>
      <c r="AU193" s="482" t="s">
        <v>1524</v>
      </c>
      <c r="AV193" s="482">
        <f>5.323*167</f>
        <v>888.94100000000003</v>
      </c>
      <c r="AW193" s="483" t="e">
        <f t="shared" si="107"/>
        <v>#REF!</v>
      </c>
      <c r="AX193" s="514" t="e">
        <f t="shared" si="104"/>
        <v>#REF!</v>
      </c>
      <c r="AY193" s="514" t="s">
        <v>1524</v>
      </c>
      <c r="AZ193" s="556">
        <f t="shared" si="91"/>
        <v>1329.7872340425531</v>
      </c>
      <c r="BA193" s="557" t="s">
        <v>1524</v>
      </c>
      <c r="BB193" s="557" t="s">
        <v>1524</v>
      </c>
      <c r="BC193" s="557" t="s">
        <v>1524</v>
      </c>
      <c r="BD193" s="557" t="s">
        <v>1524</v>
      </c>
      <c r="BE193" s="557" t="s">
        <v>1524</v>
      </c>
      <c r="BF193" s="556">
        <f t="shared" si="96"/>
        <v>1329.7872340425531</v>
      </c>
      <c r="BG193" s="557" t="s">
        <v>1524</v>
      </c>
      <c r="BH193" s="557" t="s">
        <v>1524</v>
      </c>
      <c r="BI193" s="557" t="s">
        <v>1524</v>
      </c>
      <c r="BJ193" s="557" t="s">
        <v>1524</v>
      </c>
      <c r="BK193" s="557" t="s">
        <v>1524</v>
      </c>
      <c r="BL193" s="556">
        <f t="shared" si="93"/>
        <v>1329.7872340425531</v>
      </c>
      <c r="BM193" s="557" t="s">
        <v>1524</v>
      </c>
      <c r="BN193" s="557" t="s">
        <v>1524</v>
      </c>
      <c r="BO193" s="557" t="s">
        <v>1524</v>
      </c>
      <c r="BP193" s="557" t="s">
        <v>1524</v>
      </c>
      <c r="BQ193" s="557" t="s">
        <v>1524</v>
      </c>
      <c r="BR193" s="318"/>
      <c r="BS193" s="318"/>
      <c r="BT193" s="318"/>
      <c r="BU193" s="318"/>
      <c r="BV193" s="318"/>
      <c r="BW193" s="318"/>
      <c r="BX193" s="318"/>
      <c r="BY193" s="318"/>
      <c r="BZ193" s="318" t="s">
        <v>1474</v>
      </c>
      <c r="CA193" s="465"/>
      <c r="CB193" s="465"/>
      <c r="CC193" s="465"/>
      <c r="CD193" s="465"/>
      <c r="CE193" s="467"/>
      <c r="CF193" s="443">
        <v>28.3</v>
      </c>
      <c r="CG193" s="360" t="s">
        <v>561</v>
      </c>
      <c r="CH193" s="430">
        <v>1</v>
      </c>
      <c r="CI193" s="360"/>
      <c r="CJ193" s="360"/>
      <c r="CK193" s="360"/>
      <c r="CL193" s="360"/>
      <c r="CM193" s="360"/>
      <c r="CN193" s="360"/>
      <c r="CO193" s="360"/>
      <c r="CP193" s="360"/>
    </row>
    <row r="194" spans="1:94" s="315" customFormat="1" ht="13" hidden="1" x14ac:dyDescent="0.25">
      <c r="A194" s="403">
        <v>184</v>
      </c>
      <c r="B194" s="313" t="s">
        <v>634</v>
      </c>
      <c r="C194" s="313" t="s">
        <v>915</v>
      </c>
      <c r="D194" s="318" t="s">
        <v>594</v>
      </c>
      <c r="E194" s="318"/>
      <c r="F194" s="313" t="s">
        <v>245</v>
      </c>
      <c r="G194" s="313" t="s">
        <v>32</v>
      </c>
      <c r="H194" s="305" t="s">
        <v>992</v>
      </c>
      <c r="I194" s="305"/>
      <c r="J194" s="370" t="e">
        <f>3265*$V194/(IF(#REF!="yes",0.188,1))</f>
        <v>#REF!</v>
      </c>
      <c r="K194" s="370" t="e">
        <f>J194</f>
        <v>#REF!</v>
      </c>
      <c r="L194" s="370" t="e">
        <f>J194</f>
        <v>#REF!</v>
      </c>
      <c r="M194" s="316" t="s">
        <v>483</v>
      </c>
      <c r="N194" s="398"/>
      <c r="O194" s="398">
        <v>2015</v>
      </c>
      <c r="P194" s="305" t="s">
        <v>234</v>
      </c>
      <c r="Q194" s="324"/>
      <c r="R194" s="305"/>
      <c r="S194" s="305"/>
      <c r="T194" s="305"/>
      <c r="U194" s="305" t="s">
        <v>995</v>
      </c>
      <c r="V194" s="426"/>
      <c r="W194" s="443">
        <f>(236800/40000)</f>
        <v>5.92</v>
      </c>
      <c r="X194" s="445"/>
      <c r="Y194" s="317" t="e">
        <f t="shared" si="94"/>
        <v>#REF!</v>
      </c>
      <c r="Z194" s="318">
        <v>4</v>
      </c>
      <c r="AA194" s="318">
        <v>5</v>
      </c>
      <c r="AB194" s="318">
        <v>4</v>
      </c>
      <c r="AC194" s="318">
        <v>3</v>
      </c>
      <c r="AD194" s="318"/>
      <c r="AE194" s="492">
        <v>3265</v>
      </c>
      <c r="AF194" s="516" t="s">
        <v>1524</v>
      </c>
      <c r="AG194" s="516" t="s">
        <v>1524</v>
      </c>
      <c r="AH194" s="516" t="s">
        <v>1524</v>
      </c>
      <c r="AI194" s="516" t="s">
        <v>1524</v>
      </c>
      <c r="AJ194" s="516">
        <v>2218</v>
      </c>
      <c r="AK194" s="492">
        <v>3265</v>
      </c>
      <c r="AL194" s="516" t="s">
        <v>1524</v>
      </c>
      <c r="AM194" s="516" t="s">
        <v>1524</v>
      </c>
      <c r="AN194" s="516" t="s">
        <v>1524</v>
      </c>
      <c r="AO194" s="516" t="s">
        <v>1524</v>
      </c>
      <c r="AP194" s="516">
        <v>2389</v>
      </c>
      <c r="AQ194" s="492">
        <v>3265</v>
      </c>
      <c r="AR194" s="516" t="s">
        <v>1524</v>
      </c>
      <c r="AS194" s="516" t="s">
        <v>1524</v>
      </c>
      <c r="AT194" s="516" t="s">
        <v>1524</v>
      </c>
      <c r="AU194" s="516" t="s">
        <v>1524</v>
      </c>
      <c r="AV194" s="516">
        <v>2437</v>
      </c>
      <c r="AW194" s="492">
        <v>3265</v>
      </c>
      <c r="AX194" s="514" t="str">
        <f t="shared" si="104"/>
        <v>check</v>
      </c>
      <c r="AY194" s="514" t="s">
        <v>1524</v>
      </c>
      <c r="AZ194" s="556">
        <f t="shared" si="91"/>
        <v>3265</v>
      </c>
      <c r="BA194" s="557" t="s">
        <v>1524</v>
      </c>
      <c r="BB194" s="557" t="s">
        <v>1524</v>
      </c>
      <c r="BC194" s="557" t="s">
        <v>1524</v>
      </c>
      <c r="BD194" s="557" t="s">
        <v>1524</v>
      </c>
      <c r="BE194" s="557" t="s">
        <v>1524</v>
      </c>
      <c r="BF194" s="556">
        <f t="shared" si="96"/>
        <v>3265</v>
      </c>
      <c r="BG194" s="557" t="s">
        <v>1524</v>
      </c>
      <c r="BH194" s="557" t="s">
        <v>1524</v>
      </c>
      <c r="BI194" s="557" t="s">
        <v>1524</v>
      </c>
      <c r="BJ194" s="557" t="s">
        <v>1524</v>
      </c>
      <c r="BK194" s="557" t="s">
        <v>1524</v>
      </c>
      <c r="BL194" s="556">
        <f t="shared" si="93"/>
        <v>3265</v>
      </c>
      <c r="BM194" s="557" t="s">
        <v>1524</v>
      </c>
      <c r="BN194" s="557" t="s">
        <v>1524</v>
      </c>
      <c r="BO194" s="557" t="s">
        <v>1524</v>
      </c>
      <c r="BP194" s="557" t="s">
        <v>1524</v>
      </c>
      <c r="BQ194" s="557" t="s">
        <v>1524</v>
      </c>
      <c r="BR194" s="318"/>
      <c r="BS194" s="318"/>
      <c r="BT194" s="318"/>
      <c r="BU194" s="318"/>
      <c r="BV194" s="318"/>
      <c r="BW194" s="318"/>
      <c r="BX194" s="318"/>
      <c r="BY194" s="318"/>
      <c r="BZ194" s="318" t="s">
        <v>1474</v>
      </c>
      <c r="CA194" s="465"/>
      <c r="CB194" s="465"/>
      <c r="CC194" s="465"/>
      <c r="CD194" s="465"/>
      <c r="CE194" s="467"/>
      <c r="CF194" s="443">
        <v>28.3</v>
      </c>
      <c r="CG194" s="360" t="s">
        <v>561</v>
      </c>
      <c r="CH194" s="430">
        <v>1</v>
      </c>
      <c r="CI194" s="360"/>
      <c r="CJ194" s="360"/>
      <c r="CK194" s="360"/>
      <c r="CL194" s="360"/>
      <c r="CM194" s="360"/>
      <c r="CN194" s="360"/>
      <c r="CO194" s="360"/>
      <c r="CP194" s="360"/>
    </row>
    <row r="195" spans="1:94" s="315" customFormat="1" ht="13" hidden="1" x14ac:dyDescent="0.25">
      <c r="A195" s="403">
        <v>185</v>
      </c>
      <c r="B195" s="313" t="s">
        <v>634</v>
      </c>
      <c r="C195" s="313" t="s">
        <v>916</v>
      </c>
      <c r="D195" s="318" t="s">
        <v>594</v>
      </c>
      <c r="E195" s="318"/>
      <c r="F195" s="313" t="s">
        <v>465</v>
      </c>
      <c r="G195" s="313" t="s">
        <v>1393</v>
      </c>
      <c r="H195" s="305" t="s">
        <v>993</v>
      </c>
      <c r="I195" s="305"/>
      <c r="J195" s="370" t="e">
        <f>9000*$V195/(IF(#REF!="yes",0.188,1))</f>
        <v>#REF!</v>
      </c>
      <c r="K195" s="370" t="e">
        <f>J195</f>
        <v>#REF!</v>
      </c>
      <c r="L195" s="370" t="e">
        <f>J195</f>
        <v>#REF!</v>
      </c>
      <c r="M195" s="316" t="s">
        <v>483</v>
      </c>
      <c r="N195" s="398"/>
      <c r="O195" s="398">
        <v>2017</v>
      </c>
      <c r="P195" s="305" t="s">
        <v>463</v>
      </c>
      <c r="Q195" s="324"/>
      <c r="R195" s="305"/>
      <c r="S195" s="305"/>
      <c r="T195" s="305"/>
      <c r="U195" s="305" t="s">
        <v>532</v>
      </c>
      <c r="V195" s="426">
        <v>0.16300000000000001</v>
      </c>
      <c r="W195" s="443">
        <f>(236800/40000)</f>
        <v>5.92</v>
      </c>
      <c r="X195" s="445"/>
      <c r="Y195" s="317" t="e">
        <f t="shared" si="94"/>
        <v>#REF!</v>
      </c>
      <c r="Z195" s="318">
        <v>4</v>
      </c>
      <c r="AA195" s="318">
        <v>5</v>
      </c>
      <c r="AB195" s="318">
        <v>4</v>
      </c>
      <c r="AC195" s="318">
        <v>3</v>
      </c>
      <c r="AD195" s="318"/>
      <c r="AE195" s="483">
        <v>7803.1914893617022</v>
      </c>
      <c r="AF195" s="482" t="s">
        <v>1524</v>
      </c>
      <c r="AG195" s="482" t="s">
        <v>1524</v>
      </c>
      <c r="AH195" s="482" t="s">
        <v>1524</v>
      </c>
      <c r="AI195" s="482" t="s">
        <v>1524</v>
      </c>
      <c r="AJ195" s="482">
        <f>4501*0.871</f>
        <v>3920.3710000000001</v>
      </c>
      <c r="AK195" s="556">
        <v>7803.1914893617022</v>
      </c>
      <c r="AL195" s="557" t="s">
        <v>1524</v>
      </c>
      <c r="AM195" s="557" t="s">
        <v>1524</v>
      </c>
      <c r="AN195" s="557" t="s">
        <v>1524</v>
      </c>
      <c r="AO195" s="557" t="s">
        <v>1524</v>
      </c>
      <c r="AP195" s="557">
        <f>5005*0.871</f>
        <v>4359.3549999999996</v>
      </c>
      <c r="AQ195" s="556">
        <v>7803.1914893617022</v>
      </c>
      <c r="AR195" s="557" t="s">
        <v>1524</v>
      </c>
      <c r="AS195" s="557" t="s">
        <v>1524</v>
      </c>
      <c r="AT195" s="557" t="s">
        <v>1524</v>
      </c>
      <c r="AU195" s="557" t="s">
        <v>1524</v>
      </c>
      <c r="AV195" s="557">
        <f>4284*0.871</f>
        <v>3731.364</v>
      </c>
      <c r="AW195" s="556" t="e">
        <f t="shared" si="107"/>
        <v>#REF!</v>
      </c>
      <c r="AX195" s="514" t="e">
        <f t="shared" si="104"/>
        <v>#REF!</v>
      </c>
      <c r="AY195" s="514" t="s">
        <v>1532</v>
      </c>
      <c r="AZ195" s="556">
        <f t="shared" si="91"/>
        <v>7803.1914893617022</v>
      </c>
      <c r="BA195" s="557" t="s">
        <v>1524</v>
      </c>
      <c r="BB195" s="557" t="s">
        <v>1524</v>
      </c>
      <c r="BC195" s="557" t="s">
        <v>1524</v>
      </c>
      <c r="BD195" s="557" t="s">
        <v>1524</v>
      </c>
      <c r="BE195" s="557" t="s">
        <v>1524</v>
      </c>
      <c r="BF195" s="556">
        <f t="shared" si="96"/>
        <v>7803.1914893617022</v>
      </c>
      <c r="BG195" s="557" t="s">
        <v>1524</v>
      </c>
      <c r="BH195" s="557" t="s">
        <v>1524</v>
      </c>
      <c r="BI195" s="557" t="s">
        <v>1524</v>
      </c>
      <c r="BJ195" s="557" t="s">
        <v>1524</v>
      </c>
      <c r="BK195" s="557" t="s">
        <v>1524</v>
      </c>
      <c r="BL195" s="556">
        <f t="shared" si="93"/>
        <v>7803.1914893617022</v>
      </c>
      <c r="BM195" s="557" t="s">
        <v>1524</v>
      </c>
      <c r="BN195" s="557" t="s">
        <v>1524</v>
      </c>
      <c r="BO195" s="557" t="s">
        <v>1524</v>
      </c>
      <c r="BP195" s="557" t="s">
        <v>1524</v>
      </c>
      <c r="BQ195" s="557" t="s">
        <v>1524</v>
      </c>
      <c r="BR195" s="318"/>
      <c r="BS195" s="318"/>
      <c r="BT195" s="318"/>
      <c r="BU195" s="318"/>
      <c r="BV195" s="318"/>
      <c r="BW195" s="318"/>
      <c r="BX195" s="318"/>
      <c r="BY195" s="318"/>
      <c r="BZ195" s="318" t="s">
        <v>1474</v>
      </c>
      <c r="CA195" s="465"/>
      <c r="CB195" s="465"/>
      <c r="CC195" s="465"/>
      <c r="CD195" s="465"/>
      <c r="CE195" s="467"/>
      <c r="CF195" s="443">
        <v>28.3</v>
      </c>
      <c r="CG195" s="360" t="s">
        <v>561</v>
      </c>
      <c r="CH195" s="430">
        <v>1</v>
      </c>
      <c r="CI195" s="360"/>
      <c r="CJ195" s="360"/>
      <c r="CK195" s="360"/>
      <c r="CL195" s="360"/>
      <c r="CM195" s="360"/>
      <c r="CN195" s="360"/>
      <c r="CO195" s="360"/>
      <c r="CP195" s="360"/>
    </row>
    <row r="196" spans="1:94" s="315" customFormat="1" ht="13" hidden="1" x14ac:dyDescent="0.25">
      <c r="A196" s="403">
        <v>186</v>
      </c>
      <c r="B196" s="313" t="s">
        <v>918</v>
      </c>
      <c r="C196" s="313" t="s">
        <v>951</v>
      </c>
      <c r="D196" s="318" t="s">
        <v>457</v>
      </c>
      <c r="E196" s="318"/>
      <c r="F196" s="313" t="s">
        <v>397</v>
      </c>
      <c r="G196" s="313" t="s">
        <v>1398</v>
      </c>
      <c r="H196" s="305"/>
      <c r="I196" s="305" t="s">
        <v>920</v>
      </c>
      <c r="J196" s="370">
        <v>0</v>
      </c>
      <c r="K196" s="370" t="e">
        <f>150000*V196/(IF(#REF!="yes",0.188,1))</f>
        <v>#REF!</v>
      </c>
      <c r="L196" s="370" t="e">
        <f>K196-J196</f>
        <v>#REF!</v>
      </c>
      <c r="M196" s="316" t="s">
        <v>807</v>
      </c>
      <c r="N196" s="356"/>
      <c r="O196" s="398">
        <v>2020</v>
      </c>
      <c r="P196" s="305" t="s">
        <v>519</v>
      </c>
      <c r="Q196" s="324"/>
      <c r="R196" s="305"/>
      <c r="S196" s="305"/>
      <c r="T196" s="305"/>
      <c r="U196" s="305" t="s">
        <v>528</v>
      </c>
      <c r="V196" s="426">
        <f>6%*40%</f>
        <v>2.4E-2</v>
      </c>
      <c r="W196" s="317">
        <v>2.2999999999999998</v>
      </c>
      <c r="X196" s="317">
        <v>2.2999999999999998</v>
      </c>
      <c r="Y196" s="317" t="e">
        <f t="shared" si="94"/>
        <v>#REF!</v>
      </c>
      <c r="Z196" s="318">
        <v>1</v>
      </c>
      <c r="AA196" s="318">
        <v>5</v>
      </c>
      <c r="AB196" s="318">
        <v>4</v>
      </c>
      <c r="AC196" s="318">
        <v>2</v>
      </c>
      <c r="AD196" s="318" t="s">
        <v>919</v>
      </c>
      <c r="AE196" s="483">
        <f t="shared" ref="AE196:AJ205" si="137">IF(OR($M196="Exploration", $M196="Pre-feasibility", $O196&gt;2017), 0, "check")</f>
        <v>0</v>
      </c>
      <c r="AF196" s="482">
        <f t="shared" si="137"/>
        <v>0</v>
      </c>
      <c r="AG196" s="482">
        <f t="shared" si="137"/>
        <v>0</v>
      </c>
      <c r="AH196" s="482">
        <f t="shared" si="137"/>
        <v>0</v>
      </c>
      <c r="AI196" s="482">
        <f t="shared" si="137"/>
        <v>0</v>
      </c>
      <c r="AJ196" s="482">
        <f t="shared" si="137"/>
        <v>0</v>
      </c>
      <c r="AK196" s="556">
        <f t="shared" ref="AK196:AP206" si="138">IF(OR($M196="Exploration", $M196="Pre-feasibility", $O196&gt;2018), 0, "check")</f>
        <v>0</v>
      </c>
      <c r="AL196" s="557">
        <f t="shared" si="138"/>
        <v>0</v>
      </c>
      <c r="AM196" s="557">
        <f t="shared" si="138"/>
        <v>0</v>
      </c>
      <c r="AN196" s="557">
        <f t="shared" si="138"/>
        <v>0</v>
      </c>
      <c r="AO196" s="557">
        <f t="shared" si="138"/>
        <v>0</v>
      </c>
      <c r="AP196" s="557">
        <f t="shared" si="138"/>
        <v>0</v>
      </c>
      <c r="AQ196" s="556">
        <f t="shared" ref="AQ196:AQ204" si="139">IF(OR(M196="Exploration", M196="Pre-feasibility", O196&gt;2019), 0, "check")</f>
        <v>0</v>
      </c>
      <c r="AR196" s="557">
        <f t="shared" ref="AR196:AU206" si="140">IF(OR($M196="Exploration", $M196="Pre-feasibility", $O196&gt;2019), 0, "check")</f>
        <v>0</v>
      </c>
      <c r="AS196" s="557">
        <f t="shared" si="140"/>
        <v>0</v>
      </c>
      <c r="AT196" s="557">
        <f t="shared" si="140"/>
        <v>0</v>
      </c>
      <c r="AU196" s="557">
        <f t="shared" si="140"/>
        <v>0</v>
      </c>
      <c r="AV196" s="557">
        <f t="shared" ref="AV196:AV206" si="141">IF(OR(M196="Exploration", M196="Pre-feasibility", O196&gt;2019), 0, "check")</f>
        <v>0</v>
      </c>
      <c r="AW196" s="556">
        <f t="shared" si="107"/>
        <v>0</v>
      </c>
      <c r="AX196" s="514">
        <f t="shared" si="104"/>
        <v>0</v>
      </c>
      <c r="AY196" s="514" t="s">
        <v>1034</v>
      </c>
      <c r="AZ196" s="556">
        <f t="shared" si="91"/>
        <v>0</v>
      </c>
      <c r="BA196" s="557">
        <v>0</v>
      </c>
      <c r="BB196" s="557">
        <v>0</v>
      </c>
      <c r="BC196" s="557">
        <v>0</v>
      </c>
      <c r="BD196" s="557">
        <v>0</v>
      </c>
      <c r="BE196" s="557">
        <v>0</v>
      </c>
      <c r="BF196" s="556">
        <f t="shared" si="96"/>
        <v>0</v>
      </c>
      <c r="BG196" s="557">
        <v>0</v>
      </c>
      <c r="BH196" s="557">
        <v>0</v>
      </c>
      <c r="BI196" s="557">
        <v>0</v>
      </c>
      <c r="BJ196" s="557">
        <v>0</v>
      </c>
      <c r="BK196" s="557">
        <v>0</v>
      </c>
      <c r="BL196" s="556">
        <f t="shared" si="93"/>
        <v>0</v>
      </c>
      <c r="BM196" s="557">
        <v>0</v>
      </c>
      <c r="BN196" s="557">
        <v>0</v>
      </c>
      <c r="BO196" s="557">
        <v>0</v>
      </c>
      <c r="BP196" s="557">
        <v>0</v>
      </c>
      <c r="BQ196" s="557">
        <v>0</v>
      </c>
      <c r="BR196" s="318"/>
      <c r="BS196" s="318"/>
      <c r="BT196" s="318"/>
      <c r="BU196" s="318"/>
      <c r="BV196" s="318"/>
      <c r="BW196" s="318"/>
      <c r="BX196" s="318"/>
      <c r="BY196" s="318"/>
      <c r="BZ196" s="318"/>
      <c r="CA196" s="318"/>
      <c r="CB196" s="318"/>
      <c r="CC196" s="318"/>
      <c r="CD196" s="318"/>
      <c r="CE196" s="457"/>
      <c r="CF196" s="318"/>
      <c r="CG196" s="360"/>
      <c r="CH196" s="360"/>
      <c r="CI196" s="360"/>
      <c r="CJ196" s="360"/>
      <c r="CK196" s="360"/>
      <c r="CL196" s="360"/>
      <c r="CM196" s="360"/>
      <c r="CN196" s="360"/>
      <c r="CO196" s="360"/>
      <c r="CP196" s="360"/>
    </row>
    <row r="197" spans="1:94" s="315" customFormat="1" ht="13" hidden="1" x14ac:dyDescent="0.25">
      <c r="A197" s="403">
        <v>187</v>
      </c>
      <c r="B197" s="313" t="s">
        <v>472</v>
      </c>
      <c r="C197" s="313" t="s">
        <v>473</v>
      </c>
      <c r="D197" s="318" t="s">
        <v>457</v>
      </c>
      <c r="E197" s="318" t="s">
        <v>553</v>
      </c>
      <c r="F197" s="313" t="s">
        <v>253</v>
      </c>
      <c r="G197" s="313" t="s">
        <v>473</v>
      </c>
      <c r="H197" s="305"/>
      <c r="I197" s="305" t="s">
        <v>608</v>
      </c>
      <c r="J197" s="370">
        <f>0/(IF(C119="yes",0.188,1))</f>
        <v>0</v>
      </c>
      <c r="K197" s="370" t="e">
        <f>6580/(IF(#REF!="yes",0.188,1))</f>
        <v>#REF!</v>
      </c>
      <c r="L197" s="370" t="e">
        <f>K197-K29</f>
        <v>#REF!</v>
      </c>
      <c r="M197" s="316" t="s">
        <v>619</v>
      </c>
      <c r="N197" s="398"/>
      <c r="O197" s="398">
        <v>2023</v>
      </c>
      <c r="P197" s="305" t="s">
        <v>474</v>
      </c>
      <c r="Q197" s="305" t="s">
        <v>537</v>
      </c>
      <c r="R197" s="305"/>
      <c r="S197" s="305" t="s">
        <v>1009</v>
      </c>
      <c r="T197" s="305"/>
      <c r="U197" s="305" t="s">
        <v>528</v>
      </c>
      <c r="V197" s="426">
        <v>0.188</v>
      </c>
      <c r="W197" s="443">
        <v>3.8929999999999998</v>
      </c>
      <c r="X197" s="445"/>
      <c r="Y197" s="317" t="e">
        <f t="shared" si="94"/>
        <v>#REF!</v>
      </c>
      <c r="Z197" s="318">
        <v>5</v>
      </c>
      <c r="AA197" s="318">
        <v>3</v>
      </c>
      <c r="AB197" s="318">
        <v>1</v>
      </c>
      <c r="AC197" s="318">
        <v>3</v>
      </c>
      <c r="AD197" s="318" t="s">
        <v>960</v>
      </c>
      <c r="AE197" s="483">
        <f t="shared" si="137"/>
        <v>0</v>
      </c>
      <c r="AF197" s="482">
        <f t="shared" si="137"/>
        <v>0</v>
      </c>
      <c r="AG197" s="482">
        <f t="shared" si="137"/>
        <v>0</v>
      </c>
      <c r="AH197" s="482">
        <f t="shared" si="137"/>
        <v>0</v>
      </c>
      <c r="AI197" s="482">
        <f t="shared" si="137"/>
        <v>0</v>
      </c>
      <c r="AJ197" s="482">
        <f t="shared" si="137"/>
        <v>0</v>
      </c>
      <c r="AK197" s="556">
        <f t="shared" si="138"/>
        <v>0</v>
      </c>
      <c r="AL197" s="557">
        <f t="shared" si="138"/>
        <v>0</v>
      </c>
      <c r="AM197" s="557">
        <f t="shared" si="138"/>
        <v>0</v>
      </c>
      <c r="AN197" s="557">
        <f t="shared" si="138"/>
        <v>0</v>
      </c>
      <c r="AO197" s="557">
        <f t="shared" si="138"/>
        <v>0</v>
      </c>
      <c r="AP197" s="557">
        <f t="shared" si="138"/>
        <v>0</v>
      </c>
      <c r="AQ197" s="556">
        <f t="shared" si="139"/>
        <v>0</v>
      </c>
      <c r="AR197" s="557">
        <f t="shared" si="140"/>
        <v>0</v>
      </c>
      <c r="AS197" s="557">
        <f t="shared" si="140"/>
        <v>0</v>
      </c>
      <c r="AT197" s="557">
        <f t="shared" si="140"/>
        <v>0</v>
      </c>
      <c r="AU197" s="557">
        <f t="shared" si="140"/>
        <v>0</v>
      </c>
      <c r="AV197" s="557">
        <f t="shared" si="141"/>
        <v>0</v>
      </c>
      <c r="AW197" s="556">
        <f t="shared" si="107"/>
        <v>0</v>
      </c>
      <c r="AX197" s="514">
        <f t="shared" si="104"/>
        <v>0</v>
      </c>
      <c r="AY197" s="514" t="s">
        <v>1034</v>
      </c>
      <c r="AZ197" s="556">
        <f t="shared" si="91"/>
        <v>0</v>
      </c>
      <c r="BA197" s="557">
        <v>0</v>
      </c>
      <c r="BB197" s="557">
        <v>0</v>
      </c>
      <c r="BC197" s="557">
        <v>0</v>
      </c>
      <c r="BD197" s="557">
        <v>0</v>
      </c>
      <c r="BE197" s="557">
        <v>0</v>
      </c>
      <c r="BF197" s="556">
        <f t="shared" si="96"/>
        <v>0</v>
      </c>
      <c r="BG197" s="557">
        <v>0</v>
      </c>
      <c r="BH197" s="557">
        <v>0</v>
      </c>
      <c r="BI197" s="557">
        <v>0</v>
      </c>
      <c r="BJ197" s="557">
        <v>0</v>
      </c>
      <c r="BK197" s="557">
        <v>0</v>
      </c>
      <c r="BL197" s="556">
        <f t="shared" si="93"/>
        <v>0</v>
      </c>
      <c r="BM197" s="557">
        <v>0</v>
      </c>
      <c r="BN197" s="557">
        <v>0</v>
      </c>
      <c r="BO197" s="557">
        <v>0</v>
      </c>
      <c r="BP197" s="557">
        <v>0</v>
      </c>
      <c r="BQ197" s="557">
        <v>0</v>
      </c>
      <c r="BR197" s="318"/>
      <c r="BS197" s="318"/>
      <c r="BT197" s="318"/>
      <c r="BU197" s="318"/>
      <c r="BV197" s="318"/>
      <c r="BW197" s="318"/>
      <c r="BX197" s="318"/>
      <c r="BY197" s="318"/>
      <c r="BZ197" s="318" t="s">
        <v>1468</v>
      </c>
      <c r="CA197" s="465"/>
      <c r="CB197" s="465"/>
      <c r="CC197" s="465" t="s">
        <v>1470</v>
      </c>
      <c r="CD197" s="465"/>
      <c r="CE197" s="467" t="s">
        <v>1463</v>
      </c>
      <c r="CF197" s="443">
        <f>(13.2*78%)+(22.5%*480)</f>
        <v>118.29599999999999</v>
      </c>
      <c r="CG197" s="360" t="s">
        <v>472</v>
      </c>
      <c r="CH197" s="430">
        <v>0.77500000000000002</v>
      </c>
      <c r="CI197" s="360" t="s">
        <v>562</v>
      </c>
      <c r="CJ197" s="460">
        <v>0.22500000000000001</v>
      </c>
      <c r="CK197" s="360"/>
      <c r="CL197" s="360"/>
      <c r="CM197" s="360"/>
      <c r="CN197" s="360"/>
      <c r="CO197" s="360"/>
      <c r="CP197" s="360"/>
    </row>
    <row r="198" spans="1:94" s="315" customFormat="1" ht="13" hidden="1" x14ac:dyDescent="0.25">
      <c r="A198" s="403">
        <v>188</v>
      </c>
      <c r="B198" s="313" t="s">
        <v>472</v>
      </c>
      <c r="C198" s="313" t="s">
        <v>1544</v>
      </c>
      <c r="D198" s="318" t="s">
        <v>594</v>
      </c>
      <c r="E198" s="318" t="s">
        <v>553</v>
      </c>
      <c r="F198" s="313" t="s">
        <v>253</v>
      </c>
      <c r="G198" s="313" t="s">
        <v>473</v>
      </c>
      <c r="H198" s="305"/>
      <c r="I198" s="305" t="s">
        <v>608</v>
      </c>
      <c r="J198" s="370">
        <v>0</v>
      </c>
      <c r="K198" s="370" t="e">
        <f>35000*V198/(IF(#REF!="yes",0.188,1))</f>
        <v>#REF!</v>
      </c>
      <c r="L198" s="370" t="e">
        <f>K198-K30</f>
        <v>#REF!</v>
      </c>
      <c r="M198" s="316" t="s">
        <v>619</v>
      </c>
      <c r="N198" s="398"/>
      <c r="O198" s="398">
        <v>2023</v>
      </c>
      <c r="P198" s="305" t="s">
        <v>474</v>
      </c>
      <c r="Q198" s="304" t="s">
        <v>537</v>
      </c>
      <c r="R198" s="305"/>
      <c r="S198" s="305" t="s">
        <v>1009</v>
      </c>
      <c r="T198" s="305"/>
      <c r="U198" s="305" t="s">
        <v>536</v>
      </c>
      <c r="V198" s="426">
        <v>0.188</v>
      </c>
      <c r="W198" s="443">
        <v>3.8929999999999998</v>
      </c>
      <c r="X198" s="445"/>
      <c r="Y198" s="317" t="e">
        <f t="shared" si="94"/>
        <v>#REF!</v>
      </c>
      <c r="Z198" s="318">
        <v>4</v>
      </c>
      <c r="AA198" s="318">
        <v>3</v>
      </c>
      <c r="AB198" s="318">
        <v>1</v>
      </c>
      <c r="AC198" s="318">
        <v>3</v>
      </c>
      <c r="AD198" s="318" t="s">
        <v>960</v>
      </c>
      <c r="AE198" s="483">
        <f t="shared" si="137"/>
        <v>0</v>
      </c>
      <c r="AF198" s="482">
        <f t="shared" si="137"/>
        <v>0</v>
      </c>
      <c r="AG198" s="482">
        <f t="shared" si="137"/>
        <v>0</v>
      </c>
      <c r="AH198" s="482">
        <f t="shared" si="137"/>
        <v>0</v>
      </c>
      <c r="AI198" s="482">
        <f t="shared" si="137"/>
        <v>0</v>
      </c>
      <c r="AJ198" s="482">
        <f t="shared" si="137"/>
        <v>0</v>
      </c>
      <c r="AK198" s="556">
        <f t="shared" si="138"/>
        <v>0</v>
      </c>
      <c r="AL198" s="557">
        <f t="shared" si="138"/>
        <v>0</v>
      </c>
      <c r="AM198" s="557">
        <f t="shared" si="138"/>
        <v>0</v>
      </c>
      <c r="AN198" s="557">
        <f t="shared" si="138"/>
        <v>0</v>
      </c>
      <c r="AO198" s="557">
        <f t="shared" si="138"/>
        <v>0</v>
      </c>
      <c r="AP198" s="557">
        <f t="shared" si="138"/>
        <v>0</v>
      </c>
      <c r="AQ198" s="556">
        <f t="shared" si="139"/>
        <v>0</v>
      </c>
      <c r="AR198" s="557">
        <f t="shared" si="140"/>
        <v>0</v>
      </c>
      <c r="AS198" s="557">
        <f t="shared" si="140"/>
        <v>0</v>
      </c>
      <c r="AT198" s="557">
        <f t="shared" si="140"/>
        <v>0</v>
      </c>
      <c r="AU198" s="557">
        <f t="shared" si="140"/>
        <v>0</v>
      </c>
      <c r="AV198" s="557">
        <f t="shared" si="141"/>
        <v>0</v>
      </c>
      <c r="AW198" s="556">
        <f t="shared" si="107"/>
        <v>0</v>
      </c>
      <c r="AX198" s="514">
        <f t="shared" si="104"/>
        <v>0</v>
      </c>
      <c r="AY198" s="514" t="s">
        <v>1034</v>
      </c>
      <c r="AZ198" s="556">
        <f t="shared" si="91"/>
        <v>0</v>
      </c>
      <c r="BA198" s="557">
        <v>0</v>
      </c>
      <c r="BB198" s="557">
        <v>0</v>
      </c>
      <c r="BC198" s="557">
        <v>0</v>
      </c>
      <c r="BD198" s="557">
        <v>0</v>
      </c>
      <c r="BE198" s="557">
        <v>0</v>
      </c>
      <c r="BF198" s="556">
        <f t="shared" si="96"/>
        <v>0</v>
      </c>
      <c r="BG198" s="557">
        <v>0</v>
      </c>
      <c r="BH198" s="557">
        <v>0</v>
      </c>
      <c r="BI198" s="557">
        <v>0</v>
      </c>
      <c r="BJ198" s="557">
        <v>0</v>
      </c>
      <c r="BK198" s="557">
        <v>0</v>
      </c>
      <c r="BL198" s="556">
        <f t="shared" si="93"/>
        <v>0</v>
      </c>
      <c r="BM198" s="557">
        <v>0</v>
      </c>
      <c r="BN198" s="557">
        <v>0</v>
      </c>
      <c r="BO198" s="557">
        <v>0</v>
      </c>
      <c r="BP198" s="557">
        <v>0</v>
      </c>
      <c r="BQ198" s="557">
        <v>0</v>
      </c>
      <c r="BR198" s="318"/>
      <c r="BS198" s="318"/>
      <c r="BT198" s="318"/>
      <c r="BU198" s="318"/>
      <c r="BV198" s="318"/>
      <c r="BW198" s="318"/>
      <c r="BX198" s="318"/>
      <c r="BY198" s="318"/>
      <c r="BZ198" s="318" t="s">
        <v>1469</v>
      </c>
      <c r="CA198" s="465"/>
      <c r="CB198" s="465"/>
      <c r="CC198" s="465" t="s">
        <v>1470</v>
      </c>
      <c r="CD198" s="465"/>
      <c r="CE198" s="467" t="s">
        <v>1463</v>
      </c>
      <c r="CF198" s="443">
        <v>13.2</v>
      </c>
      <c r="CG198" s="360" t="s">
        <v>472</v>
      </c>
      <c r="CH198" s="430">
        <v>1</v>
      </c>
      <c r="CI198" s="360"/>
      <c r="CJ198" s="360"/>
      <c r="CK198" s="360"/>
      <c r="CL198" s="360"/>
      <c r="CM198" s="360"/>
      <c r="CN198" s="360"/>
      <c r="CO198" s="360"/>
      <c r="CP198" s="360"/>
    </row>
    <row r="199" spans="1:94" s="315" customFormat="1" ht="13" hidden="1" x14ac:dyDescent="0.25">
      <c r="A199" s="403">
        <v>189</v>
      </c>
      <c r="B199" s="313" t="s">
        <v>938</v>
      </c>
      <c r="C199" s="313" t="s">
        <v>952</v>
      </c>
      <c r="D199" s="318" t="s">
        <v>457</v>
      </c>
      <c r="E199" s="318"/>
      <c r="F199" s="313" t="s">
        <v>397</v>
      </c>
      <c r="G199" s="313" t="s">
        <v>1238</v>
      </c>
      <c r="H199" s="305"/>
      <c r="I199" s="305"/>
      <c r="J199" s="370">
        <v>0</v>
      </c>
      <c r="K199" s="370">
        <v>0</v>
      </c>
      <c r="L199" s="370">
        <f t="shared" ref="L199:L204" si="142">K199-J199</f>
        <v>0</v>
      </c>
      <c r="M199" s="316" t="s">
        <v>487</v>
      </c>
      <c r="N199" s="356"/>
      <c r="O199" s="398"/>
      <c r="P199" s="305" t="s">
        <v>519</v>
      </c>
      <c r="Q199" s="324"/>
      <c r="R199" s="305"/>
      <c r="S199" s="305"/>
      <c r="T199" s="305"/>
      <c r="U199" s="305" t="s">
        <v>235</v>
      </c>
      <c r="V199" s="426"/>
      <c r="W199" s="317"/>
      <c r="X199" s="317"/>
      <c r="Y199" s="317" t="str">
        <f t="shared" si="94"/>
        <v/>
      </c>
      <c r="Z199" s="318"/>
      <c r="AA199" s="318"/>
      <c r="AB199" s="318"/>
      <c r="AC199" s="318"/>
      <c r="AD199" s="318"/>
      <c r="AE199" s="483">
        <f t="shared" si="137"/>
        <v>0</v>
      </c>
      <c r="AF199" s="482">
        <f t="shared" si="137"/>
        <v>0</v>
      </c>
      <c r="AG199" s="482">
        <f t="shared" si="137"/>
        <v>0</v>
      </c>
      <c r="AH199" s="482">
        <f t="shared" si="137"/>
        <v>0</v>
      </c>
      <c r="AI199" s="482">
        <f t="shared" si="137"/>
        <v>0</v>
      </c>
      <c r="AJ199" s="482">
        <f t="shared" si="137"/>
        <v>0</v>
      </c>
      <c r="AK199" s="556">
        <f t="shared" si="138"/>
        <v>0</v>
      </c>
      <c r="AL199" s="557">
        <f t="shared" si="138"/>
        <v>0</v>
      </c>
      <c r="AM199" s="557">
        <f t="shared" si="138"/>
        <v>0</v>
      </c>
      <c r="AN199" s="557">
        <f t="shared" si="138"/>
        <v>0</v>
      </c>
      <c r="AO199" s="557">
        <f t="shared" si="138"/>
        <v>0</v>
      </c>
      <c r="AP199" s="557">
        <f t="shared" si="138"/>
        <v>0</v>
      </c>
      <c r="AQ199" s="556">
        <f t="shared" si="139"/>
        <v>0</v>
      </c>
      <c r="AR199" s="557">
        <f t="shared" si="140"/>
        <v>0</v>
      </c>
      <c r="AS199" s="557">
        <f t="shared" si="140"/>
        <v>0</v>
      </c>
      <c r="AT199" s="557">
        <f t="shared" si="140"/>
        <v>0</v>
      </c>
      <c r="AU199" s="557">
        <f t="shared" si="140"/>
        <v>0</v>
      </c>
      <c r="AV199" s="557">
        <f t="shared" si="141"/>
        <v>0</v>
      </c>
      <c r="AW199" s="556">
        <f t="shared" si="107"/>
        <v>0</v>
      </c>
      <c r="AX199" s="514">
        <f t="shared" si="104"/>
        <v>0</v>
      </c>
      <c r="AY199" s="514" t="s">
        <v>1034</v>
      </c>
      <c r="AZ199" s="556">
        <f t="shared" si="91"/>
        <v>0</v>
      </c>
      <c r="BA199" s="557">
        <v>0</v>
      </c>
      <c r="BB199" s="557">
        <v>0</v>
      </c>
      <c r="BC199" s="557">
        <v>0</v>
      </c>
      <c r="BD199" s="557">
        <v>0</v>
      </c>
      <c r="BE199" s="557">
        <v>0</v>
      </c>
      <c r="BF199" s="556">
        <f t="shared" si="96"/>
        <v>0</v>
      </c>
      <c r="BG199" s="557">
        <v>0</v>
      </c>
      <c r="BH199" s="557">
        <v>0</v>
      </c>
      <c r="BI199" s="557">
        <v>0</v>
      </c>
      <c r="BJ199" s="557">
        <v>0</v>
      </c>
      <c r="BK199" s="557">
        <v>0</v>
      </c>
      <c r="BL199" s="556">
        <f t="shared" si="93"/>
        <v>0</v>
      </c>
      <c r="BM199" s="557">
        <v>0</v>
      </c>
      <c r="BN199" s="557">
        <v>0</v>
      </c>
      <c r="BO199" s="557">
        <v>0</v>
      </c>
      <c r="BP199" s="557">
        <v>0</v>
      </c>
      <c r="BQ199" s="557">
        <v>0</v>
      </c>
      <c r="BR199" s="318"/>
      <c r="BS199" s="318"/>
      <c r="BT199" s="318"/>
      <c r="BU199" s="318"/>
      <c r="BV199" s="318"/>
      <c r="BW199" s="318"/>
      <c r="BX199" s="318"/>
      <c r="BY199" s="318"/>
      <c r="BZ199" s="318"/>
      <c r="CA199" s="318"/>
      <c r="CB199" s="318"/>
      <c r="CC199" s="318"/>
      <c r="CD199" s="318"/>
      <c r="CE199" s="457"/>
      <c r="CF199" s="318"/>
      <c r="CG199" s="360"/>
      <c r="CH199" s="360"/>
      <c r="CI199" s="360"/>
      <c r="CJ199" s="360"/>
      <c r="CK199" s="360"/>
      <c r="CL199" s="360"/>
      <c r="CM199" s="360"/>
      <c r="CN199" s="360"/>
      <c r="CO199" s="360"/>
      <c r="CP199" s="360"/>
    </row>
    <row r="200" spans="1:94" s="315" customFormat="1" ht="13" hidden="1" x14ac:dyDescent="0.25">
      <c r="A200" s="403">
        <v>190</v>
      </c>
      <c r="B200" s="313" t="s">
        <v>939</v>
      </c>
      <c r="C200" s="313" t="s">
        <v>940</v>
      </c>
      <c r="D200" s="318" t="s">
        <v>457</v>
      </c>
      <c r="E200" s="318"/>
      <c r="F200" s="313" t="s">
        <v>247</v>
      </c>
      <c r="G200" s="313" t="s">
        <v>1214</v>
      </c>
      <c r="H200" s="305"/>
      <c r="I200" s="305"/>
      <c r="J200" s="370">
        <v>0</v>
      </c>
      <c r="K200" s="370">
        <v>0</v>
      </c>
      <c r="L200" s="370">
        <f t="shared" si="142"/>
        <v>0</v>
      </c>
      <c r="M200" s="316" t="s">
        <v>487</v>
      </c>
      <c r="N200" s="356"/>
      <c r="O200" s="398"/>
      <c r="P200" s="305" t="s">
        <v>519</v>
      </c>
      <c r="Q200" s="324"/>
      <c r="R200" s="305"/>
      <c r="S200" s="305"/>
      <c r="T200" s="305"/>
      <c r="U200" s="305" t="s">
        <v>235</v>
      </c>
      <c r="V200" s="426"/>
      <c r="W200" s="317"/>
      <c r="X200" s="317"/>
      <c r="Y200" s="317" t="str">
        <f t="shared" si="94"/>
        <v/>
      </c>
      <c r="Z200" s="318"/>
      <c r="AA200" s="318"/>
      <c r="AB200" s="318"/>
      <c r="AC200" s="318">
        <v>2</v>
      </c>
      <c r="AD200" s="318" t="s">
        <v>941</v>
      </c>
      <c r="AE200" s="483">
        <f t="shared" si="137"/>
        <v>0</v>
      </c>
      <c r="AF200" s="482">
        <f t="shared" si="137"/>
        <v>0</v>
      </c>
      <c r="AG200" s="482">
        <f t="shared" si="137"/>
        <v>0</v>
      </c>
      <c r="AH200" s="482">
        <f t="shared" si="137"/>
        <v>0</v>
      </c>
      <c r="AI200" s="482">
        <f t="shared" si="137"/>
        <v>0</v>
      </c>
      <c r="AJ200" s="482">
        <f t="shared" si="137"/>
        <v>0</v>
      </c>
      <c r="AK200" s="556">
        <f t="shared" si="138"/>
        <v>0</v>
      </c>
      <c r="AL200" s="557">
        <f t="shared" si="138"/>
        <v>0</v>
      </c>
      <c r="AM200" s="557">
        <f t="shared" si="138"/>
        <v>0</v>
      </c>
      <c r="AN200" s="557">
        <f t="shared" si="138"/>
        <v>0</v>
      </c>
      <c r="AO200" s="557">
        <f t="shared" si="138"/>
        <v>0</v>
      </c>
      <c r="AP200" s="557">
        <f t="shared" si="138"/>
        <v>0</v>
      </c>
      <c r="AQ200" s="556">
        <f t="shared" si="139"/>
        <v>0</v>
      </c>
      <c r="AR200" s="557">
        <f t="shared" si="140"/>
        <v>0</v>
      </c>
      <c r="AS200" s="557">
        <f t="shared" si="140"/>
        <v>0</v>
      </c>
      <c r="AT200" s="557">
        <f t="shared" si="140"/>
        <v>0</v>
      </c>
      <c r="AU200" s="557">
        <f t="shared" si="140"/>
        <v>0</v>
      </c>
      <c r="AV200" s="557">
        <f t="shared" si="141"/>
        <v>0</v>
      </c>
      <c r="AW200" s="556">
        <f t="shared" si="107"/>
        <v>0</v>
      </c>
      <c r="AX200" s="514">
        <f t="shared" si="104"/>
        <v>0</v>
      </c>
      <c r="AY200" s="514" t="s">
        <v>1034</v>
      </c>
      <c r="AZ200" s="556">
        <f t="shared" ref="AZ200:AZ206" si="143">AE200</f>
        <v>0</v>
      </c>
      <c r="BA200" s="557">
        <v>0</v>
      </c>
      <c r="BB200" s="557">
        <v>0</v>
      </c>
      <c r="BC200" s="557">
        <v>0</v>
      </c>
      <c r="BD200" s="557">
        <v>0</v>
      </c>
      <c r="BE200" s="557">
        <v>0</v>
      </c>
      <c r="BF200" s="556">
        <f t="shared" si="96"/>
        <v>0</v>
      </c>
      <c r="BG200" s="557">
        <v>0</v>
      </c>
      <c r="BH200" s="557">
        <v>0</v>
      </c>
      <c r="BI200" s="557">
        <v>0</v>
      </c>
      <c r="BJ200" s="557">
        <v>0</v>
      </c>
      <c r="BK200" s="557">
        <v>0</v>
      </c>
      <c r="BL200" s="556">
        <f t="shared" si="93"/>
        <v>0</v>
      </c>
      <c r="BM200" s="557">
        <v>0</v>
      </c>
      <c r="BN200" s="557">
        <v>0</v>
      </c>
      <c r="BO200" s="557">
        <v>0</v>
      </c>
      <c r="BP200" s="557">
        <v>0</v>
      </c>
      <c r="BQ200" s="557">
        <v>0</v>
      </c>
      <c r="BR200" s="318"/>
      <c r="BS200" s="318"/>
      <c r="BT200" s="318"/>
      <c r="BU200" s="318"/>
      <c r="BV200" s="318"/>
      <c r="BW200" s="318"/>
      <c r="BX200" s="318"/>
      <c r="BY200" s="318"/>
      <c r="BZ200" s="318"/>
      <c r="CA200" s="318"/>
      <c r="CB200" s="318"/>
      <c r="CC200" s="318"/>
      <c r="CD200" s="318"/>
      <c r="CE200" s="457"/>
      <c r="CF200" s="318">
        <v>2.25</v>
      </c>
      <c r="CG200" s="360" t="s">
        <v>1279</v>
      </c>
      <c r="CH200" s="430">
        <v>1</v>
      </c>
      <c r="CI200" s="360"/>
      <c r="CJ200" s="360"/>
      <c r="CK200" s="360"/>
      <c r="CL200" s="360"/>
      <c r="CM200" s="360"/>
      <c r="CN200" s="360"/>
      <c r="CO200" s="360"/>
      <c r="CP200" s="360"/>
    </row>
    <row r="201" spans="1:94" s="315" customFormat="1" ht="13" hidden="1" x14ac:dyDescent="0.25">
      <c r="A201" s="403">
        <v>191</v>
      </c>
      <c r="B201" s="313" t="s">
        <v>939</v>
      </c>
      <c r="C201" s="313" t="s">
        <v>942</v>
      </c>
      <c r="D201" s="318" t="s">
        <v>457</v>
      </c>
      <c r="E201" s="318"/>
      <c r="F201" s="313" t="s">
        <v>247</v>
      </c>
      <c r="G201" s="313" t="s">
        <v>1214</v>
      </c>
      <c r="H201" s="305"/>
      <c r="I201" s="305" t="s">
        <v>943</v>
      </c>
      <c r="J201" s="370">
        <v>0</v>
      </c>
      <c r="K201" s="370" t="e">
        <f>2000000*V201/(IF(#REF!="yes",0.188,1))</f>
        <v>#REF!</v>
      </c>
      <c r="L201" s="370" t="e">
        <f t="shared" si="142"/>
        <v>#REF!</v>
      </c>
      <c r="M201" s="316" t="s">
        <v>807</v>
      </c>
      <c r="N201" s="356"/>
      <c r="O201" s="398"/>
      <c r="P201" s="305" t="s">
        <v>519</v>
      </c>
      <c r="Q201" s="324">
        <v>1.2999999999999999E-2</v>
      </c>
      <c r="R201" s="305"/>
      <c r="S201" s="305"/>
      <c r="T201" s="305" t="s">
        <v>1291</v>
      </c>
      <c r="U201" s="386" t="s">
        <v>815</v>
      </c>
      <c r="V201" s="434">
        <f>11%/100</f>
        <v>1.1000000000000001E-3</v>
      </c>
      <c r="W201" s="317"/>
      <c r="X201" s="317"/>
      <c r="Y201" s="317" t="str">
        <f t="shared" si="94"/>
        <v/>
      </c>
      <c r="Z201" s="318"/>
      <c r="AA201" s="318"/>
      <c r="AB201" s="318"/>
      <c r="AC201" s="318">
        <v>2</v>
      </c>
      <c r="AD201" s="318" t="s">
        <v>944</v>
      </c>
      <c r="AE201" s="483">
        <f t="shared" si="137"/>
        <v>0</v>
      </c>
      <c r="AF201" s="482">
        <f t="shared" si="137"/>
        <v>0</v>
      </c>
      <c r="AG201" s="482">
        <f t="shared" si="137"/>
        <v>0</v>
      </c>
      <c r="AH201" s="482">
        <f t="shared" si="137"/>
        <v>0</v>
      </c>
      <c r="AI201" s="482">
        <f t="shared" si="137"/>
        <v>0</v>
      </c>
      <c r="AJ201" s="482">
        <f t="shared" si="137"/>
        <v>0</v>
      </c>
      <c r="AK201" s="556">
        <f t="shared" si="138"/>
        <v>0</v>
      </c>
      <c r="AL201" s="557">
        <f t="shared" si="138"/>
        <v>0</v>
      </c>
      <c r="AM201" s="557">
        <f t="shared" si="138"/>
        <v>0</v>
      </c>
      <c r="AN201" s="557">
        <f t="shared" si="138"/>
        <v>0</v>
      </c>
      <c r="AO201" s="557">
        <f t="shared" si="138"/>
        <v>0</v>
      </c>
      <c r="AP201" s="557">
        <f t="shared" si="138"/>
        <v>0</v>
      </c>
      <c r="AQ201" s="556">
        <f t="shared" si="139"/>
        <v>0</v>
      </c>
      <c r="AR201" s="557">
        <f t="shared" si="140"/>
        <v>0</v>
      </c>
      <c r="AS201" s="557">
        <f t="shared" si="140"/>
        <v>0</v>
      </c>
      <c r="AT201" s="557">
        <f t="shared" si="140"/>
        <v>0</v>
      </c>
      <c r="AU201" s="557">
        <f t="shared" si="140"/>
        <v>0</v>
      </c>
      <c r="AV201" s="557">
        <f t="shared" si="141"/>
        <v>0</v>
      </c>
      <c r="AW201" s="556">
        <f t="shared" si="107"/>
        <v>0</v>
      </c>
      <c r="AX201" s="514">
        <f t="shared" si="104"/>
        <v>0</v>
      </c>
      <c r="AY201" s="514" t="s">
        <v>1034</v>
      </c>
      <c r="AZ201" s="556">
        <f t="shared" si="143"/>
        <v>0</v>
      </c>
      <c r="BA201" s="557">
        <v>0</v>
      </c>
      <c r="BB201" s="557">
        <v>0</v>
      </c>
      <c r="BC201" s="557">
        <v>0</v>
      </c>
      <c r="BD201" s="557">
        <v>0</v>
      </c>
      <c r="BE201" s="557">
        <v>0</v>
      </c>
      <c r="BF201" s="556">
        <f t="shared" si="96"/>
        <v>0</v>
      </c>
      <c r="BG201" s="557">
        <v>0</v>
      </c>
      <c r="BH201" s="557">
        <v>0</v>
      </c>
      <c r="BI201" s="557">
        <v>0</v>
      </c>
      <c r="BJ201" s="557">
        <v>0</v>
      </c>
      <c r="BK201" s="557">
        <v>0</v>
      </c>
      <c r="BL201" s="556">
        <f t="shared" si="93"/>
        <v>0</v>
      </c>
      <c r="BM201" s="557">
        <v>0</v>
      </c>
      <c r="BN201" s="557">
        <v>0</v>
      </c>
      <c r="BO201" s="557">
        <v>0</v>
      </c>
      <c r="BP201" s="557">
        <v>0</v>
      </c>
      <c r="BQ201" s="557">
        <v>0</v>
      </c>
      <c r="BR201" s="318"/>
      <c r="BS201" s="318"/>
      <c r="BT201" s="318"/>
      <c r="BU201" s="318"/>
      <c r="BV201" s="318"/>
      <c r="BW201" s="318"/>
      <c r="BX201" s="318"/>
      <c r="BY201" s="318"/>
      <c r="BZ201" s="318"/>
      <c r="CA201" s="318"/>
      <c r="CB201" s="318"/>
      <c r="CC201" s="318"/>
      <c r="CD201" s="318"/>
      <c r="CE201" s="457"/>
      <c r="CF201" s="318">
        <v>2.25</v>
      </c>
      <c r="CG201" s="360" t="s">
        <v>1279</v>
      </c>
      <c r="CH201" s="430">
        <v>1</v>
      </c>
      <c r="CI201" s="360"/>
      <c r="CJ201" s="360"/>
      <c r="CK201" s="360"/>
      <c r="CL201" s="360"/>
      <c r="CM201" s="360"/>
      <c r="CN201" s="360"/>
      <c r="CO201" s="360"/>
      <c r="CP201" s="360"/>
    </row>
    <row r="202" spans="1:94" s="315" customFormat="1" ht="13" hidden="1" x14ac:dyDescent="0.25">
      <c r="A202" s="403">
        <v>192</v>
      </c>
      <c r="B202" s="313" t="s">
        <v>695</v>
      </c>
      <c r="C202" s="313" t="s">
        <v>956</v>
      </c>
      <c r="D202" s="318" t="s">
        <v>457</v>
      </c>
      <c r="E202" s="318"/>
      <c r="F202" s="313" t="s">
        <v>247</v>
      </c>
      <c r="G202" s="313" t="s">
        <v>1403</v>
      </c>
      <c r="H202" s="305"/>
      <c r="I202" s="305"/>
      <c r="J202" s="370">
        <v>0</v>
      </c>
      <c r="K202" s="370"/>
      <c r="L202" s="370">
        <f t="shared" si="142"/>
        <v>0</v>
      </c>
      <c r="M202" s="316" t="s">
        <v>487</v>
      </c>
      <c r="N202" s="356"/>
      <c r="O202" s="398"/>
      <c r="P202" s="305" t="s">
        <v>519</v>
      </c>
      <c r="Q202" s="324"/>
      <c r="R202" s="305"/>
      <c r="S202" s="305"/>
      <c r="T202" s="305"/>
      <c r="U202" s="305" t="s">
        <v>235</v>
      </c>
      <c r="V202" s="426"/>
      <c r="W202" s="317"/>
      <c r="X202" s="317"/>
      <c r="Y202" s="317" t="str">
        <f t="shared" si="94"/>
        <v/>
      </c>
      <c r="Z202" s="318"/>
      <c r="AA202" s="318"/>
      <c r="AB202" s="318"/>
      <c r="AC202" s="318">
        <v>2</v>
      </c>
      <c r="AD202" s="318"/>
      <c r="AE202" s="483">
        <f t="shared" si="137"/>
        <v>0</v>
      </c>
      <c r="AF202" s="482">
        <f t="shared" si="137"/>
        <v>0</v>
      </c>
      <c r="AG202" s="482">
        <f t="shared" si="137"/>
        <v>0</v>
      </c>
      <c r="AH202" s="482">
        <f t="shared" si="137"/>
        <v>0</v>
      </c>
      <c r="AI202" s="482">
        <f t="shared" si="137"/>
        <v>0</v>
      </c>
      <c r="AJ202" s="482">
        <f t="shared" si="137"/>
        <v>0</v>
      </c>
      <c r="AK202" s="556">
        <f t="shared" si="138"/>
        <v>0</v>
      </c>
      <c r="AL202" s="557">
        <f t="shared" si="138"/>
        <v>0</v>
      </c>
      <c r="AM202" s="557">
        <f t="shared" si="138"/>
        <v>0</v>
      </c>
      <c r="AN202" s="557">
        <f t="shared" si="138"/>
        <v>0</v>
      </c>
      <c r="AO202" s="557">
        <f t="shared" si="138"/>
        <v>0</v>
      </c>
      <c r="AP202" s="557">
        <f t="shared" si="138"/>
        <v>0</v>
      </c>
      <c r="AQ202" s="556">
        <f t="shared" si="139"/>
        <v>0</v>
      </c>
      <c r="AR202" s="557">
        <f t="shared" si="140"/>
        <v>0</v>
      </c>
      <c r="AS202" s="557">
        <f t="shared" si="140"/>
        <v>0</v>
      </c>
      <c r="AT202" s="557">
        <f t="shared" si="140"/>
        <v>0</v>
      </c>
      <c r="AU202" s="557">
        <f t="shared" si="140"/>
        <v>0</v>
      </c>
      <c r="AV202" s="557">
        <f t="shared" si="141"/>
        <v>0</v>
      </c>
      <c r="AW202" s="556">
        <f t="shared" si="107"/>
        <v>0</v>
      </c>
      <c r="AX202" s="514">
        <f t="shared" si="104"/>
        <v>0</v>
      </c>
      <c r="AY202" s="514" t="s">
        <v>1034</v>
      </c>
      <c r="AZ202" s="556">
        <f t="shared" si="143"/>
        <v>0</v>
      </c>
      <c r="BA202" s="557">
        <v>0</v>
      </c>
      <c r="BB202" s="557">
        <v>0</v>
      </c>
      <c r="BC202" s="557">
        <v>0</v>
      </c>
      <c r="BD202" s="557">
        <v>0</v>
      </c>
      <c r="BE202" s="557">
        <v>0</v>
      </c>
      <c r="BF202" s="556">
        <f t="shared" si="96"/>
        <v>0</v>
      </c>
      <c r="BG202" s="557">
        <v>0</v>
      </c>
      <c r="BH202" s="557">
        <v>0</v>
      </c>
      <c r="BI202" s="557">
        <v>0</v>
      </c>
      <c r="BJ202" s="557">
        <v>0</v>
      </c>
      <c r="BK202" s="557">
        <v>0</v>
      </c>
      <c r="BL202" s="556">
        <f t="shared" si="93"/>
        <v>0</v>
      </c>
      <c r="BM202" s="557">
        <v>0</v>
      </c>
      <c r="BN202" s="557">
        <v>0</v>
      </c>
      <c r="BO202" s="557">
        <v>0</v>
      </c>
      <c r="BP202" s="557">
        <v>0</v>
      </c>
      <c r="BQ202" s="557">
        <v>0</v>
      </c>
      <c r="BR202" s="318"/>
      <c r="BS202" s="318"/>
      <c r="BT202" s="318"/>
      <c r="BU202" s="318"/>
      <c r="BV202" s="318"/>
      <c r="BW202" s="318"/>
      <c r="BX202" s="318"/>
      <c r="BY202" s="318"/>
      <c r="BZ202" s="318"/>
      <c r="CA202" s="318"/>
      <c r="CB202" s="318"/>
      <c r="CC202" s="318"/>
      <c r="CD202" s="318"/>
      <c r="CE202" s="457"/>
      <c r="CF202" s="318">
        <v>9</v>
      </c>
      <c r="CG202" s="360"/>
      <c r="CH202" s="360"/>
      <c r="CI202" s="360"/>
      <c r="CJ202" s="360"/>
      <c r="CK202" s="360"/>
      <c r="CL202" s="360"/>
      <c r="CM202" s="360"/>
      <c r="CN202" s="360"/>
      <c r="CO202" s="360"/>
      <c r="CP202" s="360"/>
    </row>
    <row r="203" spans="1:94" s="315" customFormat="1" ht="13" hidden="1" x14ac:dyDescent="0.25">
      <c r="A203" s="403">
        <v>192</v>
      </c>
      <c r="B203" s="313" t="s">
        <v>695</v>
      </c>
      <c r="C203" s="313" t="s">
        <v>955</v>
      </c>
      <c r="D203" s="318" t="s">
        <v>594</v>
      </c>
      <c r="E203" s="318"/>
      <c r="F203" s="313" t="s">
        <v>955</v>
      </c>
      <c r="G203" s="313" t="s">
        <v>1403</v>
      </c>
      <c r="H203" s="305"/>
      <c r="I203" s="305" t="s">
        <v>957</v>
      </c>
      <c r="J203" s="370">
        <v>0</v>
      </c>
      <c r="K203" s="370" t="e">
        <f>5000*V203/(IF(#REF!="yes",0.188,1))</f>
        <v>#REF!</v>
      </c>
      <c r="L203" s="370" t="e">
        <f t="shared" si="142"/>
        <v>#REF!</v>
      </c>
      <c r="M203" s="316" t="s">
        <v>807</v>
      </c>
      <c r="N203" s="356"/>
      <c r="O203" s="398"/>
      <c r="P203" s="305" t="s">
        <v>958</v>
      </c>
      <c r="Q203" s="324"/>
      <c r="R203" s="305"/>
      <c r="S203" s="305"/>
      <c r="T203" s="305"/>
      <c r="U203" s="305" t="s">
        <v>579</v>
      </c>
      <c r="V203" s="426">
        <v>0.16600000000000001</v>
      </c>
      <c r="W203" s="317"/>
      <c r="X203" s="317"/>
      <c r="Y203" s="317" t="str">
        <f t="shared" si="94"/>
        <v/>
      </c>
      <c r="Z203" s="318"/>
      <c r="AA203" s="318"/>
      <c r="AB203" s="318"/>
      <c r="AC203" s="318">
        <v>2</v>
      </c>
      <c r="AD203" s="318"/>
      <c r="AE203" s="483">
        <f t="shared" si="137"/>
        <v>0</v>
      </c>
      <c r="AF203" s="482">
        <f t="shared" si="137"/>
        <v>0</v>
      </c>
      <c r="AG203" s="482">
        <f t="shared" si="137"/>
        <v>0</v>
      </c>
      <c r="AH203" s="482">
        <f t="shared" si="137"/>
        <v>0</v>
      </c>
      <c r="AI203" s="482">
        <f t="shared" si="137"/>
        <v>0</v>
      </c>
      <c r="AJ203" s="482">
        <f t="shared" si="137"/>
        <v>0</v>
      </c>
      <c r="AK203" s="556">
        <f t="shared" si="138"/>
        <v>0</v>
      </c>
      <c r="AL203" s="557">
        <f t="shared" si="138"/>
        <v>0</v>
      </c>
      <c r="AM203" s="557">
        <f t="shared" si="138"/>
        <v>0</v>
      </c>
      <c r="AN203" s="557">
        <f t="shared" si="138"/>
        <v>0</v>
      </c>
      <c r="AO203" s="557">
        <f t="shared" si="138"/>
        <v>0</v>
      </c>
      <c r="AP203" s="557">
        <f t="shared" si="138"/>
        <v>0</v>
      </c>
      <c r="AQ203" s="556">
        <f t="shared" si="139"/>
        <v>0</v>
      </c>
      <c r="AR203" s="557">
        <f t="shared" si="140"/>
        <v>0</v>
      </c>
      <c r="AS203" s="557">
        <f t="shared" si="140"/>
        <v>0</v>
      </c>
      <c r="AT203" s="557">
        <f t="shared" si="140"/>
        <v>0</v>
      </c>
      <c r="AU203" s="557">
        <f t="shared" si="140"/>
        <v>0</v>
      </c>
      <c r="AV203" s="557">
        <f t="shared" si="141"/>
        <v>0</v>
      </c>
      <c r="AW203" s="556">
        <f t="shared" si="107"/>
        <v>0</v>
      </c>
      <c r="AX203" s="514">
        <f t="shared" si="104"/>
        <v>0</v>
      </c>
      <c r="AY203" s="514" t="s">
        <v>1034</v>
      </c>
      <c r="AZ203" s="556">
        <f t="shared" si="143"/>
        <v>0</v>
      </c>
      <c r="BA203" s="557">
        <v>0</v>
      </c>
      <c r="BB203" s="557">
        <v>0</v>
      </c>
      <c r="BC203" s="557">
        <v>0</v>
      </c>
      <c r="BD203" s="557">
        <v>0</v>
      </c>
      <c r="BE203" s="557">
        <v>0</v>
      </c>
      <c r="BF203" s="556">
        <f t="shared" si="96"/>
        <v>0</v>
      </c>
      <c r="BG203" s="557">
        <v>0</v>
      </c>
      <c r="BH203" s="557">
        <v>0</v>
      </c>
      <c r="BI203" s="557">
        <v>0</v>
      </c>
      <c r="BJ203" s="557">
        <v>0</v>
      </c>
      <c r="BK203" s="557">
        <v>0</v>
      </c>
      <c r="BL203" s="556">
        <f t="shared" si="93"/>
        <v>0</v>
      </c>
      <c r="BM203" s="557">
        <v>0</v>
      </c>
      <c r="BN203" s="557">
        <v>0</v>
      </c>
      <c r="BO203" s="557">
        <v>0</v>
      </c>
      <c r="BP203" s="557">
        <v>0</v>
      </c>
      <c r="BQ203" s="557">
        <v>0</v>
      </c>
      <c r="BR203" s="318"/>
      <c r="BS203" s="318"/>
      <c r="BT203" s="318"/>
      <c r="BU203" s="318"/>
      <c r="BV203" s="318"/>
      <c r="BW203" s="318"/>
      <c r="BX203" s="318"/>
      <c r="BY203" s="318"/>
      <c r="BZ203" s="318"/>
      <c r="CA203" s="318"/>
      <c r="CB203" s="318"/>
      <c r="CC203" s="318"/>
      <c r="CD203" s="318"/>
      <c r="CE203" s="457"/>
      <c r="CF203" s="318">
        <v>9</v>
      </c>
      <c r="CG203" s="360"/>
      <c r="CH203" s="360"/>
      <c r="CI203" s="360"/>
      <c r="CJ203" s="360"/>
      <c r="CK203" s="360"/>
      <c r="CL203" s="360"/>
      <c r="CM203" s="360"/>
      <c r="CN203" s="360"/>
      <c r="CO203" s="360"/>
      <c r="CP203" s="360"/>
    </row>
    <row r="204" spans="1:94" s="315" customFormat="1" ht="13" hidden="1" x14ac:dyDescent="0.25">
      <c r="A204" s="403">
        <v>193</v>
      </c>
      <c r="B204" s="313" t="s">
        <v>961</v>
      </c>
      <c r="C204" s="313"/>
      <c r="D204" s="318" t="s">
        <v>457</v>
      </c>
      <c r="E204" s="318"/>
      <c r="F204" s="313" t="s">
        <v>504</v>
      </c>
      <c r="G204" s="313" t="s">
        <v>1411</v>
      </c>
      <c r="H204" s="305"/>
      <c r="I204" s="305"/>
      <c r="J204" s="370">
        <v>0</v>
      </c>
      <c r="K204" s="370">
        <v>0</v>
      </c>
      <c r="L204" s="370">
        <f t="shared" si="142"/>
        <v>0</v>
      </c>
      <c r="M204" s="316" t="s">
        <v>487</v>
      </c>
      <c r="N204" s="356"/>
      <c r="O204" s="398"/>
      <c r="P204" s="305"/>
      <c r="Q204" s="324"/>
      <c r="R204" s="305"/>
      <c r="S204" s="305"/>
      <c r="T204" s="305"/>
      <c r="U204" s="305" t="s">
        <v>235</v>
      </c>
      <c r="V204" s="426"/>
      <c r="W204" s="317"/>
      <c r="X204" s="317"/>
      <c r="Y204" s="317" t="str">
        <f t="shared" si="94"/>
        <v/>
      </c>
      <c r="Z204" s="318"/>
      <c r="AA204" s="318"/>
      <c r="AB204" s="318"/>
      <c r="AC204" s="318"/>
      <c r="AD204" s="318"/>
      <c r="AE204" s="483">
        <f t="shared" si="137"/>
        <v>0</v>
      </c>
      <c r="AF204" s="482">
        <f t="shared" si="137"/>
        <v>0</v>
      </c>
      <c r="AG204" s="482">
        <f t="shared" si="137"/>
        <v>0</v>
      </c>
      <c r="AH204" s="482">
        <f t="shared" si="137"/>
        <v>0</v>
      </c>
      <c r="AI204" s="482">
        <f t="shared" si="137"/>
        <v>0</v>
      </c>
      <c r="AJ204" s="482">
        <f t="shared" si="137"/>
        <v>0</v>
      </c>
      <c r="AK204" s="556">
        <f t="shared" si="138"/>
        <v>0</v>
      </c>
      <c r="AL204" s="557">
        <f t="shared" si="138"/>
        <v>0</v>
      </c>
      <c r="AM204" s="557">
        <f t="shared" si="138"/>
        <v>0</v>
      </c>
      <c r="AN204" s="557">
        <f t="shared" si="138"/>
        <v>0</v>
      </c>
      <c r="AO204" s="557">
        <f t="shared" si="138"/>
        <v>0</v>
      </c>
      <c r="AP204" s="557">
        <f t="shared" si="138"/>
        <v>0</v>
      </c>
      <c r="AQ204" s="556">
        <f t="shared" si="139"/>
        <v>0</v>
      </c>
      <c r="AR204" s="557">
        <f t="shared" si="140"/>
        <v>0</v>
      </c>
      <c r="AS204" s="557">
        <f t="shared" si="140"/>
        <v>0</v>
      </c>
      <c r="AT204" s="557">
        <f t="shared" si="140"/>
        <v>0</v>
      </c>
      <c r="AU204" s="557">
        <f t="shared" si="140"/>
        <v>0</v>
      </c>
      <c r="AV204" s="557">
        <f t="shared" si="141"/>
        <v>0</v>
      </c>
      <c r="AW204" s="556">
        <f t="shared" si="107"/>
        <v>0</v>
      </c>
      <c r="AX204" s="514">
        <f t="shared" si="104"/>
        <v>0</v>
      </c>
      <c r="AY204" s="514" t="s">
        <v>1034</v>
      </c>
      <c r="AZ204" s="556">
        <f t="shared" si="143"/>
        <v>0</v>
      </c>
      <c r="BA204" s="557">
        <v>0</v>
      </c>
      <c r="BB204" s="557">
        <v>0</v>
      </c>
      <c r="BC204" s="557">
        <v>0</v>
      </c>
      <c r="BD204" s="557">
        <v>0</v>
      </c>
      <c r="BE204" s="557">
        <v>0</v>
      </c>
      <c r="BF204" s="556">
        <f t="shared" si="96"/>
        <v>0</v>
      </c>
      <c r="BG204" s="557">
        <v>0</v>
      </c>
      <c r="BH204" s="557">
        <v>0</v>
      </c>
      <c r="BI204" s="557">
        <v>0</v>
      </c>
      <c r="BJ204" s="557">
        <v>0</v>
      </c>
      <c r="BK204" s="557">
        <v>0</v>
      </c>
      <c r="BL204" s="556">
        <f t="shared" ref="BL204:BL266" si="144">AQ204</f>
        <v>0</v>
      </c>
      <c r="BM204" s="557">
        <v>0</v>
      </c>
      <c r="BN204" s="557">
        <v>0</v>
      </c>
      <c r="BO204" s="557">
        <v>0</v>
      </c>
      <c r="BP204" s="557">
        <v>0</v>
      </c>
      <c r="BQ204" s="557">
        <v>0</v>
      </c>
      <c r="BR204" s="318"/>
      <c r="BS204" s="318"/>
      <c r="BT204" s="318"/>
      <c r="BU204" s="318"/>
      <c r="BV204" s="318"/>
      <c r="BW204" s="318"/>
      <c r="BX204" s="318"/>
      <c r="BY204" s="318"/>
      <c r="BZ204" s="318"/>
      <c r="CA204" s="318"/>
      <c r="CB204" s="318"/>
      <c r="CC204" s="318"/>
      <c r="CD204" s="318"/>
      <c r="CE204" s="457"/>
      <c r="CF204" s="318"/>
      <c r="CG204" s="360"/>
      <c r="CH204" s="360"/>
      <c r="CI204" s="360"/>
      <c r="CJ204" s="360"/>
      <c r="CK204" s="360"/>
      <c r="CL204" s="360"/>
      <c r="CM204" s="360"/>
      <c r="CN204" s="360"/>
      <c r="CO204" s="360"/>
      <c r="CP204" s="360"/>
    </row>
    <row r="205" spans="1:94" s="315" customFormat="1" ht="13" hidden="1" x14ac:dyDescent="0.25">
      <c r="A205" s="403">
        <v>194</v>
      </c>
      <c r="B205" s="313" t="s">
        <v>1284</v>
      </c>
      <c r="C205" s="313" t="s">
        <v>1281</v>
      </c>
      <c r="D205" s="318" t="s">
        <v>457</v>
      </c>
      <c r="E205" s="318"/>
      <c r="F205" s="313" t="s">
        <v>465</v>
      </c>
      <c r="G205" s="313" t="s">
        <v>1399</v>
      </c>
      <c r="H205" s="305"/>
      <c r="I205" s="305"/>
      <c r="J205" s="370">
        <v>0</v>
      </c>
      <c r="K205" s="370">
        <v>0</v>
      </c>
      <c r="L205" s="370">
        <f t="shared" ref="L205:L216" si="145">K205-J205</f>
        <v>0</v>
      </c>
      <c r="M205" s="316" t="s">
        <v>487</v>
      </c>
      <c r="N205" s="356"/>
      <c r="O205" s="398"/>
      <c r="P205" s="305" t="s">
        <v>463</v>
      </c>
      <c r="Q205" s="324"/>
      <c r="R205" s="305"/>
      <c r="S205" s="305"/>
      <c r="T205" s="305"/>
      <c r="U205" s="305"/>
      <c r="V205" s="426"/>
      <c r="W205" s="317"/>
      <c r="X205" s="317"/>
      <c r="Y205" s="317" t="str">
        <f t="shared" ref="Y205:Y261" si="146">IF(W205="","",5-((W205-(MIN($W$12:$W$261)))/(MAX($W$12:$W$261)-MIN($W$12:$W$261)))*5)</f>
        <v/>
      </c>
      <c r="Z205" s="318"/>
      <c r="AA205" s="318"/>
      <c r="AB205" s="318"/>
      <c r="AC205" s="318"/>
      <c r="AD205" s="458" t="s">
        <v>1290</v>
      </c>
      <c r="AE205" s="483">
        <f t="shared" si="137"/>
        <v>0</v>
      </c>
      <c r="AF205" s="482">
        <f t="shared" si="137"/>
        <v>0</v>
      </c>
      <c r="AG205" s="482">
        <f t="shared" si="137"/>
        <v>0</v>
      </c>
      <c r="AH205" s="482">
        <f t="shared" si="137"/>
        <v>0</v>
      </c>
      <c r="AI205" s="482">
        <f t="shared" si="137"/>
        <v>0</v>
      </c>
      <c r="AJ205" s="482">
        <f t="shared" si="137"/>
        <v>0</v>
      </c>
      <c r="AK205" s="556">
        <f t="shared" si="138"/>
        <v>0</v>
      </c>
      <c r="AL205" s="557">
        <f t="shared" si="138"/>
        <v>0</v>
      </c>
      <c r="AM205" s="557">
        <f t="shared" si="138"/>
        <v>0</v>
      </c>
      <c r="AN205" s="557">
        <f t="shared" si="138"/>
        <v>0</v>
      </c>
      <c r="AO205" s="557">
        <f t="shared" si="138"/>
        <v>0</v>
      </c>
      <c r="AP205" s="557">
        <f t="shared" si="138"/>
        <v>0</v>
      </c>
      <c r="AQ205" s="556">
        <f>IF(OR(M205="Exploration", M205="Pre-feasibility", O205&gt;2019), 0, "check")</f>
        <v>0</v>
      </c>
      <c r="AR205" s="557">
        <f t="shared" si="140"/>
        <v>0</v>
      </c>
      <c r="AS205" s="557">
        <f t="shared" si="140"/>
        <v>0</v>
      </c>
      <c r="AT205" s="557">
        <f t="shared" si="140"/>
        <v>0</v>
      </c>
      <c r="AU205" s="557">
        <f t="shared" si="140"/>
        <v>0</v>
      </c>
      <c r="AV205" s="557">
        <f t="shared" si="141"/>
        <v>0</v>
      </c>
      <c r="AW205" s="556">
        <f t="shared" si="107"/>
        <v>0</v>
      </c>
      <c r="AX205" s="514">
        <f t="shared" si="104"/>
        <v>0</v>
      </c>
      <c r="AY205" s="514" t="s">
        <v>1034</v>
      </c>
      <c r="AZ205" s="556">
        <f t="shared" si="143"/>
        <v>0</v>
      </c>
      <c r="BA205" s="557">
        <v>0</v>
      </c>
      <c r="BB205" s="557">
        <v>0</v>
      </c>
      <c r="BC205" s="557">
        <v>0</v>
      </c>
      <c r="BD205" s="557">
        <v>0</v>
      </c>
      <c r="BE205" s="557">
        <v>0</v>
      </c>
      <c r="BF205" s="556">
        <f t="shared" ref="BF205:BF267" si="147">AK205</f>
        <v>0</v>
      </c>
      <c r="BG205" s="557">
        <v>0</v>
      </c>
      <c r="BH205" s="557">
        <v>0</v>
      </c>
      <c r="BI205" s="557">
        <v>0</v>
      </c>
      <c r="BJ205" s="557">
        <v>0</v>
      </c>
      <c r="BK205" s="557">
        <v>0</v>
      </c>
      <c r="BL205" s="556">
        <f t="shared" si="144"/>
        <v>0</v>
      </c>
      <c r="BM205" s="557">
        <v>0</v>
      </c>
      <c r="BN205" s="557">
        <v>0</v>
      </c>
      <c r="BO205" s="557">
        <v>0</v>
      </c>
      <c r="BP205" s="557">
        <v>0</v>
      </c>
      <c r="BQ205" s="557">
        <v>0</v>
      </c>
      <c r="BR205" s="318"/>
      <c r="BS205" s="318"/>
      <c r="BT205" s="318"/>
      <c r="BU205" s="318"/>
      <c r="BV205" s="318"/>
      <c r="BW205" s="318"/>
      <c r="BX205" s="318"/>
      <c r="BY205" s="318"/>
      <c r="BZ205" s="318"/>
      <c r="CA205" s="318"/>
      <c r="CB205" s="318"/>
      <c r="CC205" s="318"/>
      <c r="CD205" s="318"/>
      <c r="CE205" s="457"/>
      <c r="CF205" s="318"/>
      <c r="CG205" s="360"/>
      <c r="CH205" s="360"/>
      <c r="CI205" s="360"/>
      <c r="CJ205" s="360"/>
      <c r="CK205" s="360"/>
      <c r="CL205" s="360"/>
      <c r="CM205" s="360"/>
      <c r="CN205" s="360"/>
      <c r="CO205" s="360"/>
      <c r="CP205" s="360"/>
    </row>
    <row r="206" spans="1:94" s="315" customFormat="1" ht="25" hidden="1" x14ac:dyDescent="0.25">
      <c r="A206" s="403">
        <v>195</v>
      </c>
      <c r="B206" s="313" t="s">
        <v>461</v>
      </c>
      <c r="C206" s="313" t="s">
        <v>1340</v>
      </c>
      <c r="D206" s="318" t="s">
        <v>594</v>
      </c>
      <c r="E206" s="318" t="s">
        <v>590</v>
      </c>
      <c r="F206" s="313" t="s">
        <v>462</v>
      </c>
      <c r="G206" s="313" t="s">
        <v>1395</v>
      </c>
      <c r="H206" s="305"/>
      <c r="I206" s="305" t="s">
        <v>1069</v>
      </c>
      <c r="J206" s="370">
        <v>0</v>
      </c>
      <c r="K206" s="370" t="e">
        <f>(90000*V206)/(IF(#REF!="yes",0.188,1))</f>
        <v>#REF!</v>
      </c>
      <c r="L206" s="370" t="e">
        <f>K206-K190</f>
        <v>#REF!</v>
      </c>
      <c r="M206" s="316" t="s">
        <v>619</v>
      </c>
      <c r="N206" s="398">
        <v>2022</v>
      </c>
      <c r="O206" s="398">
        <v>2024</v>
      </c>
      <c r="P206" s="305" t="s">
        <v>463</v>
      </c>
      <c r="Q206" s="324"/>
      <c r="R206" s="305"/>
      <c r="S206" s="305"/>
      <c r="T206" s="305"/>
      <c r="U206" s="305" t="s">
        <v>536</v>
      </c>
      <c r="V206" s="426">
        <v>0.188</v>
      </c>
      <c r="W206" s="443">
        <v>2.2000000000000002</v>
      </c>
      <c r="X206" s="445"/>
      <c r="Y206" s="317" t="e">
        <f t="shared" si="146"/>
        <v>#REF!</v>
      </c>
      <c r="Z206" s="318">
        <v>5</v>
      </c>
      <c r="AA206" s="318">
        <v>3</v>
      </c>
      <c r="AB206" s="318">
        <v>5</v>
      </c>
      <c r="AC206" s="318">
        <v>5</v>
      </c>
      <c r="AD206" s="458" t="s">
        <v>1339</v>
      </c>
      <c r="AE206" s="483">
        <f t="shared" ref="AE206:AJ217" si="148">IF(OR($M206="Exploration", $M206="Pre-feasibility", $O206&gt;2017), 0, "check")</f>
        <v>0</v>
      </c>
      <c r="AF206" s="482">
        <f t="shared" si="148"/>
        <v>0</v>
      </c>
      <c r="AG206" s="482">
        <f t="shared" si="148"/>
        <v>0</v>
      </c>
      <c r="AH206" s="482">
        <f t="shared" si="148"/>
        <v>0</v>
      </c>
      <c r="AI206" s="482">
        <f t="shared" si="148"/>
        <v>0</v>
      </c>
      <c r="AJ206" s="482">
        <f t="shared" si="148"/>
        <v>0</v>
      </c>
      <c r="AK206" s="556">
        <f t="shared" si="138"/>
        <v>0</v>
      </c>
      <c r="AL206" s="557">
        <f t="shared" si="138"/>
        <v>0</v>
      </c>
      <c r="AM206" s="557">
        <f t="shared" si="138"/>
        <v>0</v>
      </c>
      <c r="AN206" s="557">
        <f t="shared" si="138"/>
        <v>0</v>
      </c>
      <c r="AO206" s="557">
        <f t="shared" si="138"/>
        <v>0</v>
      </c>
      <c r="AP206" s="557">
        <f t="shared" si="138"/>
        <v>0</v>
      </c>
      <c r="AQ206" s="556">
        <f>IF(OR(M206="Exploration", M206="Pre-feasibility", O206&gt;2019), 0, "check")</f>
        <v>0</v>
      </c>
      <c r="AR206" s="557">
        <f t="shared" si="140"/>
        <v>0</v>
      </c>
      <c r="AS206" s="557">
        <f t="shared" si="140"/>
        <v>0</v>
      </c>
      <c r="AT206" s="557">
        <f t="shared" si="140"/>
        <v>0</v>
      </c>
      <c r="AU206" s="557">
        <f t="shared" si="140"/>
        <v>0</v>
      </c>
      <c r="AV206" s="557">
        <f t="shared" si="141"/>
        <v>0</v>
      </c>
      <c r="AW206" s="556">
        <f t="shared" si="107"/>
        <v>0</v>
      </c>
      <c r="AX206" s="514">
        <f t="shared" si="104"/>
        <v>0</v>
      </c>
      <c r="AY206" s="514" t="s">
        <v>1034</v>
      </c>
      <c r="AZ206" s="556">
        <f t="shared" si="143"/>
        <v>0</v>
      </c>
      <c r="BA206" s="557">
        <v>0</v>
      </c>
      <c r="BB206" s="557">
        <v>0</v>
      </c>
      <c r="BC206" s="557">
        <v>0</v>
      </c>
      <c r="BD206" s="557">
        <v>0</v>
      </c>
      <c r="BE206" s="557">
        <v>0</v>
      </c>
      <c r="BF206" s="556">
        <f t="shared" si="147"/>
        <v>0</v>
      </c>
      <c r="BG206" s="557">
        <v>0</v>
      </c>
      <c r="BH206" s="557">
        <v>0</v>
      </c>
      <c r="BI206" s="557">
        <v>0</v>
      </c>
      <c r="BJ206" s="557">
        <v>0</v>
      </c>
      <c r="BK206" s="557">
        <v>0</v>
      </c>
      <c r="BL206" s="556">
        <f t="shared" si="144"/>
        <v>0</v>
      </c>
      <c r="BM206" s="557">
        <v>0</v>
      </c>
      <c r="BN206" s="557">
        <v>0</v>
      </c>
      <c r="BO206" s="557">
        <v>0</v>
      </c>
      <c r="BP206" s="557">
        <v>0</v>
      </c>
      <c r="BQ206" s="557">
        <v>0</v>
      </c>
      <c r="BR206" s="318" t="s">
        <v>1346</v>
      </c>
      <c r="BS206" s="318"/>
      <c r="BT206" s="318"/>
      <c r="BU206" s="318"/>
      <c r="BV206" s="318"/>
      <c r="BW206" s="318"/>
      <c r="BX206" s="318"/>
      <c r="BY206" s="318"/>
      <c r="BZ206" s="318" t="s">
        <v>1345</v>
      </c>
      <c r="CA206" s="465"/>
      <c r="CB206" s="465"/>
      <c r="CC206" s="465"/>
      <c r="CD206" s="465"/>
      <c r="CE206" s="467" t="s">
        <v>1348</v>
      </c>
      <c r="CF206" s="443">
        <v>847.86</v>
      </c>
      <c r="CG206" s="360" t="s">
        <v>461</v>
      </c>
      <c r="CH206" s="430">
        <v>1</v>
      </c>
      <c r="CI206" s="360"/>
      <c r="CJ206" s="360"/>
      <c r="CK206" s="360"/>
      <c r="CL206" s="360"/>
      <c r="CM206" s="360"/>
      <c r="CN206" s="360"/>
      <c r="CO206" s="360"/>
      <c r="CP206" s="360"/>
    </row>
    <row r="207" spans="1:94" s="315" customFormat="1" ht="13" hidden="1" x14ac:dyDescent="0.25">
      <c r="A207" s="403">
        <v>196</v>
      </c>
      <c r="B207" s="313" t="s">
        <v>634</v>
      </c>
      <c r="C207" s="313" t="s">
        <v>963</v>
      </c>
      <c r="D207" s="318" t="s">
        <v>594</v>
      </c>
      <c r="E207" s="318" t="s">
        <v>552</v>
      </c>
      <c r="F207" s="313" t="s">
        <v>465</v>
      </c>
      <c r="G207" s="313" t="s">
        <v>1393</v>
      </c>
      <c r="H207" s="305" t="s">
        <v>1229</v>
      </c>
      <c r="I207" s="411"/>
      <c r="J207" s="370" t="e">
        <f>21000*$V207/(IF(#REF!="yes",0.188,1))</f>
        <v>#REF!</v>
      </c>
      <c r="K207" s="370"/>
      <c r="L207" s="370" t="e">
        <f>J207</f>
        <v>#REF!</v>
      </c>
      <c r="M207" s="316" t="s">
        <v>483</v>
      </c>
      <c r="N207" s="398">
        <v>2016</v>
      </c>
      <c r="O207" s="398">
        <v>2018</v>
      </c>
      <c r="P207" s="305" t="s">
        <v>463</v>
      </c>
      <c r="Q207" s="324"/>
      <c r="R207" s="305"/>
      <c r="S207" s="305"/>
      <c r="T207" s="305"/>
      <c r="U207" s="305" t="s">
        <v>536</v>
      </c>
      <c r="V207" s="426">
        <v>0.188</v>
      </c>
      <c r="W207" s="443">
        <v>4.5</v>
      </c>
      <c r="X207" s="445"/>
      <c r="Y207" s="317" t="e">
        <f t="shared" si="146"/>
        <v>#REF!</v>
      </c>
      <c r="Z207" s="318">
        <v>4</v>
      </c>
      <c r="AA207" s="318">
        <v>5</v>
      </c>
      <c r="AB207" s="318">
        <v>4</v>
      </c>
      <c r="AC207" s="318">
        <v>3</v>
      </c>
      <c r="AD207" s="318" t="s">
        <v>639</v>
      </c>
      <c r="AE207" s="483">
        <v>18000</v>
      </c>
      <c r="AF207" s="482" t="s">
        <v>1524</v>
      </c>
      <c r="AG207" s="482" t="s">
        <v>1524</v>
      </c>
      <c r="AH207" s="482" t="s">
        <v>1524</v>
      </c>
      <c r="AI207" s="482" t="s">
        <v>1524</v>
      </c>
      <c r="AJ207" s="482">
        <v>15153</v>
      </c>
      <c r="AK207" s="556">
        <v>21000</v>
      </c>
      <c r="AL207" s="557" t="s">
        <v>1524</v>
      </c>
      <c r="AM207" s="557" t="s">
        <v>1524</v>
      </c>
      <c r="AN207" s="557" t="s">
        <v>1524</v>
      </c>
      <c r="AO207" s="557" t="s">
        <v>1524</v>
      </c>
      <c r="AP207" s="557">
        <v>17238</v>
      </c>
      <c r="AQ207" s="556">
        <v>21000</v>
      </c>
      <c r="AR207" s="557" t="s">
        <v>1524</v>
      </c>
      <c r="AS207" s="557" t="s">
        <v>1524</v>
      </c>
      <c r="AT207" s="557" t="s">
        <v>1524</v>
      </c>
      <c r="AU207" s="557" t="s">
        <v>1524</v>
      </c>
      <c r="AV207" s="557">
        <v>16785</v>
      </c>
      <c r="AW207" s="556">
        <v>21000</v>
      </c>
      <c r="AX207" s="514">
        <v>21000</v>
      </c>
      <c r="AY207" s="514" t="s">
        <v>1532</v>
      </c>
      <c r="AZ207" s="556">
        <f>AE207</f>
        <v>18000</v>
      </c>
      <c r="BA207" s="557" t="s">
        <v>1524</v>
      </c>
      <c r="BB207" s="557" t="s">
        <v>1524</v>
      </c>
      <c r="BC207" s="557" t="s">
        <v>1524</v>
      </c>
      <c r="BD207" s="557" t="s">
        <v>1524</v>
      </c>
      <c r="BE207" s="557" t="s">
        <v>1524</v>
      </c>
      <c r="BF207" s="556">
        <f t="shared" si="147"/>
        <v>21000</v>
      </c>
      <c r="BG207" s="557" t="s">
        <v>1524</v>
      </c>
      <c r="BH207" s="557" t="s">
        <v>1524</v>
      </c>
      <c r="BI207" s="557" t="s">
        <v>1524</v>
      </c>
      <c r="BJ207" s="557" t="s">
        <v>1524</v>
      </c>
      <c r="BK207" s="557" t="s">
        <v>1524</v>
      </c>
      <c r="BL207" s="556">
        <f t="shared" si="144"/>
        <v>21000</v>
      </c>
      <c r="BM207" s="557" t="s">
        <v>1524</v>
      </c>
      <c r="BN207" s="557" t="s">
        <v>1524</v>
      </c>
      <c r="BO207" s="557" t="s">
        <v>1524</v>
      </c>
      <c r="BP207" s="557" t="s">
        <v>1524</v>
      </c>
      <c r="BQ207" s="557" t="s">
        <v>1524</v>
      </c>
      <c r="BR207" s="318"/>
      <c r="BS207" s="318"/>
      <c r="BT207" s="318"/>
      <c r="BU207" s="318"/>
      <c r="BV207" s="318"/>
      <c r="BW207" s="318"/>
      <c r="BX207" s="318"/>
      <c r="BY207" s="318"/>
      <c r="BZ207" s="318" t="s">
        <v>1474</v>
      </c>
      <c r="CA207" s="465"/>
      <c r="CB207" s="465"/>
      <c r="CC207" s="465"/>
      <c r="CD207" s="465"/>
      <c r="CE207" s="467"/>
      <c r="CF207" s="443">
        <v>28.3</v>
      </c>
      <c r="CG207" s="360" t="s">
        <v>561</v>
      </c>
      <c r="CH207" s="430">
        <v>1</v>
      </c>
      <c r="CI207" s="360"/>
      <c r="CJ207" s="360"/>
      <c r="CK207" s="360"/>
      <c r="CL207" s="360"/>
      <c r="CM207" s="360"/>
      <c r="CN207" s="360"/>
      <c r="CO207" s="360"/>
      <c r="CP207" s="360"/>
    </row>
    <row r="208" spans="1:94" s="315" customFormat="1" ht="13" hidden="1" x14ac:dyDescent="0.25">
      <c r="A208" s="403">
        <v>197</v>
      </c>
      <c r="B208" s="313" t="s">
        <v>634</v>
      </c>
      <c r="C208" s="313" t="s">
        <v>963</v>
      </c>
      <c r="D208" s="318" t="s">
        <v>594</v>
      </c>
      <c r="E208" s="318" t="s">
        <v>553</v>
      </c>
      <c r="F208" s="313" t="s">
        <v>465</v>
      </c>
      <c r="G208" s="313" t="s">
        <v>1393</v>
      </c>
      <c r="H208" s="305"/>
      <c r="I208" s="305" t="s">
        <v>591</v>
      </c>
      <c r="J208" s="370">
        <v>0</v>
      </c>
      <c r="K208" s="370" t="e">
        <f>40000*$V208/(IF(#REF!="yes",0.188,1))</f>
        <v>#REF!</v>
      </c>
      <c r="L208" s="370" t="e">
        <f>K208-J207</f>
        <v>#REF!</v>
      </c>
      <c r="M208" s="316" t="s">
        <v>484</v>
      </c>
      <c r="N208" s="398">
        <v>2020</v>
      </c>
      <c r="O208" s="398">
        <v>2022</v>
      </c>
      <c r="P208" s="305" t="s">
        <v>463</v>
      </c>
      <c r="Q208" s="324"/>
      <c r="R208" s="305"/>
      <c r="S208" s="305"/>
      <c r="T208" s="305"/>
      <c r="U208" s="305" t="s">
        <v>536</v>
      </c>
      <c r="V208" s="426">
        <v>0.188</v>
      </c>
      <c r="W208" s="443">
        <v>4.5</v>
      </c>
      <c r="X208" s="445"/>
      <c r="Y208" s="317" t="e">
        <f t="shared" si="146"/>
        <v>#REF!</v>
      </c>
      <c r="Z208" s="318">
        <v>4</v>
      </c>
      <c r="AA208" s="318">
        <v>5</v>
      </c>
      <c r="AB208" s="318">
        <v>4</v>
      </c>
      <c r="AC208" s="318">
        <v>3</v>
      </c>
      <c r="AD208" s="318" t="s">
        <v>969</v>
      </c>
      <c r="AE208" s="483">
        <f t="shared" si="148"/>
        <v>0</v>
      </c>
      <c r="AF208" s="482">
        <f t="shared" si="148"/>
        <v>0</v>
      </c>
      <c r="AG208" s="482">
        <f t="shared" si="148"/>
        <v>0</v>
      </c>
      <c r="AH208" s="482">
        <f t="shared" si="148"/>
        <v>0</v>
      </c>
      <c r="AI208" s="482">
        <f t="shared" si="148"/>
        <v>0</v>
      </c>
      <c r="AJ208" s="482">
        <f t="shared" si="148"/>
        <v>0</v>
      </c>
      <c r="AK208" s="556">
        <f t="shared" ref="AK208:AP217" si="149">IF(OR($M208="Exploration", $M208="Pre-feasibility", $O208&gt;2018), 0, "check")</f>
        <v>0</v>
      </c>
      <c r="AL208" s="557">
        <f t="shared" si="149"/>
        <v>0</v>
      </c>
      <c r="AM208" s="557">
        <f t="shared" si="149"/>
        <v>0</v>
      </c>
      <c r="AN208" s="557">
        <f t="shared" si="149"/>
        <v>0</v>
      </c>
      <c r="AO208" s="557">
        <f t="shared" si="149"/>
        <v>0</v>
      </c>
      <c r="AP208" s="557">
        <f t="shared" si="149"/>
        <v>0</v>
      </c>
      <c r="AQ208" s="556">
        <f t="shared" ref="AQ208:AQ266" si="150">IF(OR(M208="Exploration", M208="Pre-feasibility", O208&gt;2019), 0, "check")</f>
        <v>0</v>
      </c>
      <c r="AR208" s="557">
        <f t="shared" ref="AR208:AU266" si="151">IF(OR($M208="Exploration", $M208="Pre-feasibility", $O208&gt;2019), 0, "check")</f>
        <v>0</v>
      </c>
      <c r="AS208" s="557">
        <f t="shared" si="151"/>
        <v>0</v>
      </c>
      <c r="AT208" s="557">
        <f t="shared" si="151"/>
        <v>0</v>
      </c>
      <c r="AU208" s="557">
        <f t="shared" si="151"/>
        <v>0</v>
      </c>
      <c r="AV208" s="557">
        <f t="shared" ref="AV208:AV266" si="152">IF(OR(M208="Exploration", M208="Pre-feasibility", O208&gt;2019), 0, "check")</f>
        <v>0</v>
      </c>
      <c r="AW208" s="556" t="str">
        <f t="shared" si="107"/>
        <v>check</v>
      </c>
      <c r="AX208" s="514">
        <f t="shared" ref="AX208:AX242" si="153">IF($O208&gt;2020,0,IF(AW208=0,0,"check"))</f>
        <v>0</v>
      </c>
      <c r="AY208" s="514" t="s">
        <v>1533</v>
      </c>
      <c r="AZ208" s="556">
        <f t="shared" ref="AZ208:AZ216" si="154">AE208</f>
        <v>0</v>
      </c>
      <c r="BA208" s="557">
        <v>0</v>
      </c>
      <c r="BB208" s="557">
        <v>0</v>
      </c>
      <c r="BC208" s="557">
        <v>0</v>
      </c>
      <c r="BD208" s="557">
        <v>0</v>
      </c>
      <c r="BE208" s="557">
        <v>0</v>
      </c>
      <c r="BF208" s="556">
        <f t="shared" si="147"/>
        <v>0</v>
      </c>
      <c r="BG208" s="557">
        <v>0</v>
      </c>
      <c r="BH208" s="557">
        <v>0</v>
      </c>
      <c r="BI208" s="557">
        <v>0</v>
      </c>
      <c r="BJ208" s="557">
        <v>0</v>
      </c>
      <c r="BK208" s="557">
        <v>0</v>
      </c>
      <c r="BL208" s="556">
        <f t="shared" si="144"/>
        <v>0</v>
      </c>
      <c r="BM208" s="557">
        <v>0</v>
      </c>
      <c r="BN208" s="557">
        <v>0</v>
      </c>
      <c r="BO208" s="557">
        <v>0</v>
      </c>
      <c r="BP208" s="557">
        <v>0</v>
      </c>
      <c r="BQ208" s="557">
        <v>0</v>
      </c>
      <c r="BR208" s="318"/>
      <c r="BS208" s="318"/>
      <c r="BT208" s="318"/>
      <c r="BU208" s="318"/>
      <c r="BV208" s="318"/>
      <c r="BW208" s="318"/>
      <c r="BX208" s="318"/>
      <c r="BY208" s="318"/>
      <c r="BZ208" s="318" t="s">
        <v>1474</v>
      </c>
      <c r="CA208" s="465"/>
      <c r="CB208" s="465"/>
      <c r="CC208" s="465"/>
      <c r="CD208" s="465"/>
      <c r="CE208" s="467"/>
      <c r="CF208" s="443">
        <v>28.3</v>
      </c>
      <c r="CG208" s="360" t="s">
        <v>561</v>
      </c>
      <c r="CH208" s="430">
        <v>1</v>
      </c>
      <c r="CI208" s="360"/>
      <c r="CJ208" s="360"/>
      <c r="CK208" s="360"/>
      <c r="CL208" s="360"/>
      <c r="CM208" s="360"/>
      <c r="CN208" s="360"/>
      <c r="CO208" s="360"/>
      <c r="CP208" s="360"/>
    </row>
    <row r="209" spans="1:94" s="315" customFormat="1" ht="25" hidden="1" x14ac:dyDescent="0.25">
      <c r="A209" s="403">
        <v>198</v>
      </c>
      <c r="B209" s="313" t="s">
        <v>643</v>
      </c>
      <c r="C209" s="313" t="s">
        <v>970</v>
      </c>
      <c r="D209" s="318" t="s">
        <v>594</v>
      </c>
      <c r="E209" s="318"/>
      <c r="F209" s="313" t="s">
        <v>397</v>
      </c>
      <c r="G209" s="313" t="s">
        <v>1398</v>
      </c>
      <c r="H209" s="305"/>
      <c r="I209" s="305"/>
      <c r="J209" s="370">
        <v>0</v>
      </c>
      <c r="K209" s="370">
        <v>0</v>
      </c>
      <c r="L209" s="370">
        <f t="shared" si="145"/>
        <v>0</v>
      </c>
      <c r="M209" s="316" t="s">
        <v>807</v>
      </c>
      <c r="N209" s="356"/>
      <c r="O209" s="398"/>
      <c r="P209" s="305"/>
      <c r="Q209" s="324"/>
      <c r="R209" s="305"/>
      <c r="S209" s="305"/>
      <c r="T209" s="305"/>
      <c r="U209" s="305" t="s">
        <v>1080</v>
      </c>
      <c r="V209" s="426"/>
      <c r="W209" s="317"/>
      <c r="X209" s="317"/>
      <c r="Y209" s="317" t="str">
        <f t="shared" si="146"/>
        <v/>
      </c>
      <c r="Z209" s="318">
        <v>5</v>
      </c>
      <c r="AA209" s="318"/>
      <c r="AB209" s="318"/>
      <c r="AC209" s="318">
        <v>3</v>
      </c>
      <c r="AD209" s="318" t="s">
        <v>973</v>
      </c>
      <c r="AE209" s="483">
        <f t="shared" si="148"/>
        <v>0</v>
      </c>
      <c r="AF209" s="482">
        <f t="shared" si="148"/>
        <v>0</v>
      </c>
      <c r="AG209" s="482">
        <f t="shared" si="148"/>
        <v>0</v>
      </c>
      <c r="AH209" s="482">
        <f t="shared" si="148"/>
        <v>0</v>
      </c>
      <c r="AI209" s="482">
        <f t="shared" si="148"/>
        <v>0</v>
      </c>
      <c r="AJ209" s="482">
        <f t="shared" si="148"/>
        <v>0</v>
      </c>
      <c r="AK209" s="556">
        <f t="shared" si="149"/>
        <v>0</v>
      </c>
      <c r="AL209" s="557">
        <f t="shared" si="149"/>
        <v>0</v>
      </c>
      <c r="AM209" s="557">
        <f t="shared" si="149"/>
        <v>0</v>
      </c>
      <c r="AN209" s="557">
        <f t="shared" si="149"/>
        <v>0</v>
      </c>
      <c r="AO209" s="557">
        <f t="shared" si="149"/>
        <v>0</v>
      </c>
      <c r="AP209" s="557">
        <f t="shared" si="149"/>
        <v>0</v>
      </c>
      <c r="AQ209" s="556">
        <f t="shared" si="150"/>
        <v>0</v>
      </c>
      <c r="AR209" s="557">
        <f t="shared" si="151"/>
        <v>0</v>
      </c>
      <c r="AS209" s="557">
        <f t="shared" si="151"/>
        <v>0</v>
      </c>
      <c r="AT209" s="557">
        <f t="shared" si="151"/>
        <v>0</v>
      </c>
      <c r="AU209" s="557">
        <f t="shared" si="151"/>
        <v>0</v>
      </c>
      <c r="AV209" s="557">
        <f t="shared" si="152"/>
        <v>0</v>
      </c>
      <c r="AW209" s="556">
        <f t="shared" si="107"/>
        <v>0</v>
      </c>
      <c r="AX209" s="514">
        <f t="shared" si="153"/>
        <v>0</v>
      </c>
      <c r="AY209" s="514" t="s">
        <v>1034</v>
      </c>
      <c r="AZ209" s="556">
        <f t="shared" si="154"/>
        <v>0</v>
      </c>
      <c r="BA209" s="557">
        <v>0</v>
      </c>
      <c r="BB209" s="557">
        <v>0</v>
      </c>
      <c r="BC209" s="557">
        <v>0</v>
      </c>
      <c r="BD209" s="557">
        <v>0</v>
      </c>
      <c r="BE209" s="557">
        <v>0</v>
      </c>
      <c r="BF209" s="556">
        <f t="shared" si="147"/>
        <v>0</v>
      </c>
      <c r="BG209" s="557">
        <v>0</v>
      </c>
      <c r="BH209" s="557">
        <v>0</v>
      </c>
      <c r="BI209" s="557">
        <v>0</v>
      </c>
      <c r="BJ209" s="557">
        <v>0</v>
      </c>
      <c r="BK209" s="557">
        <v>0</v>
      </c>
      <c r="BL209" s="556">
        <f t="shared" si="144"/>
        <v>0</v>
      </c>
      <c r="BM209" s="557">
        <v>0</v>
      </c>
      <c r="BN209" s="557">
        <v>0</v>
      </c>
      <c r="BO209" s="557">
        <v>0</v>
      </c>
      <c r="BP209" s="557">
        <v>0</v>
      </c>
      <c r="BQ209" s="557">
        <v>0</v>
      </c>
      <c r="BR209" s="318"/>
      <c r="BS209" s="318"/>
      <c r="BT209" s="318"/>
      <c r="BU209" s="318"/>
      <c r="BV209" s="318"/>
      <c r="BW209" s="318"/>
      <c r="BX209" s="318"/>
      <c r="BY209" s="318"/>
      <c r="BZ209" s="318"/>
      <c r="CA209" s="318"/>
      <c r="CB209" s="318"/>
      <c r="CC209" s="318"/>
      <c r="CD209" s="318"/>
      <c r="CE209" s="457"/>
      <c r="CF209" s="318">
        <v>74</v>
      </c>
      <c r="CG209" s="360" t="s">
        <v>728</v>
      </c>
      <c r="CH209" s="430">
        <v>1</v>
      </c>
      <c r="CI209" s="360"/>
      <c r="CJ209" s="360"/>
      <c r="CK209" s="360"/>
      <c r="CL209" s="360"/>
      <c r="CM209" s="360"/>
      <c r="CN209" s="360"/>
      <c r="CO209" s="360"/>
      <c r="CP209" s="360"/>
    </row>
    <row r="210" spans="1:94" s="315" customFormat="1" ht="13" hidden="1" x14ac:dyDescent="0.25">
      <c r="A210" s="403">
        <v>199</v>
      </c>
      <c r="B210" s="313" t="s">
        <v>643</v>
      </c>
      <c r="C210" s="313" t="s">
        <v>971</v>
      </c>
      <c r="D210" s="318" t="s">
        <v>594</v>
      </c>
      <c r="E210" s="318"/>
      <c r="F210" s="313" t="s">
        <v>245</v>
      </c>
      <c r="G210" s="313" t="s">
        <v>32</v>
      </c>
      <c r="H210" s="305"/>
      <c r="I210" s="305"/>
      <c r="J210" s="370">
        <v>0</v>
      </c>
      <c r="K210" s="370">
        <v>0</v>
      </c>
      <c r="L210" s="370">
        <f t="shared" si="145"/>
        <v>0</v>
      </c>
      <c r="M210" s="316" t="s">
        <v>807</v>
      </c>
      <c r="N210" s="356"/>
      <c r="O210" s="398"/>
      <c r="P210" s="305" t="s">
        <v>519</v>
      </c>
      <c r="Q210" s="324"/>
      <c r="R210" s="305"/>
      <c r="S210" s="305"/>
      <c r="T210" s="305"/>
      <c r="U210" s="305" t="s">
        <v>579</v>
      </c>
      <c r="V210" s="426"/>
      <c r="W210" s="317"/>
      <c r="X210" s="317"/>
      <c r="Y210" s="317" t="str">
        <f t="shared" si="146"/>
        <v/>
      </c>
      <c r="Z210" s="318">
        <v>4</v>
      </c>
      <c r="AA210" s="318"/>
      <c r="AB210" s="318"/>
      <c r="AC210" s="318">
        <v>3</v>
      </c>
      <c r="AD210" s="458" t="s">
        <v>972</v>
      </c>
      <c r="AE210" s="483">
        <f t="shared" si="148"/>
        <v>0</v>
      </c>
      <c r="AF210" s="482">
        <f t="shared" si="148"/>
        <v>0</v>
      </c>
      <c r="AG210" s="482">
        <f t="shared" si="148"/>
        <v>0</v>
      </c>
      <c r="AH210" s="482">
        <f t="shared" si="148"/>
        <v>0</v>
      </c>
      <c r="AI210" s="482">
        <f t="shared" si="148"/>
        <v>0</v>
      </c>
      <c r="AJ210" s="482">
        <f t="shared" si="148"/>
        <v>0</v>
      </c>
      <c r="AK210" s="556">
        <f t="shared" si="149"/>
        <v>0</v>
      </c>
      <c r="AL210" s="557">
        <f t="shared" si="149"/>
        <v>0</v>
      </c>
      <c r="AM210" s="557">
        <f t="shared" si="149"/>
        <v>0</v>
      </c>
      <c r="AN210" s="557">
        <f t="shared" si="149"/>
        <v>0</v>
      </c>
      <c r="AO210" s="557">
        <f t="shared" si="149"/>
        <v>0</v>
      </c>
      <c r="AP210" s="557">
        <f t="shared" si="149"/>
        <v>0</v>
      </c>
      <c r="AQ210" s="556">
        <f t="shared" si="150"/>
        <v>0</v>
      </c>
      <c r="AR210" s="557">
        <f t="shared" si="151"/>
        <v>0</v>
      </c>
      <c r="AS210" s="557">
        <f t="shared" si="151"/>
        <v>0</v>
      </c>
      <c r="AT210" s="557">
        <f t="shared" si="151"/>
        <v>0</v>
      </c>
      <c r="AU210" s="557">
        <f t="shared" si="151"/>
        <v>0</v>
      </c>
      <c r="AV210" s="557">
        <f t="shared" si="152"/>
        <v>0</v>
      </c>
      <c r="AW210" s="556">
        <f t="shared" si="107"/>
        <v>0</v>
      </c>
      <c r="AX210" s="514">
        <f t="shared" si="153"/>
        <v>0</v>
      </c>
      <c r="AY210" s="514" t="s">
        <v>1034</v>
      </c>
      <c r="AZ210" s="556">
        <f t="shared" si="154"/>
        <v>0</v>
      </c>
      <c r="BA210" s="557">
        <v>0</v>
      </c>
      <c r="BB210" s="557">
        <v>0</v>
      </c>
      <c r="BC210" s="557">
        <v>0</v>
      </c>
      <c r="BD210" s="557">
        <v>0</v>
      </c>
      <c r="BE210" s="557">
        <v>0</v>
      </c>
      <c r="BF210" s="556">
        <f t="shared" si="147"/>
        <v>0</v>
      </c>
      <c r="BG210" s="557">
        <v>0</v>
      </c>
      <c r="BH210" s="557">
        <v>0</v>
      </c>
      <c r="BI210" s="557">
        <v>0</v>
      </c>
      <c r="BJ210" s="557">
        <v>0</v>
      </c>
      <c r="BK210" s="557">
        <v>0</v>
      </c>
      <c r="BL210" s="556">
        <f t="shared" si="144"/>
        <v>0</v>
      </c>
      <c r="BM210" s="557">
        <v>0</v>
      </c>
      <c r="BN210" s="557">
        <v>0</v>
      </c>
      <c r="BO210" s="557">
        <v>0</v>
      </c>
      <c r="BP210" s="557">
        <v>0</v>
      </c>
      <c r="BQ210" s="557">
        <v>0</v>
      </c>
      <c r="BR210" s="318"/>
      <c r="BS210" s="318"/>
      <c r="BT210" s="318"/>
      <c r="BU210" s="318"/>
      <c r="BV210" s="318"/>
      <c r="BW210" s="318"/>
      <c r="BX210" s="318"/>
      <c r="BY210" s="318"/>
      <c r="BZ210" s="318"/>
      <c r="CA210" s="318"/>
      <c r="CB210" s="318"/>
      <c r="CC210" s="318"/>
      <c r="CD210" s="318"/>
      <c r="CE210" s="457"/>
      <c r="CF210" s="318">
        <f>(74*0.5)+(2.74*0.5)</f>
        <v>38.369999999999997</v>
      </c>
      <c r="CG210" s="360" t="s">
        <v>728</v>
      </c>
      <c r="CH210" s="430">
        <v>0.5</v>
      </c>
      <c r="CI210" s="360" t="s">
        <v>1255</v>
      </c>
      <c r="CJ210" s="430">
        <v>0.5</v>
      </c>
      <c r="CK210" s="360"/>
      <c r="CL210" s="360"/>
      <c r="CM210" s="360"/>
      <c r="CN210" s="360"/>
      <c r="CO210" s="360"/>
      <c r="CP210" s="360"/>
    </row>
    <row r="211" spans="1:94" s="315" customFormat="1" ht="13" hidden="1" x14ac:dyDescent="0.25">
      <c r="A211" s="403">
        <v>200</v>
      </c>
      <c r="B211" s="313" t="s">
        <v>983</v>
      </c>
      <c r="C211" s="313" t="s">
        <v>984</v>
      </c>
      <c r="D211" s="318" t="s">
        <v>457</v>
      </c>
      <c r="E211" s="318"/>
      <c r="F211" s="313" t="s">
        <v>465</v>
      </c>
      <c r="G211" s="313" t="s">
        <v>1400</v>
      </c>
      <c r="H211" s="305"/>
      <c r="I211" s="305" t="s">
        <v>1081</v>
      </c>
      <c r="J211" s="370">
        <v>0</v>
      </c>
      <c r="K211" s="370">
        <v>20000</v>
      </c>
      <c r="L211" s="370">
        <f t="shared" si="145"/>
        <v>20000</v>
      </c>
      <c r="M211" s="316" t="s">
        <v>807</v>
      </c>
      <c r="N211" s="356"/>
      <c r="O211" s="398"/>
      <c r="P211" s="305" t="s">
        <v>463</v>
      </c>
      <c r="Q211" s="324" t="s">
        <v>985</v>
      </c>
      <c r="R211" s="305"/>
      <c r="S211" s="305" t="s">
        <v>1022</v>
      </c>
      <c r="T211" s="305"/>
      <c r="U211" s="305" t="s">
        <v>528</v>
      </c>
      <c r="V211" s="426">
        <v>0.188</v>
      </c>
      <c r="W211" s="317">
        <v>2.91</v>
      </c>
      <c r="X211" s="317">
        <v>2.91</v>
      </c>
      <c r="Y211" s="317" t="e">
        <f t="shared" si="146"/>
        <v>#REF!</v>
      </c>
      <c r="Z211" s="318">
        <v>2</v>
      </c>
      <c r="AA211" s="318">
        <v>1</v>
      </c>
      <c r="AB211" s="318">
        <v>3</v>
      </c>
      <c r="AC211" s="318"/>
      <c r="AD211" s="318" t="s">
        <v>987</v>
      </c>
      <c r="AE211" s="483">
        <f t="shared" si="148"/>
        <v>0</v>
      </c>
      <c r="AF211" s="482">
        <f t="shared" si="148"/>
        <v>0</v>
      </c>
      <c r="AG211" s="482">
        <f t="shared" si="148"/>
        <v>0</v>
      </c>
      <c r="AH211" s="482">
        <f t="shared" si="148"/>
        <v>0</v>
      </c>
      <c r="AI211" s="482">
        <f t="shared" si="148"/>
        <v>0</v>
      </c>
      <c r="AJ211" s="482">
        <f t="shared" si="148"/>
        <v>0</v>
      </c>
      <c r="AK211" s="556">
        <f t="shared" si="149"/>
        <v>0</v>
      </c>
      <c r="AL211" s="557">
        <f t="shared" si="149"/>
        <v>0</v>
      </c>
      <c r="AM211" s="557">
        <f t="shared" si="149"/>
        <v>0</v>
      </c>
      <c r="AN211" s="557">
        <f t="shared" si="149"/>
        <v>0</v>
      </c>
      <c r="AO211" s="557">
        <f t="shared" si="149"/>
        <v>0</v>
      </c>
      <c r="AP211" s="557">
        <f t="shared" si="149"/>
        <v>0</v>
      </c>
      <c r="AQ211" s="556">
        <f t="shared" si="150"/>
        <v>0</v>
      </c>
      <c r="AR211" s="557">
        <f t="shared" si="151"/>
        <v>0</v>
      </c>
      <c r="AS211" s="557">
        <f t="shared" si="151"/>
        <v>0</v>
      </c>
      <c r="AT211" s="557">
        <f t="shared" si="151"/>
        <v>0</v>
      </c>
      <c r="AU211" s="557">
        <f t="shared" si="151"/>
        <v>0</v>
      </c>
      <c r="AV211" s="557">
        <f t="shared" si="152"/>
        <v>0</v>
      </c>
      <c r="AW211" s="556">
        <f t="shared" si="107"/>
        <v>0</v>
      </c>
      <c r="AX211" s="514">
        <f t="shared" si="153"/>
        <v>0</v>
      </c>
      <c r="AY211" s="514" t="s">
        <v>1034</v>
      </c>
      <c r="AZ211" s="556">
        <f t="shared" si="154"/>
        <v>0</v>
      </c>
      <c r="BA211" s="557">
        <v>0</v>
      </c>
      <c r="BB211" s="557">
        <v>0</v>
      </c>
      <c r="BC211" s="557">
        <v>0</v>
      </c>
      <c r="BD211" s="557">
        <v>0</v>
      </c>
      <c r="BE211" s="557">
        <v>0</v>
      </c>
      <c r="BF211" s="556">
        <f t="shared" si="147"/>
        <v>0</v>
      </c>
      <c r="BG211" s="557">
        <v>0</v>
      </c>
      <c r="BH211" s="557">
        <v>0</v>
      </c>
      <c r="BI211" s="557">
        <v>0</v>
      </c>
      <c r="BJ211" s="557">
        <v>0</v>
      </c>
      <c r="BK211" s="557">
        <v>0</v>
      </c>
      <c r="BL211" s="556">
        <f t="shared" si="144"/>
        <v>0</v>
      </c>
      <c r="BM211" s="557">
        <v>0</v>
      </c>
      <c r="BN211" s="557">
        <v>0</v>
      </c>
      <c r="BO211" s="557">
        <v>0</v>
      </c>
      <c r="BP211" s="557">
        <v>0</v>
      </c>
      <c r="BQ211" s="557">
        <v>0</v>
      </c>
      <c r="BR211" s="318"/>
      <c r="BS211" s="318"/>
      <c r="BT211" s="318"/>
      <c r="BU211" s="318"/>
      <c r="BV211" s="318"/>
      <c r="BW211" s="318"/>
      <c r="BX211" s="318"/>
      <c r="BY211" s="318"/>
      <c r="BZ211" s="318"/>
      <c r="CA211" s="318"/>
      <c r="CB211" s="318"/>
      <c r="CC211" s="318"/>
      <c r="CD211" s="318"/>
      <c r="CE211" s="457"/>
      <c r="CF211" s="318"/>
      <c r="CG211" s="360"/>
      <c r="CH211" s="360"/>
      <c r="CI211" s="360"/>
      <c r="CJ211" s="360"/>
      <c r="CK211" s="360"/>
      <c r="CL211" s="360"/>
      <c r="CM211" s="360"/>
      <c r="CN211" s="360"/>
      <c r="CO211" s="360"/>
      <c r="CP211" s="360"/>
    </row>
    <row r="212" spans="1:94" s="315" customFormat="1" ht="13" hidden="1" x14ac:dyDescent="0.25">
      <c r="A212" s="403">
        <v>201</v>
      </c>
      <c r="B212" s="313" t="s">
        <v>502</v>
      </c>
      <c r="C212" s="313" t="s">
        <v>981</v>
      </c>
      <c r="D212" s="318" t="s">
        <v>457</v>
      </c>
      <c r="E212" s="318"/>
      <c r="F212" s="313" t="s">
        <v>465</v>
      </c>
      <c r="G212" s="313" t="s">
        <v>1396</v>
      </c>
      <c r="H212" s="305"/>
      <c r="I212" s="305" t="s">
        <v>1079</v>
      </c>
      <c r="J212" s="370">
        <v>0</v>
      </c>
      <c r="K212" s="370">
        <v>0</v>
      </c>
      <c r="L212" s="370">
        <f t="shared" si="145"/>
        <v>0</v>
      </c>
      <c r="M212" s="316" t="s">
        <v>487</v>
      </c>
      <c r="N212" s="356"/>
      <c r="O212" s="398"/>
      <c r="P212" s="305" t="s">
        <v>463</v>
      </c>
      <c r="Q212" s="324" t="s">
        <v>986</v>
      </c>
      <c r="R212" s="305"/>
      <c r="S212" s="305" t="s">
        <v>1022</v>
      </c>
      <c r="T212" s="305"/>
      <c r="U212" s="305" t="s">
        <v>528</v>
      </c>
      <c r="V212" s="426">
        <v>0.188</v>
      </c>
      <c r="W212" s="317"/>
      <c r="X212" s="317"/>
      <c r="Y212" s="317" t="str">
        <f t="shared" si="146"/>
        <v/>
      </c>
      <c r="Z212" s="318">
        <v>1</v>
      </c>
      <c r="AA212" s="318">
        <v>1</v>
      </c>
      <c r="AB212" s="318">
        <v>3</v>
      </c>
      <c r="AC212" s="318"/>
      <c r="AD212" s="318" t="s">
        <v>982</v>
      </c>
      <c r="AE212" s="483">
        <f t="shared" si="148"/>
        <v>0</v>
      </c>
      <c r="AF212" s="482">
        <f t="shared" si="148"/>
        <v>0</v>
      </c>
      <c r="AG212" s="482">
        <f t="shared" si="148"/>
        <v>0</v>
      </c>
      <c r="AH212" s="482">
        <f t="shared" si="148"/>
        <v>0</v>
      </c>
      <c r="AI212" s="482">
        <f t="shared" si="148"/>
        <v>0</v>
      </c>
      <c r="AJ212" s="482">
        <f t="shared" si="148"/>
        <v>0</v>
      </c>
      <c r="AK212" s="556">
        <f t="shared" si="149"/>
        <v>0</v>
      </c>
      <c r="AL212" s="557">
        <f t="shared" si="149"/>
        <v>0</v>
      </c>
      <c r="AM212" s="557">
        <f t="shared" si="149"/>
        <v>0</v>
      </c>
      <c r="AN212" s="557">
        <f t="shared" si="149"/>
        <v>0</v>
      </c>
      <c r="AO212" s="557">
        <f t="shared" si="149"/>
        <v>0</v>
      </c>
      <c r="AP212" s="557">
        <f t="shared" si="149"/>
        <v>0</v>
      </c>
      <c r="AQ212" s="556">
        <f t="shared" si="150"/>
        <v>0</v>
      </c>
      <c r="AR212" s="557">
        <f t="shared" si="151"/>
        <v>0</v>
      </c>
      <c r="AS212" s="557">
        <f t="shared" si="151"/>
        <v>0</v>
      </c>
      <c r="AT212" s="557">
        <f t="shared" si="151"/>
        <v>0</v>
      </c>
      <c r="AU212" s="557">
        <f t="shared" si="151"/>
        <v>0</v>
      </c>
      <c r="AV212" s="557">
        <f t="shared" si="152"/>
        <v>0</v>
      </c>
      <c r="AW212" s="556">
        <f t="shared" si="107"/>
        <v>0</v>
      </c>
      <c r="AX212" s="514">
        <f t="shared" si="153"/>
        <v>0</v>
      </c>
      <c r="AY212" s="514" t="s">
        <v>1034</v>
      </c>
      <c r="AZ212" s="556">
        <f t="shared" si="154"/>
        <v>0</v>
      </c>
      <c r="BA212" s="557">
        <v>0</v>
      </c>
      <c r="BB212" s="557">
        <v>0</v>
      </c>
      <c r="BC212" s="557">
        <v>0</v>
      </c>
      <c r="BD212" s="557">
        <v>0</v>
      </c>
      <c r="BE212" s="557">
        <v>0</v>
      </c>
      <c r="BF212" s="556">
        <f t="shared" si="147"/>
        <v>0</v>
      </c>
      <c r="BG212" s="557">
        <v>0</v>
      </c>
      <c r="BH212" s="557">
        <v>0</v>
      </c>
      <c r="BI212" s="557">
        <v>0</v>
      </c>
      <c r="BJ212" s="557">
        <v>0</v>
      </c>
      <c r="BK212" s="557">
        <v>0</v>
      </c>
      <c r="BL212" s="556">
        <f t="shared" si="144"/>
        <v>0</v>
      </c>
      <c r="BM212" s="557">
        <v>0</v>
      </c>
      <c r="BN212" s="557">
        <v>0</v>
      </c>
      <c r="BO212" s="557">
        <v>0</v>
      </c>
      <c r="BP212" s="557">
        <v>0</v>
      </c>
      <c r="BQ212" s="557">
        <v>0</v>
      </c>
      <c r="BR212" s="318"/>
      <c r="BS212" s="318"/>
      <c r="BT212" s="318"/>
      <c r="BU212" s="318"/>
      <c r="BV212" s="318"/>
      <c r="BW212" s="318"/>
      <c r="BX212" s="318"/>
      <c r="BY212" s="318"/>
      <c r="BZ212" s="318"/>
      <c r="CA212" s="318"/>
      <c r="CB212" s="318"/>
      <c r="CC212" s="318"/>
      <c r="CD212" s="318"/>
      <c r="CE212" s="457"/>
      <c r="CF212" s="318"/>
      <c r="CG212" s="360"/>
      <c r="CH212" s="360"/>
      <c r="CI212" s="360"/>
      <c r="CJ212" s="360"/>
      <c r="CK212" s="360"/>
      <c r="CL212" s="360"/>
      <c r="CM212" s="360"/>
      <c r="CN212" s="360"/>
      <c r="CO212" s="360"/>
      <c r="CP212" s="360"/>
    </row>
    <row r="213" spans="1:94" s="315" customFormat="1" ht="25" hidden="1" x14ac:dyDescent="0.25">
      <c r="A213" s="403">
        <v>202</v>
      </c>
      <c r="B213" s="313" t="s">
        <v>1284</v>
      </c>
      <c r="C213" s="313" t="s">
        <v>738</v>
      </c>
      <c r="D213" s="318" t="s">
        <v>457</v>
      </c>
      <c r="E213" s="318"/>
      <c r="F213" s="313" t="s">
        <v>465</v>
      </c>
      <c r="G213" s="313" t="s">
        <v>1396</v>
      </c>
      <c r="H213" s="305"/>
      <c r="I213" s="305" t="s">
        <v>1082</v>
      </c>
      <c r="J213" s="370">
        <v>0</v>
      </c>
      <c r="K213" s="370" t="e">
        <f>24000*V198/(IF(#REF!="yes",0.188,1))</f>
        <v>#REF!</v>
      </c>
      <c r="L213" s="370" t="e">
        <f t="shared" si="145"/>
        <v>#REF!</v>
      </c>
      <c r="M213" s="316" t="s">
        <v>619</v>
      </c>
      <c r="N213" s="356">
        <v>2021</v>
      </c>
      <c r="O213" s="398">
        <v>2023</v>
      </c>
      <c r="P213" s="305" t="s">
        <v>463</v>
      </c>
      <c r="Q213" s="324" t="s">
        <v>1285</v>
      </c>
      <c r="R213" s="305"/>
      <c r="S213" s="305" t="s">
        <v>1020</v>
      </c>
      <c r="T213" s="305" t="s">
        <v>1021</v>
      </c>
      <c r="U213" s="305" t="s">
        <v>536</v>
      </c>
      <c r="V213" s="426">
        <v>0.188</v>
      </c>
      <c r="W213" s="317">
        <v>3.38</v>
      </c>
      <c r="X213" s="317">
        <v>3.38</v>
      </c>
      <c r="Y213" s="317" t="e">
        <f t="shared" si="146"/>
        <v>#REF!</v>
      </c>
      <c r="Z213" s="318">
        <v>1</v>
      </c>
      <c r="AA213" s="318">
        <v>1</v>
      </c>
      <c r="AB213" s="318">
        <v>3</v>
      </c>
      <c r="AC213" s="318">
        <v>3</v>
      </c>
      <c r="AD213" s="458" t="s">
        <v>1289</v>
      </c>
      <c r="AE213" s="483">
        <f t="shared" si="148"/>
        <v>0</v>
      </c>
      <c r="AF213" s="482">
        <f t="shared" si="148"/>
        <v>0</v>
      </c>
      <c r="AG213" s="482">
        <f t="shared" si="148"/>
        <v>0</v>
      </c>
      <c r="AH213" s="482">
        <f t="shared" si="148"/>
        <v>0</v>
      </c>
      <c r="AI213" s="482">
        <f t="shared" si="148"/>
        <v>0</v>
      </c>
      <c r="AJ213" s="482">
        <f t="shared" si="148"/>
        <v>0</v>
      </c>
      <c r="AK213" s="556">
        <f t="shared" si="149"/>
        <v>0</v>
      </c>
      <c r="AL213" s="557">
        <f t="shared" si="149"/>
        <v>0</v>
      </c>
      <c r="AM213" s="557">
        <f t="shared" si="149"/>
        <v>0</v>
      </c>
      <c r="AN213" s="557">
        <f t="shared" si="149"/>
        <v>0</v>
      </c>
      <c r="AO213" s="557">
        <f t="shared" si="149"/>
        <v>0</v>
      </c>
      <c r="AP213" s="557">
        <f t="shared" si="149"/>
        <v>0</v>
      </c>
      <c r="AQ213" s="556">
        <f t="shared" si="150"/>
        <v>0</v>
      </c>
      <c r="AR213" s="557">
        <f t="shared" si="151"/>
        <v>0</v>
      </c>
      <c r="AS213" s="557">
        <f t="shared" si="151"/>
        <v>0</v>
      </c>
      <c r="AT213" s="557">
        <f t="shared" si="151"/>
        <v>0</v>
      </c>
      <c r="AU213" s="557">
        <f t="shared" si="151"/>
        <v>0</v>
      </c>
      <c r="AV213" s="557">
        <f t="shared" si="152"/>
        <v>0</v>
      </c>
      <c r="AW213" s="556">
        <f t="shared" si="107"/>
        <v>0</v>
      </c>
      <c r="AX213" s="514">
        <f t="shared" si="153"/>
        <v>0</v>
      </c>
      <c r="AY213" s="514" t="s">
        <v>1034</v>
      </c>
      <c r="AZ213" s="556">
        <f t="shared" si="154"/>
        <v>0</v>
      </c>
      <c r="BA213" s="557">
        <v>0</v>
      </c>
      <c r="BB213" s="557">
        <v>0</v>
      </c>
      <c r="BC213" s="557">
        <v>0</v>
      </c>
      <c r="BD213" s="557">
        <v>0</v>
      </c>
      <c r="BE213" s="557">
        <v>0</v>
      </c>
      <c r="BF213" s="556">
        <f t="shared" si="147"/>
        <v>0</v>
      </c>
      <c r="BG213" s="557">
        <v>0</v>
      </c>
      <c r="BH213" s="557">
        <v>0</v>
      </c>
      <c r="BI213" s="557">
        <v>0</v>
      </c>
      <c r="BJ213" s="557">
        <v>0</v>
      </c>
      <c r="BK213" s="557">
        <v>0</v>
      </c>
      <c r="BL213" s="556">
        <f t="shared" si="144"/>
        <v>0</v>
      </c>
      <c r="BM213" s="557">
        <v>0</v>
      </c>
      <c r="BN213" s="557">
        <v>0</v>
      </c>
      <c r="BO213" s="557">
        <v>0</v>
      </c>
      <c r="BP213" s="557">
        <v>0</v>
      </c>
      <c r="BQ213" s="557">
        <v>0</v>
      </c>
      <c r="BR213" s="318" t="s">
        <v>1548</v>
      </c>
      <c r="BS213" s="318"/>
      <c r="BT213" s="318"/>
      <c r="BU213" s="318"/>
      <c r="BV213" s="318" t="s">
        <v>1136</v>
      </c>
      <c r="BW213" s="318"/>
      <c r="BX213" s="318"/>
      <c r="BY213" s="318"/>
      <c r="BZ213" s="456" t="s">
        <v>1286</v>
      </c>
      <c r="CA213" s="318" t="s">
        <v>1287</v>
      </c>
      <c r="CB213" s="318" t="s">
        <v>1282</v>
      </c>
      <c r="CC213" s="318"/>
      <c r="CD213" s="318"/>
      <c r="CE213" s="457" t="s">
        <v>1288</v>
      </c>
      <c r="CF213" s="318">
        <v>28.63</v>
      </c>
      <c r="CG213" s="360" t="s">
        <v>1283</v>
      </c>
      <c r="CH213" s="430">
        <v>1</v>
      </c>
      <c r="CI213" s="360"/>
      <c r="CJ213" s="360"/>
      <c r="CK213" s="360"/>
      <c r="CL213" s="360"/>
      <c r="CM213" s="360"/>
      <c r="CN213" s="360"/>
      <c r="CO213" s="360"/>
      <c r="CP213" s="360"/>
    </row>
    <row r="214" spans="1:94" s="315" customFormat="1" ht="13" hidden="1" x14ac:dyDescent="0.25">
      <c r="A214" s="403">
        <v>203</v>
      </c>
      <c r="B214" s="313" t="s">
        <v>634</v>
      </c>
      <c r="C214" s="313" t="s">
        <v>963</v>
      </c>
      <c r="D214" s="318" t="s">
        <v>594</v>
      </c>
      <c r="E214" s="318" t="s">
        <v>556</v>
      </c>
      <c r="F214" s="313" t="s">
        <v>465</v>
      </c>
      <c r="G214" s="313" t="s">
        <v>1393</v>
      </c>
      <c r="H214" s="305"/>
      <c r="I214" s="305" t="s">
        <v>624</v>
      </c>
      <c r="J214" s="370">
        <v>0</v>
      </c>
      <c r="K214" s="370" t="e">
        <f>60000*$V214/(IF(#REF!="yes",0.188,1))</f>
        <v>#REF!</v>
      </c>
      <c r="L214" s="370" t="e">
        <f>K214-K208</f>
        <v>#REF!</v>
      </c>
      <c r="M214" s="316" t="s">
        <v>807</v>
      </c>
      <c r="N214" s="398"/>
      <c r="O214" s="398">
        <v>2025</v>
      </c>
      <c r="P214" s="305" t="s">
        <v>463</v>
      </c>
      <c r="Q214" s="324"/>
      <c r="R214" s="305"/>
      <c r="S214" s="305"/>
      <c r="T214" s="305"/>
      <c r="U214" s="305" t="s">
        <v>536</v>
      </c>
      <c r="V214" s="426">
        <v>0.188</v>
      </c>
      <c r="W214" s="317">
        <v>3.5</v>
      </c>
      <c r="X214" s="317">
        <v>3.5</v>
      </c>
      <c r="Y214" s="317" t="e">
        <f t="shared" si="146"/>
        <v>#REF!</v>
      </c>
      <c r="Z214" s="318">
        <v>5</v>
      </c>
      <c r="AA214" s="318">
        <v>3</v>
      </c>
      <c r="AB214" s="318">
        <v>4</v>
      </c>
      <c r="AC214" s="318">
        <v>5</v>
      </c>
      <c r="AD214" s="318" t="s">
        <v>990</v>
      </c>
      <c r="AE214" s="483">
        <f t="shared" si="148"/>
        <v>0</v>
      </c>
      <c r="AF214" s="482">
        <f t="shared" si="148"/>
        <v>0</v>
      </c>
      <c r="AG214" s="482">
        <f t="shared" si="148"/>
        <v>0</v>
      </c>
      <c r="AH214" s="482">
        <f t="shared" si="148"/>
        <v>0</v>
      </c>
      <c r="AI214" s="482">
        <f t="shared" si="148"/>
        <v>0</v>
      </c>
      <c r="AJ214" s="482">
        <f t="shared" si="148"/>
        <v>0</v>
      </c>
      <c r="AK214" s="556">
        <f t="shared" si="149"/>
        <v>0</v>
      </c>
      <c r="AL214" s="557">
        <f t="shared" si="149"/>
        <v>0</v>
      </c>
      <c r="AM214" s="557">
        <f t="shared" si="149"/>
        <v>0</v>
      </c>
      <c r="AN214" s="557">
        <f t="shared" si="149"/>
        <v>0</v>
      </c>
      <c r="AO214" s="557">
        <f t="shared" si="149"/>
        <v>0</v>
      </c>
      <c r="AP214" s="557">
        <f t="shared" si="149"/>
        <v>0</v>
      </c>
      <c r="AQ214" s="556">
        <f t="shared" si="150"/>
        <v>0</v>
      </c>
      <c r="AR214" s="557">
        <f t="shared" si="151"/>
        <v>0</v>
      </c>
      <c r="AS214" s="557">
        <f t="shared" si="151"/>
        <v>0</v>
      </c>
      <c r="AT214" s="557">
        <f t="shared" si="151"/>
        <v>0</v>
      </c>
      <c r="AU214" s="557">
        <f t="shared" si="151"/>
        <v>0</v>
      </c>
      <c r="AV214" s="557">
        <f t="shared" si="152"/>
        <v>0</v>
      </c>
      <c r="AW214" s="556">
        <f t="shared" si="107"/>
        <v>0</v>
      </c>
      <c r="AX214" s="514">
        <f t="shared" si="153"/>
        <v>0</v>
      </c>
      <c r="AY214" s="514" t="s">
        <v>1034</v>
      </c>
      <c r="AZ214" s="556">
        <f t="shared" si="154"/>
        <v>0</v>
      </c>
      <c r="BA214" s="557">
        <v>0</v>
      </c>
      <c r="BB214" s="557">
        <v>0</v>
      </c>
      <c r="BC214" s="557">
        <v>0</v>
      </c>
      <c r="BD214" s="557">
        <v>0</v>
      </c>
      <c r="BE214" s="557">
        <v>0</v>
      </c>
      <c r="BF214" s="556">
        <f t="shared" si="147"/>
        <v>0</v>
      </c>
      <c r="BG214" s="557">
        <v>0</v>
      </c>
      <c r="BH214" s="557">
        <v>0</v>
      </c>
      <c r="BI214" s="557">
        <v>0</v>
      </c>
      <c r="BJ214" s="557">
        <v>0</v>
      </c>
      <c r="BK214" s="557">
        <v>0</v>
      </c>
      <c r="BL214" s="556">
        <f t="shared" si="144"/>
        <v>0</v>
      </c>
      <c r="BM214" s="557">
        <v>0</v>
      </c>
      <c r="BN214" s="557">
        <v>0</v>
      </c>
      <c r="BO214" s="557">
        <v>0</v>
      </c>
      <c r="BP214" s="557">
        <v>0</v>
      </c>
      <c r="BQ214" s="557">
        <v>0</v>
      </c>
      <c r="BR214" s="318"/>
      <c r="BS214" s="318"/>
      <c r="BT214" s="318"/>
      <c r="BU214" s="318"/>
      <c r="BV214" s="318"/>
      <c r="BW214" s="318"/>
      <c r="BX214" s="318"/>
      <c r="BY214" s="318"/>
      <c r="BZ214" s="318"/>
      <c r="CA214" s="318"/>
      <c r="CB214" s="318"/>
      <c r="CC214" s="318"/>
      <c r="CD214" s="318"/>
      <c r="CE214" s="457"/>
      <c r="CF214" s="318"/>
      <c r="CG214" s="360"/>
      <c r="CH214" s="360"/>
      <c r="CI214" s="360"/>
      <c r="CJ214" s="360"/>
      <c r="CK214" s="360"/>
      <c r="CL214" s="360"/>
      <c r="CM214" s="360"/>
      <c r="CN214" s="360"/>
      <c r="CO214" s="360"/>
      <c r="CP214" s="360"/>
    </row>
    <row r="215" spans="1:94" s="315" customFormat="1" ht="13" hidden="1" x14ac:dyDescent="0.25">
      <c r="A215" s="403">
        <v>204</v>
      </c>
      <c r="B215" s="313" t="s">
        <v>634</v>
      </c>
      <c r="C215" s="313" t="s">
        <v>968</v>
      </c>
      <c r="D215" s="318" t="s">
        <v>457</v>
      </c>
      <c r="E215" s="318" t="s">
        <v>556</v>
      </c>
      <c r="F215" s="313" t="s">
        <v>465</v>
      </c>
      <c r="G215" s="313" t="s">
        <v>1400</v>
      </c>
      <c r="H215" s="305"/>
      <c r="I215" s="305" t="s">
        <v>624</v>
      </c>
      <c r="J215" s="370">
        <v>0</v>
      </c>
      <c r="K215" s="370" t="e">
        <f>60000*$V215/(IF(#REF!="yes",0.188,1))</f>
        <v>#REF!</v>
      </c>
      <c r="L215" s="370" t="e">
        <f>K215-K54</f>
        <v>#REF!</v>
      </c>
      <c r="M215" s="316" t="s">
        <v>807</v>
      </c>
      <c r="N215" s="398"/>
      <c r="O215" s="398">
        <v>2025</v>
      </c>
      <c r="P215" s="305" t="s">
        <v>463</v>
      </c>
      <c r="Q215" s="304" t="s">
        <v>533</v>
      </c>
      <c r="R215" s="305" t="s">
        <v>534</v>
      </c>
      <c r="S215" s="305"/>
      <c r="T215" s="305"/>
      <c r="U215" s="305" t="s">
        <v>528</v>
      </c>
      <c r="V215" s="426">
        <v>0.188</v>
      </c>
      <c r="W215" s="317">
        <v>3.5</v>
      </c>
      <c r="X215" s="317">
        <v>3.5</v>
      </c>
      <c r="Y215" s="317" t="e">
        <f t="shared" si="146"/>
        <v>#REF!</v>
      </c>
      <c r="Z215" s="318">
        <v>2</v>
      </c>
      <c r="AA215" s="318">
        <v>3</v>
      </c>
      <c r="AB215" s="318">
        <v>4</v>
      </c>
      <c r="AC215" s="318">
        <v>3</v>
      </c>
      <c r="AD215" s="318"/>
      <c r="AE215" s="483">
        <f t="shared" si="148"/>
        <v>0</v>
      </c>
      <c r="AF215" s="482">
        <f t="shared" si="148"/>
        <v>0</v>
      </c>
      <c r="AG215" s="482">
        <f t="shared" si="148"/>
        <v>0</v>
      </c>
      <c r="AH215" s="482">
        <f t="shared" si="148"/>
        <v>0</v>
      </c>
      <c r="AI215" s="482">
        <f t="shared" si="148"/>
        <v>0</v>
      </c>
      <c r="AJ215" s="482">
        <f t="shared" si="148"/>
        <v>0</v>
      </c>
      <c r="AK215" s="556">
        <f t="shared" si="149"/>
        <v>0</v>
      </c>
      <c r="AL215" s="557">
        <f t="shared" si="149"/>
        <v>0</v>
      </c>
      <c r="AM215" s="557">
        <f t="shared" si="149"/>
        <v>0</v>
      </c>
      <c r="AN215" s="557">
        <f t="shared" si="149"/>
        <v>0</v>
      </c>
      <c r="AO215" s="557">
        <f t="shared" si="149"/>
        <v>0</v>
      </c>
      <c r="AP215" s="557">
        <f t="shared" si="149"/>
        <v>0</v>
      </c>
      <c r="AQ215" s="556">
        <f t="shared" si="150"/>
        <v>0</v>
      </c>
      <c r="AR215" s="557">
        <f t="shared" si="151"/>
        <v>0</v>
      </c>
      <c r="AS215" s="557">
        <f t="shared" si="151"/>
        <v>0</v>
      </c>
      <c r="AT215" s="557">
        <f t="shared" si="151"/>
        <v>0</v>
      </c>
      <c r="AU215" s="557">
        <f t="shared" si="151"/>
        <v>0</v>
      </c>
      <c r="AV215" s="557">
        <f t="shared" si="152"/>
        <v>0</v>
      </c>
      <c r="AW215" s="556">
        <f t="shared" si="107"/>
        <v>0</v>
      </c>
      <c r="AX215" s="514">
        <f t="shared" si="153"/>
        <v>0</v>
      </c>
      <c r="AY215" s="514" t="s">
        <v>1034</v>
      </c>
      <c r="AZ215" s="556">
        <f t="shared" si="154"/>
        <v>0</v>
      </c>
      <c r="BA215" s="557">
        <v>0</v>
      </c>
      <c r="BB215" s="557">
        <v>0</v>
      </c>
      <c r="BC215" s="557">
        <v>0</v>
      </c>
      <c r="BD215" s="557">
        <v>0</v>
      </c>
      <c r="BE215" s="557">
        <v>0</v>
      </c>
      <c r="BF215" s="556">
        <f t="shared" si="147"/>
        <v>0</v>
      </c>
      <c r="BG215" s="557">
        <v>0</v>
      </c>
      <c r="BH215" s="557">
        <v>0</v>
      </c>
      <c r="BI215" s="557">
        <v>0</v>
      </c>
      <c r="BJ215" s="557">
        <v>0</v>
      </c>
      <c r="BK215" s="557">
        <v>0</v>
      </c>
      <c r="BL215" s="556">
        <f t="shared" si="144"/>
        <v>0</v>
      </c>
      <c r="BM215" s="557">
        <v>0</v>
      </c>
      <c r="BN215" s="557">
        <v>0</v>
      </c>
      <c r="BO215" s="557">
        <v>0</v>
      </c>
      <c r="BP215" s="557">
        <v>0</v>
      </c>
      <c r="BQ215" s="557">
        <v>0</v>
      </c>
      <c r="BR215" s="318"/>
      <c r="BS215" s="318"/>
      <c r="BT215" s="318"/>
      <c r="BU215" s="318"/>
      <c r="BV215" s="318"/>
      <c r="BW215" s="318"/>
      <c r="BX215" s="318"/>
      <c r="BY215" s="318"/>
      <c r="BZ215" s="318"/>
      <c r="CA215" s="318"/>
      <c r="CB215" s="318"/>
      <c r="CC215" s="318"/>
      <c r="CD215" s="318"/>
      <c r="CE215" s="457"/>
      <c r="CF215" s="318"/>
      <c r="CG215" s="360"/>
      <c r="CH215" s="360"/>
      <c r="CI215" s="360"/>
      <c r="CJ215" s="360"/>
      <c r="CK215" s="360"/>
      <c r="CL215" s="360"/>
      <c r="CM215" s="360"/>
      <c r="CN215" s="360"/>
      <c r="CO215" s="360"/>
      <c r="CP215" s="360"/>
    </row>
    <row r="216" spans="1:94" s="315" customFormat="1" ht="25" hidden="1" x14ac:dyDescent="0.25">
      <c r="A216" s="403">
        <v>205</v>
      </c>
      <c r="B216" s="313" t="s">
        <v>1043</v>
      </c>
      <c r="C216" s="313" t="s">
        <v>1044</v>
      </c>
      <c r="D216" s="318" t="s">
        <v>457</v>
      </c>
      <c r="E216" s="318" t="s">
        <v>552</v>
      </c>
      <c r="F216" s="313" t="s">
        <v>465</v>
      </c>
      <c r="G216" s="313" t="s">
        <v>1396</v>
      </c>
      <c r="H216" s="305"/>
      <c r="I216" s="305" t="s">
        <v>1078</v>
      </c>
      <c r="J216" s="370">
        <v>0</v>
      </c>
      <c r="K216" s="370">
        <v>28000</v>
      </c>
      <c r="L216" s="370">
        <f t="shared" si="145"/>
        <v>28000</v>
      </c>
      <c r="M216" s="316" t="s">
        <v>484</v>
      </c>
      <c r="N216" s="410">
        <v>2019</v>
      </c>
      <c r="O216" s="398">
        <v>2021</v>
      </c>
      <c r="P216" s="305" t="s">
        <v>463</v>
      </c>
      <c r="Q216" s="354" t="s">
        <v>1045</v>
      </c>
      <c r="R216" s="305"/>
      <c r="S216" s="305" t="s">
        <v>1046</v>
      </c>
      <c r="T216" s="305" t="s">
        <v>1047</v>
      </c>
      <c r="U216" s="305" t="s">
        <v>528</v>
      </c>
      <c r="V216" s="426">
        <v>0.188</v>
      </c>
      <c r="W216" s="443">
        <v>3</v>
      </c>
      <c r="X216" s="445"/>
      <c r="Y216" s="317" t="e">
        <f t="shared" si="146"/>
        <v>#REF!</v>
      </c>
      <c r="Z216" s="318">
        <v>1</v>
      </c>
      <c r="AA216" s="318">
        <v>1</v>
      </c>
      <c r="AB216" s="318">
        <v>3</v>
      </c>
      <c r="AC216" s="318">
        <v>1</v>
      </c>
      <c r="AD216" s="318" t="s">
        <v>674</v>
      </c>
      <c r="AE216" s="483">
        <f t="shared" si="148"/>
        <v>0</v>
      </c>
      <c r="AF216" s="482">
        <f t="shared" si="148"/>
        <v>0</v>
      </c>
      <c r="AG216" s="482">
        <f t="shared" si="148"/>
        <v>0</v>
      </c>
      <c r="AH216" s="482">
        <f t="shared" si="148"/>
        <v>0</v>
      </c>
      <c r="AI216" s="482">
        <f t="shared" si="148"/>
        <v>0</v>
      </c>
      <c r="AJ216" s="482">
        <f t="shared" si="148"/>
        <v>0</v>
      </c>
      <c r="AK216" s="556">
        <f t="shared" si="149"/>
        <v>0</v>
      </c>
      <c r="AL216" s="557">
        <f t="shared" si="149"/>
        <v>0</v>
      </c>
      <c r="AM216" s="557">
        <f t="shared" si="149"/>
        <v>0</v>
      </c>
      <c r="AN216" s="557">
        <f t="shared" si="149"/>
        <v>0</v>
      </c>
      <c r="AO216" s="557">
        <f t="shared" si="149"/>
        <v>0</v>
      </c>
      <c r="AP216" s="557">
        <f t="shared" si="149"/>
        <v>0</v>
      </c>
      <c r="AQ216" s="556">
        <f t="shared" si="150"/>
        <v>0</v>
      </c>
      <c r="AR216" s="557">
        <f t="shared" si="151"/>
        <v>0</v>
      </c>
      <c r="AS216" s="557">
        <f t="shared" si="151"/>
        <v>0</v>
      </c>
      <c r="AT216" s="557">
        <f t="shared" si="151"/>
        <v>0</v>
      </c>
      <c r="AU216" s="557">
        <f t="shared" si="151"/>
        <v>0</v>
      </c>
      <c r="AV216" s="557">
        <f t="shared" si="152"/>
        <v>0</v>
      </c>
      <c r="AW216" s="556" t="str">
        <f t="shared" si="107"/>
        <v>check</v>
      </c>
      <c r="AX216" s="514">
        <f t="shared" si="153"/>
        <v>0</v>
      </c>
      <c r="AY216" s="514" t="s">
        <v>1034</v>
      </c>
      <c r="AZ216" s="556">
        <f t="shared" si="154"/>
        <v>0</v>
      </c>
      <c r="BA216" s="557">
        <v>0</v>
      </c>
      <c r="BB216" s="557">
        <v>0</v>
      </c>
      <c r="BC216" s="557">
        <v>0</v>
      </c>
      <c r="BD216" s="557">
        <v>0</v>
      </c>
      <c r="BE216" s="557">
        <v>0</v>
      </c>
      <c r="BF216" s="556">
        <f t="shared" si="147"/>
        <v>0</v>
      </c>
      <c r="BG216" s="557">
        <v>0</v>
      </c>
      <c r="BH216" s="557">
        <v>0</v>
      </c>
      <c r="BI216" s="557">
        <v>0</v>
      </c>
      <c r="BJ216" s="557">
        <v>0</v>
      </c>
      <c r="BK216" s="557">
        <v>0</v>
      </c>
      <c r="BL216" s="556">
        <f t="shared" si="144"/>
        <v>0</v>
      </c>
      <c r="BM216" s="557">
        <v>0</v>
      </c>
      <c r="BN216" s="557">
        <v>0</v>
      </c>
      <c r="BO216" s="557">
        <v>0</v>
      </c>
      <c r="BP216" s="557">
        <v>0</v>
      </c>
      <c r="BQ216" s="557">
        <v>0</v>
      </c>
      <c r="BR216" s="318"/>
      <c r="BS216" s="318"/>
      <c r="BT216" s="318"/>
      <c r="BU216" s="318"/>
      <c r="BV216" s="318"/>
      <c r="BW216" s="318"/>
      <c r="BX216" s="318"/>
      <c r="BY216" s="318"/>
      <c r="BZ216" s="318"/>
      <c r="CA216" s="318"/>
      <c r="CB216" s="318"/>
      <c r="CC216" s="318"/>
      <c r="CD216" s="318"/>
      <c r="CE216" s="457"/>
      <c r="CF216" s="443"/>
      <c r="CG216" s="360"/>
      <c r="CH216" s="360"/>
      <c r="CI216" s="360"/>
      <c r="CJ216" s="360"/>
      <c r="CK216" s="360"/>
      <c r="CL216" s="360"/>
      <c r="CM216" s="360"/>
      <c r="CN216" s="360"/>
      <c r="CO216" s="360"/>
      <c r="CP216" s="360"/>
    </row>
    <row r="217" spans="1:94" s="315" customFormat="1" ht="37.5" hidden="1" x14ac:dyDescent="0.25">
      <c r="A217" s="403">
        <v>206</v>
      </c>
      <c r="B217" s="313" t="s">
        <v>467</v>
      </c>
      <c r="C217" s="313" t="s">
        <v>1319</v>
      </c>
      <c r="D217" s="318" t="s">
        <v>594</v>
      </c>
      <c r="E217" s="318"/>
      <c r="F217" s="313" t="s">
        <v>397</v>
      </c>
      <c r="G217" s="313" t="s">
        <v>1398</v>
      </c>
      <c r="H217" s="305"/>
      <c r="I217" s="305" t="s">
        <v>1052</v>
      </c>
      <c r="J217" s="370" t="e">
        <f>0/(IF(#REF!="yes",0.188,1))</f>
        <v>#REF!</v>
      </c>
      <c r="K217" s="370" t="e">
        <f>(11000*$V217)/(IF(#REF!="yes",0.188,1))</f>
        <v>#REF!</v>
      </c>
      <c r="L217" s="370" t="e">
        <f>K217-J217</f>
        <v>#REF!</v>
      </c>
      <c r="M217" s="316" t="s">
        <v>687</v>
      </c>
      <c r="N217" s="398">
        <v>2020</v>
      </c>
      <c r="O217" s="398">
        <v>2022</v>
      </c>
      <c r="P217" s="305" t="s">
        <v>519</v>
      </c>
      <c r="Q217" s="324">
        <v>1.5299999999999999E-2</v>
      </c>
      <c r="R217" s="305"/>
      <c r="S217" s="305" t="s">
        <v>1353</v>
      </c>
      <c r="T217" s="305" t="s">
        <v>1352</v>
      </c>
      <c r="U217" s="305" t="s">
        <v>536</v>
      </c>
      <c r="V217" s="426">
        <v>0.188</v>
      </c>
      <c r="W217" s="443" t="e">
        <f>2143/(0.188/0.188)/1000+W64</f>
        <v>#REF!</v>
      </c>
      <c r="X217" s="445"/>
      <c r="Y217" s="317" t="e">
        <f t="shared" si="146"/>
        <v>#REF!</v>
      </c>
      <c r="Z217" s="318">
        <v>4</v>
      </c>
      <c r="AA217" s="318">
        <v>4</v>
      </c>
      <c r="AB217" s="318">
        <v>1</v>
      </c>
      <c r="AC217" s="318">
        <v>4</v>
      </c>
      <c r="AD217" s="318" t="s">
        <v>731</v>
      </c>
      <c r="AE217" s="483">
        <f t="shared" si="148"/>
        <v>0</v>
      </c>
      <c r="AF217" s="482">
        <f t="shared" si="148"/>
        <v>0</v>
      </c>
      <c r="AG217" s="482">
        <f t="shared" si="148"/>
        <v>0</v>
      </c>
      <c r="AH217" s="482">
        <f t="shared" si="148"/>
        <v>0</v>
      </c>
      <c r="AI217" s="482">
        <f t="shared" si="148"/>
        <v>0</v>
      </c>
      <c r="AJ217" s="482">
        <f t="shared" si="148"/>
        <v>0</v>
      </c>
      <c r="AK217" s="556">
        <f t="shared" si="149"/>
        <v>0</v>
      </c>
      <c r="AL217" s="557">
        <f t="shared" si="149"/>
        <v>0</v>
      </c>
      <c r="AM217" s="557">
        <f t="shared" si="149"/>
        <v>0</v>
      </c>
      <c r="AN217" s="557">
        <f t="shared" si="149"/>
        <v>0</v>
      </c>
      <c r="AO217" s="557">
        <f t="shared" si="149"/>
        <v>0</v>
      </c>
      <c r="AP217" s="557">
        <f t="shared" si="149"/>
        <v>0</v>
      </c>
      <c r="AQ217" s="556">
        <f t="shared" si="150"/>
        <v>0</v>
      </c>
      <c r="AR217" s="557">
        <f t="shared" si="151"/>
        <v>0</v>
      </c>
      <c r="AS217" s="557">
        <f t="shared" si="151"/>
        <v>0</v>
      </c>
      <c r="AT217" s="557">
        <f t="shared" si="151"/>
        <v>0</v>
      </c>
      <c r="AU217" s="557">
        <f t="shared" si="151"/>
        <v>0</v>
      </c>
      <c r="AV217" s="557">
        <f t="shared" si="152"/>
        <v>0</v>
      </c>
      <c r="AW217" s="556" t="str">
        <f t="shared" si="107"/>
        <v>check</v>
      </c>
      <c r="AX217" s="514">
        <f t="shared" si="153"/>
        <v>0</v>
      </c>
      <c r="AY217" s="514" t="s">
        <v>1034</v>
      </c>
      <c r="AZ217" s="556">
        <f>AE217</f>
        <v>0</v>
      </c>
      <c r="BA217" s="557">
        <v>0</v>
      </c>
      <c r="BB217" s="557">
        <v>0</v>
      </c>
      <c r="BC217" s="557">
        <v>0</v>
      </c>
      <c r="BD217" s="557">
        <v>0</v>
      </c>
      <c r="BE217" s="557">
        <v>0</v>
      </c>
      <c r="BF217" s="556">
        <f t="shared" si="147"/>
        <v>0</v>
      </c>
      <c r="BG217" s="557">
        <v>0</v>
      </c>
      <c r="BH217" s="557">
        <v>0</v>
      </c>
      <c r="BI217" s="557">
        <v>0</v>
      </c>
      <c r="BJ217" s="557">
        <v>0</v>
      </c>
      <c r="BK217" s="557">
        <v>0</v>
      </c>
      <c r="BL217" s="556">
        <f t="shared" si="144"/>
        <v>0</v>
      </c>
      <c r="BM217" s="557">
        <v>0</v>
      </c>
      <c r="BN217" s="557">
        <v>0</v>
      </c>
      <c r="BO217" s="557">
        <v>0</v>
      </c>
      <c r="BP217" s="557">
        <v>0</v>
      </c>
      <c r="BQ217" s="557">
        <v>0</v>
      </c>
      <c r="BR217" s="318"/>
      <c r="BS217" s="318"/>
      <c r="BT217" s="466">
        <v>0.95899999999999996</v>
      </c>
      <c r="BU217" s="318"/>
      <c r="BV217" s="318"/>
      <c r="BW217" s="318" t="s">
        <v>1356</v>
      </c>
      <c r="BX217" s="318"/>
      <c r="BY217" s="318"/>
      <c r="BZ217" s="318" t="s">
        <v>1355</v>
      </c>
      <c r="CA217" s="465"/>
      <c r="CB217" s="465"/>
      <c r="CC217" s="465" t="s">
        <v>1365</v>
      </c>
      <c r="CD217" s="465">
        <v>0</v>
      </c>
      <c r="CE217" s="467" t="s">
        <v>1359</v>
      </c>
      <c r="CF217" s="443">
        <v>280</v>
      </c>
      <c r="CG217" s="360" t="s">
        <v>467</v>
      </c>
      <c r="CH217" s="430">
        <v>1</v>
      </c>
      <c r="CI217" s="360"/>
      <c r="CJ217" s="360"/>
      <c r="CK217" s="360"/>
      <c r="CL217" s="360"/>
      <c r="CM217" s="360"/>
      <c r="CN217" s="360"/>
      <c r="CO217" s="360"/>
      <c r="CP217" s="360"/>
    </row>
    <row r="218" spans="1:94" s="315" customFormat="1" ht="50" hidden="1" x14ac:dyDescent="0.25">
      <c r="A218" s="403">
        <v>207</v>
      </c>
      <c r="B218" s="313" t="s">
        <v>471</v>
      </c>
      <c r="C218" s="313" t="s">
        <v>1514</v>
      </c>
      <c r="D218" s="318" t="s">
        <v>594</v>
      </c>
      <c r="E218" s="318"/>
      <c r="F218" s="313" t="s">
        <v>244</v>
      </c>
      <c r="G218" s="313" t="s">
        <v>576</v>
      </c>
      <c r="H218" s="305" t="s">
        <v>1054</v>
      </c>
      <c r="I218" s="305"/>
      <c r="J218" s="370" t="e">
        <f>8000*V218/(IF(#REF!="yes",0.188,1))</f>
        <v>#REF!</v>
      </c>
      <c r="K218" s="370" t="e">
        <f>J218</f>
        <v>#REF!</v>
      </c>
      <c r="L218" s="370" t="e">
        <f>J218</f>
        <v>#REF!</v>
      </c>
      <c r="M218" s="316" t="s">
        <v>483</v>
      </c>
      <c r="N218" s="356"/>
      <c r="O218" s="398">
        <v>2000</v>
      </c>
      <c r="P218" s="305" t="s">
        <v>519</v>
      </c>
      <c r="Q218" s="304"/>
      <c r="R218" s="305"/>
      <c r="S218" s="305"/>
      <c r="T218" s="305"/>
      <c r="U218" s="305" t="s">
        <v>579</v>
      </c>
      <c r="V218" s="426">
        <v>0.16600000000000001</v>
      </c>
      <c r="W218" s="443">
        <v>5.4</v>
      </c>
      <c r="X218" s="414"/>
      <c r="Y218" s="412" t="e">
        <f t="shared" si="146"/>
        <v>#REF!</v>
      </c>
      <c r="Z218" s="318">
        <v>5</v>
      </c>
      <c r="AA218" s="318">
        <v>5</v>
      </c>
      <c r="AB218" s="318">
        <v>5</v>
      </c>
      <c r="AC218" s="318">
        <v>4</v>
      </c>
      <c r="AD218" s="318" t="s">
        <v>797</v>
      </c>
      <c r="AE218" s="483">
        <v>7000</v>
      </c>
      <c r="AF218" s="482" t="s">
        <v>1524</v>
      </c>
      <c r="AG218" s="482" t="s">
        <v>1524</v>
      </c>
      <c r="AH218" s="482" t="s">
        <v>1524</v>
      </c>
      <c r="AI218" s="482" t="s">
        <v>1524</v>
      </c>
      <c r="AJ218" s="482" t="str">
        <f>IF(OR(M218="Exploration", M218="Pre-feasibility", O218&gt;2017), 0, "check")</f>
        <v>check</v>
      </c>
      <c r="AK218" s="556">
        <v>7063.8297872340427</v>
      </c>
      <c r="AL218" s="557" t="s">
        <v>1524</v>
      </c>
      <c r="AM218" s="557" t="s">
        <v>1524</v>
      </c>
      <c r="AN218" s="557" t="s">
        <v>1524</v>
      </c>
      <c r="AO218" s="557" t="s">
        <v>1524</v>
      </c>
      <c r="AP218" s="557" t="str">
        <f>IF(OR(M218="Exploration", M218="Pre-feasibility", O218&gt;2018), 0, "check")</f>
        <v>check</v>
      </c>
      <c r="AQ218" s="556" t="str">
        <f t="shared" si="150"/>
        <v>check</v>
      </c>
      <c r="AR218" s="557" t="str">
        <f t="shared" si="151"/>
        <v>check</v>
      </c>
      <c r="AS218" s="557" t="str">
        <f t="shared" si="151"/>
        <v>check</v>
      </c>
      <c r="AT218" s="557" t="str">
        <f t="shared" si="151"/>
        <v>check</v>
      </c>
      <c r="AU218" s="557" t="str">
        <f t="shared" si="151"/>
        <v>check</v>
      </c>
      <c r="AV218" s="557" t="str">
        <f t="shared" si="152"/>
        <v>check</v>
      </c>
      <c r="AW218" s="556" t="e">
        <f t="shared" ref="AW218:AW267" si="155">IF(OR(ISBLANK($O218),$O218&gt;2022,$M218="Cancelled",$N218&gt;2020),0,IF($M218="Pre-feasibility",0,IF($O218&lt;2018,$L218,"check")))</f>
        <v>#REF!</v>
      </c>
      <c r="AX218" s="514" t="e">
        <f t="shared" si="153"/>
        <v>#REF!</v>
      </c>
      <c r="AY218" s="482" t="s">
        <v>1524</v>
      </c>
      <c r="AZ218" s="556">
        <f t="shared" ref="AZ218:AZ219" si="156">AE218</f>
        <v>7000</v>
      </c>
      <c r="BA218" s="557" t="s">
        <v>1524</v>
      </c>
      <c r="BB218" s="557" t="s">
        <v>1524</v>
      </c>
      <c r="BC218" s="557" t="s">
        <v>1524</v>
      </c>
      <c r="BD218" s="557" t="s">
        <v>1524</v>
      </c>
      <c r="BE218" s="557" t="s">
        <v>1524</v>
      </c>
      <c r="BF218" s="556">
        <f t="shared" si="147"/>
        <v>7063.8297872340427</v>
      </c>
      <c r="BG218" s="557" t="s">
        <v>1524</v>
      </c>
      <c r="BH218" s="557" t="s">
        <v>1524</v>
      </c>
      <c r="BI218" s="557" t="s">
        <v>1524</v>
      </c>
      <c r="BJ218" s="557" t="s">
        <v>1524</v>
      </c>
      <c r="BK218" s="557" t="s">
        <v>1524</v>
      </c>
      <c r="BL218" s="556" t="str">
        <f t="shared" si="144"/>
        <v>check</v>
      </c>
      <c r="BM218" s="557" t="s">
        <v>1524</v>
      </c>
      <c r="BN218" s="557" t="s">
        <v>1524</v>
      </c>
      <c r="BO218" s="557" t="s">
        <v>1524</v>
      </c>
      <c r="BP218" s="557" t="s">
        <v>1524</v>
      </c>
      <c r="BQ218" s="557" t="s">
        <v>1524</v>
      </c>
      <c r="BR218" s="318"/>
      <c r="BS218" s="318"/>
      <c r="BT218" s="318"/>
      <c r="BU218" s="318"/>
      <c r="BV218" s="318"/>
      <c r="BW218" s="318"/>
      <c r="BX218" s="318"/>
      <c r="BY218" s="318"/>
      <c r="BZ218" s="412">
        <f>(1130633568.13/32257.5)/6.5/1000</f>
        <v>5.392346767919209</v>
      </c>
      <c r="CA218" s="318"/>
      <c r="CB218" s="318"/>
      <c r="CC218" s="318"/>
      <c r="CD218" s="318"/>
      <c r="CE218" s="457"/>
      <c r="CF218" s="443">
        <v>191</v>
      </c>
      <c r="CG218" s="360" t="s">
        <v>471</v>
      </c>
      <c r="CH218" s="430">
        <v>1</v>
      </c>
      <c r="CI218" s="360"/>
      <c r="CJ218" s="360"/>
      <c r="CK218" s="360"/>
      <c r="CL218" s="360"/>
      <c r="CM218" s="360"/>
      <c r="CN218" s="360"/>
      <c r="CO218" s="360"/>
      <c r="CP218" s="360"/>
    </row>
    <row r="219" spans="1:94" s="315" customFormat="1" ht="50" hidden="1" x14ac:dyDescent="0.25">
      <c r="A219" s="403">
        <v>208</v>
      </c>
      <c r="B219" s="313" t="s">
        <v>471</v>
      </c>
      <c r="C219" s="313" t="s">
        <v>1515</v>
      </c>
      <c r="D219" s="318" t="s">
        <v>594</v>
      </c>
      <c r="E219" s="318"/>
      <c r="F219" s="313" t="s">
        <v>244</v>
      </c>
      <c r="G219" s="313" t="s">
        <v>576</v>
      </c>
      <c r="H219" s="305" t="s">
        <v>1054</v>
      </c>
      <c r="I219" s="305"/>
      <c r="J219" s="370" t="e">
        <f>1000*V219/(IF(#REF!="yes",0.188,1))</f>
        <v>#REF!</v>
      </c>
      <c r="K219" s="370" t="e">
        <f>J219</f>
        <v>#REF!</v>
      </c>
      <c r="L219" s="370" t="e">
        <f>J219</f>
        <v>#REF!</v>
      </c>
      <c r="M219" s="316" t="s">
        <v>483</v>
      </c>
      <c r="N219" s="356"/>
      <c r="O219" s="398">
        <v>2000</v>
      </c>
      <c r="P219" s="305" t="s">
        <v>519</v>
      </c>
      <c r="Q219" s="304"/>
      <c r="R219" s="305"/>
      <c r="S219" s="305"/>
      <c r="T219" s="305"/>
      <c r="U219" s="305" t="s">
        <v>532</v>
      </c>
      <c r="V219" s="426">
        <v>0.16300000000000001</v>
      </c>
      <c r="W219" s="443">
        <v>5.4</v>
      </c>
      <c r="X219" s="448"/>
      <c r="Y219" s="429" t="e">
        <f t="shared" si="146"/>
        <v>#REF!</v>
      </c>
      <c r="Z219" s="318">
        <v>5</v>
      </c>
      <c r="AA219" s="318">
        <v>5</v>
      </c>
      <c r="AB219" s="318">
        <v>5</v>
      </c>
      <c r="AC219" s="318">
        <v>4</v>
      </c>
      <c r="AD219" s="318" t="s">
        <v>797</v>
      </c>
      <c r="AE219" s="483">
        <v>1000</v>
      </c>
      <c r="AF219" s="482" t="s">
        <v>1524</v>
      </c>
      <c r="AG219" s="482" t="s">
        <v>1524</v>
      </c>
      <c r="AH219" s="482" t="s">
        <v>1524</v>
      </c>
      <c r="AI219" s="482" t="s">
        <v>1524</v>
      </c>
      <c r="AJ219" s="482" t="str">
        <f>IF(OR(M219="Exploration", M219="Pre-feasibility", O219&gt;2017), 0, "check")</f>
        <v>check</v>
      </c>
      <c r="AK219" s="556">
        <v>867.02127659574467</v>
      </c>
      <c r="AL219" s="557" t="s">
        <v>1524</v>
      </c>
      <c r="AM219" s="557" t="s">
        <v>1524</v>
      </c>
      <c r="AN219" s="557" t="s">
        <v>1524</v>
      </c>
      <c r="AO219" s="557" t="s">
        <v>1524</v>
      </c>
      <c r="AP219" s="557" t="str">
        <f>IF(OR(M219="Exploration", M219="Pre-feasibility", O219&gt;2018), 0, "check")</f>
        <v>check</v>
      </c>
      <c r="AQ219" s="556" t="str">
        <f t="shared" si="150"/>
        <v>check</v>
      </c>
      <c r="AR219" s="557" t="str">
        <f t="shared" si="151"/>
        <v>check</v>
      </c>
      <c r="AS219" s="557" t="str">
        <f t="shared" si="151"/>
        <v>check</v>
      </c>
      <c r="AT219" s="557" t="str">
        <f t="shared" si="151"/>
        <v>check</v>
      </c>
      <c r="AU219" s="557" t="str">
        <f t="shared" si="151"/>
        <v>check</v>
      </c>
      <c r="AV219" s="557" t="str">
        <f t="shared" si="152"/>
        <v>check</v>
      </c>
      <c r="AW219" s="556" t="e">
        <f t="shared" si="155"/>
        <v>#REF!</v>
      </c>
      <c r="AX219" s="514" t="e">
        <f t="shared" si="153"/>
        <v>#REF!</v>
      </c>
      <c r="AY219" s="482" t="s">
        <v>1524</v>
      </c>
      <c r="AZ219" s="556">
        <f t="shared" si="156"/>
        <v>1000</v>
      </c>
      <c r="BA219" s="557" t="s">
        <v>1524</v>
      </c>
      <c r="BB219" s="557" t="s">
        <v>1524</v>
      </c>
      <c r="BC219" s="557" t="s">
        <v>1524</v>
      </c>
      <c r="BD219" s="557" t="s">
        <v>1524</v>
      </c>
      <c r="BE219" s="557" t="s">
        <v>1524</v>
      </c>
      <c r="BF219" s="556">
        <f t="shared" si="147"/>
        <v>867.02127659574467</v>
      </c>
      <c r="BG219" s="557" t="s">
        <v>1524</v>
      </c>
      <c r="BH219" s="557" t="s">
        <v>1524</v>
      </c>
      <c r="BI219" s="557" t="s">
        <v>1524</v>
      </c>
      <c r="BJ219" s="557" t="s">
        <v>1524</v>
      </c>
      <c r="BK219" s="557" t="s">
        <v>1524</v>
      </c>
      <c r="BL219" s="556" t="str">
        <f t="shared" si="144"/>
        <v>check</v>
      </c>
      <c r="BM219" s="557" t="s">
        <v>1524</v>
      </c>
      <c r="BN219" s="557" t="s">
        <v>1524</v>
      </c>
      <c r="BO219" s="557" t="s">
        <v>1524</v>
      </c>
      <c r="BP219" s="557" t="s">
        <v>1524</v>
      </c>
      <c r="BQ219" s="557" t="s">
        <v>1524</v>
      </c>
      <c r="BR219" s="318"/>
      <c r="BS219" s="318"/>
      <c r="BT219" s="318"/>
      <c r="BU219" s="318"/>
      <c r="BV219" s="318"/>
      <c r="BW219" s="318"/>
      <c r="BX219" s="318"/>
      <c r="BY219" s="318"/>
      <c r="BZ219" s="412">
        <f>(1130633568.13/32257.5)/6.5/1000</f>
        <v>5.392346767919209</v>
      </c>
      <c r="CA219" s="318"/>
      <c r="CB219" s="318"/>
      <c r="CC219" s="318"/>
      <c r="CD219" s="318"/>
      <c r="CE219" s="457"/>
      <c r="CF219" s="443">
        <v>191</v>
      </c>
      <c r="CG219" s="360" t="s">
        <v>471</v>
      </c>
      <c r="CH219" s="430">
        <v>1</v>
      </c>
      <c r="CI219" s="360"/>
      <c r="CJ219" s="360"/>
      <c r="CK219" s="360"/>
      <c r="CL219" s="360"/>
      <c r="CM219" s="360"/>
      <c r="CN219" s="360"/>
      <c r="CO219" s="360"/>
      <c r="CP219" s="360"/>
    </row>
    <row r="220" spans="1:94" s="315" customFormat="1" ht="25" hidden="1" x14ac:dyDescent="0.25">
      <c r="A220" s="403">
        <v>209</v>
      </c>
      <c r="B220" s="313" t="s">
        <v>988</v>
      </c>
      <c r="C220" s="313" t="s">
        <v>1056</v>
      </c>
      <c r="D220" s="318" t="s">
        <v>594</v>
      </c>
      <c r="E220" s="318"/>
      <c r="F220" s="313" t="s">
        <v>244</v>
      </c>
      <c r="G220" s="313" t="s">
        <v>576</v>
      </c>
      <c r="H220" s="305" t="s">
        <v>1176</v>
      </c>
      <c r="I220" s="305" t="s">
        <v>1177</v>
      </c>
      <c r="J220" s="370" t="e">
        <f>8000*V220/(IF(#REF!="yes",0.188,1))</f>
        <v>#REF!</v>
      </c>
      <c r="K220" s="370" t="e">
        <f>18000*V220/(IF(#REF!="yes",0.188,1))</f>
        <v>#REF!</v>
      </c>
      <c r="L220" s="370" t="e">
        <f>K220</f>
        <v>#REF!</v>
      </c>
      <c r="M220" s="316" t="s">
        <v>484</v>
      </c>
      <c r="N220" s="398">
        <v>2017</v>
      </c>
      <c r="O220" s="398">
        <v>2019</v>
      </c>
      <c r="P220" s="305" t="s">
        <v>519</v>
      </c>
      <c r="Q220" s="324"/>
      <c r="R220" s="305"/>
      <c r="S220" s="305"/>
      <c r="T220" s="305"/>
      <c r="U220" s="305" t="s">
        <v>579</v>
      </c>
      <c r="V220" s="426">
        <v>0.16600000000000001</v>
      </c>
      <c r="W220" s="443">
        <v>5</v>
      </c>
      <c r="X220" s="414"/>
      <c r="Y220" s="412" t="e">
        <f t="shared" si="146"/>
        <v>#REF!</v>
      </c>
      <c r="Z220" s="318">
        <v>2</v>
      </c>
      <c r="AA220" s="318">
        <v>3</v>
      </c>
      <c r="AB220" s="318">
        <v>2</v>
      </c>
      <c r="AC220" s="318">
        <v>3</v>
      </c>
      <c r="AD220" s="318"/>
      <c r="AE220" s="483" t="s">
        <v>1524</v>
      </c>
      <c r="AF220" s="482" t="s">
        <v>1524</v>
      </c>
      <c r="AG220" s="482" t="s">
        <v>1524</v>
      </c>
      <c r="AH220" s="482" t="s">
        <v>1524</v>
      </c>
      <c r="AI220" s="482" t="s">
        <v>1524</v>
      </c>
      <c r="AJ220" s="482">
        <f>IF(OR(M220="Exploration", M220="Pre-feasibility", O220&gt;2017), 0, "check")</f>
        <v>0</v>
      </c>
      <c r="AK220" s="556">
        <v>7063.8297872340427</v>
      </c>
      <c r="AL220" s="557" t="s">
        <v>1524</v>
      </c>
      <c r="AM220" s="557" t="s">
        <v>1524</v>
      </c>
      <c r="AN220" s="557" t="s">
        <v>1524</v>
      </c>
      <c r="AO220" s="557" t="s">
        <v>1524</v>
      </c>
      <c r="AP220" s="557">
        <f>IF(OR(M220="Exploration", M220="Pre-feasibility", O220&gt;2018), 0, "check")</f>
        <v>0</v>
      </c>
      <c r="AQ220" s="556" t="str">
        <f t="shared" si="150"/>
        <v>check</v>
      </c>
      <c r="AR220" s="557" t="str">
        <f t="shared" si="151"/>
        <v>check</v>
      </c>
      <c r="AS220" s="557" t="str">
        <f t="shared" si="151"/>
        <v>check</v>
      </c>
      <c r="AT220" s="557" t="str">
        <f t="shared" si="151"/>
        <v>check</v>
      </c>
      <c r="AU220" s="557" t="str">
        <f t="shared" si="151"/>
        <v>check</v>
      </c>
      <c r="AV220" s="557" t="str">
        <f t="shared" si="152"/>
        <v>check</v>
      </c>
      <c r="AW220" s="556" t="str">
        <f t="shared" si="155"/>
        <v>check</v>
      </c>
      <c r="AX220" s="514" t="str">
        <f t="shared" si="153"/>
        <v>check</v>
      </c>
      <c r="AY220" s="482" t="s">
        <v>1524</v>
      </c>
      <c r="AZ220" s="556" t="str">
        <f>AE220</f>
        <v>check</v>
      </c>
      <c r="BA220" s="557" t="s">
        <v>1524</v>
      </c>
      <c r="BB220" s="557" t="s">
        <v>1524</v>
      </c>
      <c r="BC220" s="557" t="s">
        <v>1524</v>
      </c>
      <c r="BD220" s="557" t="s">
        <v>1524</v>
      </c>
      <c r="BE220" s="557">
        <v>0</v>
      </c>
      <c r="BF220" s="556">
        <f t="shared" si="147"/>
        <v>7063.8297872340427</v>
      </c>
      <c r="BG220" s="557" t="s">
        <v>1524</v>
      </c>
      <c r="BH220" s="557" t="s">
        <v>1524</v>
      </c>
      <c r="BI220" s="557" t="s">
        <v>1524</v>
      </c>
      <c r="BJ220" s="557" t="s">
        <v>1524</v>
      </c>
      <c r="BK220" s="557">
        <v>0</v>
      </c>
      <c r="BL220" s="556" t="str">
        <f t="shared" si="144"/>
        <v>check</v>
      </c>
      <c r="BM220" s="557" t="s">
        <v>1524</v>
      </c>
      <c r="BN220" s="557" t="s">
        <v>1524</v>
      </c>
      <c r="BO220" s="557" t="s">
        <v>1524</v>
      </c>
      <c r="BP220" s="557" t="s">
        <v>1524</v>
      </c>
      <c r="BQ220" s="557" t="s">
        <v>1524</v>
      </c>
      <c r="BR220" s="318"/>
      <c r="BS220" s="318"/>
      <c r="BT220" s="318"/>
      <c r="BU220" s="318"/>
      <c r="BV220" s="318"/>
      <c r="BW220" s="318"/>
      <c r="BX220" s="318"/>
      <c r="BY220" s="318"/>
      <c r="BZ220" s="318" t="s">
        <v>1511</v>
      </c>
      <c r="CA220" s="318"/>
      <c r="CB220" s="318"/>
      <c r="CC220" s="318"/>
      <c r="CD220" s="318"/>
      <c r="CE220" s="457"/>
      <c r="CF220" s="443">
        <v>26.7</v>
      </c>
      <c r="CG220" s="360" t="s">
        <v>988</v>
      </c>
      <c r="CH220" s="430">
        <v>1</v>
      </c>
      <c r="CI220" s="360"/>
      <c r="CJ220" s="360"/>
      <c r="CK220" s="360"/>
      <c r="CL220" s="360"/>
      <c r="CM220" s="360"/>
      <c r="CN220" s="360"/>
      <c r="CO220" s="360"/>
      <c r="CP220" s="360"/>
    </row>
    <row r="221" spans="1:94" s="315" customFormat="1" ht="62.5" hidden="1" x14ac:dyDescent="0.25">
      <c r="A221" s="403">
        <v>210</v>
      </c>
      <c r="B221" s="313" t="s">
        <v>832</v>
      </c>
      <c r="C221" s="313" t="s">
        <v>1127</v>
      </c>
      <c r="D221" s="318" t="s">
        <v>594</v>
      </c>
      <c r="E221" s="318" t="s">
        <v>552</v>
      </c>
      <c r="F221" s="313" t="s">
        <v>244</v>
      </c>
      <c r="G221" s="313" t="s">
        <v>550</v>
      </c>
      <c r="H221" s="305" t="s">
        <v>1120</v>
      </c>
      <c r="I221" s="375"/>
      <c r="J221" s="370" t="e">
        <f>3000*V221/(IF(#REF!="yes",0.188,1))</f>
        <v>#REF!</v>
      </c>
      <c r="K221" s="370" t="e">
        <f>J221</f>
        <v>#REF!</v>
      </c>
      <c r="L221" s="370" t="e">
        <f>J221</f>
        <v>#REF!</v>
      </c>
      <c r="M221" s="316" t="s">
        <v>483</v>
      </c>
      <c r="N221" s="398"/>
      <c r="O221" s="398">
        <v>2018</v>
      </c>
      <c r="P221" s="305" t="s">
        <v>519</v>
      </c>
      <c r="Q221" s="324"/>
      <c r="R221" s="305"/>
      <c r="S221" s="305"/>
      <c r="T221" s="305"/>
      <c r="U221" s="305" t="s">
        <v>1115</v>
      </c>
      <c r="V221" s="426">
        <v>0.26800000000000002</v>
      </c>
      <c r="W221" s="443">
        <v>4</v>
      </c>
      <c r="X221" s="414"/>
      <c r="Y221" s="412" t="e">
        <f t="shared" si="146"/>
        <v>#REF!</v>
      </c>
      <c r="Z221" s="318">
        <v>2</v>
      </c>
      <c r="AA221" s="318">
        <v>3</v>
      </c>
      <c r="AB221" s="318">
        <v>3</v>
      </c>
      <c r="AC221" s="318">
        <v>3</v>
      </c>
      <c r="AD221" s="318" t="s">
        <v>1103</v>
      </c>
      <c r="AE221" s="483">
        <v>2000</v>
      </c>
      <c r="AF221" s="482" t="s">
        <v>1524</v>
      </c>
      <c r="AG221" s="482" t="s">
        <v>1524</v>
      </c>
      <c r="AH221" s="482" t="s">
        <v>1524</v>
      </c>
      <c r="AI221" s="482" t="s">
        <v>1524</v>
      </c>
      <c r="AJ221" s="557">
        <f>IF(OR(M221="Exploration", M221="Pre-feasibility", O221&gt;2017), 0, "check")</f>
        <v>0</v>
      </c>
      <c r="AK221" s="556">
        <v>4276.5957446808507</v>
      </c>
      <c r="AL221" s="557" t="s">
        <v>1524</v>
      </c>
      <c r="AM221" s="557" t="s">
        <v>1524</v>
      </c>
      <c r="AN221" s="557" t="s">
        <v>1524</v>
      </c>
      <c r="AO221" s="557" t="s">
        <v>1524</v>
      </c>
      <c r="AP221" s="557" t="str">
        <f>IF(OR(M221="Exploration", M221="Pre-feasibility", O221&gt;2018), 0, "check")</f>
        <v>check</v>
      </c>
      <c r="AQ221" s="556" t="str">
        <f t="shared" si="150"/>
        <v>check</v>
      </c>
      <c r="AR221" s="557" t="str">
        <f t="shared" si="151"/>
        <v>check</v>
      </c>
      <c r="AS221" s="557" t="str">
        <f t="shared" si="151"/>
        <v>check</v>
      </c>
      <c r="AT221" s="557" t="str">
        <f t="shared" si="151"/>
        <v>check</v>
      </c>
      <c r="AU221" s="557" t="str">
        <f t="shared" si="151"/>
        <v>check</v>
      </c>
      <c r="AV221" s="557" t="str">
        <f t="shared" si="152"/>
        <v>check</v>
      </c>
      <c r="AW221" s="556" t="str">
        <f t="shared" si="155"/>
        <v>check</v>
      </c>
      <c r="AX221" s="514" t="str">
        <f t="shared" si="153"/>
        <v>check</v>
      </c>
      <c r="AY221" s="482" t="s">
        <v>1524</v>
      </c>
      <c r="AZ221" s="556">
        <f t="shared" ref="AZ221:AZ226" si="157">AE221</f>
        <v>2000</v>
      </c>
      <c r="BA221" s="557" t="s">
        <v>1524</v>
      </c>
      <c r="BB221" s="557" t="s">
        <v>1524</v>
      </c>
      <c r="BC221" s="557" t="s">
        <v>1524</v>
      </c>
      <c r="BD221" s="557" t="s">
        <v>1524</v>
      </c>
      <c r="BE221" s="557">
        <v>0</v>
      </c>
      <c r="BF221" s="556">
        <f t="shared" si="147"/>
        <v>4276.5957446808507</v>
      </c>
      <c r="BG221" s="557" t="s">
        <v>1524</v>
      </c>
      <c r="BH221" s="557" t="s">
        <v>1524</v>
      </c>
      <c r="BI221" s="557" t="s">
        <v>1524</v>
      </c>
      <c r="BJ221" s="557" t="s">
        <v>1524</v>
      </c>
      <c r="BK221" s="557" t="s">
        <v>1524</v>
      </c>
      <c r="BL221" s="556" t="str">
        <f t="shared" si="144"/>
        <v>check</v>
      </c>
      <c r="BM221" s="557" t="s">
        <v>1524</v>
      </c>
      <c r="BN221" s="557" t="s">
        <v>1524</v>
      </c>
      <c r="BO221" s="557" t="s">
        <v>1524</v>
      </c>
      <c r="BP221" s="557" t="s">
        <v>1524</v>
      </c>
      <c r="BQ221" s="557" t="s">
        <v>1524</v>
      </c>
      <c r="BR221" s="318"/>
      <c r="BS221" s="318"/>
      <c r="BT221" s="318"/>
      <c r="BU221" s="318"/>
      <c r="BV221" s="318"/>
      <c r="BW221" s="318"/>
      <c r="BX221" s="318"/>
      <c r="BY221" s="318"/>
      <c r="BZ221" s="318" t="s">
        <v>1511</v>
      </c>
      <c r="CA221" s="318"/>
      <c r="CB221" s="318"/>
      <c r="CC221" s="318"/>
      <c r="CD221" s="318"/>
      <c r="CE221" s="457"/>
      <c r="CF221" s="443">
        <v>65</v>
      </c>
      <c r="CG221" s="360" t="s">
        <v>832</v>
      </c>
      <c r="CH221" s="430">
        <v>1</v>
      </c>
      <c r="CI221" s="360"/>
      <c r="CJ221" s="360"/>
      <c r="CK221" s="360"/>
      <c r="CL221" s="360"/>
      <c r="CM221" s="360"/>
      <c r="CN221" s="360"/>
      <c r="CO221" s="360"/>
      <c r="CP221" s="360"/>
    </row>
    <row r="222" spans="1:94" s="315" customFormat="1" ht="25" hidden="1" x14ac:dyDescent="0.25">
      <c r="A222" s="403">
        <v>211</v>
      </c>
      <c r="B222" s="313" t="s">
        <v>830</v>
      </c>
      <c r="C222" s="313" t="s">
        <v>1059</v>
      </c>
      <c r="D222" s="318" t="s">
        <v>594</v>
      </c>
      <c r="E222" s="318"/>
      <c r="F222" s="313" t="s">
        <v>244</v>
      </c>
      <c r="G222" s="313" t="s">
        <v>1060</v>
      </c>
      <c r="H222" s="305"/>
      <c r="I222" s="375" t="s">
        <v>1058</v>
      </c>
      <c r="J222" s="370">
        <v>0</v>
      </c>
      <c r="K222" s="370">
        <v>0</v>
      </c>
      <c r="L222" s="370">
        <v>0</v>
      </c>
      <c r="M222" s="316" t="s">
        <v>1208</v>
      </c>
      <c r="N222" s="398"/>
      <c r="O222" s="398">
        <v>2018</v>
      </c>
      <c r="P222" s="305"/>
      <c r="Q222" s="324"/>
      <c r="R222" s="305"/>
      <c r="S222" s="305"/>
      <c r="T222" s="305"/>
      <c r="U222" s="305" t="s">
        <v>579</v>
      </c>
      <c r="V222" s="426">
        <v>0.16600000000000001</v>
      </c>
      <c r="W222" s="412">
        <v>5</v>
      </c>
      <c r="X222" s="412"/>
      <c r="Y222" s="412" t="e">
        <f t="shared" si="146"/>
        <v>#REF!</v>
      </c>
      <c r="Z222" s="318">
        <v>2</v>
      </c>
      <c r="AA222" s="318">
        <v>2</v>
      </c>
      <c r="AB222" s="318">
        <v>1</v>
      </c>
      <c r="AC222" s="318">
        <v>1</v>
      </c>
      <c r="AD222" s="318"/>
      <c r="AE222" s="483">
        <v>0</v>
      </c>
      <c r="AF222" s="482">
        <v>0</v>
      </c>
      <c r="AG222" s="482">
        <v>0</v>
      </c>
      <c r="AH222" s="482">
        <v>0</v>
      </c>
      <c r="AI222" s="482">
        <v>0</v>
      </c>
      <c r="AJ222" s="557">
        <v>0</v>
      </c>
      <c r="AK222" s="556">
        <v>0</v>
      </c>
      <c r="AL222" s="557">
        <v>0</v>
      </c>
      <c r="AM222" s="557">
        <v>0</v>
      </c>
      <c r="AN222" s="557">
        <v>0</v>
      </c>
      <c r="AO222" s="557">
        <v>0</v>
      </c>
      <c r="AP222" s="557">
        <v>0</v>
      </c>
      <c r="AQ222" s="480">
        <v>0</v>
      </c>
      <c r="AR222" s="482">
        <v>0</v>
      </c>
      <c r="AS222" s="482">
        <v>0</v>
      </c>
      <c r="AT222" s="482">
        <v>0</v>
      </c>
      <c r="AU222" s="482">
        <v>0</v>
      </c>
      <c r="AV222" s="482">
        <v>0</v>
      </c>
      <c r="AW222" s="483">
        <f t="shared" si="155"/>
        <v>0</v>
      </c>
      <c r="AX222" s="514">
        <f t="shared" si="153"/>
        <v>0</v>
      </c>
      <c r="AY222" s="514" t="s">
        <v>1034</v>
      </c>
      <c r="AZ222" s="556">
        <f t="shared" si="157"/>
        <v>0</v>
      </c>
      <c r="BA222" s="557">
        <v>0</v>
      </c>
      <c r="BB222" s="557">
        <v>0</v>
      </c>
      <c r="BC222" s="557">
        <v>0</v>
      </c>
      <c r="BD222" s="557">
        <v>0</v>
      </c>
      <c r="BE222" s="557">
        <v>0</v>
      </c>
      <c r="BF222" s="556">
        <f t="shared" si="147"/>
        <v>0</v>
      </c>
      <c r="BG222" s="557">
        <v>0</v>
      </c>
      <c r="BH222" s="557">
        <v>0</v>
      </c>
      <c r="BI222" s="557">
        <v>0</v>
      </c>
      <c r="BJ222" s="557">
        <v>0</v>
      </c>
      <c r="BK222" s="557">
        <v>0</v>
      </c>
      <c r="BL222" s="556">
        <f t="shared" si="144"/>
        <v>0</v>
      </c>
      <c r="BM222" s="557">
        <v>0</v>
      </c>
      <c r="BN222" s="557">
        <v>0</v>
      </c>
      <c r="BO222" s="557">
        <v>0</v>
      </c>
      <c r="BP222" s="557">
        <v>0</v>
      </c>
      <c r="BQ222" s="557">
        <v>0</v>
      </c>
      <c r="BR222" s="318"/>
      <c r="BS222" s="318"/>
      <c r="BT222" s="318"/>
      <c r="BU222" s="318"/>
      <c r="BV222" s="318"/>
      <c r="BW222" s="318"/>
      <c r="BX222" s="318"/>
      <c r="BY222" s="318"/>
      <c r="BZ222" s="318"/>
      <c r="CA222" s="318"/>
      <c r="CB222" s="318"/>
      <c r="CC222" s="318"/>
      <c r="CD222" s="318"/>
      <c r="CE222" s="457"/>
      <c r="CF222" s="318"/>
      <c r="CG222" s="360"/>
      <c r="CH222" s="360"/>
      <c r="CI222" s="360"/>
      <c r="CJ222" s="360"/>
      <c r="CK222" s="360"/>
      <c r="CL222" s="360"/>
      <c r="CM222" s="360"/>
      <c r="CN222" s="360"/>
      <c r="CO222" s="360"/>
      <c r="CP222" s="360"/>
    </row>
    <row r="223" spans="1:94" s="315" customFormat="1" ht="50" hidden="1" x14ac:dyDescent="0.25">
      <c r="A223" s="403">
        <v>212</v>
      </c>
      <c r="B223" s="313" t="s">
        <v>886</v>
      </c>
      <c r="C223" s="313" t="s">
        <v>1062</v>
      </c>
      <c r="D223" s="318" t="s">
        <v>594</v>
      </c>
      <c r="E223" s="318"/>
      <c r="F223" s="313" t="s">
        <v>244</v>
      </c>
      <c r="G223" s="313" t="s">
        <v>550</v>
      </c>
      <c r="H223" s="305"/>
      <c r="I223" s="305" t="s">
        <v>1178</v>
      </c>
      <c r="J223" s="370">
        <v>0</v>
      </c>
      <c r="K223" s="370" t="e">
        <f>+(8000*V223/(IF(#REF!="yes",0.188,1)))</f>
        <v>#REF!</v>
      </c>
      <c r="L223" s="370" t="e">
        <f>K223-J223</f>
        <v>#REF!</v>
      </c>
      <c r="M223" s="316" t="s">
        <v>483</v>
      </c>
      <c r="N223" s="398"/>
      <c r="O223" s="398">
        <v>2018</v>
      </c>
      <c r="P223" s="305" t="s">
        <v>519</v>
      </c>
      <c r="Q223" s="324"/>
      <c r="R223" s="305"/>
      <c r="S223" s="305"/>
      <c r="T223" s="305"/>
      <c r="U223" s="305" t="s">
        <v>579</v>
      </c>
      <c r="V223" s="426">
        <v>0.16600000000000001</v>
      </c>
      <c r="W223" s="443">
        <v>5</v>
      </c>
      <c r="X223" s="414"/>
      <c r="Y223" s="412" t="e">
        <f t="shared" si="146"/>
        <v>#REF!</v>
      </c>
      <c r="Z223" s="318">
        <v>3</v>
      </c>
      <c r="AA223" s="318">
        <v>3</v>
      </c>
      <c r="AB223" s="318">
        <v>3</v>
      </c>
      <c r="AC223" s="318">
        <v>3</v>
      </c>
      <c r="AD223" s="318" t="s">
        <v>887</v>
      </c>
      <c r="AE223" s="483">
        <f t="shared" ref="AE223:AJ230" si="158">IF(OR($M223="Exploration", $M223="Pre-feasibility", $O223&gt;2017), 0, "check")</f>
        <v>0</v>
      </c>
      <c r="AF223" s="482">
        <f t="shared" si="158"/>
        <v>0</v>
      </c>
      <c r="AG223" s="482">
        <f t="shared" si="158"/>
        <v>0</v>
      </c>
      <c r="AH223" s="482">
        <f t="shared" si="158"/>
        <v>0</v>
      </c>
      <c r="AI223" s="482">
        <f t="shared" si="158"/>
        <v>0</v>
      </c>
      <c r="AJ223" s="557">
        <f t="shared" si="158"/>
        <v>0</v>
      </c>
      <c r="AK223" s="556" t="str">
        <f t="shared" ref="AK223:AP225" si="159">IF(OR($M223="Exploration", $M223="Pre-feasibility", $O223&gt;2018), 0, "check")</f>
        <v>check</v>
      </c>
      <c r="AL223" s="557" t="str">
        <f t="shared" si="159"/>
        <v>check</v>
      </c>
      <c r="AM223" s="557" t="str">
        <f t="shared" si="159"/>
        <v>check</v>
      </c>
      <c r="AN223" s="557" t="str">
        <f t="shared" si="159"/>
        <v>check</v>
      </c>
      <c r="AO223" s="557" t="str">
        <f t="shared" si="159"/>
        <v>check</v>
      </c>
      <c r="AP223" s="557" t="str">
        <f t="shared" si="159"/>
        <v>check</v>
      </c>
      <c r="AQ223" s="483" t="str">
        <f t="shared" si="150"/>
        <v>check</v>
      </c>
      <c r="AR223" s="482" t="str">
        <f t="shared" si="151"/>
        <v>check</v>
      </c>
      <c r="AS223" s="482" t="str">
        <f t="shared" si="151"/>
        <v>check</v>
      </c>
      <c r="AT223" s="482" t="str">
        <f t="shared" si="151"/>
        <v>check</v>
      </c>
      <c r="AU223" s="482" t="str">
        <f t="shared" si="151"/>
        <v>check</v>
      </c>
      <c r="AV223" s="482" t="str">
        <f t="shared" si="152"/>
        <v>check</v>
      </c>
      <c r="AW223" s="483" t="str">
        <f t="shared" si="155"/>
        <v>check</v>
      </c>
      <c r="AX223" s="514" t="str">
        <f t="shared" si="153"/>
        <v>check</v>
      </c>
      <c r="AY223" s="482" t="s">
        <v>1524</v>
      </c>
      <c r="AZ223" s="556">
        <f t="shared" si="157"/>
        <v>0</v>
      </c>
      <c r="BA223" s="557">
        <f t="shared" ref="AZ223:BE223" si="160">IF(OR($M223="Exploration", $M223="Pre-feasibility", $O223&gt;2017), 0, "check")</f>
        <v>0</v>
      </c>
      <c r="BB223" s="557">
        <f t="shared" si="160"/>
        <v>0</v>
      </c>
      <c r="BC223" s="557">
        <f t="shared" si="160"/>
        <v>0</v>
      </c>
      <c r="BD223" s="557">
        <f t="shared" si="160"/>
        <v>0</v>
      </c>
      <c r="BE223" s="557">
        <f t="shared" si="160"/>
        <v>0</v>
      </c>
      <c r="BF223" s="556" t="str">
        <f t="shared" si="147"/>
        <v>check</v>
      </c>
      <c r="BG223" s="557" t="s">
        <v>1524</v>
      </c>
      <c r="BH223" s="557" t="s">
        <v>1524</v>
      </c>
      <c r="BI223" s="557" t="s">
        <v>1524</v>
      </c>
      <c r="BJ223" s="557" t="s">
        <v>1524</v>
      </c>
      <c r="BK223" s="557" t="s">
        <v>1524</v>
      </c>
      <c r="BL223" s="556" t="str">
        <f t="shared" si="144"/>
        <v>check</v>
      </c>
      <c r="BM223" s="557" t="s">
        <v>1524</v>
      </c>
      <c r="BN223" s="557" t="s">
        <v>1524</v>
      </c>
      <c r="BO223" s="557" t="s">
        <v>1524</v>
      </c>
      <c r="BP223" s="557" t="s">
        <v>1524</v>
      </c>
      <c r="BQ223" s="557" t="s">
        <v>1524</v>
      </c>
      <c r="BR223" s="318"/>
      <c r="BS223" s="318"/>
      <c r="BT223" s="318"/>
      <c r="BU223" s="318"/>
      <c r="BV223" s="318"/>
      <c r="BW223" s="318"/>
      <c r="BX223" s="318"/>
      <c r="BY223" s="318"/>
      <c r="BZ223" s="318" t="s">
        <v>1511</v>
      </c>
      <c r="CA223" s="318"/>
      <c r="CB223" s="318"/>
      <c r="CC223" s="318"/>
      <c r="CD223" s="318"/>
      <c r="CE223" s="457"/>
      <c r="CF223" s="443"/>
      <c r="CG223" s="360" t="s">
        <v>790</v>
      </c>
      <c r="CH223" s="430">
        <v>0.7</v>
      </c>
      <c r="CI223" s="360" t="s">
        <v>1225</v>
      </c>
      <c r="CJ223" s="430">
        <v>0.3</v>
      </c>
      <c r="CK223" s="360"/>
      <c r="CL223" s="360"/>
      <c r="CM223" s="360"/>
      <c r="CN223" s="360"/>
      <c r="CO223" s="360"/>
      <c r="CP223" s="360"/>
    </row>
    <row r="224" spans="1:94" s="315" customFormat="1" ht="50" hidden="1" x14ac:dyDescent="0.25">
      <c r="A224" s="403">
        <v>213</v>
      </c>
      <c r="B224" s="313" t="s">
        <v>831</v>
      </c>
      <c r="C224" s="313" t="s">
        <v>1099</v>
      </c>
      <c r="D224" s="318" t="s">
        <v>594</v>
      </c>
      <c r="E224" s="318"/>
      <c r="F224" s="313" t="s">
        <v>244</v>
      </c>
      <c r="G224" s="313" t="s">
        <v>576</v>
      </c>
      <c r="H224" s="305"/>
      <c r="I224" s="305" t="s">
        <v>1114</v>
      </c>
      <c r="J224" s="370">
        <v>0</v>
      </c>
      <c r="K224" s="370" t="e">
        <f>5000*V224/(IF(#REF!="yes",0.188,1))</f>
        <v>#REF!</v>
      </c>
      <c r="L224" s="370" t="e">
        <f>K224-J224</f>
        <v>#REF!</v>
      </c>
      <c r="M224" s="316" t="s">
        <v>484</v>
      </c>
      <c r="N224" s="398"/>
      <c r="O224" s="398">
        <v>2018</v>
      </c>
      <c r="P224" s="305" t="s">
        <v>519</v>
      </c>
      <c r="Q224" s="324"/>
      <c r="R224" s="305"/>
      <c r="S224" s="305"/>
      <c r="T224" s="305"/>
      <c r="U224" s="305" t="s">
        <v>579</v>
      </c>
      <c r="V224" s="426">
        <v>0.16600000000000001</v>
      </c>
      <c r="W224" s="443">
        <v>5</v>
      </c>
      <c r="X224" s="414"/>
      <c r="Y224" s="412" t="e">
        <f t="shared" si="146"/>
        <v>#REF!</v>
      </c>
      <c r="Z224" s="318">
        <v>2</v>
      </c>
      <c r="AA224" s="318">
        <v>3</v>
      </c>
      <c r="AB224" s="318">
        <v>2</v>
      </c>
      <c r="AC224" s="318">
        <v>3</v>
      </c>
      <c r="AD224" s="318" t="s">
        <v>1100</v>
      </c>
      <c r="AE224" s="483">
        <f t="shared" si="158"/>
        <v>0</v>
      </c>
      <c r="AF224" s="482">
        <f t="shared" si="158"/>
        <v>0</v>
      </c>
      <c r="AG224" s="482">
        <f t="shared" si="158"/>
        <v>0</v>
      </c>
      <c r="AH224" s="482">
        <f t="shared" si="158"/>
        <v>0</v>
      </c>
      <c r="AI224" s="482">
        <f t="shared" si="158"/>
        <v>0</v>
      </c>
      <c r="AJ224" s="557">
        <f t="shared" si="158"/>
        <v>0</v>
      </c>
      <c r="AK224" s="556" t="str">
        <f t="shared" si="159"/>
        <v>check</v>
      </c>
      <c r="AL224" s="557" t="str">
        <f t="shared" si="159"/>
        <v>check</v>
      </c>
      <c r="AM224" s="557" t="str">
        <f t="shared" si="159"/>
        <v>check</v>
      </c>
      <c r="AN224" s="557" t="str">
        <f t="shared" si="159"/>
        <v>check</v>
      </c>
      <c r="AO224" s="557" t="str">
        <f t="shared" si="159"/>
        <v>check</v>
      </c>
      <c r="AP224" s="557" t="str">
        <f t="shared" si="159"/>
        <v>check</v>
      </c>
      <c r="AQ224" s="483" t="str">
        <f t="shared" si="150"/>
        <v>check</v>
      </c>
      <c r="AR224" s="482" t="str">
        <f t="shared" si="151"/>
        <v>check</v>
      </c>
      <c r="AS224" s="482" t="str">
        <f t="shared" si="151"/>
        <v>check</v>
      </c>
      <c r="AT224" s="482" t="str">
        <f t="shared" si="151"/>
        <v>check</v>
      </c>
      <c r="AU224" s="482" t="str">
        <f t="shared" si="151"/>
        <v>check</v>
      </c>
      <c r="AV224" s="482" t="str">
        <f t="shared" si="152"/>
        <v>check</v>
      </c>
      <c r="AW224" s="483" t="str">
        <f t="shared" si="155"/>
        <v>check</v>
      </c>
      <c r="AX224" s="514" t="str">
        <f t="shared" si="153"/>
        <v>check</v>
      </c>
      <c r="AY224" s="482" t="s">
        <v>1524</v>
      </c>
      <c r="AZ224" s="556">
        <f t="shared" si="157"/>
        <v>0</v>
      </c>
      <c r="BA224" s="557">
        <v>0</v>
      </c>
      <c r="BB224" s="557">
        <v>0</v>
      </c>
      <c r="BC224" s="557">
        <v>0</v>
      </c>
      <c r="BD224" s="557">
        <v>0</v>
      </c>
      <c r="BE224" s="557">
        <v>0</v>
      </c>
      <c r="BF224" s="556" t="str">
        <f t="shared" si="147"/>
        <v>check</v>
      </c>
      <c r="BG224" s="557" t="s">
        <v>1524</v>
      </c>
      <c r="BH224" s="557" t="s">
        <v>1524</v>
      </c>
      <c r="BI224" s="557" t="s">
        <v>1524</v>
      </c>
      <c r="BJ224" s="557" t="s">
        <v>1524</v>
      </c>
      <c r="BK224" s="557" t="s">
        <v>1524</v>
      </c>
      <c r="BL224" s="556" t="str">
        <f t="shared" si="144"/>
        <v>check</v>
      </c>
      <c r="BM224" s="557" t="s">
        <v>1524</v>
      </c>
      <c r="BN224" s="557" t="s">
        <v>1524</v>
      </c>
      <c r="BO224" s="557" t="s">
        <v>1524</v>
      </c>
      <c r="BP224" s="557" t="s">
        <v>1524</v>
      </c>
      <c r="BQ224" s="557" t="s">
        <v>1524</v>
      </c>
      <c r="BR224" s="318"/>
      <c r="BS224" s="318"/>
      <c r="BT224" s="318"/>
      <c r="BU224" s="318"/>
      <c r="BV224" s="318"/>
      <c r="BW224" s="318"/>
      <c r="BX224" s="318"/>
      <c r="BY224" s="318"/>
      <c r="BZ224" s="318" t="s">
        <v>1511</v>
      </c>
      <c r="CA224" s="318"/>
      <c r="CB224" s="318"/>
      <c r="CC224" s="318"/>
      <c r="CD224" s="318"/>
      <c r="CE224" s="457"/>
      <c r="CF224" s="443">
        <v>29.22</v>
      </c>
      <c r="CG224" s="360" t="s">
        <v>831</v>
      </c>
      <c r="CH224" s="430">
        <v>1</v>
      </c>
      <c r="CI224" s="360"/>
      <c r="CJ224" s="360"/>
      <c r="CK224" s="360"/>
      <c r="CL224" s="360"/>
      <c r="CM224" s="360"/>
      <c r="CN224" s="360"/>
      <c r="CO224" s="360"/>
      <c r="CP224" s="360"/>
    </row>
    <row r="225" spans="1:94" s="315" customFormat="1" ht="62.5" hidden="1" x14ac:dyDescent="0.25">
      <c r="A225" s="403">
        <v>214</v>
      </c>
      <c r="B225" s="313" t="s">
        <v>832</v>
      </c>
      <c r="C225" s="313" t="s">
        <v>1119</v>
      </c>
      <c r="D225" s="318" t="s">
        <v>594</v>
      </c>
      <c r="E225" s="318" t="s">
        <v>553</v>
      </c>
      <c r="F225" s="313" t="s">
        <v>244</v>
      </c>
      <c r="G225" s="313" t="s">
        <v>550</v>
      </c>
      <c r="H225" s="305"/>
      <c r="I225" s="305" t="s">
        <v>1172</v>
      </c>
      <c r="J225" s="370">
        <v>0</v>
      </c>
      <c r="K225" s="370" t="e">
        <f>15000*V225/(IF(#REF!="yes",0.188,1))</f>
        <v>#REF!</v>
      </c>
      <c r="L225" s="370" t="e">
        <f>K225-J225</f>
        <v>#REF!</v>
      </c>
      <c r="M225" s="316" t="s">
        <v>844</v>
      </c>
      <c r="N225" s="398"/>
      <c r="O225" s="398">
        <v>2021</v>
      </c>
      <c r="P225" s="305" t="s">
        <v>519</v>
      </c>
      <c r="Q225" s="324"/>
      <c r="R225" s="305"/>
      <c r="S225" s="305"/>
      <c r="T225" s="305"/>
      <c r="U225" s="305" t="s">
        <v>579</v>
      </c>
      <c r="V225" s="426">
        <v>0.16600000000000001</v>
      </c>
      <c r="W225" s="443">
        <v>5</v>
      </c>
      <c r="X225" s="414"/>
      <c r="Y225" s="412" t="e">
        <f t="shared" si="146"/>
        <v>#REF!</v>
      </c>
      <c r="Z225" s="318">
        <v>2</v>
      </c>
      <c r="AA225" s="318">
        <v>3</v>
      </c>
      <c r="AB225" s="318">
        <v>3</v>
      </c>
      <c r="AC225" s="318">
        <v>3</v>
      </c>
      <c r="AD225" s="318" t="s">
        <v>1125</v>
      </c>
      <c r="AE225" s="483">
        <f t="shared" si="158"/>
        <v>0</v>
      </c>
      <c r="AF225" s="482">
        <f t="shared" si="158"/>
        <v>0</v>
      </c>
      <c r="AG225" s="482">
        <f t="shared" si="158"/>
        <v>0</v>
      </c>
      <c r="AH225" s="482">
        <f t="shared" si="158"/>
        <v>0</v>
      </c>
      <c r="AI225" s="482">
        <f t="shared" si="158"/>
        <v>0</v>
      </c>
      <c r="AJ225" s="557">
        <f t="shared" si="158"/>
        <v>0</v>
      </c>
      <c r="AK225" s="556">
        <f t="shared" si="159"/>
        <v>0</v>
      </c>
      <c r="AL225" s="557">
        <f t="shared" si="159"/>
        <v>0</v>
      </c>
      <c r="AM225" s="557">
        <f t="shared" si="159"/>
        <v>0</v>
      </c>
      <c r="AN225" s="557">
        <f t="shared" si="159"/>
        <v>0</v>
      </c>
      <c r="AO225" s="557">
        <f t="shared" si="159"/>
        <v>0</v>
      </c>
      <c r="AP225" s="557">
        <f t="shared" si="159"/>
        <v>0</v>
      </c>
      <c r="AQ225" s="483">
        <f t="shared" si="150"/>
        <v>0</v>
      </c>
      <c r="AR225" s="482">
        <f t="shared" si="151"/>
        <v>0</v>
      </c>
      <c r="AS225" s="482">
        <f t="shared" si="151"/>
        <v>0</v>
      </c>
      <c r="AT225" s="482">
        <f t="shared" si="151"/>
        <v>0</v>
      </c>
      <c r="AU225" s="482">
        <f t="shared" si="151"/>
        <v>0</v>
      </c>
      <c r="AV225" s="482">
        <f t="shared" si="152"/>
        <v>0</v>
      </c>
      <c r="AW225" s="483" t="str">
        <f t="shared" si="155"/>
        <v>check</v>
      </c>
      <c r="AX225" s="514">
        <f t="shared" si="153"/>
        <v>0</v>
      </c>
      <c r="AY225" s="514" t="s">
        <v>1034</v>
      </c>
      <c r="AZ225" s="556">
        <f t="shared" si="157"/>
        <v>0</v>
      </c>
      <c r="BA225" s="557">
        <v>0</v>
      </c>
      <c r="BB225" s="557">
        <v>0</v>
      </c>
      <c r="BC225" s="557">
        <v>0</v>
      </c>
      <c r="BD225" s="557">
        <v>0</v>
      </c>
      <c r="BE225" s="557">
        <v>0</v>
      </c>
      <c r="BF225" s="556">
        <f t="shared" si="147"/>
        <v>0</v>
      </c>
      <c r="BG225" s="557">
        <v>0</v>
      </c>
      <c r="BH225" s="557">
        <v>0</v>
      </c>
      <c r="BI225" s="557">
        <v>0</v>
      </c>
      <c r="BJ225" s="557">
        <v>0</v>
      </c>
      <c r="BK225" s="557">
        <v>0</v>
      </c>
      <c r="BL225" s="556">
        <f t="shared" si="144"/>
        <v>0</v>
      </c>
      <c r="BM225" s="557">
        <v>0</v>
      </c>
      <c r="BN225" s="557">
        <v>0</v>
      </c>
      <c r="BO225" s="557">
        <v>0</v>
      </c>
      <c r="BP225" s="557">
        <v>0</v>
      </c>
      <c r="BQ225" s="557">
        <v>0</v>
      </c>
      <c r="BR225" s="318" t="s">
        <v>1123</v>
      </c>
      <c r="BS225" s="318"/>
      <c r="BT225" s="318"/>
      <c r="BU225" s="318"/>
      <c r="BV225" s="318"/>
      <c r="BW225" s="318"/>
      <c r="BX225" s="318"/>
      <c r="BY225" s="318"/>
      <c r="BZ225" s="318" t="s">
        <v>1511</v>
      </c>
      <c r="CA225" s="318"/>
      <c r="CB225" s="318"/>
      <c r="CC225" s="318"/>
      <c r="CD225" s="318"/>
      <c r="CE225" s="457" t="s">
        <v>1173</v>
      </c>
      <c r="CF225" s="443">
        <v>65</v>
      </c>
      <c r="CG225" s="360" t="s">
        <v>832</v>
      </c>
      <c r="CH225" s="430">
        <v>1</v>
      </c>
      <c r="CI225" s="360"/>
      <c r="CJ225" s="360"/>
      <c r="CK225" s="360"/>
      <c r="CL225" s="360"/>
      <c r="CM225" s="360"/>
      <c r="CN225" s="360"/>
      <c r="CO225" s="360"/>
      <c r="CP225" s="360"/>
    </row>
    <row r="226" spans="1:94" s="315" customFormat="1" ht="25" hidden="1" x14ac:dyDescent="0.25">
      <c r="A226" s="403">
        <v>215</v>
      </c>
      <c r="B226" s="313" t="s">
        <v>867</v>
      </c>
      <c r="C226" s="313" t="s">
        <v>1063</v>
      </c>
      <c r="D226" s="318" t="s">
        <v>594</v>
      </c>
      <c r="E226" s="318" t="s">
        <v>552</v>
      </c>
      <c r="F226" s="313" t="s">
        <v>244</v>
      </c>
      <c r="G226" s="313" t="s">
        <v>550</v>
      </c>
      <c r="H226" s="305" t="s">
        <v>870</v>
      </c>
      <c r="I226" s="375"/>
      <c r="J226" s="370" t="e">
        <f>5000*V226/(IF(#REF!="yes",0.188,1))</f>
        <v>#REF!</v>
      </c>
      <c r="K226" s="370">
        <v>0</v>
      </c>
      <c r="L226" s="370" t="e">
        <f>J226</f>
        <v>#REF!</v>
      </c>
      <c r="M226" s="316" t="s">
        <v>483</v>
      </c>
      <c r="N226" s="398">
        <v>2017</v>
      </c>
      <c r="O226" s="398">
        <v>2018</v>
      </c>
      <c r="P226" s="305" t="s">
        <v>519</v>
      </c>
      <c r="Q226" s="324"/>
      <c r="R226" s="305"/>
      <c r="S226" s="305"/>
      <c r="T226" s="305"/>
      <c r="U226" s="305" t="s">
        <v>579</v>
      </c>
      <c r="V226" s="426">
        <v>0.16600000000000001</v>
      </c>
      <c r="W226" s="443">
        <v>5</v>
      </c>
      <c r="X226" s="414"/>
      <c r="Y226" s="412" t="e">
        <f t="shared" si="146"/>
        <v>#REF!</v>
      </c>
      <c r="Z226" s="318">
        <v>3</v>
      </c>
      <c r="AA226" s="318">
        <v>3</v>
      </c>
      <c r="AB226" s="318">
        <v>3</v>
      </c>
      <c r="AC226" s="318">
        <v>4</v>
      </c>
      <c r="AD226" s="318" t="s">
        <v>873</v>
      </c>
      <c r="AE226" s="483">
        <f t="shared" si="158"/>
        <v>0</v>
      </c>
      <c r="AF226" s="482">
        <f t="shared" si="158"/>
        <v>0</v>
      </c>
      <c r="AG226" s="482">
        <f t="shared" si="158"/>
        <v>0</v>
      </c>
      <c r="AH226" s="482">
        <f t="shared" si="158"/>
        <v>0</v>
      </c>
      <c r="AI226" s="482">
        <f t="shared" si="158"/>
        <v>0</v>
      </c>
      <c r="AJ226" s="557">
        <f t="shared" si="158"/>
        <v>0</v>
      </c>
      <c r="AK226" s="556">
        <v>4414.8936170212764</v>
      </c>
      <c r="AL226" s="557" t="s">
        <v>1524</v>
      </c>
      <c r="AM226" s="557" t="s">
        <v>1524</v>
      </c>
      <c r="AN226" s="557" t="s">
        <v>1524</v>
      </c>
      <c r="AO226" s="557" t="s">
        <v>1524</v>
      </c>
      <c r="AP226" s="557" t="str">
        <f>IF(OR(M226="Exploration", M226="Pre-feasibility", O226&gt;2018), 0, "check")</f>
        <v>check</v>
      </c>
      <c r="AQ226" s="483" t="str">
        <f t="shared" si="150"/>
        <v>check</v>
      </c>
      <c r="AR226" s="482" t="str">
        <f t="shared" si="151"/>
        <v>check</v>
      </c>
      <c r="AS226" s="482" t="str">
        <f t="shared" si="151"/>
        <v>check</v>
      </c>
      <c r="AT226" s="482" t="str">
        <f t="shared" si="151"/>
        <v>check</v>
      </c>
      <c r="AU226" s="482" t="str">
        <f t="shared" si="151"/>
        <v>check</v>
      </c>
      <c r="AV226" s="482" t="str">
        <f t="shared" si="152"/>
        <v>check</v>
      </c>
      <c r="AW226" s="483" t="str">
        <f t="shared" si="155"/>
        <v>check</v>
      </c>
      <c r="AX226" s="514" t="str">
        <f t="shared" si="153"/>
        <v>check</v>
      </c>
      <c r="AY226" s="482" t="s">
        <v>1524</v>
      </c>
      <c r="AZ226" s="556">
        <f t="shared" si="157"/>
        <v>0</v>
      </c>
      <c r="BA226" s="557">
        <v>0</v>
      </c>
      <c r="BB226" s="557">
        <v>0</v>
      </c>
      <c r="BC226" s="557">
        <v>0</v>
      </c>
      <c r="BD226" s="557">
        <v>0</v>
      </c>
      <c r="BE226" s="557">
        <v>0</v>
      </c>
      <c r="BF226" s="556">
        <f t="shared" si="147"/>
        <v>4414.8936170212764</v>
      </c>
      <c r="BG226" s="557" t="s">
        <v>1524</v>
      </c>
      <c r="BH226" s="557" t="s">
        <v>1524</v>
      </c>
      <c r="BI226" s="557" t="s">
        <v>1524</v>
      </c>
      <c r="BJ226" s="557" t="s">
        <v>1524</v>
      </c>
      <c r="BK226" s="557" t="s">
        <v>1524</v>
      </c>
      <c r="BL226" s="556" t="str">
        <f t="shared" si="144"/>
        <v>check</v>
      </c>
      <c r="BM226" s="557" t="s">
        <v>1524</v>
      </c>
      <c r="BN226" s="557" t="s">
        <v>1524</v>
      </c>
      <c r="BO226" s="557" t="s">
        <v>1524</v>
      </c>
      <c r="BP226" s="557" t="s">
        <v>1524</v>
      </c>
      <c r="BQ226" s="557" t="s">
        <v>1524</v>
      </c>
      <c r="BR226" s="318"/>
      <c r="BS226" s="318"/>
      <c r="BT226" s="318"/>
      <c r="BU226" s="318"/>
      <c r="BV226" s="318"/>
      <c r="BW226" s="318"/>
      <c r="BX226" s="318"/>
      <c r="BY226" s="318"/>
      <c r="BZ226" s="318" t="s">
        <v>1511</v>
      </c>
      <c r="CA226" s="318"/>
      <c r="CB226" s="318"/>
      <c r="CC226" s="318"/>
      <c r="CD226" s="318"/>
      <c r="CE226" s="457"/>
      <c r="CF226" s="443">
        <v>158</v>
      </c>
      <c r="CG226" s="360" t="s">
        <v>867</v>
      </c>
      <c r="CH226" s="430">
        <v>1</v>
      </c>
      <c r="CI226" s="360"/>
      <c r="CJ226" s="360"/>
      <c r="CK226" s="360"/>
      <c r="CL226" s="360"/>
      <c r="CM226" s="360"/>
      <c r="CN226" s="360"/>
      <c r="CO226" s="360"/>
      <c r="CP226" s="360"/>
    </row>
    <row r="227" spans="1:94" s="315" customFormat="1" ht="25" hidden="1" x14ac:dyDescent="0.25">
      <c r="A227" s="403">
        <v>216</v>
      </c>
      <c r="B227" s="313" t="s">
        <v>867</v>
      </c>
      <c r="C227" s="313" t="s">
        <v>1063</v>
      </c>
      <c r="D227" s="318" t="s">
        <v>594</v>
      </c>
      <c r="E227" s="318" t="s">
        <v>553</v>
      </c>
      <c r="F227" s="313" t="s">
        <v>244</v>
      </c>
      <c r="G227" s="313" t="s">
        <v>550</v>
      </c>
      <c r="H227" s="305"/>
      <c r="I227" s="305" t="s">
        <v>1065</v>
      </c>
      <c r="J227" s="370">
        <v>0</v>
      </c>
      <c r="K227" s="370" t="e">
        <f>15000*V227/(IF(#REF!="yes",0.188,1))</f>
        <v>#REF!</v>
      </c>
      <c r="L227" s="370" t="e">
        <f>K227-$J$226</f>
        <v>#REF!</v>
      </c>
      <c r="M227" s="316" t="s">
        <v>484</v>
      </c>
      <c r="N227" s="398"/>
      <c r="O227" s="398">
        <v>2020</v>
      </c>
      <c r="P227" s="305" t="s">
        <v>519</v>
      </c>
      <c r="Q227" s="324"/>
      <c r="R227" s="305"/>
      <c r="S227" s="305"/>
      <c r="T227" s="305"/>
      <c r="U227" s="305" t="s">
        <v>579</v>
      </c>
      <c r="V227" s="426">
        <v>0.16600000000000001</v>
      </c>
      <c r="W227" s="443">
        <v>5</v>
      </c>
      <c r="X227" s="414"/>
      <c r="Y227" s="412" t="e">
        <f t="shared" si="146"/>
        <v>#REF!</v>
      </c>
      <c r="Z227" s="318">
        <v>3</v>
      </c>
      <c r="AA227" s="318">
        <v>3</v>
      </c>
      <c r="AB227" s="318">
        <v>3</v>
      </c>
      <c r="AC227" s="318">
        <v>4</v>
      </c>
      <c r="AD227" s="318"/>
      <c r="AE227" s="483">
        <f t="shared" si="158"/>
        <v>0</v>
      </c>
      <c r="AF227" s="482">
        <f t="shared" si="158"/>
        <v>0</v>
      </c>
      <c r="AG227" s="482">
        <f t="shared" si="158"/>
        <v>0</v>
      </c>
      <c r="AH227" s="482">
        <f t="shared" si="158"/>
        <v>0</v>
      </c>
      <c r="AI227" s="482">
        <f t="shared" si="158"/>
        <v>0</v>
      </c>
      <c r="AJ227" s="557">
        <f t="shared" si="158"/>
        <v>0</v>
      </c>
      <c r="AK227" s="556">
        <f t="shared" ref="AK227:AP238" si="161">IF(OR($M227="Exploration", $M227="Pre-feasibility", $O227&gt;2018), 0, "check")</f>
        <v>0</v>
      </c>
      <c r="AL227" s="557">
        <f t="shared" si="161"/>
        <v>0</v>
      </c>
      <c r="AM227" s="557">
        <f t="shared" si="161"/>
        <v>0</v>
      </c>
      <c r="AN227" s="557">
        <f t="shared" si="161"/>
        <v>0</v>
      </c>
      <c r="AO227" s="557">
        <f t="shared" si="161"/>
        <v>0</v>
      </c>
      <c r="AP227" s="557">
        <f t="shared" si="161"/>
        <v>0</v>
      </c>
      <c r="AQ227" s="483" t="s">
        <v>1524</v>
      </c>
      <c r="AR227" s="482">
        <f t="shared" si="151"/>
        <v>0</v>
      </c>
      <c r="AS227" s="482">
        <f t="shared" si="151"/>
        <v>0</v>
      </c>
      <c r="AT227" s="482">
        <f t="shared" si="151"/>
        <v>0</v>
      </c>
      <c r="AU227" s="482">
        <f t="shared" si="151"/>
        <v>0</v>
      </c>
      <c r="AV227" s="482">
        <f t="shared" si="152"/>
        <v>0</v>
      </c>
      <c r="AW227" s="483" t="str">
        <f t="shared" si="155"/>
        <v>check</v>
      </c>
      <c r="AX227" s="514" t="str">
        <f t="shared" si="153"/>
        <v>check</v>
      </c>
      <c r="AY227" s="482" t="s">
        <v>1524</v>
      </c>
      <c r="AZ227" s="556">
        <f>AE227</f>
        <v>0</v>
      </c>
      <c r="BA227" s="557">
        <v>0</v>
      </c>
      <c r="BB227" s="557">
        <v>0</v>
      </c>
      <c r="BC227" s="557">
        <v>0</v>
      </c>
      <c r="BD227" s="557">
        <v>0</v>
      </c>
      <c r="BE227" s="557">
        <v>0</v>
      </c>
      <c r="BF227" s="556">
        <f t="shared" si="147"/>
        <v>0</v>
      </c>
      <c r="BG227" s="557">
        <v>0</v>
      </c>
      <c r="BH227" s="557">
        <v>0</v>
      </c>
      <c r="BI227" s="557">
        <v>0</v>
      </c>
      <c r="BJ227" s="557">
        <v>0</v>
      </c>
      <c r="BK227" s="557">
        <v>0</v>
      </c>
      <c r="BL227" s="556" t="str">
        <f t="shared" si="144"/>
        <v>check</v>
      </c>
      <c r="BM227" s="557">
        <v>0</v>
      </c>
      <c r="BN227" s="557">
        <v>0</v>
      </c>
      <c r="BO227" s="557">
        <v>0</v>
      </c>
      <c r="BP227" s="557">
        <v>0</v>
      </c>
      <c r="BQ227" s="557">
        <v>0</v>
      </c>
      <c r="BR227" s="318"/>
      <c r="BS227" s="318"/>
      <c r="BT227" s="318"/>
      <c r="BU227" s="318"/>
      <c r="BV227" s="318"/>
      <c r="BW227" s="318"/>
      <c r="BX227" s="318"/>
      <c r="BY227" s="318"/>
      <c r="BZ227" s="318" t="s">
        <v>1511</v>
      </c>
      <c r="CA227" s="318"/>
      <c r="CB227" s="318"/>
      <c r="CC227" s="318"/>
      <c r="CD227" s="318"/>
      <c r="CE227" s="457"/>
      <c r="CF227" s="443">
        <v>158</v>
      </c>
      <c r="CG227" s="360" t="s">
        <v>867</v>
      </c>
      <c r="CH227" s="430">
        <v>1</v>
      </c>
      <c r="CI227" s="360"/>
      <c r="CJ227" s="360"/>
      <c r="CK227" s="360"/>
      <c r="CL227" s="360"/>
      <c r="CM227" s="360"/>
      <c r="CN227" s="360"/>
      <c r="CO227" s="360"/>
      <c r="CP227" s="360"/>
    </row>
    <row r="228" spans="1:94" s="315" customFormat="1" ht="25" hidden="1" x14ac:dyDescent="0.25">
      <c r="A228" s="403">
        <v>217</v>
      </c>
      <c r="B228" s="313" t="s">
        <v>855</v>
      </c>
      <c r="C228" s="313" t="s">
        <v>1110</v>
      </c>
      <c r="D228" s="318" t="s">
        <v>594</v>
      </c>
      <c r="E228" s="318" t="s">
        <v>552</v>
      </c>
      <c r="F228" s="313" t="s">
        <v>244</v>
      </c>
      <c r="G228" s="313" t="s">
        <v>576</v>
      </c>
      <c r="H228" s="375"/>
      <c r="I228" s="375" t="s">
        <v>1117</v>
      </c>
      <c r="J228" s="370">
        <v>0</v>
      </c>
      <c r="K228" s="370" t="e">
        <f>10000*V228/(IF(#REF!="yes",0.188,1))</f>
        <v>#REF!</v>
      </c>
      <c r="L228" s="370" t="e">
        <f>K228</f>
        <v>#REF!</v>
      </c>
      <c r="M228" s="316" t="s">
        <v>484</v>
      </c>
      <c r="N228" s="398">
        <v>2017</v>
      </c>
      <c r="O228" s="398">
        <v>2019</v>
      </c>
      <c r="P228" s="305" t="s">
        <v>519</v>
      </c>
      <c r="Q228" s="324"/>
      <c r="R228" s="305"/>
      <c r="S228" s="305"/>
      <c r="T228" s="305"/>
      <c r="U228" s="305" t="s">
        <v>579</v>
      </c>
      <c r="V228" s="426">
        <v>0.16600000000000001</v>
      </c>
      <c r="W228" s="443">
        <v>5</v>
      </c>
      <c r="X228" s="414"/>
      <c r="Y228" s="412" t="e">
        <f t="shared" si="146"/>
        <v>#REF!</v>
      </c>
      <c r="Z228" s="318">
        <v>3</v>
      </c>
      <c r="AA228" s="318">
        <v>3</v>
      </c>
      <c r="AB228" s="318">
        <v>3</v>
      </c>
      <c r="AC228" s="318">
        <v>3</v>
      </c>
      <c r="AD228" s="318" t="s">
        <v>1094</v>
      </c>
      <c r="AE228" s="483">
        <f t="shared" si="158"/>
        <v>0</v>
      </c>
      <c r="AF228" s="482">
        <f t="shared" si="158"/>
        <v>0</v>
      </c>
      <c r="AG228" s="482">
        <f t="shared" si="158"/>
        <v>0</v>
      </c>
      <c r="AH228" s="482">
        <f t="shared" si="158"/>
        <v>0</v>
      </c>
      <c r="AI228" s="482">
        <f t="shared" si="158"/>
        <v>0</v>
      </c>
      <c r="AJ228" s="557">
        <f t="shared" si="158"/>
        <v>0</v>
      </c>
      <c r="AK228" s="556">
        <f t="shared" si="161"/>
        <v>0</v>
      </c>
      <c r="AL228" s="557">
        <f t="shared" si="161"/>
        <v>0</v>
      </c>
      <c r="AM228" s="557">
        <f t="shared" si="161"/>
        <v>0</v>
      </c>
      <c r="AN228" s="557">
        <f t="shared" si="161"/>
        <v>0</v>
      </c>
      <c r="AO228" s="557">
        <f t="shared" si="161"/>
        <v>0</v>
      </c>
      <c r="AP228" s="557">
        <f t="shared" si="161"/>
        <v>0</v>
      </c>
      <c r="AQ228" s="483" t="str">
        <f t="shared" si="150"/>
        <v>check</v>
      </c>
      <c r="AR228" s="482" t="str">
        <f t="shared" si="151"/>
        <v>check</v>
      </c>
      <c r="AS228" s="482" t="str">
        <f t="shared" si="151"/>
        <v>check</v>
      </c>
      <c r="AT228" s="482" t="str">
        <f t="shared" si="151"/>
        <v>check</v>
      </c>
      <c r="AU228" s="482" t="str">
        <f t="shared" si="151"/>
        <v>check</v>
      </c>
      <c r="AV228" s="482" t="str">
        <f t="shared" si="152"/>
        <v>check</v>
      </c>
      <c r="AW228" s="483" t="str">
        <f t="shared" si="155"/>
        <v>check</v>
      </c>
      <c r="AX228" s="514" t="str">
        <f t="shared" si="153"/>
        <v>check</v>
      </c>
      <c r="AY228" s="482" t="s">
        <v>1524</v>
      </c>
      <c r="AZ228" s="556">
        <f t="shared" ref="AZ228:AZ243" si="162">AE228</f>
        <v>0</v>
      </c>
      <c r="BA228" s="557">
        <v>0</v>
      </c>
      <c r="BB228" s="557">
        <v>0</v>
      </c>
      <c r="BC228" s="557">
        <v>0</v>
      </c>
      <c r="BD228" s="557">
        <v>0</v>
      </c>
      <c r="BE228" s="557">
        <v>0</v>
      </c>
      <c r="BF228" s="556">
        <f t="shared" si="147"/>
        <v>0</v>
      </c>
      <c r="BG228" s="557">
        <v>0</v>
      </c>
      <c r="BH228" s="557">
        <v>0</v>
      </c>
      <c r="BI228" s="557">
        <v>0</v>
      </c>
      <c r="BJ228" s="557">
        <v>0</v>
      </c>
      <c r="BK228" s="557">
        <v>0</v>
      </c>
      <c r="BL228" s="556" t="str">
        <f t="shared" si="144"/>
        <v>check</v>
      </c>
      <c r="BM228" s="557" t="s">
        <v>1524</v>
      </c>
      <c r="BN228" s="557" t="s">
        <v>1524</v>
      </c>
      <c r="BO228" s="557" t="s">
        <v>1524</v>
      </c>
      <c r="BP228" s="557" t="s">
        <v>1524</v>
      </c>
      <c r="BQ228" s="557" t="s">
        <v>1524</v>
      </c>
      <c r="BR228" s="318"/>
      <c r="BS228" s="318"/>
      <c r="BT228" s="318"/>
      <c r="BU228" s="318"/>
      <c r="BV228" s="318"/>
      <c r="BW228" s="318"/>
      <c r="BX228" s="318"/>
      <c r="BY228" s="318"/>
      <c r="BZ228" s="318" t="s">
        <v>1511</v>
      </c>
      <c r="CA228" s="318"/>
      <c r="CB228" s="318"/>
      <c r="CC228" s="318"/>
      <c r="CD228" s="318"/>
      <c r="CE228" s="457"/>
      <c r="CF228" s="443">
        <v>33.6</v>
      </c>
      <c r="CG228" s="360" t="s">
        <v>855</v>
      </c>
      <c r="CH228" s="430">
        <v>1</v>
      </c>
      <c r="CI228" s="360"/>
      <c r="CJ228" s="360"/>
      <c r="CK228" s="360"/>
      <c r="CL228" s="360"/>
      <c r="CM228" s="360"/>
      <c r="CN228" s="360"/>
      <c r="CO228" s="360"/>
      <c r="CP228" s="360"/>
    </row>
    <row r="229" spans="1:94" s="315" customFormat="1" ht="25" hidden="1" x14ac:dyDescent="0.25">
      <c r="A229" s="403">
        <v>218</v>
      </c>
      <c r="B229" s="313" t="s">
        <v>855</v>
      </c>
      <c r="C229" s="313" t="s">
        <v>1110</v>
      </c>
      <c r="D229" s="318" t="s">
        <v>594</v>
      </c>
      <c r="E229" s="318" t="s">
        <v>553</v>
      </c>
      <c r="F229" s="313" t="s">
        <v>244</v>
      </c>
      <c r="G229" s="313" t="s">
        <v>576</v>
      </c>
      <c r="H229" s="375"/>
      <c r="I229" s="375" t="s">
        <v>1118</v>
      </c>
      <c r="J229" s="370">
        <v>0</v>
      </c>
      <c r="K229" s="370" t="e">
        <f>20000*V229/(IF(#REF!="yes",0.188,1))</f>
        <v>#REF!</v>
      </c>
      <c r="L229" s="370" t="e">
        <f>K229-$K$228</f>
        <v>#REF!</v>
      </c>
      <c r="M229" s="316" t="s">
        <v>484</v>
      </c>
      <c r="N229" s="398">
        <v>2020</v>
      </c>
      <c r="O229" s="398">
        <v>2022</v>
      </c>
      <c r="P229" s="305" t="s">
        <v>519</v>
      </c>
      <c r="Q229" s="324"/>
      <c r="R229" s="305"/>
      <c r="S229" s="305"/>
      <c r="T229" s="305"/>
      <c r="U229" s="305" t="s">
        <v>579</v>
      </c>
      <c r="V229" s="426">
        <v>0.16600000000000001</v>
      </c>
      <c r="W229" s="443">
        <v>5</v>
      </c>
      <c r="X229" s="414"/>
      <c r="Y229" s="412" t="e">
        <f t="shared" si="146"/>
        <v>#REF!</v>
      </c>
      <c r="Z229" s="318">
        <v>3</v>
      </c>
      <c r="AA229" s="318">
        <v>3</v>
      </c>
      <c r="AB229" s="318">
        <v>3</v>
      </c>
      <c r="AC229" s="318">
        <v>3</v>
      </c>
      <c r="AD229" s="318" t="s">
        <v>1094</v>
      </c>
      <c r="AE229" s="483">
        <f t="shared" si="158"/>
        <v>0</v>
      </c>
      <c r="AF229" s="482">
        <f t="shared" si="158"/>
        <v>0</v>
      </c>
      <c r="AG229" s="482">
        <f t="shared" si="158"/>
        <v>0</v>
      </c>
      <c r="AH229" s="482">
        <f t="shared" si="158"/>
        <v>0</v>
      </c>
      <c r="AI229" s="482">
        <f t="shared" si="158"/>
        <v>0</v>
      </c>
      <c r="AJ229" s="557">
        <f t="shared" si="158"/>
        <v>0</v>
      </c>
      <c r="AK229" s="556">
        <f t="shared" si="161"/>
        <v>0</v>
      </c>
      <c r="AL229" s="557">
        <f t="shared" si="161"/>
        <v>0</v>
      </c>
      <c r="AM229" s="557">
        <f t="shared" si="161"/>
        <v>0</v>
      </c>
      <c r="AN229" s="557">
        <f t="shared" si="161"/>
        <v>0</v>
      </c>
      <c r="AO229" s="557">
        <f t="shared" si="161"/>
        <v>0</v>
      </c>
      <c r="AP229" s="557">
        <f t="shared" si="161"/>
        <v>0</v>
      </c>
      <c r="AQ229" s="483">
        <f t="shared" si="150"/>
        <v>0</v>
      </c>
      <c r="AR229" s="482">
        <f t="shared" si="151"/>
        <v>0</v>
      </c>
      <c r="AS229" s="482">
        <f t="shared" si="151"/>
        <v>0</v>
      </c>
      <c r="AT229" s="482">
        <f t="shared" si="151"/>
        <v>0</v>
      </c>
      <c r="AU229" s="482">
        <f t="shared" si="151"/>
        <v>0</v>
      </c>
      <c r="AV229" s="482">
        <f t="shared" si="152"/>
        <v>0</v>
      </c>
      <c r="AW229" s="483" t="str">
        <f t="shared" si="155"/>
        <v>check</v>
      </c>
      <c r="AX229" s="514">
        <f t="shared" si="153"/>
        <v>0</v>
      </c>
      <c r="AY229" s="514" t="s">
        <v>1034</v>
      </c>
      <c r="AZ229" s="556">
        <f t="shared" si="162"/>
        <v>0</v>
      </c>
      <c r="BA229" s="557">
        <v>0</v>
      </c>
      <c r="BB229" s="557">
        <v>0</v>
      </c>
      <c r="BC229" s="557">
        <v>0</v>
      </c>
      <c r="BD229" s="557">
        <v>0</v>
      </c>
      <c r="BE229" s="557">
        <v>0</v>
      </c>
      <c r="BF229" s="556">
        <f t="shared" si="147"/>
        <v>0</v>
      </c>
      <c r="BG229" s="557">
        <v>0</v>
      </c>
      <c r="BH229" s="557">
        <v>0</v>
      </c>
      <c r="BI229" s="557">
        <v>0</v>
      </c>
      <c r="BJ229" s="557">
        <v>0</v>
      </c>
      <c r="BK229" s="557">
        <v>0</v>
      </c>
      <c r="BL229" s="556">
        <f t="shared" si="144"/>
        <v>0</v>
      </c>
      <c r="BM229" s="557">
        <v>0</v>
      </c>
      <c r="BN229" s="557">
        <v>0</v>
      </c>
      <c r="BO229" s="557">
        <v>0</v>
      </c>
      <c r="BP229" s="557">
        <v>0</v>
      </c>
      <c r="BQ229" s="557">
        <v>0</v>
      </c>
      <c r="BR229" s="318"/>
      <c r="BS229" s="318"/>
      <c r="BT229" s="318"/>
      <c r="BU229" s="318"/>
      <c r="BV229" s="318"/>
      <c r="BW229" s="318"/>
      <c r="BX229" s="318"/>
      <c r="BY229" s="318"/>
      <c r="BZ229" s="318" t="s">
        <v>1511</v>
      </c>
      <c r="CA229" s="318"/>
      <c r="CB229" s="318"/>
      <c r="CC229" s="318"/>
      <c r="CD229" s="318"/>
      <c r="CE229" s="457"/>
      <c r="CF229" s="443">
        <v>33.6</v>
      </c>
      <c r="CG229" s="360" t="s">
        <v>855</v>
      </c>
      <c r="CH229" s="430">
        <v>1</v>
      </c>
      <c r="CI229" s="360"/>
      <c r="CJ229" s="360"/>
      <c r="CK229" s="360"/>
      <c r="CL229" s="360"/>
      <c r="CM229" s="360"/>
      <c r="CN229" s="360"/>
      <c r="CO229" s="360"/>
      <c r="CP229" s="360"/>
    </row>
    <row r="230" spans="1:94" s="315" customFormat="1" ht="25" hidden="1" x14ac:dyDescent="0.25">
      <c r="A230" s="403">
        <v>219</v>
      </c>
      <c r="B230" s="313" t="s">
        <v>875</v>
      </c>
      <c r="C230" s="313" t="s">
        <v>1067</v>
      </c>
      <c r="D230" s="318" t="s">
        <v>594</v>
      </c>
      <c r="E230" s="318" t="s">
        <v>552</v>
      </c>
      <c r="F230" s="313" t="s">
        <v>244</v>
      </c>
      <c r="G230" s="313" t="s">
        <v>872</v>
      </c>
      <c r="H230" s="375"/>
      <c r="I230" s="375" t="s">
        <v>1233</v>
      </c>
      <c r="J230" s="370">
        <v>0</v>
      </c>
      <c r="K230" s="370" t="e">
        <f>(34000*V230/(IF(#REF!="yes",0.188,1)))</f>
        <v>#REF!</v>
      </c>
      <c r="L230" s="370" t="e">
        <f>K230-J230</f>
        <v>#REF!</v>
      </c>
      <c r="M230" s="316" t="s">
        <v>484</v>
      </c>
      <c r="N230" s="398"/>
      <c r="O230" s="398">
        <v>2020</v>
      </c>
      <c r="P230" s="305" t="s">
        <v>519</v>
      </c>
      <c r="Q230" s="324"/>
      <c r="R230" s="305"/>
      <c r="S230" s="305"/>
      <c r="T230" s="305"/>
      <c r="U230" s="305" t="s">
        <v>579</v>
      </c>
      <c r="V230" s="426">
        <v>0.16600000000000001</v>
      </c>
      <c r="W230" s="451">
        <v>5</v>
      </c>
      <c r="X230" s="449"/>
      <c r="Y230" s="412" t="e">
        <f t="shared" si="146"/>
        <v>#REF!</v>
      </c>
      <c r="Z230" s="318">
        <v>2</v>
      </c>
      <c r="AA230" s="318">
        <v>3</v>
      </c>
      <c r="AB230" s="318">
        <v>3</v>
      </c>
      <c r="AC230" s="318">
        <v>3</v>
      </c>
      <c r="AD230" s="318" t="s">
        <v>891</v>
      </c>
      <c r="AE230" s="483">
        <f t="shared" si="158"/>
        <v>0</v>
      </c>
      <c r="AF230" s="482">
        <f t="shared" si="158"/>
        <v>0</v>
      </c>
      <c r="AG230" s="482">
        <f t="shared" si="158"/>
        <v>0</v>
      </c>
      <c r="AH230" s="482">
        <f t="shared" si="158"/>
        <v>0</v>
      </c>
      <c r="AI230" s="482">
        <f t="shared" si="158"/>
        <v>0</v>
      </c>
      <c r="AJ230" s="557">
        <f t="shared" si="158"/>
        <v>0</v>
      </c>
      <c r="AK230" s="556">
        <f t="shared" si="161"/>
        <v>0</v>
      </c>
      <c r="AL230" s="557">
        <f t="shared" si="161"/>
        <v>0</v>
      </c>
      <c r="AM230" s="557">
        <f t="shared" si="161"/>
        <v>0</v>
      </c>
      <c r="AN230" s="557">
        <f t="shared" si="161"/>
        <v>0</v>
      </c>
      <c r="AO230" s="557">
        <f t="shared" si="161"/>
        <v>0</v>
      </c>
      <c r="AP230" s="557">
        <f t="shared" si="161"/>
        <v>0</v>
      </c>
      <c r="AQ230" s="483" t="s">
        <v>1524</v>
      </c>
      <c r="AR230" s="482">
        <f t="shared" si="151"/>
        <v>0</v>
      </c>
      <c r="AS230" s="482">
        <f t="shared" si="151"/>
        <v>0</v>
      </c>
      <c r="AT230" s="482">
        <f t="shared" si="151"/>
        <v>0</v>
      </c>
      <c r="AU230" s="482">
        <f t="shared" si="151"/>
        <v>0</v>
      </c>
      <c r="AV230" s="482">
        <f t="shared" si="152"/>
        <v>0</v>
      </c>
      <c r="AW230" s="483" t="str">
        <f t="shared" si="155"/>
        <v>check</v>
      </c>
      <c r="AX230" s="514" t="str">
        <f t="shared" si="153"/>
        <v>check</v>
      </c>
      <c r="AY230" s="514" t="s">
        <v>1034</v>
      </c>
      <c r="AZ230" s="556">
        <f t="shared" si="162"/>
        <v>0</v>
      </c>
      <c r="BA230" s="557">
        <v>0</v>
      </c>
      <c r="BB230" s="557">
        <v>0</v>
      </c>
      <c r="BC230" s="557">
        <v>0</v>
      </c>
      <c r="BD230" s="557">
        <v>0</v>
      </c>
      <c r="BE230" s="557">
        <v>0</v>
      </c>
      <c r="BF230" s="556">
        <f t="shared" si="147"/>
        <v>0</v>
      </c>
      <c r="BG230" s="557">
        <v>0</v>
      </c>
      <c r="BH230" s="557">
        <v>0</v>
      </c>
      <c r="BI230" s="557">
        <v>0</v>
      </c>
      <c r="BJ230" s="557">
        <v>0</v>
      </c>
      <c r="BK230" s="557">
        <v>0</v>
      </c>
      <c r="BL230" s="556" t="str">
        <f t="shared" si="144"/>
        <v>check</v>
      </c>
      <c r="BM230" s="557">
        <v>0</v>
      </c>
      <c r="BN230" s="557">
        <v>0</v>
      </c>
      <c r="BO230" s="557">
        <v>0</v>
      </c>
      <c r="BP230" s="557">
        <v>0</v>
      </c>
      <c r="BQ230" s="557">
        <v>0</v>
      </c>
      <c r="BR230" s="318"/>
      <c r="BS230" s="318"/>
      <c r="BT230" s="318"/>
      <c r="BU230" s="318"/>
      <c r="BV230" s="318"/>
      <c r="BW230" s="318"/>
      <c r="BX230" s="318"/>
      <c r="BY230" s="318"/>
      <c r="BZ230" s="318" t="s">
        <v>1511</v>
      </c>
      <c r="CA230" s="318"/>
      <c r="CB230" s="318"/>
      <c r="CC230" s="318"/>
      <c r="CD230" s="318"/>
      <c r="CE230" s="457"/>
      <c r="CF230" s="443"/>
      <c r="CG230" s="360" t="s">
        <v>875</v>
      </c>
      <c r="CH230" s="430">
        <v>1</v>
      </c>
      <c r="CI230" s="360"/>
      <c r="CJ230" s="360"/>
      <c r="CK230" s="360"/>
      <c r="CL230" s="360"/>
      <c r="CM230" s="360"/>
      <c r="CN230" s="360"/>
      <c r="CO230" s="360"/>
      <c r="CP230" s="360"/>
    </row>
    <row r="231" spans="1:94" s="315" customFormat="1" ht="25" hidden="1" x14ac:dyDescent="0.25">
      <c r="A231" s="403">
        <v>220</v>
      </c>
      <c r="B231" s="313" t="s">
        <v>875</v>
      </c>
      <c r="C231" s="313" t="s">
        <v>1067</v>
      </c>
      <c r="D231" s="318" t="s">
        <v>594</v>
      </c>
      <c r="E231" s="318" t="s">
        <v>553</v>
      </c>
      <c r="F231" s="313" t="s">
        <v>244</v>
      </c>
      <c r="G231" s="313" t="s">
        <v>872</v>
      </c>
      <c r="H231" s="375"/>
      <c r="I231" s="375" t="s">
        <v>1234</v>
      </c>
      <c r="J231" s="370">
        <v>0</v>
      </c>
      <c r="K231" s="370" t="e">
        <f>(68000*V231/(IF(#REF!="yes",0.188,1)))</f>
        <v>#REF!</v>
      </c>
      <c r="L231" s="370" t="e">
        <f>K231-$K$230</f>
        <v>#REF!</v>
      </c>
      <c r="M231" s="316" t="s">
        <v>484</v>
      </c>
      <c r="N231" s="398"/>
      <c r="O231" s="398">
        <v>2022</v>
      </c>
      <c r="P231" s="305" t="s">
        <v>519</v>
      </c>
      <c r="Q231" s="324"/>
      <c r="R231" s="305"/>
      <c r="S231" s="305"/>
      <c r="T231" s="305"/>
      <c r="U231" s="305" t="s">
        <v>579</v>
      </c>
      <c r="V231" s="426">
        <v>0.16600000000000001</v>
      </c>
      <c r="W231" s="451">
        <v>5</v>
      </c>
      <c r="X231" s="449"/>
      <c r="Y231" s="412" t="e">
        <f t="shared" si="146"/>
        <v>#REF!</v>
      </c>
      <c r="Z231" s="318">
        <v>2</v>
      </c>
      <c r="AA231" s="318">
        <v>3</v>
      </c>
      <c r="AB231" s="318">
        <v>3</v>
      </c>
      <c r="AC231" s="318">
        <v>3</v>
      </c>
      <c r="AD231" s="318" t="s">
        <v>892</v>
      </c>
      <c r="AE231" s="483">
        <f t="shared" ref="AE231:AJ231" si="163">IF(OR($M231="Exploration", $M231="Pre-feasibility", $O231&gt;2017), 0, "check")</f>
        <v>0</v>
      </c>
      <c r="AF231" s="482">
        <f t="shared" si="163"/>
        <v>0</v>
      </c>
      <c r="AG231" s="482">
        <f t="shared" si="163"/>
        <v>0</v>
      </c>
      <c r="AH231" s="482">
        <f t="shared" si="163"/>
        <v>0</v>
      </c>
      <c r="AI231" s="482">
        <f t="shared" si="163"/>
        <v>0</v>
      </c>
      <c r="AJ231" s="557">
        <f t="shared" si="163"/>
        <v>0</v>
      </c>
      <c r="AK231" s="556">
        <f t="shared" si="161"/>
        <v>0</v>
      </c>
      <c r="AL231" s="557">
        <f t="shared" si="161"/>
        <v>0</v>
      </c>
      <c r="AM231" s="557">
        <f t="shared" si="161"/>
        <v>0</v>
      </c>
      <c r="AN231" s="557">
        <f t="shared" si="161"/>
        <v>0</v>
      </c>
      <c r="AO231" s="557">
        <f t="shared" si="161"/>
        <v>0</v>
      </c>
      <c r="AP231" s="557">
        <f t="shared" si="161"/>
        <v>0</v>
      </c>
      <c r="AQ231" s="483">
        <f t="shared" si="150"/>
        <v>0</v>
      </c>
      <c r="AR231" s="482">
        <f t="shared" si="151"/>
        <v>0</v>
      </c>
      <c r="AS231" s="482">
        <f t="shared" si="151"/>
        <v>0</v>
      </c>
      <c r="AT231" s="482">
        <f t="shared" si="151"/>
        <v>0</v>
      </c>
      <c r="AU231" s="482">
        <f t="shared" si="151"/>
        <v>0</v>
      </c>
      <c r="AV231" s="482">
        <f t="shared" si="152"/>
        <v>0</v>
      </c>
      <c r="AW231" s="483" t="str">
        <f t="shared" si="155"/>
        <v>check</v>
      </c>
      <c r="AX231" s="514">
        <f t="shared" si="153"/>
        <v>0</v>
      </c>
      <c r="AY231" s="514" t="s">
        <v>1034</v>
      </c>
      <c r="AZ231" s="556">
        <f t="shared" si="162"/>
        <v>0</v>
      </c>
      <c r="BA231" s="557">
        <v>0</v>
      </c>
      <c r="BB231" s="557">
        <v>0</v>
      </c>
      <c r="BC231" s="557">
        <v>0</v>
      </c>
      <c r="BD231" s="557">
        <v>0</v>
      </c>
      <c r="BE231" s="557">
        <v>0</v>
      </c>
      <c r="BF231" s="556">
        <f t="shared" si="147"/>
        <v>0</v>
      </c>
      <c r="BG231" s="557">
        <v>0</v>
      </c>
      <c r="BH231" s="557">
        <v>0</v>
      </c>
      <c r="BI231" s="557">
        <v>0</v>
      </c>
      <c r="BJ231" s="557">
        <v>0</v>
      </c>
      <c r="BK231" s="557">
        <v>0</v>
      </c>
      <c r="BL231" s="556">
        <f t="shared" si="144"/>
        <v>0</v>
      </c>
      <c r="BM231" s="557">
        <v>0</v>
      </c>
      <c r="BN231" s="557">
        <v>0</v>
      </c>
      <c r="BO231" s="557">
        <v>0</v>
      </c>
      <c r="BP231" s="557">
        <v>0</v>
      </c>
      <c r="BQ231" s="557">
        <v>0</v>
      </c>
      <c r="BR231" s="318"/>
      <c r="BS231" s="318"/>
      <c r="BT231" s="318"/>
      <c r="BU231" s="318"/>
      <c r="BV231" s="318"/>
      <c r="BW231" s="318"/>
      <c r="BX231" s="318"/>
      <c r="BY231" s="318"/>
      <c r="BZ231" s="318" t="s">
        <v>1511</v>
      </c>
      <c r="CA231" s="318"/>
      <c r="CB231" s="318"/>
      <c r="CC231" s="318"/>
      <c r="CD231" s="318"/>
      <c r="CE231" s="457"/>
      <c r="CF231" s="443"/>
      <c r="CG231" s="360" t="s">
        <v>875</v>
      </c>
      <c r="CH231" s="430">
        <v>1</v>
      </c>
      <c r="CI231" s="360"/>
      <c r="CJ231" s="360"/>
      <c r="CK231" s="360"/>
      <c r="CL231" s="360"/>
      <c r="CM231" s="360"/>
      <c r="CN231" s="360"/>
      <c r="CO231" s="360"/>
      <c r="CP231" s="360"/>
    </row>
    <row r="232" spans="1:94" s="315" customFormat="1" ht="25" hidden="1" x14ac:dyDescent="0.25">
      <c r="A232" s="403">
        <v>221</v>
      </c>
      <c r="B232" s="313" t="s">
        <v>461</v>
      </c>
      <c r="C232" s="313" t="s">
        <v>1341</v>
      </c>
      <c r="D232" s="318" t="s">
        <v>594</v>
      </c>
      <c r="E232" s="318" t="s">
        <v>588</v>
      </c>
      <c r="F232" s="313" t="s">
        <v>462</v>
      </c>
      <c r="G232" s="313" t="s">
        <v>1395</v>
      </c>
      <c r="H232" s="305" t="s">
        <v>1412</v>
      </c>
      <c r="I232" s="305" t="s">
        <v>1068</v>
      </c>
      <c r="J232" s="370">
        <v>0</v>
      </c>
      <c r="K232" s="370" t="e">
        <f>(13500*V232)/(IF(#REF!="yes",0.188,1))</f>
        <v>#REF!</v>
      </c>
      <c r="L232" s="370" t="e">
        <f>K232</f>
        <v>#REF!</v>
      </c>
      <c r="M232" s="316" t="s">
        <v>483</v>
      </c>
      <c r="N232" s="398">
        <v>2018</v>
      </c>
      <c r="O232" s="398">
        <v>2020</v>
      </c>
      <c r="P232" s="305" t="s">
        <v>463</v>
      </c>
      <c r="Q232" s="324"/>
      <c r="R232" s="305"/>
      <c r="S232" s="305"/>
      <c r="T232" s="305"/>
      <c r="U232" s="305" t="s">
        <v>579</v>
      </c>
      <c r="V232" s="426">
        <v>0.16600000000000001</v>
      </c>
      <c r="W232" s="443">
        <v>3.5</v>
      </c>
      <c r="X232" s="445"/>
      <c r="Y232" s="317" t="e">
        <f t="shared" si="146"/>
        <v>#REF!</v>
      </c>
      <c r="Z232" s="318">
        <v>5</v>
      </c>
      <c r="AA232" s="318">
        <v>5</v>
      </c>
      <c r="AB232" s="318">
        <v>5</v>
      </c>
      <c r="AC232" s="318">
        <v>5</v>
      </c>
      <c r="AD232" s="458" t="s">
        <v>1339</v>
      </c>
      <c r="AE232" s="483">
        <f t="shared" ref="AE232:AJ238" si="164">IF(OR($M232="Exploration", $M232="Pre-feasibility", $O232&gt;2017), 0, "check")</f>
        <v>0</v>
      </c>
      <c r="AF232" s="482">
        <f t="shared" si="164"/>
        <v>0</v>
      </c>
      <c r="AG232" s="482">
        <f t="shared" si="164"/>
        <v>0</v>
      </c>
      <c r="AH232" s="482">
        <f t="shared" si="164"/>
        <v>0</v>
      </c>
      <c r="AI232" s="482">
        <f t="shared" si="164"/>
        <v>0</v>
      </c>
      <c r="AJ232" s="557">
        <f t="shared" si="164"/>
        <v>0</v>
      </c>
      <c r="AK232" s="556">
        <f t="shared" si="161"/>
        <v>0</v>
      </c>
      <c r="AL232" s="557">
        <f t="shared" si="161"/>
        <v>0</v>
      </c>
      <c r="AM232" s="557">
        <f t="shared" si="161"/>
        <v>0</v>
      </c>
      <c r="AN232" s="557">
        <f t="shared" si="161"/>
        <v>0</v>
      </c>
      <c r="AO232" s="557">
        <f t="shared" si="161"/>
        <v>0</v>
      </c>
      <c r="AP232" s="557">
        <f t="shared" si="161"/>
        <v>0</v>
      </c>
      <c r="AQ232" s="483" t="s">
        <v>1524</v>
      </c>
      <c r="AR232" s="482">
        <f t="shared" si="151"/>
        <v>0</v>
      </c>
      <c r="AS232" s="482">
        <f t="shared" si="151"/>
        <v>0</v>
      </c>
      <c r="AT232" s="482">
        <f t="shared" si="151"/>
        <v>0</v>
      </c>
      <c r="AU232" s="482">
        <f t="shared" si="151"/>
        <v>0</v>
      </c>
      <c r="AV232" s="482">
        <f t="shared" si="152"/>
        <v>0</v>
      </c>
      <c r="AW232" s="483" t="str">
        <f t="shared" si="155"/>
        <v>check</v>
      </c>
      <c r="AX232" s="514" t="str">
        <f t="shared" si="153"/>
        <v>check</v>
      </c>
      <c r="AY232" s="514" t="s">
        <v>1555</v>
      </c>
      <c r="AZ232" s="556">
        <f t="shared" si="162"/>
        <v>0</v>
      </c>
      <c r="BA232" s="557">
        <v>0</v>
      </c>
      <c r="BB232" s="557">
        <v>0</v>
      </c>
      <c r="BC232" s="557">
        <v>0</v>
      </c>
      <c r="BD232" s="557">
        <v>0</v>
      </c>
      <c r="BE232" s="557">
        <v>0</v>
      </c>
      <c r="BF232" s="556">
        <f t="shared" si="147"/>
        <v>0</v>
      </c>
      <c r="BG232" s="557">
        <v>0</v>
      </c>
      <c r="BH232" s="557">
        <v>0</v>
      </c>
      <c r="BI232" s="557">
        <v>0</v>
      </c>
      <c r="BJ232" s="557">
        <v>0</v>
      </c>
      <c r="BK232" s="557">
        <v>0</v>
      </c>
      <c r="BL232" s="556" t="str">
        <f t="shared" si="144"/>
        <v>check</v>
      </c>
      <c r="BM232" s="557" t="s">
        <v>1524</v>
      </c>
      <c r="BN232" s="557" t="s">
        <v>1524</v>
      </c>
      <c r="BO232" s="557" t="s">
        <v>1524</v>
      </c>
      <c r="BP232" s="557" t="s">
        <v>1524</v>
      </c>
      <c r="BQ232" s="557" t="s">
        <v>1524</v>
      </c>
      <c r="BR232" s="318" t="s">
        <v>1346</v>
      </c>
      <c r="BS232" s="318"/>
      <c r="BT232" s="318"/>
      <c r="BU232" s="318"/>
      <c r="BV232" s="318"/>
      <c r="BW232" s="318"/>
      <c r="BX232" s="318"/>
      <c r="BY232" s="318"/>
      <c r="BZ232" s="318" t="s">
        <v>1345</v>
      </c>
      <c r="CA232" s="465"/>
      <c r="CB232" s="465"/>
      <c r="CC232" s="465"/>
      <c r="CD232" s="465"/>
      <c r="CE232" s="467" t="s">
        <v>1348</v>
      </c>
      <c r="CF232" s="443">
        <v>847.86</v>
      </c>
      <c r="CG232" s="360" t="s">
        <v>461</v>
      </c>
      <c r="CH232" s="430">
        <v>1</v>
      </c>
      <c r="CI232" s="360"/>
      <c r="CJ232" s="360"/>
      <c r="CK232" s="360"/>
      <c r="CL232" s="360"/>
      <c r="CM232" s="360"/>
      <c r="CN232" s="360"/>
      <c r="CO232" s="360"/>
      <c r="CP232" s="360"/>
    </row>
    <row r="233" spans="1:94" s="315" customFormat="1" ht="25" hidden="1" x14ac:dyDescent="0.25">
      <c r="A233" s="403">
        <v>222</v>
      </c>
      <c r="B233" s="313" t="s">
        <v>461</v>
      </c>
      <c r="C233" s="313" t="s">
        <v>1341</v>
      </c>
      <c r="D233" s="318" t="s">
        <v>594</v>
      </c>
      <c r="E233" s="318" t="s">
        <v>590</v>
      </c>
      <c r="F233" s="313" t="s">
        <v>462</v>
      </c>
      <c r="G233" s="313" t="s">
        <v>1395</v>
      </c>
      <c r="H233" s="305"/>
      <c r="I233" s="305" t="s">
        <v>1069</v>
      </c>
      <c r="J233" s="370">
        <v>0</v>
      </c>
      <c r="K233" s="370" t="e">
        <f>90000*V233/(IF(#REF!="yes",0.188,1))</f>
        <v>#REF!</v>
      </c>
      <c r="L233" s="370" t="e">
        <f>K233-K232</f>
        <v>#REF!</v>
      </c>
      <c r="M233" s="316" t="s">
        <v>619</v>
      </c>
      <c r="N233" s="398">
        <v>2022</v>
      </c>
      <c r="O233" s="398">
        <v>2024</v>
      </c>
      <c r="P233" s="305" t="s">
        <v>463</v>
      </c>
      <c r="Q233" s="324"/>
      <c r="R233" s="305"/>
      <c r="S233" s="305"/>
      <c r="T233" s="305"/>
      <c r="U233" s="305" t="s">
        <v>579</v>
      </c>
      <c r="V233" s="426">
        <v>0.16600000000000001</v>
      </c>
      <c r="W233" s="443">
        <v>3.5</v>
      </c>
      <c r="X233" s="445"/>
      <c r="Y233" s="317" t="e">
        <f t="shared" si="146"/>
        <v>#REF!</v>
      </c>
      <c r="Z233" s="318">
        <v>5</v>
      </c>
      <c r="AA233" s="318">
        <v>3</v>
      </c>
      <c r="AB233" s="318">
        <v>5</v>
      </c>
      <c r="AC233" s="318">
        <v>5</v>
      </c>
      <c r="AD233" s="458" t="s">
        <v>1339</v>
      </c>
      <c r="AE233" s="483">
        <f t="shared" si="164"/>
        <v>0</v>
      </c>
      <c r="AF233" s="482">
        <f t="shared" si="164"/>
        <v>0</v>
      </c>
      <c r="AG233" s="482">
        <f t="shared" si="164"/>
        <v>0</v>
      </c>
      <c r="AH233" s="482">
        <f t="shared" si="164"/>
        <v>0</v>
      </c>
      <c r="AI233" s="482">
        <f t="shared" si="164"/>
        <v>0</v>
      </c>
      <c r="AJ233" s="557">
        <f t="shared" si="164"/>
        <v>0</v>
      </c>
      <c r="AK233" s="556">
        <f t="shared" si="161"/>
        <v>0</v>
      </c>
      <c r="AL233" s="557">
        <f t="shared" si="161"/>
        <v>0</v>
      </c>
      <c r="AM233" s="557">
        <f t="shared" si="161"/>
        <v>0</v>
      </c>
      <c r="AN233" s="557">
        <f t="shared" si="161"/>
        <v>0</v>
      </c>
      <c r="AO233" s="557">
        <f t="shared" si="161"/>
        <v>0</v>
      </c>
      <c r="AP233" s="557">
        <f t="shared" si="161"/>
        <v>0</v>
      </c>
      <c r="AQ233" s="483">
        <f t="shared" si="150"/>
        <v>0</v>
      </c>
      <c r="AR233" s="482">
        <f t="shared" si="151"/>
        <v>0</v>
      </c>
      <c r="AS233" s="482">
        <f t="shared" si="151"/>
        <v>0</v>
      </c>
      <c r="AT233" s="482">
        <f t="shared" si="151"/>
        <v>0</v>
      </c>
      <c r="AU233" s="482">
        <f t="shared" si="151"/>
        <v>0</v>
      </c>
      <c r="AV233" s="482">
        <f t="shared" si="152"/>
        <v>0</v>
      </c>
      <c r="AW233" s="483">
        <f t="shared" si="155"/>
        <v>0</v>
      </c>
      <c r="AX233" s="514">
        <f t="shared" si="153"/>
        <v>0</v>
      </c>
      <c r="AY233" s="514" t="s">
        <v>1034</v>
      </c>
      <c r="AZ233" s="556">
        <f t="shared" si="162"/>
        <v>0</v>
      </c>
      <c r="BA233" s="557">
        <v>0</v>
      </c>
      <c r="BB233" s="557">
        <v>0</v>
      </c>
      <c r="BC233" s="557">
        <v>0</v>
      </c>
      <c r="BD233" s="557">
        <v>0</v>
      </c>
      <c r="BE233" s="557">
        <v>0</v>
      </c>
      <c r="BF233" s="556">
        <f t="shared" si="147"/>
        <v>0</v>
      </c>
      <c r="BG233" s="557">
        <v>0</v>
      </c>
      <c r="BH233" s="557">
        <v>0</v>
      </c>
      <c r="BI233" s="557">
        <v>0</v>
      </c>
      <c r="BJ233" s="557">
        <v>0</v>
      </c>
      <c r="BK233" s="557">
        <v>0</v>
      </c>
      <c r="BL233" s="556">
        <f t="shared" si="144"/>
        <v>0</v>
      </c>
      <c r="BM233" s="557">
        <v>0</v>
      </c>
      <c r="BN233" s="557">
        <v>0</v>
      </c>
      <c r="BO233" s="557">
        <v>0</v>
      </c>
      <c r="BP233" s="557">
        <v>0</v>
      </c>
      <c r="BQ233" s="557">
        <v>0</v>
      </c>
      <c r="BR233" s="318" t="s">
        <v>1346</v>
      </c>
      <c r="BS233" s="318"/>
      <c r="BT233" s="318"/>
      <c r="BU233" s="318"/>
      <c r="BV233" s="318"/>
      <c r="BW233" s="318"/>
      <c r="BX233" s="318"/>
      <c r="BY233" s="318"/>
      <c r="BZ233" s="318" t="s">
        <v>1345</v>
      </c>
      <c r="CA233" s="465"/>
      <c r="CB233" s="465"/>
      <c r="CC233" s="465"/>
      <c r="CD233" s="465"/>
      <c r="CE233" s="467" t="s">
        <v>1350</v>
      </c>
      <c r="CF233" s="443">
        <v>847.86</v>
      </c>
      <c r="CG233" s="360" t="s">
        <v>461</v>
      </c>
      <c r="CH233" s="430">
        <v>1</v>
      </c>
      <c r="CI233" s="360"/>
      <c r="CJ233" s="360"/>
      <c r="CK233" s="360"/>
      <c r="CL233" s="360"/>
      <c r="CM233" s="360"/>
      <c r="CN233" s="360"/>
      <c r="CO233" s="360"/>
      <c r="CP233" s="360"/>
    </row>
    <row r="234" spans="1:94" s="315" customFormat="1" ht="13" hidden="1" x14ac:dyDescent="0.25">
      <c r="A234" s="403">
        <v>223</v>
      </c>
      <c r="B234" s="313" t="s">
        <v>479</v>
      </c>
      <c r="C234" s="313" t="s">
        <v>538</v>
      </c>
      <c r="D234" s="318" t="s">
        <v>594</v>
      </c>
      <c r="E234" s="318" t="s">
        <v>552</v>
      </c>
      <c r="F234" s="313" t="s">
        <v>395</v>
      </c>
      <c r="G234" s="313" t="s">
        <v>705</v>
      </c>
      <c r="H234" s="305"/>
      <c r="I234" s="305" t="s">
        <v>622</v>
      </c>
      <c r="J234" s="370" t="e">
        <f>0/(IF(#REF!="yes",0.188,1))</f>
        <v>#REF!</v>
      </c>
      <c r="K234" s="370" t="e">
        <f>30000*V234/(IF(#REF!="yes",0.188,1))</f>
        <v>#REF!</v>
      </c>
      <c r="L234" s="370" t="e">
        <f>K234-J234</f>
        <v>#REF!</v>
      </c>
      <c r="M234" s="316" t="s">
        <v>807</v>
      </c>
      <c r="N234" s="398">
        <v>2021</v>
      </c>
      <c r="O234" s="398">
        <v>2022</v>
      </c>
      <c r="P234" s="305" t="s">
        <v>474</v>
      </c>
      <c r="Q234" s="304" t="s">
        <v>539</v>
      </c>
      <c r="R234" s="305" t="s">
        <v>625</v>
      </c>
      <c r="S234" s="305" t="s">
        <v>1377</v>
      </c>
      <c r="T234" s="305" t="s">
        <v>1378</v>
      </c>
      <c r="U234" s="305" t="s">
        <v>536</v>
      </c>
      <c r="V234" s="426">
        <v>0.188</v>
      </c>
      <c r="W234" s="317">
        <v>4</v>
      </c>
      <c r="X234" s="317"/>
      <c r="Y234" s="317" t="e">
        <f t="shared" si="146"/>
        <v>#REF!</v>
      </c>
      <c r="Z234" s="318">
        <v>4</v>
      </c>
      <c r="AA234" s="318">
        <v>1</v>
      </c>
      <c r="AB234" s="318">
        <v>2</v>
      </c>
      <c r="AC234" s="318">
        <v>3</v>
      </c>
      <c r="AD234" s="458" t="s">
        <v>1380</v>
      </c>
      <c r="AE234" s="483">
        <f t="shared" si="164"/>
        <v>0</v>
      </c>
      <c r="AF234" s="482">
        <f t="shared" si="164"/>
        <v>0</v>
      </c>
      <c r="AG234" s="482">
        <f t="shared" si="164"/>
        <v>0</v>
      </c>
      <c r="AH234" s="482">
        <f t="shared" si="164"/>
        <v>0</v>
      </c>
      <c r="AI234" s="482">
        <f t="shared" si="164"/>
        <v>0</v>
      </c>
      <c r="AJ234" s="557">
        <f t="shared" si="164"/>
        <v>0</v>
      </c>
      <c r="AK234" s="556">
        <f t="shared" si="161"/>
        <v>0</v>
      </c>
      <c r="AL234" s="557">
        <f t="shared" si="161"/>
        <v>0</v>
      </c>
      <c r="AM234" s="557">
        <f t="shared" si="161"/>
        <v>0</v>
      </c>
      <c r="AN234" s="557">
        <f t="shared" si="161"/>
        <v>0</v>
      </c>
      <c r="AO234" s="557">
        <f t="shared" si="161"/>
        <v>0</v>
      </c>
      <c r="AP234" s="557">
        <f t="shared" si="161"/>
        <v>0</v>
      </c>
      <c r="AQ234" s="483">
        <f t="shared" si="150"/>
        <v>0</v>
      </c>
      <c r="AR234" s="482">
        <f t="shared" si="151"/>
        <v>0</v>
      </c>
      <c r="AS234" s="482">
        <f t="shared" si="151"/>
        <v>0</v>
      </c>
      <c r="AT234" s="482">
        <f t="shared" si="151"/>
        <v>0</v>
      </c>
      <c r="AU234" s="482">
        <f t="shared" si="151"/>
        <v>0</v>
      </c>
      <c r="AV234" s="482">
        <f t="shared" si="152"/>
        <v>0</v>
      </c>
      <c r="AW234" s="483">
        <f t="shared" si="155"/>
        <v>0</v>
      </c>
      <c r="AX234" s="514">
        <f t="shared" si="153"/>
        <v>0</v>
      </c>
      <c r="AY234" s="514" t="s">
        <v>1034</v>
      </c>
      <c r="AZ234" s="556">
        <f t="shared" si="162"/>
        <v>0</v>
      </c>
      <c r="BA234" s="557">
        <v>0</v>
      </c>
      <c r="BB234" s="557">
        <v>0</v>
      </c>
      <c r="BC234" s="557">
        <v>0</v>
      </c>
      <c r="BD234" s="557">
        <v>0</v>
      </c>
      <c r="BE234" s="557">
        <v>0</v>
      </c>
      <c r="BF234" s="556">
        <f t="shared" si="147"/>
        <v>0</v>
      </c>
      <c r="BG234" s="557">
        <v>0</v>
      </c>
      <c r="BH234" s="557">
        <v>0</v>
      </c>
      <c r="BI234" s="557">
        <v>0</v>
      </c>
      <c r="BJ234" s="557">
        <v>0</v>
      </c>
      <c r="BK234" s="557">
        <v>0</v>
      </c>
      <c r="BL234" s="556">
        <f t="shared" si="144"/>
        <v>0</v>
      </c>
      <c r="BM234" s="557">
        <v>0</v>
      </c>
      <c r="BN234" s="557">
        <v>0</v>
      </c>
      <c r="BO234" s="557">
        <v>0</v>
      </c>
      <c r="BP234" s="557">
        <v>0</v>
      </c>
      <c r="BQ234" s="557">
        <v>0</v>
      </c>
      <c r="BR234" s="318" t="s">
        <v>1382</v>
      </c>
      <c r="BS234" s="318" t="s">
        <v>625</v>
      </c>
      <c r="BT234" s="318"/>
      <c r="BU234" s="318">
        <v>46</v>
      </c>
      <c r="BV234" s="318" t="s">
        <v>1136</v>
      </c>
      <c r="BW234" s="318"/>
      <c r="BX234" s="318"/>
      <c r="BY234" s="318"/>
      <c r="BZ234" s="318" t="s">
        <v>1379</v>
      </c>
      <c r="CA234" s="318"/>
      <c r="CB234" s="318"/>
      <c r="CC234" s="318" t="s">
        <v>1381</v>
      </c>
      <c r="CD234" s="318"/>
      <c r="CE234" s="457">
        <f>218+134</f>
        <v>352</v>
      </c>
      <c r="CF234" s="442">
        <v>41.6</v>
      </c>
      <c r="CG234" s="360" t="s">
        <v>748</v>
      </c>
      <c r="CH234" s="430">
        <v>1</v>
      </c>
      <c r="CI234" s="360"/>
      <c r="CJ234" s="360"/>
      <c r="CK234" s="360"/>
      <c r="CL234" s="360"/>
      <c r="CM234" s="360"/>
      <c r="CN234" s="360"/>
      <c r="CO234" s="360"/>
      <c r="CP234" s="360"/>
    </row>
    <row r="235" spans="1:94" s="315" customFormat="1" ht="13" hidden="1" x14ac:dyDescent="0.25">
      <c r="A235" s="403">
        <v>224</v>
      </c>
      <c r="B235" s="313" t="s">
        <v>479</v>
      </c>
      <c r="C235" s="313" t="s">
        <v>538</v>
      </c>
      <c r="D235" s="318" t="s">
        <v>594</v>
      </c>
      <c r="E235" s="318" t="s">
        <v>553</v>
      </c>
      <c r="F235" s="313" t="s">
        <v>395</v>
      </c>
      <c r="G235" s="313" t="s">
        <v>705</v>
      </c>
      <c r="H235" s="305"/>
      <c r="I235" s="305" t="s">
        <v>624</v>
      </c>
      <c r="J235" s="370" t="e">
        <f>0/(IF(#REF!="yes",0.188,1))</f>
        <v>#REF!</v>
      </c>
      <c r="K235" s="370" t="e">
        <f>60000*V235/(IF(#REF!="yes",0.188,1))</f>
        <v>#REF!</v>
      </c>
      <c r="L235" s="370" t="e">
        <f>K235-$K$234</f>
        <v>#REF!</v>
      </c>
      <c r="M235" s="316" t="s">
        <v>807</v>
      </c>
      <c r="N235" s="398"/>
      <c r="O235" s="398">
        <v>2026</v>
      </c>
      <c r="P235" s="305" t="s">
        <v>474</v>
      </c>
      <c r="Q235" s="304" t="s">
        <v>539</v>
      </c>
      <c r="R235" s="305" t="s">
        <v>625</v>
      </c>
      <c r="S235" s="305" t="s">
        <v>1377</v>
      </c>
      <c r="T235" s="305" t="s">
        <v>1378</v>
      </c>
      <c r="U235" s="305" t="s">
        <v>536</v>
      </c>
      <c r="V235" s="426">
        <v>0.188</v>
      </c>
      <c r="W235" s="317">
        <v>4</v>
      </c>
      <c r="X235" s="317"/>
      <c r="Y235" s="317" t="e">
        <f t="shared" si="146"/>
        <v>#REF!</v>
      </c>
      <c r="Z235" s="318">
        <v>4</v>
      </c>
      <c r="AA235" s="318">
        <v>1</v>
      </c>
      <c r="AB235" s="318">
        <v>2</v>
      </c>
      <c r="AC235" s="318">
        <v>3</v>
      </c>
      <c r="AD235" s="458" t="s">
        <v>1380</v>
      </c>
      <c r="AE235" s="483">
        <f t="shared" si="164"/>
        <v>0</v>
      </c>
      <c r="AF235" s="482">
        <f t="shared" si="164"/>
        <v>0</v>
      </c>
      <c r="AG235" s="482">
        <f t="shared" si="164"/>
        <v>0</v>
      </c>
      <c r="AH235" s="482">
        <f t="shared" si="164"/>
        <v>0</v>
      </c>
      <c r="AI235" s="482">
        <f t="shared" si="164"/>
        <v>0</v>
      </c>
      <c r="AJ235" s="557">
        <f t="shared" si="164"/>
        <v>0</v>
      </c>
      <c r="AK235" s="556">
        <f t="shared" si="161"/>
        <v>0</v>
      </c>
      <c r="AL235" s="557">
        <f t="shared" si="161"/>
        <v>0</v>
      </c>
      <c r="AM235" s="557">
        <f t="shared" si="161"/>
        <v>0</v>
      </c>
      <c r="AN235" s="557">
        <f t="shared" si="161"/>
        <v>0</v>
      </c>
      <c r="AO235" s="557">
        <f t="shared" si="161"/>
        <v>0</v>
      </c>
      <c r="AP235" s="557">
        <f t="shared" si="161"/>
        <v>0</v>
      </c>
      <c r="AQ235" s="483">
        <f t="shared" si="150"/>
        <v>0</v>
      </c>
      <c r="AR235" s="482">
        <f t="shared" si="151"/>
        <v>0</v>
      </c>
      <c r="AS235" s="482">
        <f t="shared" si="151"/>
        <v>0</v>
      </c>
      <c r="AT235" s="482">
        <f t="shared" si="151"/>
        <v>0</v>
      </c>
      <c r="AU235" s="482">
        <f t="shared" si="151"/>
        <v>0</v>
      </c>
      <c r="AV235" s="482">
        <f t="shared" si="152"/>
        <v>0</v>
      </c>
      <c r="AW235" s="483">
        <f t="shared" si="155"/>
        <v>0</v>
      </c>
      <c r="AX235" s="514">
        <f t="shared" si="153"/>
        <v>0</v>
      </c>
      <c r="AY235" s="514" t="s">
        <v>1034</v>
      </c>
      <c r="AZ235" s="556">
        <f t="shared" si="162"/>
        <v>0</v>
      </c>
      <c r="BA235" s="557">
        <v>0</v>
      </c>
      <c r="BB235" s="557">
        <v>0</v>
      </c>
      <c r="BC235" s="557">
        <v>0</v>
      </c>
      <c r="BD235" s="557">
        <v>0</v>
      </c>
      <c r="BE235" s="557">
        <v>0</v>
      </c>
      <c r="BF235" s="556">
        <f t="shared" si="147"/>
        <v>0</v>
      </c>
      <c r="BG235" s="557">
        <v>0</v>
      </c>
      <c r="BH235" s="557">
        <v>0</v>
      </c>
      <c r="BI235" s="557">
        <v>0</v>
      </c>
      <c r="BJ235" s="557">
        <v>0</v>
      </c>
      <c r="BK235" s="557">
        <v>0</v>
      </c>
      <c r="BL235" s="556">
        <f t="shared" si="144"/>
        <v>0</v>
      </c>
      <c r="BM235" s="557">
        <v>0</v>
      </c>
      <c r="BN235" s="557">
        <v>0</v>
      </c>
      <c r="BO235" s="557">
        <v>0</v>
      </c>
      <c r="BP235" s="557">
        <v>0</v>
      </c>
      <c r="BQ235" s="557">
        <v>0</v>
      </c>
      <c r="BR235" s="318" t="s">
        <v>1382</v>
      </c>
      <c r="BS235" s="318" t="s">
        <v>625</v>
      </c>
      <c r="BT235" s="318"/>
      <c r="BU235" s="318">
        <v>46</v>
      </c>
      <c r="BV235" s="318" t="s">
        <v>1136</v>
      </c>
      <c r="BW235" s="318"/>
      <c r="BX235" s="318"/>
      <c r="BY235" s="318"/>
      <c r="BZ235" s="318" t="s">
        <v>1379</v>
      </c>
      <c r="CA235" s="318"/>
      <c r="CB235" s="318"/>
      <c r="CC235" s="318" t="s">
        <v>1381</v>
      </c>
      <c r="CD235" s="318"/>
      <c r="CE235" s="457">
        <f>96+158</f>
        <v>254</v>
      </c>
      <c r="CF235" s="442">
        <v>41.6</v>
      </c>
      <c r="CG235" s="360" t="s">
        <v>748</v>
      </c>
      <c r="CH235" s="430">
        <v>1</v>
      </c>
      <c r="CI235" s="360"/>
      <c r="CJ235" s="360"/>
      <c r="CK235" s="360"/>
      <c r="CL235" s="360"/>
      <c r="CM235" s="360"/>
      <c r="CN235" s="360"/>
      <c r="CO235" s="360"/>
      <c r="CP235" s="360"/>
    </row>
    <row r="236" spans="1:94" s="315" customFormat="1" ht="13" hidden="1" x14ac:dyDescent="0.25">
      <c r="A236" s="403">
        <v>225</v>
      </c>
      <c r="B236" s="313" t="s">
        <v>613</v>
      </c>
      <c r="C236" s="313" t="s">
        <v>1212</v>
      </c>
      <c r="D236" s="318" t="s">
        <v>594</v>
      </c>
      <c r="E236" s="318" t="s">
        <v>552</v>
      </c>
      <c r="F236" s="313" t="s">
        <v>465</v>
      </c>
      <c r="G236" s="313" t="s">
        <v>1396</v>
      </c>
      <c r="H236" s="305"/>
      <c r="I236" s="305" t="s">
        <v>1074</v>
      </c>
      <c r="J236" s="370"/>
      <c r="K236" s="370" t="e">
        <f>5000*V236/(IF(#REF!="yes",0.188,1))</f>
        <v>#REF!</v>
      </c>
      <c r="L236" s="370" t="e">
        <f>K236</f>
        <v>#REF!</v>
      </c>
      <c r="M236" s="316" t="s">
        <v>807</v>
      </c>
      <c r="N236" s="398"/>
      <c r="O236" s="398"/>
      <c r="P236" s="305" t="s">
        <v>463</v>
      </c>
      <c r="Q236" s="304" t="s">
        <v>628</v>
      </c>
      <c r="R236" s="305" t="s">
        <v>629</v>
      </c>
      <c r="S236" s="305"/>
      <c r="T236" s="305"/>
      <c r="U236" s="305" t="s">
        <v>579</v>
      </c>
      <c r="V236" s="426">
        <v>0.188</v>
      </c>
      <c r="W236" s="317"/>
      <c r="X236" s="317"/>
      <c r="Y236" s="317"/>
      <c r="Z236" s="318">
        <v>1</v>
      </c>
      <c r="AA236" s="318">
        <v>4</v>
      </c>
      <c r="AB236" s="318">
        <v>2</v>
      </c>
      <c r="AC236" s="318">
        <v>3</v>
      </c>
      <c r="AD236" s="318" t="s">
        <v>632</v>
      </c>
      <c r="AE236" s="483">
        <f t="shared" si="164"/>
        <v>0</v>
      </c>
      <c r="AF236" s="482">
        <f t="shared" si="164"/>
        <v>0</v>
      </c>
      <c r="AG236" s="482">
        <f t="shared" si="164"/>
        <v>0</v>
      </c>
      <c r="AH236" s="482">
        <f t="shared" si="164"/>
        <v>0</v>
      </c>
      <c r="AI236" s="482">
        <f t="shared" si="164"/>
        <v>0</v>
      </c>
      <c r="AJ236" s="557">
        <f t="shared" si="164"/>
        <v>0</v>
      </c>
      <c r="AK236" s="556">
        <f t="shared" si="161"/>
        <v>0</v>
      </c>
      <c r="AL236" s="557">
        <f t="shared" si="161"/>
        <v>0</v>
      </c>
      <c r="AM236" s="557">
        <f t="shared" si="161"/>
        <v>0</v>
      </c>
      <c r="AN236" s="557">
        <f t="shared" si="161"/>
        <v>0</v>
      </c>
      <c r="AO236" s="557">
        <f t="shared" si="161"/>
        <v>0</v>
      </c>
      <c r="AP236" s="557">
        <f t="shared" si="161"/>
        <v>0</v>
      </c>
      <c r="AQ236" s="483">
        <f t="shared" si="150"/>
        <v>0</v>
      </c>
      <c r="AR236" s="482">
        <f t="shared" si="151"/>
        <v>0</v>
      </c>
      <c r="AS236" s="482">
        <f t="shared" si="151"/>
        <v>0</v>
      </c>
      <c r="AT236" s="482">
        <f t="shared" si="151"/>
        <v>0</v>
      </c>
      <c r="AU236" s="482">
        <f t="shared" si="151"/>
        <v>0</v>
      </c>
      <c r="AV236" s="482">
        <f t="shared" si="152"/>
        <v>0</v>
      </c>
      <c r="AW236" s="483">
        <f t="shared" si="155"/>
        <v>0</v>
      </c>
      <c r="AX236" s="514">
        <f t="shared" si="153"/>
        <v>0</v>
      </c>
      <c r="AY236" s="514" t="s">
        <v>1034</v>
      </c>
      <c r="AZ236" s="556">
        <f t="shared" si="162"/>
        <v>0</v>
      </c>
      <c r="BA236" s="557">
        <v>0</v>
      </c>
      <c r="BB236" s="557">
        <v>0</v>
      </c>
      <c r="BC236" s="557">
        <v>0</v>
      </c>
      <c r="BD236" s="557">
        <v>0</v>
      </c>
      <c r="BE236" s="557">
        <v>0</v>
      </c>
      <c r="BF236" s="556">
        <f t="shared" si="147"/>
        <v>0</v>
      </c>
      <c r="BG236" s="557">
        <v>0</v>
      </c>
      <c r="BH236" s="557">
        <v>0</v>
      </c>
      <c r="BI236" s="557">
        <v>0</v>
      </c>
      <c r="BJ236" s="557">
        <v>0</v>
      </c>
      <c r="BK236" s="557">
        <v>0</v>
      </c>
      <c r="BL236" s="556">
        <f t="shared" si="144"/>
        <v>0</v>
      </c>
      <c r="BM236" s="557">
        <v>0</v>
      </c>
      <c r="BN236" s="557">
        <v>0</v>
      </c>
      <c r="BO236" s="557">
        <v>0</v>
      </c>
      <c r="BP236" s="557">
        <v>0</v>
      </c>
      <c r="BQ236" s="557">
        <v>0</v>
      </c>
      <c r="BR236" s="318"/>
      <c r="BS236" s="318"/>
      <c r="BT236" s="318"/>
      <c r="BU236" s="318"/>
      <c r="BV236" s="318"/>
      <c r="BW236" s="318"/>
      <c r="BX236" s="318"/>
      <c r="BY236" s="318"/>
      <c r="BZ236" s="318"/>
      <c r="CA236" s="318"/>
      <c r="CB236" s="318"/>
      <c r="CC236" s="318"/>
      <c r="CD236" s="318"/>
      <c r="CE236" s="457"/>
      <c r="CF236" s="318">
        <v>15</v>
      </c>
      <c r="CG236" s="360" t="s">
        <v>613</v>
      </c>
      <c r="CH236" s="430">
        <v>1</v>
      </c>
      <c r="CI236" s="360"/>
      <c r="CJ236" s="360"/>
      <c r="CK236" s="360"/>
      <c r="CL236" s="360"/>
      <c r="CM236" s="360"/>
      <c r="CN236" s="360"/>
      <c r="CO236" s="360"/>
      <c r="CP236" s="360"/>
    </row>
    <row r="237" spans="1:94" s="362" customFormat="1" ht="13" hidden="1" x14ac:dyDescent="0.25">
      <c r="A237" s="403">
        <v>226</v>
      </c>
      <c r="B237" s="328" t="s">
        <v>1104</v>
      </c>
      <c r="C237" s="328" t="s">
        <v>1105</v>
      </c>
      <c r="D237" s="388" t="s">
        <v>594</v>
      </c>
      <c r="E237" s="388"/>
      <c r="F237" s="328" t="s">
        <v>286</v>
      </c>
      <c r="G237" s="328" t="s">
        <v>1090</v>
      </c>
      <c r="H237" s="386"/>
      <c r="I237" s="386" t="s">
        <v>591</v>
      </c>
      <c r="J237" s="387" t="s">
        <v>1034</v>
      </c>
      <c r="K237" s="387" t="e">
        <f>40000*V237/(IF(#REF!="yes",0.188,1))</f>
        <v>#REF!</v>
      </c>
      <c r="L237" s="387" t="e">
        <f>K237</f>
        <v>#REF!</v>
      </c>
      <c r="M237" s="545" t="s">
        <v>619</v>
      </c>
      <c r="N237" s="399">
        <v>2019</v>
      </c>
      <c r="O237" s="399">
        <v>2020</v>
      </c>
      <c r="P237" s="386" t="s">
        <v>519</v>
      </c>
      <c r="Q237" s="452">
        <v>1.2699999999999999E-2</v>
      </c>
      <c r="R237" s="386"/>
      <c r="S237" s="386"/>
      <c r="T237" s="386" t="s">
        <v>1013</v>
      </c>
      <c r="U237" s="386" t="s">
        <v>579</v>
      </c>
      <c r="V237" s="434">
        <v>0.188</v>
      </c>
      <c r="W237" s="450">
        <v>6</v>
      </c>
      <c r="X237" s="446"/>
      <c r="Y237" s="390" t="e">
        <f>IF(W237="","",5-((W237-(MIN($W$12:$W$261)))/(MAX($W$12:$W$261)-MIN($W$12:$W$261)))*5)</f>
        <v>#REF!</v>
      </c>
      <c r="Z237" s="388">
        <v>2</v>
      </c>
      <c r="AA237" s="388">
        <v>5</v>
      </c>
      <c r="AB237" s="388">
        <v>3</v>
      </c>
      <c r="AC237" s="388">
        <v>5</v>
      </c>
      <c r="AD237" s="471" t="s">
        <v>1213</v>
      </c>
      <c r="AE237" s="560">
        <f t="shared" si="164"/>
        <v>0</v>
      </c>
      <c r="AF237" s="561">
        <f t="shared" si="164"/>
        <v>0</v>
      </c>
      <c r="AG237" s="561">
        <f t="shared" si="164"/>
        <v>0</v>
      </c>
      <c r="AH237" s="561">
        <f t="shared" si="164"/>
        <v>0</v>
      </c>
      <c r="AI237" s="561">
        <f t="shared" si="164"/>
        <v>0</v>
      </c>
      <c r="AJ237" s="561">
        <f t="shared" si="164"/>
        <v>0</v>
      </c>
      <c r="AK237" s="560">
        <f t="shared" si="161"/>
        <v>0</v>
      </c>
      <c r="AL237" s="561">
        <f t="shared" si="161"/>
        <v>0</v>
      </c>
      <c r="AM237" s="561">
        <f t="shared" si="161"/>
        <v>0</v>
      </c>
      <c r="AN237" s="561">
        <f t="shared" si="161"/>
        <v>0</v>
      </c>
      <c r="AO237" s="561">
        <f t="shared" si="161"/>
        <v>0</v>
      </c>
      <c r="AP237" s="561">
        <f t="shared" si="161"/>
        <v>0</v>
      </c>
      <c r="AQ237" s="560">
        <f t="shared" si="150"/>
        <v>0</v>
      </c>
      <c r="AR237" s="561">
        <f t="shared" si="151"/>
        <v>0</v>
      </c>
      <c r="AS237" s="561">
        <f t="shared" si="151"/>
        <v>0</v>
      </c>
      <c r="AT237" s="561">
        <f t="shared" si="151"/>
        <v>0</v>
      </c>
      <c r="AU237" s="561">
        <f t="shared" si="151"/>
        <v>0</v>
      </c>
      <c r="AV237" s="561">
        <f t="shared" si="152"/>
        <v>0</v>
      </c>
      <c r="AW237" s="560" t="str">
        <f t="shared" si="155"/>
        <v>check</v>
      </c>
      <c r="AX237" s="562" t="str">
        <f t="shared" si="153"/>
        <v>check</v>
      </c>
      <c r="AY237" s="561" t="s">
        <v>1524</v>
      </c>
      <c r="AZ237" s="560">
        <f t="shared" si="162"/>
        <v>0</v>
      </c>
      <c r="BA237" s="561">
        <v>0</v>
      </c>
      <c r="BB237" s="561">
        <v>0</v>
      </c>
      <c r="BC237" s="561">
        <v>0</v>
      </c>
      <c r="BD237" s="561">
        <v>0</v>
      </c>
      <c r="BE237" s="561">
        <v>0</v>
      </c>
      <c r="BF237" s="560">
        <f t="shared" si="147"/>
        <v>0</v>
      </c>
      <c r="BG237" s="561">
        <v>0</v>
      </c>
      <c r="BH237" s="561">
        <v>0</v>
      </c>
      <c r="BI237" s="561">
        <v>0</v>
      </c>
      <c r="BJ237" s="561">
        <v>0</v>
      </c>
      <c r="BK237" s="561">
        <v>0</v>
      </c>
      <c r="BL237" s="560">
        <f t="shared" si="144"/>
        <v>0</v>
      </c>
      <c r="BM237" s="561">
        <v>0</v>
      </c>
      <c r="BN237" s="561">
        <v>0</v>
      </c>
      <c r="BO237" s="561">
        <v>0</v>
      </c>
      <c r="BP237" s="561">
        <v>0</v>
      </c>
      <c r="BQ237" s="561">
        <v>0</v>
      </c>
      <c r="BR237" s="388"/>
      <c r="BS237" s="388"/>
      <c r="BT237" s="388"/>
      <c r="BU237" s="388"/>
      <c r="BV237" s="388"/>
      <c r="BW237" s="388"/>
      <c r="BX237" s="388"/>
      <c r="BY237" s="388"/>
      <c r="BZ237" s="388" t="s">
        <v>1509</v>
      </c>
      <c r="CA237" s="388"/>
      <c r="CB237" s="388"/>
      <c r="CC237" s="388"/>
      <c r="CD237" s="388"/>
      <c r="CE237" s="462" t="s">
        <v>1303</v>
      </c>
      <c r="CF237" s="450">
        <f>(8888*$CH$237)+(43.25*$CJ$237)</f>
        <v>7030.6025000000009</v>
      </c>
      <c r="CG237" s="470" t="s">
        <v>791</v>
      </c>
      <c r="CH237" s="472">
        <v>0.79</v>
      </c>
      <c r="CI237" s="470" t="s">
        <v>469</v>
      </c>
      <c r="CJ237" s="472">
        <v>0.21</v>
      </c>
      <c r="CK237" s="470"/>
      <c r="CL237" s="470"/>
      <c r="CM237" s="470"/>
      <c r="CN237" s="470"/>
      <c r="CO237" s="470"/>
      <c r="CP237" s="470"/>
    </row>
    <row r="238" spans="1:94" s="315" customFormat="1" ht="62.5" hidden="1" x14ac:dyDescent="0.25">
      <c r="A238" s="403">
        <v>227</v>
      </c>
      <c r="B238" s="313" t="s">
        <v>832</v>
      </c>
      <c r="C238" s="313" t="s">
        <v>1121</v>
      </c>
      <c r="D238" s="318" t="s">
        <v>594</v>
      </c>
      <c r="E238" s="318" t="s">
        <v>553</v>
      </c>
      <c r="F238" s="313" t="s">
        <v>244</v>
      </c>
      <c r="G238" s="313" t="s">
        <v>550</v>
      </c>
      <c r="H238" s="305"/>
      <c r="I238" s="305" t="s">
        <v>1172</v>
      </c>
      <c r="J238" s="370">
        <v>0</v>
      </c>
      <c r="K238" s="370" t="e">
        <f>21000*V238/(IF(#REF!="yes",0.188,1))</f>
        <v>#REF!</v>
      </c>
      <c r="L238" s="370" t="e">
        <f>K238-$J$168</f>
        <v>#REF!</v>
      </c>
      <c r="M238" s="316" t="s">
        <v>619</v>
      </c>
      <c r="N238" s="356"/>
      <c r="O238" s="398">
        <v>2022</v>
      </c>
      <c r="P238" s="305" t="s">
        <v>519</v>
      </c>
      <c r="Q238" s="304"/>
      <c r="R238" s="305"/>
      <c r="S238" s="305"/>
      <c r="T238" s="305"/>
      <c r="U238" s="305" t="s">
        <v>536</v>
      </c>
      <c r="V238" s="426">
        <v>0.188</v>
      </c>
      <c r="W238" s="443">
        <v>5</v>
      </c>
      <c r="X238" s="414"/>
      <c r="Y238" s="412" t="e">
        <f t="shared" si="146"/>
        <v>#REF!</v>
      </c>
      <c r="Z238" s="318">
        <v>3</v>
      </c>
      <c r="AA238" s="318">
        <v>3</v>
      </c>
      <c r="AB238" s="318">
        <v>3</v>
      </c>
      <c r="AC238" s="318">
        <v>3</v>
      </c>
      <c r="AD238" s="318" t="s">
        <v>1125</v>
      </c>
      <c r="AE238" s="483">
        <f t="shared" si="164"/>
        <v>0</v>
      </c>
      <c r="AF238" s="482">
        <f t="shared" si="164"/>
        <v>0</v>
      </c>
      <c r="AG238" s="482">
        <f t="shared" si="164"/>
        <v>0</v>
      </c>
      <c r="AH238" s="482">
        <f t="shared" si="164"/>
        <v>0</v>
      </c>
      <c r="AI238" s="482">
        <f t="shared" si="164"/>
        <v>0</v>
      </c>
      <c r="AJ238" s="557">
        <f t="shared" si="164"/>
        <v>0</v>
      </c>
      <c r="AK238" s="556">
        <f t="shared" si="161"/>
        <v>0</v>
      </c>
      <c r="AL238" s="557">
        <f t="shared" si="161"/>
        <v>0</v>
      </c>
      <c r="AM238" s="557">
        <f t="shared" si="161"/>
        <v>0</v>
      </c>
      <c r="AN238" s="557">
        <f t="shared" si="161"/>
        <v>0</v>
      </c>
      <c r="AO238" s="557">
        <f t="shared" si="161"/>
        <v>0</v>
      </c>
      <c r="AP238" s="557">
        <f t="shared" si="161"/>
        <v>0</v>
      </c>
      <c r="AQ238" s="483">
        <f t="shared" si="150"/>
        <v>0</v>
      </c>
      <c r="AR238" s="482">
        <f t="shared" si="151"/>
        <v>0</v>
      </c>
      <c r="AS238" s="482">
        <f t="shared" si="151"/>
        <v>0</v>
      </c>
      <c r="AT238" s="482">
        <f t="shared" si="151"/>
        <v>0</v>
      </c>
      <c r="AU238" s="482">
        <f t="shared" si="151"/>
        <v>0</v>
      </c>
      <c r="AV238" s="482">
        <f t="shared" si="152"/>
        <v>0</v>
      </c>
      <c r="AW238" s="483">
        <v>0</v>
      </c>
      <c r="AX238" s="514">
        <f t="shared" si="153"/>
        <v>0</v>
      </c>
      <c r="AY238" s="514" t="s">
        <v>1034</v>
      </c>
      <c r="AZ238" s="556">
        <f t="shared" si="162"/>
        <v>0</v>
      </c>
      <c r="BA238" s="557">
        <v>0</v>
      </c>
      <c r="BB238" s="557">
        <v>0</v>
      </c>
      <c r="BC238" s="557">
        <v>0</v>
      </c>
      <c r="BD238" s="557">
        <v>0</v>
      </c>
      <c r="BE238" s="557">
        <v>0</v>
      </c>
      <c r="BF238" s="556">
        <f t="shared" si="147"/>
        <v>0</v>
      </c>
      <c r="BG238" s="557">
        <v>0</v>
      </c>
      <c r="BH238" s="557">
        <v>0</v>
      </c>
      <c r="BI238" s="557">
        <v>0</v>
      </c>
      <c r="BJ238" s="557">
        <v>0</v>
      </c>
      <c r="BK238" s="557">
        <v>0</v>
      </c>
      <c r="BL238" s="556">
        <f t="shared" si="144"/>
        <v>0</v>
      </c>
      <c r="BM238" s="557">
        <v>0</v>
      </c>
      <c r="BN238" s="557">
        <v>0</v>
      </c>
      <c r="BO238" s="557">
        <v>0</v>
      </c>
      <c r="BP238" s="557">
        <v>0</v>
      </c>
      <c r="BQ238" s="557">
        <v>0</v>
      </c>
      <c r="BR238" s="318" t="s">
        <v>1123</v>
      </c>
      <c r="BS238" s="318"/>
      <c r="BT238" s="318"/>
      <c r="BU238" s="318"/>
      <c r="BV238" s="318"/>
      <c r="BW238" s="318"/>
      <c r="BX238" s="318"/>
      <c r="BY238" s="318"/>
      <c r="BZ238" s="318" t="s">
        <v>1511</v>
      </c>
      <c r="CA238" s="318"/>
      <c r="CB238" s="318"/>
      <c r="CC238" s="318"/>
      <c r="CD238" s="318"/>
      <c r="CE238" s="457" t="s">
        <v>854</v>
      </c>
      <c r="CF238" s="443">
        <v>65</v>
      </c>
      <c r="CG238" s="360" t="s">
        <v>832</v>
      </c>
      <c r="CH238" s="430">
        <v>1</v>
      </c>
      <c r="CI238" s="360"/>
      <c r="CJ238" s="360"/>
      <c r="CK238" s="360"/>
      <c r="CL238" s="360"/>
      <c r="CM238" s="360"/>
      <c r="CN238" s="360"/>
      <c r="CO238" s="360"/>
      <c r="CP238" s="360"/>
    </row>
    <row r="239" spans="1:94" s="315" customFormat="1" ht="25" hidden="1" x14ac:dyDescent="0.25">
      <c r="A239" s="403">
        <v>228</v>
      </c>
      <c r="B239" s="313" t="s">
        <v>855</v>
      </c>
      <c r="C239" s="313" t="s">
        <v>1175</v>
      </c>
      <c r="D239" s="318" t="s">
        <v>457</v>
      </c>
      <c r="E239" s="318" t="s">
        <v>552</v>
      </c>
      <c r="F239" s="313" t="s">
        <v>244</v>
      </c>
      <c r="G239" s="313" t="s">
        <v>576</v>
      </c>
      <c r="H239" s="305" t="s">
        <v>1383</v>
      </c>
      <c r="I239" s="305"/>
      <c r="J239" s="370" t="e">
        <f>70000*$V239/(IF(#REF!="yes",0.188,1))</f>
        <v>#REF!</v>
      </c>
      <c r="K239" s="370"/>
      <c r="L239" s="370" t="e">
        <f>J239</f>
        <v>#REF!</v>
      </c>
      <c r="M239" s="316" t="s">
        <v>483</v>
      </c>
      <c r="N239" s="398">
        <v>2015</v>
      </c>
      <c r="O239" s="398">
        <v>2017</v>
      </c>
      <c r="P239" s="305" t="s">
        <v>519</v>
      </c>
      <c r="Q239" s="305"/>
      <c r="R239" s="305"/>
      <c r="S239" s="305" t="s">
        <v>865</v>
      </c>
      <c r="T239" s="305" t="s">
        <v>864</v>
      </c>
      <c r="U239" s="305" t="s">
        <v>815</v>
      </c>
      <c r="V239" s="426">
        <f>6%*40%</f>
        <v>2.4E-2</v>
      </c>
      <c r="W239" s="443">
        <v>6</v>
      </c>
      <c r="X239" s="414"/>
      <c r="Y239" s="412" t="e">
        <f t="shared" si="146"/>
        <v>#REF!</v>
      </c>
      <c r="Z239" s="318">
        <v>2</v>
      </c>
      <c r="AA239" s="318">
        <v>4</v>
      </c>
      <c r="AB239" s="318">
        <v>3</v>
      </c>
      <c r="AC239" s="318">
        <v>3</v>
      </c>
      <c r="AD239" s="318" t="s">
        <v>772</v>
      </c>
      <c r="AE239" s="483">
        <v>5000</v>
      </c>
      <c r="AF239" s="482" t="s">
        <v>1524</v>
      </c>
      <c r="AG239" s="482" t="s">
        <v>1524</v>
      </c>
      <c r="AH239" s="482" t="s">
        <v>1524</v>
      </c>
      <c r="AI239" s="482" t="s">
        <v>1524</v>
      </c>
      <c r="AJ239" s="557" t="str">
        <f>IF(OR(M239="Exploration", M239="Pre-feasibility", O239&gt;2017), 0, "check")</f>
        <v>check</v>
      </c>
      <c r="AK239" s="556">
        <v>8936.1702127659573</v>
      </c>
      <c r="AL239" s="557" t="s">
        <v>1524</v>
      </c>
      <c r="AM239" s="557" t="s">
        <v>1524</v>
      </c>
      <c r="AN239" s="557" t="s">
        <v>1524</v>
      </c>
      <c r="AO239" s="557" t="s">
        <v>1524</v>
      </c>
      <c r="AP239" s="557" t="str">
        <f>IF(OR(M239="Exploration", M239="Pre-feasibility", O239&gt;2018), 0, "check")</f>
        <v>check</v>
      </c>
      <c r="AQ239" s="483" t="str">
        <f t="shared" si="150"/>
        <v>check</v>
      </c>
      <c r="AR239" s="482" t="str">
        <f t="shared" si="151"/>
        <v>check</v>
      </c>
      <c r="AS239" s="482" t="str">
        <f t="shared" si="151"/>
        <v>check</v>
      </c>
      <c r="AT239" s="482" t="str">
        <f t="shared" si="151"/>
        <v>check</v>
      </c>
      <c r="AU239" s="482" t="str">
        <f t="shared" si="151"/>
        <v>check</v>
      </c>
      <c r="AV239" s="482" t="str">
        <f t="shared" si="152"/>
        <v>check</v>
      </c>
      <c r="AW239" s="483" t="e">
        <f t="shared" si="155"/>
        <v>#REF!</v>
      </c>
      <c r="AX239" s="514" t="e">
        <f t="shared" si="153"/>
        <v>#REF!</v>
      </c>
      <c r="AY239" s="482" t="s">
        <v>1524</v>
      </c>
      <c r="AZ239" s="556">
        <f t="shared" si="162"/>
        <v>5000</v>
      </c>
      <c r="BA239" s="557" t="s">
        <v>1524</v>
      </c>
      <c r="BB239" s="557" t="s">
        <v>1524</v>
      </c>
      <c r="BC239" s="557" t="s">
        <v>1524</v>
      </c>
      <c r="BD239" s="557" t="s">
        <v>1524</v>
      </c>
      <c r="BE239" s="557" t="s">
        <v>1524</v>
      </c>
      <c r="BF239" s="556">
        <f t="shared" si="147"/>
        <v>8936.1702127659573</v>
      </c>
      <c r="BG239" s="557" t="s">
        <v>1524</v>
      </c>
      <c r="BH239" s="557" t="s">
        <v>1524</v>
      </c>
      <c r="BI239" s="557" t="s">
        <v>1524</v>
      </c>
      <c r="BJ239" s="557" t="s">
        <v>1524</v>
      </c>
      <c r="BK239" s="557" t="s">
        <v>1524</v>
      </c>
      <c r="BL239" s="556" t="str">
        <f t="shared" si="144"/>
        <v>check</v>
      </c>
      <c r="BM239" s="557" t="s">
        <v>1524</v>
      </c>
      <c r="BN239" s="557" t="s">
        <v>1524</v>
      </c>
      <c r="BO239" s="557" t="s">
        <v>1524</v>
      </c>
      <c r="BP239" s="557" t="s">
        <v>1524</v>
      </c>
      <c r="BQ239" s="557" t="s">
        <v>1524</v>
      </c>
      <c r="BR239" s="318" t="s">
        <v>1524</v>
      </c>
      <c r="BS239" s="318" t="s">
        <v>1524</v>
      </c>
      <c r="BT239" s="318"/>
      <c r="BU239" s="318"/>
      <c r="BV239" s="318"/>
      <c r="BW239" s="318"/>
      <c r="BX239" s="318"/>
      <c r="BY239" s="318"/>
      <c r="BZ239" s="318"/>
      <c r="CA239" s="318"/>
      <c r="CB239" s="318"/>
      <c r="CC239" s="318"/>
      <c r="CD239" s="318"/>
      <c r="CE239" s="457"/>
      <c r="CF239" s="443">
        <v>33.6</v>
      </c>
      <c r="CG239" s="360"/>
      <c r="CH239" s="360"/>
      <c r="CI239" s="360"/>
      <c r="CJ239" s="360"/>
      <c r="CK239" s="360"/>
      <c r="CL239" s="360"/>
      <c r="CM239" s="360"/>
      <c r="CN239" s="360"/>
      <c r="CO239" s="360"/>
      <c r="CP239" s="360"/>
    </row>
    <row r="240" spans="1:94" s="315" customFormat="1" ht="25" hidden="1" x14ac:dyDescent="0.25">
      <c r="A240" s="403">
        <v>229</v>
      </c>
      <c r="B240" s="313" t="s">
        <v>855</v>
      </c>
      <c r="C240" s="313" t="s">
        <v>1175</v>
      </c>
      <c r="D240" s="318" t="s">
        <v>457</v>
      </c>
      <c r="E240" s="318" t="s">
        <v>553</v>
      </c>
      <c r="F240" s="313" t="s">
        <v>244</v>
      </c>
      <c r="G240" s="313" t="s">
        <v>576</v>
      </c>
      <c r="H240" s="305"/>
      <c r="I240" s="305" t="s">
        <v>866</v>
      </c>
      <c r="J240" s="370"/>
      <c r="K240" s="370" t="e">
        <f>153000*V240/(IF(#REF!="yes",0.188,1))</f>
        <v>#REF!</v>
      </c>
      <c r="L240" s="370" t="e">
        <f>K240-$J$239</f>
        <v>#REF!</v>
      </c>
      <c r="M240" s="316" t="s">
        <v>619</v>
      </c>
      <c r="N240" s="398">
        <v>2019</v>
      </c>
      <c r="O240" s="398">
        <v>2020</v>
      </c>
      <c r="P240" s="305" t="s">
        <v>519</v>
      </c>
      <c r="Q240" s="354"/>
      <c r="R240" s="305"/>
      <c r="S240" s="305" t="s">
        <v>865</v>
      </c>
      <c r="T240" s="305" t="s">
        <v>864</v>
      </c>
      <c r="U240" s="305" t="s">
        <v>528</v>
      </c>
      <c r="V240" s="426">
        <f>6%*40%</f>
        <v>2.4E-2</v>
      </c>
      <c r="W240" s="443">
        <v>6</v>
      </c>
      <c r="X240" s="414"/>
      <c r="Y240" s="412" t="e">
        <f t="shared" si="146"/>
        <v>#REF!</v>
      </c>
      <c r="Z240" s="318">
        <v>2</v>
      </c>
      <c r="AA240" s="318">
        <v>4</v>
      </c>
      <c r="AB240" s="318">
        <v>3</v>
      </c>
      <c r="AC240" s="318">
        <v>3</v>
      </c>
      <c r="AD240" s="318" t="s">
        <v>772</v>
      </c>
      <c r="AE240" s="483">
        <f t="shared" ref="AE240:AJ242" si="165">IF(OR($M240="Exploration", $M240="Pre-feasibility", $O240&gt;2017), 0, "check")</f>
        <v>0</v>
      </c>
      <c r="AF240" s="482">
        <f t="shared" si="165"/>
        <v>0</v>
      </c>
      <c r="AG240" s="482">
        <f t="shared" si="165"/>
        <v>0</v>
      </c>
      <c r="AH240" s="482">
        <f t="shared" si="165"/>
        <v>0</v>
      </c>
      <c r="AI240" s="482">
        <f t="shared" si="165"/>
        <v>0</v>
      </c>
      <c r="AJ240" s="557">
        <f t="shared" si="165"/>
        <v>0</v>
      </c>
      <c r="AK240" s="556">
        <f t="shared" ref="AK240:AP260" si="166">IF(OR($M240="Exploration", $M240="Pre-feasibility", $O240&gt;2018), 0, "check")</f>
        <v>0</v>
      </c>
      <c r="AL240" s="557">
        <f t="shared" si="166"/>
        <v>0</v>
      </c>
      <c r="AM240" s="557">
        <f t="shared" si="166"/>
        <v>0</v>
      </c>
      <c r="AN240" s="557">
        <f t="shared" si="166"/>
        <v>0</v>
      </c>
      <c r="AO240" s="557">
        <f t="shared" si="166"/>
        <v>0</v>
      </c>
      <c r="AP240" s="557">
        <f t="shared" si="166"/>
        <v>0</v>
      </c>
      <c r="AQ240" s="483" t="s">
        <v>1524</v>
      </c>
      <c r="AR240" s="482">
        <f t="shared" si="151"/>
        <v>0</v>
      </c>
      <c r="AS240" s="482">
        <f t="shared" si="151"/>
        <v>0</v>
      </c>
      <c r="AT240" s="482">
        <f t="shared" si="151"/>
        <v>0</v>
      </c>
      <c r="AU240" s="482">
        <f t="shared" si="151"/>
        <v>0</v>
      </c>
      <c r="AV240" s="482">
        <f t="shared" si="152"/>
        <v>0</v>
      </c>
      <c r="AW240" s="483" t="str">
        <f t="shared" si="155"/>
        <v>check</v>
      </c>
      <c r="AX240" s="514" t="str">
        <f t="shared" si="153"/>
        <v>check</v>
      </c>
      <c r="AY240" s="482" t="s">
        <v>1524</v>
      </c>
      <c r="AZ240" s="556">
        <f t="shared" si="162"/>
        <v>0</v>
      </c>
      <c r="BA240" s="557">
        <v>0</v>
      </c>
      <c r="BB240" s="557">
        <v>0</v>
      </c>
      <c r="BC240" s="557">
        <v>0</v>
      </c>
      <c r="BD240" s="557">
        <v>0</v>
      </c>
      <c r="BE240" s="557">
        <v>0</v>
      </c>
      <c r="BF240" s="556">
        <f t="shared" si="147"/>
        <v>0</v>
      </c>
      <c r="BG240" s="557">
        <v>0</v>
      </c>
      <c r="BH240" s="557">
        <v>0</v>
      </c>
      <c r="BI240" s="557">
        <v>0</v>
      </c>
      <c r="BJ240" s="557">
        <v>0</v>
      </c>
      <c r="BK240" s="557">
        <v>0</v>
      </c>
      <c r="BL240" s="556" t="str">
        <f t="shared" si="144"/>
        <v>check</v>
      </c>
      <c r="BM240" s="557">
        <v>0</v>
      </c>
      <c r="BN240" s="557">
        <v>0</v>
      </c>
      <c r="BO240" s="557">
        <v>0</v>
      </c>
      <c r="BP240" s="557">
        <v>0</v>
      </c>
      <c r="BQ240" s="557">
        <v>0</v>
      </c>
      <c r="BR240" s="318"/>
      <c r="BS240" s="318"/>
      <c r="BT240" s="318"/>
      <c r="BU240" s="318"/>
      <c r="BV240" s="318"/>
      <c r="BW240" s="318"/>
      <c r="BX240" s="318"/>
      <c r="BY240" s="318"/>
      <c r="BZ240" s="318"/>
      <c r="CA240" s="318"/>
      <c r="CB240" s="318"/>
      <c r="CC240" s="318"/>
      <c r="CD240" s="318"/>
      <c r="CE240" s="457"/>
      <c r="CF240" s="443">
        <v>33.6</v>
      </c>
      <c r="CG240" s="360"/>
      <c r="CH240" s="360"/>
      <c r="CI240" s="360"/>
      <c r="CJ240" s="360"/>
      <c r="CK240" s="360"/>
      <c r="CL240" s="360"/>
      <c r="CM240" s="360"/>
      <c r="CN240" s="360"/>
      <c r="CO240" s="360"/>
      <c r="CP240" s="360"/>
    </row>
    <row r="241" spans="1:94" s="315" customFormat="1" ht="50" hidden="1" x14ac:dyDescent="0.25">
      <c r="A241" s="403">
        <v>230</v>
      </c>
      <c r="B241" s="313" t="s">
        <v>791</v>
      </c>
      <c r="C241" s="313" t="s">
        <v>1211</v>
      </c>
      <c r="D241" s="318" t="s">
        <v>457</v>
      </c>
      <c r="E241" s="318"/>
      <c r="F241" s="313" t="s">
        <v>465</v>
      </c>
      <c r="G241" s="313" t="s">
        <v>1393</v>
      </c>
      <c r="H241" s="305"/>
      <c r="I241" s="305" t="s">
        <v>1306</v>
      </c>
      <c r="J241" s="370"/>
      <c r="K241" s="375" t="e">
        <f>20000*V241/(IF(#REF!="yes",0.188,1))</f>
        <v>#REF!</v>
      </c>
      <c r="L241" s="370" t="e">
        <f>K241</f>
        <v>#REF!</v>
      </c>
      <c r="M241" s="316" t="s">
        <v>807</v>
      </c>
      <c r="N241" s="398"/>
      <c r="O241" s="398">
        <v>2021</v>
      </c>
      <c r="P241" s="305" t="s">
        <v>463</v>
      </c>
      <c r="Q241" s="354"/>
      <c r="R241" s="305"/>
      <c r="S241" s="305"/>
      <c r="T241" s="305" t="s">
        <v>1204</v>
      </c>
      <c r="U241" s="305" t="s">
        <v>528</v>
      </c>
      <c r="V241" s="426">
        <v>0.188</v>
      </c>
      <c r="W241" s="412"/>
      <c r="X241" s="412"/>
      <c r="Y241" s="412" t="str">
        <f t="shared" si="146"/>
        <v/>
      </c>
      <c r="Z241" s="318"/>
      <c r="AA241" s="318"/>
      <c r="AB241" s="318"/>
      <c r="AC241" s="318">
        <v>5</v>
      </c>
      <c r="AD241" s="463" t="s">
        <v>1203</v>
      </c>
      <c r="AE241" s="483">
        <f t="shared" si="165"/>
        <v>0</v>
      </c>
      <c r="AF241" s="482">
        <f t="shared" si="165"/>
        <v>0</v>
      </c>
      <c r="AG241" s="482">
        <f t="shared" si="165"/>
        <v>0</v>
      </c>
      <c r="AH241" s="482">
        <f t="shared" si="165"/>
        <v>0</v>
      </c>
      <c r="AI241" s="482">
        <f t="shared" si="165"/>
        <v>0</v>
      </c>
      <c r="AJ241" s="557">
        <f t="shared" si="165"/>
        <v>0</v>
      </c>
      <c r="AK241" s="556">
        <f t="shared" si="166"/>
        <v>0</v>
      </c>
      <c r="AL241" s="557">
        <f t="shared" si="166"/>
        <v>0</v>
      </c>
      <c r="AM241" s="557">
        <f t="shared" si="166"/>
        <v>0</v>
      </c>
      <c r="AN241" s="557">
        <f t="shared" si="166"/>
        <v>0</v>
      </c>
      <c r="AO241" s="557">
        <f t="shared" si="166"/>
        <v>0</v>
      </c>
      <c r="AP241" s="557">
        <f t="shared" si="166"/>
        <v>0</v>
      </c>
      <c r="AQ241" s="483">
        <f t="shared" si="150"/>
        <v>0</v>
      </c>
      <c r="AR241" s="482">
        <f t="shared" si="151"/>
        <v>0</v>
      </c>
      <c r="AS241" s="482">
        <f t="shared" si="151"/>
        <v>0</v>
      </c>
      <c r="AT241" s="482">
        <f t="shared" si="151"/>
        <v>0</v>
      </c>
      <c r="AU241" s="482">
        <f t="shared" si="151"/>
        <v>0</v>
      </c>
      <c r="AV241" s="482">
        <f t="shared" si="152"/>
        <v>0</v>
      </c>
      <c r="AW241" s="483">
        <f t="shared" si="155"/>
        <v>0</v>
      </c>
      <c r="AX241" s="514">
        <f t="shared" si="153"/>
        <v>0</v>
      </c>
      <c r="AY241" s="514" t="s">
        <v>1034</v>
      </c>
      <c r="AZ241" s="556">
        <f t="shared" si="162"/>
        <v>0</v>
      </c>
      <c r="BA241" s="557">
        <v>0</v>
      </c>
      <c r="BB241" s="557">
        <v>0</v>
      </c>
      <c r="BC241" s="557">
        <v>0</v>
      </c>
      <c r="BD241" s="557">
        <v>0</v>
      </c>
      <c r="BE241" s="557">
        <v>0</v>
      </c>
      <c r="BF241" s="556">
        <f t="shared" si="147"/>
        <v>0</v>
      </c>
      <c r="BG241" s="557">
        <v>0</v>
      </c>
      <c r="BH241" s="557">
        <v>0</v>
      </c>
      <c r="BI241" s="557">
        <v>0</v>
      </c>
      <c r="BJ241" s="557">
        <v>0</v>
      </c>
      <c r="BK241" s="557">
        <v>0</v>
      </c>
      <c r="BL241" s="556">
        <f t="shared" si="144"/>
        <v>0</v>
      </c>
      <c r="BM241" s="557">
        <v>0</v>
      </c>
      <c r="BN241" s="557">
        <v>0</v>
      </c>
      <c r="BO241" s="557">
        <v>0</v>
      </c>
      <c r="BP241" s="557">
        <v>0</v>
      </c>
      <c r="BQ241" s="557">
        <v>0</v>
      </c>
      <c r="BR241" s="318"/>
      <c r="BS241" s="318"/>
      <c r="BT241" s="318"/>
      <c r="BU241" s="318"/>
      <c r="BV241" s="318"/>
      <c r="BW241" s="318"/>
      <c r="BX241" s="318"/>
      <c r="BY241" s="318"/>
      <c r="BZ241" s="318"/>
      <c r="CA241" s="318"/>
      <c r="CB241" s="318"/>
      <c r="CC241" s="318"/>
      <c r="CD241" s="318"/>
      <c r="CE241" s="457" t="s">
        <v>1305</v>
      </c>
      <c r="CF241" s="456">
        <v>8888</v>
      </c>
      <c r="CG241" s="360" t="s">
        <v>791</v>
      </c>
      <c r="CH241" s="430">
        <v>1</v>
      </c>
      <c r="CI241" s="360"/>
      <c r="CJ241" s="360"/>
      <c r="CK241" s="360"/>
      <c r="CL241" s="360"/>
      <c r="CM241" s="360"/>
      <c r="CN241" s="360"/>
      <c r="CO241" s="360"/>
      <c r="CP241" s="360"/>
    </row>
    <row r="242" spans="1:94" s="315" customFormat="1" ht="13" hidden="1" x14ac:dyDescent="0.25">
      <c r="A242" s="403">
        <v>231</v>
      </c>
      <c r="B242" s="313" t="s">
        <v>1267</v>
      </c>
      <c r="C242" s="313" t="s">
        <v>1268</v>
      </c>
      <c r="D242" s="318" t="s">
        <v>457</v>
      </c>
      <c r="E242" s="318"/>
      <c r="F242" s="313" t="s">
        <v>247</v>
      </c>
      <c r="G242" s="313" t="s">
        <v>1214</v>
      </c>
      <c r="H242" s="305"/>
      <c r="I242" s="305"/>
      <c r="J242" s="370"/>
      <c r="K242" s="370"/>
      <c r="L242" s="370"/>
      <c r="M242" s="316" t="s">
        <v>487</v>
      </c>
      <c r="N242" s="398"/>
      <c r="O242" s="398"/>
      <c r="P242" s="305" t="s">
        <v>519</v>
      </c>
      <c r="Q242" s="354"/>
      <c r="R242" s="305"/>
      <c r="S242" s="305"/>
      <c r="T242" s="305"/>
      <c r="U242" s="305"/>
      <c r="V242" s="426"/>
      <c r="W242" s="317"/>
      <c r="X242" s="317"/>
      <c r="Y242" s="317"/>
      <c r="Z242" s="318"/>
      <c r="AA242" s="318"/>
      <c r="AB242" s="318"/>
      <c r="AC242" s="318"/>
      <c r="AD242" s="458" t="s">
        <v>1269</v>
      </c>
      <c r="AE242" s="483">
        <f t="shared" si="165"/>
        <v>0</v>
      </c>
      <c r="AF242" s="482">
        <f t="shared" si="165"/>
        <v>0</v>
      </c>
      <c r="AG242" s="482">
        <f t="shared" si="165"/>
        <v>0</v>
      </c>
      <c r="AH242" s="482">
        <f t="shared" si="165"/>
        <v>0</v>
      </c>
      <c r="AI242" s="482">
        <f t="shared" si="165"/>
        <v>0</v>
      </c>
      <c r="AJ242" s="557">
        <f t="shared" si="165"/>
        <v>0</v>
      </c>
      <c r="AK242" s="556">
        <f t="shared" si="166"/>
        <v>0</v>
      </c>
      <c r="AL242" s="557">
        <f t="shared" si="166"/>
        <v>0</v>
      </c>
      <c r="AM242" s="557">
        <f t="shared" si="166"/>
        <v>0</v>
      </c>
      <c r="AN242" s="557">
        <f t="shared" si="166"/>
        <v>0</v>
      </c>
      <c r="AO242" s="557">
        <f t="shared" si="166"/>
        <v>0</v>
      </c>
      <c r="AP242" s="557">
        <f t="shared" si="166"/>
        <v>0</v>
      </c>
      <c r="AQ242" s="483">
        <f t="shared" si="150"/>
        <v>0</v>
      </c>
      <c r="AR242" s="482">
        <f t="shared" si="151"/>
        <v>0</v>
      </c>
      <c r="AS242" s="482">
        <f t="shared" si="151"/>
        <v>0</v>
      </c>
      <c r="AT242" s="482">
        <f t="shared" si="151"/>
        <v>0</v>
      </c>
      <c r="AU242" s="482">
        <f t="shared" si="151"/>
        <v>0</v>
      </c>
      <c r="AV242" s="482">
        <f t="shared" si="152"/>
        <v>0</v>
      </c>
      <c r="AW242" s="483">
        <f t="shared" si="155"/>
        <v>0</v>
      </c>
      <c r="AX242" s="514">
        <f t="shared" si="153"/>
        <v>0</v>
      </c>
      <c r="AY242" s="514" t="s">
        <v>1034</v>
      </c>
      <c r="AZ242" s="556">
        <f>AE242</f>
        <v>0</v>
      </c>
      <c r="BA242" s="557">
        <v>0</v>
      </c>
      <c r="BB242" s="557">
        <v>0</v>
      </c>
      <c r="BC242" s="557">
        <v>0</v>
      </c>
      <c r="BD242" s="557">
        <v>0</v>
      </c>
      <c r="BE242" s="557">
        <v>0</v>
      </c>
      <c r="BF242" s="556">
        <f t="shared" si="147"/>
        <v>0</v>
      </c>
      <c r="BG242" s="557">
        <v>0</v>
      </c>
      <c r="BH242" s="557">
        <v>0</v>
      </c>
      <c r="BI242" s="557">
        <v>0</v>
      </c>
      <c r="BJ242" s="557">
        <v>0</v>
      </c>
      <c r="BK242" s="557">
        <v>0</v>
      </c>
      <c r="BL242" s="556">
        <f t="shared" si="144"/>
        <v>0</v>
      </c>
      <c r="BM242" s="557">
        <v>0</v>
      </c>
      <c r="BN242" s="557">
        <v>0</v>
      </c>
      <c r="BO242" s="557">
        <v>0</v>
      </c>
      <c r="BP242" s="557">
        <v>0</v>
      </c>
      <c r="BQ242" s="557">
        <v>0</v>
      </c>
      <c r="BR242" s="318"/>
      <c r="BS242" s="318"/>
      <c r="BT242" s="318"/>
      <c r="BU242" s="318"/>
      <c r="BV242" s="318"/>
      <c r="BW242" s="318"/>
      <c r="BX242" s="318"/>
      <c r="BY242" s="318"/>
      <c r="BZ242" s="318"/>
      <c r="CA242" s="318"/>
      <c r="CB242" s="318"/>
      <c r="CC242" s="318"/>
      <c r="CD242" s="318"/>
      <c r="CE242" s="457" t="s">
        <v>1422</v>
      </c>
      <c r="CF242" s="456"/>
      <c r="CG242" s="360" t="s">
        <v>541</v>
      </c>
      <c r="CH242" s="430">
        <v>0.51</v>
      </c>
      <c r="CI242" s="360" t="s">
        <v>1270</v>
      </c>
      <c r="CJ242" s="430">
        <v>0.49</v>
      </c>
      <c r="CK242" s="360"/>
      <c r="CL242" s="360"/>
      <c r="CM242" s="360"/>
      <c r="CN242" s="360"/>
      <c r="CO242" s="360"/>
      <c r="CP242" s="360"/>
    </row>
    <row r="243" spans="1:94" s="315" customFormat="1" ht="25" hidden="1" x14ac:dyDescent="0.25">
      <c r="A243" s="403">
        <v>232</v>
      </c>
      <c r="B243" s="313" t="s">
        <v>464</v>
      </c>
      <c r="C243" s="313" t="s">
        <v>730</v>
      </c>
      <c r="D243" s="318" t="s">
        <v>594</v>
      </c>
      <c r="E243" s="318" t="s">
        <v>552</v>
      </c>
      <c r="F243" s="313" t="s">
        <v>465</v>
      </c>
      <c r="G243" s="313" t="s">
        <v>1298</v>
      </c>
      <c r="H243" s="305"/>
      <c r="I243" s="375" t="s">
        <v>1231</v>
      </c>
      <c r="J243" s="370"/>
      <c r="K243" s="370" t="e">
        <f>(17500*$V$243)/(IF(#REF!="yes",0.188,1))</f>
        <v>#REF!</v>
      </c>
      <c r="L243" s="370" t="e">
        <f>K243</f>
        <v>#REF!</v>
      </c>
      <c r="M243" s="316" t="s">
        <v>483</v>
      </c>
      <c r="N243" s="398">
        <v>2016</v>
      </c>
      <c r="O243" s="398">
        <v>2019</v>
      </c>
      <c r="P243" s="305" t="s">
        <v>463</v>
      </c>
      <c r="Q243" s="304" t="s">
        <v>654</v>
      </c>
      <c r="R243" s="305" t="s">
        <v>535</v>
      </c>
      <c r="S243" s="305"/>
      <c r="T243" s="305"/>
      <c r="U243" s="305" t="s">
        <v>536</v>
      </c>
      <c r="V243" s="426">
        <v>0.188</v>
      </c>
      <c r="W243" s="443">
        <v>3.5</v>
      </c>
      <c r="X243" s="414"/>
      <c r="Y243" s="412" t="e">
        <f t="shared" si="146"/>
        <v>#REF!</v>
      </c>
      <c r="Z243" s="318">
        <v>3</v>
      </c>
      <c r="AA243" s="318">
        <v>4</v>
      </c>
      <c r="AB243" s="318">
        <v>3</v>
      </c>
      <c r="AC243" s="318">
        <v>5</v>
      </c>
      <c r="AD243" s="473" t="s">
        <v>659</v>
      </c>
      <c r="AE243" s="493">
        <v>5000</v>
      </c>
      <c r="AF243" s="482">
        <v>0</v>
      </c>
      <c r="AG243" s="482">
        <v>0</v>
      </c>
      <c r="AH243" s="482">
        <v>0</v>
      </c>
      <c r="AI243" s="482">
        <v>0</v>
      </c>
      <c r="AJ243" s="557">
        <v>0</v>
      </c>
      <c r="AK243" s="554">
        <v>12604.999999999998</v>
      </c>
      <c r="AL243" s="557">
        <f t="shared" si="166"/>
        <v>0</v>
      </c>
      <c r="AM243" s="557">
        <f t="shared" si="166"/>
        <v>0</v>
      </c>
      <c r="AN243" s="557">
        <f t="shared" si="166"/>
        <v>0</v>
      </c>
      <c r="AO243" s="557">
        <f t="shared" si="166"/>
        <v>0</v>
      </c>
      <c r="AP243" s="557">
        <f t="shared" si="166"/>
        <v>0</v>
      </c>
      <c r="AQ243" s="483" t="e">
        <f>1*L243</f>
        <v>#REF!</v>
      </c>
      <c r="AR243" s="482">
        <v>3075</v>
      </c>
      <c r="AS243" s="482">
        <v>3455</v>
      </c>
      <c r="AT243" s="482">
        <v>3093</v>
      </c>
      <c r="AU243" s="482">
        <v>3586</v>
      </c>
      <c r="AV243" s="482">
        <f t="shared" ref="AV243:AV244" si="167">SUM(AR243:AU243)</f>
        <v>13209</v>
      </c>
      <c r="AW243" s="483">
        <v>17500</v>
      </c>
      <c r="AX243" s="514">
        <f>AV243*1.05</f>
        <v>13869.45</v>
      </c>
      <c r="AY243" s="514" t="s">
        <v>1530</v>
      </c>
      <c r="AZ243" s="556">
        <f t="shared" si="162"/>
        <v>5000</v>
      </c>
      <c r="BA243" s="557">
        <v>0</v>
      </c>
      <c r="BB243" s="557">
        <v>0</v>
      </c>
      <c r="BC243" s="557">
        <v>0</v>
      </c>
      <c r="BD243" s="557">
        <v>0</v>
      </c>
      <c r="BE243" s="557">
        <v>0</v>
      </c>
      <c r="BF243" s="556">
        <f t="shared" si="147"/>
        <v>12604.999999999998</v>
      </c>
      <c r="BG243" s="557">
        <v>0</v>
      </c>
      <c r="BH243" s="557">
        <v>0</v>
      </c>
      <c r="BI243" s="557">
        <v>0</v>
      </c>
      <c r="BJ243" s="557">
        <v>0</v>
      </c>
      <c r="BK243" s="557">
        <v>0</v>
      </c>
      <c r="BL243" s="556" t="e">
        <f t="shared" si="144"/>
        <v>#REF!</v>
      </c>
      <c r="BM243" s="557">
        <v>3530</v>
      </c>
      <c r="BN243" s="557">
        <v>3387</v>
      </c>
      <c r="BO243" s="557">
        <v>3108</v>
      </c>
      <c r="BP243" s="557">
        <v>3287</v>
      </c>
      <c r="BQ243" s="557">
        <f t="shared" ref="BQ243:BQ244" si="168">SUM(BM243:BP243)</f>
        <v>13312</v>
      </c>
      <c r="BR243" s="318"/>
      <c r="BS243" s="318"/>
      <c r="BT243" s="318"/>
      <c r="BU243" s="318"/>
      <c r="BV243" s="318"/>
      <c r="BW243" s="318"/>
      <c r="BX243" s="318"/>
      <c r="BY243" s="318"/>
      <c r="BZ243" s="318" t="s">
        <v>1489</v>
      </c>
      <c r="CA243" s="465"/>
      <c r="CB243" s="465"/>
      <c r="CC243" s="465"/>
      <c r="CD243" s="465"/>
      <c r="CE243" s="467"/>
      <c r="CF243" s="443">
        <f>(280*72%)+(4876*28%)</f>
        <v>1566.88</v>
      </c>
      <c r="CG243" s="360" t="s">
        <v>464</v>
      </c>
      <c r="CH243" s="430">
        <v>0.72</v>
      </c>
      <c r="CI243" s="360" t="s">
        <v>1210</v>
      </c>
      <c r="CJ243" s="430">
        <v>0.28000000000000003</v>
      </c>
      <c r="CK243" s="360"/>
      <c r="CL243" s="360"/>
      <c r="CM243" s="360"/>
      <c r="CN243" s="360"/>
      <c r="CO243" s="360"/>
      <c r="CP243" s="360"/>
    </row>
    <row r="244" spans="1:94" s="315" customFormat="1" ht="37.5" hidden="1" x14ac:dyDescent="0.25">
      <c r="A244" s="403">
        <v>233</v>
      </c>
      <c r="B244" s="313" t="s">
        <v>464</v>
      </c>
      <c r="C244" s="313" t="s">
        <v>730</v>
      </c>
      <c r="D244" s="318" t="s">
        <v>594</v>
      </c>
      <c r="E244" s="318" t="s">
        <v>553</v>
      </c>
      <c r="F244" s="313" t="s">
        <v>465</v>
      </c>
      <c r="G244" s="313" t="s">
        <v>1298</v>
      </c>
      <c r="H244" s="305"/>
      <c r="I244" s="305" t="s">
        <v>1297</v>
      </c>
      <c r="J244" s="370"/>
      <c r="K244" s="370" t="e">
        <f>(15500*$V$244)/(IF(#REF!="yes",0.188,1))</f>
        <v>#REF!</v>
      </c>
      <c r="L244" s="370" t="e">
        <f>K244</f>
        <v>#REF!</v>
      </c>
      <c r="M244" s="316" t="s">
        <v>484</v>
      </c>
      <c r="N244" s="398">
        <v>2018</v>
      </c>
      <c r="O244" s="398">
        <v>2021</v>
      </c>
      <c r="P244" s="305" t="s">
        <v>463</v>
      </c>
      <c r="Q244" s="304" t="s">
        <v>654</v>
      </c>
      <c r="R244" s="305" t="s">
        <v>535</v>
      </c>
      <c r="S244" s="305"/>
      <c r="T244" s="305"/>
      <c r="U244" s="305" t="s">
        <v>1232</v>
      </c>
      <c r="V244" s="426">
        <v>0.188</v>
      </c>
      <c r="W244" s="443">
        <v>2.5</v>
      </c>
      <c r="X244" s="414"/>
      <c r="Y244" s="412" t="e">
        <f t="shared" si="146"/>
        <v>#REF!</v>
      </c>
      <c r="Z244" s="318">
        <v>3</v>
      </c>
      <c r="AA244" s="318">
        <v>4</v>
      </c>
      <c r="AB244" s="318">
        <v>3</v>
      </c>
      <c r="AC244" s="318">
        <v>5</v>
      </c>
      <c r="AD244" s="473" t="s">
        <v>659</v>
      </c>
      <c r="AE244" s="483">
        <f t="shared" ref="AE244:AJ259" si="169">IF(OR($M244="Exploration", $M244="Pre-feasibility", $O244&gt;2017), 0, "check")</f>
        <v>0</v>
      </c>
      <c r="AF244" s="482">
        <f t="shared" si="169"/>
        <v>0</v>
      </c>
      <c r="AG244" s="482">
        <f t="shared" si="169"/>
        <v>0</v>
      </c>
      <c r="AH244" s="482">
        <f t="shared" si="169"/>
        <v>0</v>
      </c>
      <c r="AI244" s="482">
        <f t="shared" si="169"/>
        <v>0</v>
      </c>
      <c r="AJ244" s="557">
        <f t="shared" si="169"/>
        <v>0</v>
      </c>
      <c r="AK244" s="556">
        <f t="shared" si="166"/>
        <v>0</v>
      </c>
      <c r="AL244" s="557">
        <f t="shared" si="166"/>
        <v>0</v>
      </c>
      <c r="AM244" s="557">
        <f t="shared" si="166"/>
        <v>0</v>
      </c>
      <c r="AN244" s="557">
        <f t="shared" si="166"/>
        <v>0</v>
      </c>
      <c r="AO244" s="557">
        <f t="shared" si="166"/>
        <v>0</v>
      </c>
      <c r="AP244" s="557">
        <f t="shared" si="166"/>
        <v>0</v>
      </c>
      <c r="AQ244" s="483" t="e">
        <f>0.25*$L244</f>
        <v>#REF!</v>
      </c>
      <c r="AR244" s="482">
        <f t="shared" si="151"/>
        <v>0</v>
      </c>
      <c r="AS244" s="482">
        <f t="shared" si="151"/>
        <v>0</v>
      </c>
      <c r="AT244" s="482">
        <f t="shared" si="151"/>
        <v>0</v>
      </c>
      <c r="AU244" s="482">
        <f t="shared" si="151"/>
        <v>0</v>
      </c>
      <c r="AV244" s="482">
        <f t="shared" si="167"/>
        <v>0</v>
      </c>
      <c r="AW244" s="493" t="e">
        <f>0.4*$L244</f>
        <v>#REF!</v>
      </c>
      <c r="AX244" s="514">
        <f t="shared" ref="AX244:AX266" si="170">IF($O244&gt;2020,0,IF(AW244=0,0,"check"))</f>
        <v>0</v>
      </c>
      <c r="AY244" s="550" t="s">
        <v>1531</v>
      </c>
      <c r="AZ244" s="556">
        <f>AE244</f>
        <v>0</v>
      </c>
      <c r="BA244" s="557">
        <v>0</v>
      </c>
      <c r="BB244" s="557">
        <v>0</v>
      </c>
      <c r="BC244" s="557">
        <v>0</v>
      </c>
      <c r="BD244" s="557">
        <v>0</v>
      </c>
      <c r="BE244" s="557">
        <v>0</v>
      </c>
      <c r="BF244" s="556">
        <f t="shared" si="147"/>
        <v>0</v>
      </c>
      <c r="BG244" s="557">
        <v>0</v>
      </c>
      <c r="BH244" s="557">
        <v>0</v>
      </c>
      <c r="BI244" s="557">
        <v>0</v>
      </c>
      <c r="BJ244" s="557">
        <v>0</v>
      </c>
      <c r="BK244" s="557">
        <v>0</v>
      </c>
      <c r="BL244" s="556" t="e">
        <f t="shared" si="144"/>
        <v>#REF!</v>
      </c>
      <c r="BM244" s="557">
        <v>0</v>
      </c>
      <c r="BN244" s="557">
        <v>0</v>
      </c>
      <c r="BO244" s="557">
        <v>0</v>
      </c>
      <c r="BP244" s="557">
        <v>0</v>
      </c>
      <c r="BQ244" s="557">
        <f t="shared" si="168"/>
        <v>0</v>
      </c>
      <c r="BR244" s="318"/>
      <c r="BS244" s="318"/>
      <c r="BT244" s="318"/>
      <c r="BU244" s="318"/>
      <c r="BV244" s="318"/>
      <c r="BW244" s="318"/>
      <c r="BX244" s="318"/>
      <c r="BY244" s="318"/>
      <c r="BZ244" s="318" t="s">
        <v>1490</v>
      </c>
      <c r="CA244" s="465"/>
      <c r="CB244" s="465"/>
      <c r="CC244" s="465"/>
      <c r="CD244" s="465"/>
      <c r="CE244" s="467">
        <v>285</v>
      </c>
      <c r="CF244" s="443">
        <f>(280*72%)+(4876*28%)</f>
        <v>1566.88</v>
      </c>
      <c r="CG244" s="360" t="s">
        <v>464</v>
      </c>
      <c r="CH244" s="430">
        <v>0.72</v>
      </c>
      <c r="CI244" s="360" t="s">
        <v>1210</v>
      </c>
      <c r="CJ244" s="430">
        <v>0.28000000000000003</v>
      </c>
      <c r="CK244" s="360"/>
      <c r="CL244" s="360"/>
      <c r="CM244" s="360"/>
      <c r="CN244" s="360"/>
      <c r="CO244" s="360"/>
      <c r="CP244" s="360"/>
    </row>
    <row r="245" spans="1:94" s="315" customFormat="1" ht="13" hidden="1" x14ac:dyDescent="0.25">
      <c r="A245" s="403">
        <v>234</v>
      </c>
      <c r="B245" s="313" t="s">
        <v>1235</v>
      </c>
      <c r="C245" s="313" t="s">
        <v>1236</v>
      </c>
      <c r="D245" s="318" t="s">
        <v>457</v>
      </c>
      <c r="E245" s="318"/>
      <c r="F245" s="313" t="s">
        <v>397</v>
      </c>
      <c r="G245" s="313" t="s">
        <v>1238</v>
      </c>
      <c r="H245" s="305"/>
      <c r="I245" s="305"/>
      <c r="J245" s="370"/>
      <c r="K245" s="370"/>
      <c r="L245" s="370"/>
      <c r="M245" s="316" t="s">
        <v>487</v>
      </c>
      <c r="N245" s="398"/>
      <c r="O245" s="398"/>
      <c r="P245" s="305"/>
      <c r="Q245" s="354"/>
      <c r="R245" s="305"/>
      <c r="S245" s="305"/>
      <c r="T245" s="305"/>
      <c r="U245" s="305"/>
      <c r="V245" s="426"/>
      <c r="W245" s="412"/>
      <c r="X245" s="412"/>
      <c r="Y245" s="412" t="str">
        <f t="shared" si="146"/>
        <v/>
      </c>
      <c r="Z245" s="318"/>
      <c r="AA245" s="318"/>
      <c r="AB245" s="318"/>
      <c r="AC245" s="318"/>
      <c r="AD245" s="458" t="s">
        <v>1239</v>
      </c>
      <c r="AE245" s="483">
        <f t="shared" si="169"/>
        <v>0</v>
      </c>
      <c r="AF245" s="482">
        <f t="shared" si="169"/>
        <v>0</v>
      </c>
      <c r="AG245" s="482">
        <f t="shared" si="169"/>
        <v>0</v>
      </c>
      <c r="AH245" s="482">
        <f t="shared" si="169"/>
        <v>0</v>
      </c>
      <c r="AI245" s="482">
        <f t="shared" si="169"/>
        <v>0</v>
      </c>
      <c r="AJ245" s="557">
        <f t="shared" si="169"/>
        <v>0</v>
      </c>
      <c r="AK245" s="556">
        <f t="shared" si="166"/>
        <v>0</v>
      </c>
      <c r="AL245" s="557">
        <f t="shared" si="166"/>
        <v>0</v>
      </c>
      <c r="AM245" s="557">
        <f t="shared" si="166"/>
        <v>0</v>
      </c>
      <c r="AN245" s="557">
        <f t="shared" si="166"/>
        <v>0</v>
      </c>
      <c r="AO245" s="557">
        <f t="shared" si="166"/>
        <v>0</v>
      </c>
      <c r="AP245" s="557">
        <f t="shared" si="166"/>
        <v>0</v>
      </c>
      <c r="AQ245" s="483">
        <f t="shared" si="150"/>
        <v>0</v>
      </c>
      <c r="AR245" s="482">
        <f t="shared" si="151"/>
        <v>0</v>
      </c>
      <c r="AS245" s="482">
        <f t="shared" si="151"/>
        <v>0</v>
      </c>
      <c r="AT245" s="482">
        <f t="shared" si="151"/>
        <v>0</v>
      </c>
      <c r="AU245" s="482">
        <f t="shared" si="151"/>
        <v>0</v>
      </c>
      <c r="AV245" s="482">
        <f t="shared" si="152"/>
        <v>0</v>
      </c>
      <c r="AW245" s="483">
        <f t="shared" si="155"/>
        <v>0</v>
      </c>
      <c r="AX245" s="514">
        <f t="shared" si="170"/>
        <v>0</v>
      </c>
      <c r="AY245" s="514" t="s">
        <v>1034</v>
      </c>
      <c r="AZ245" s="556">
        <f t="shared" ref="AZ245:AZ267" si="171">AE245</f>
        <v>0</v>
      </c>
      <c r="BA245" s="557">
        <v>0</v>
      </c>
      <c r="BB245" s="557">
        <v>0</v>
      </c>
      <c r="BC245" s="557">
        <v>0</v>
      </c>
      <c r="BD245" s="557">
        <v>0</v>
      </c>
      <c r="BE245" s="557">
        <v>0</v>
      </c>
      <c r="BF245" s="556">
        <f t="shared" si="147"/>
        <v>0</v>
      </c>
      <c r="BG245" s="557">
        <v>0</v>
      </c>
      <c r="BH245" s="557">
        <v>0</v>
      </c>
      <c r="BI245" s="557">
        <v>0</v>
      </c>
      <c r="BJ245" s="557">
        <v>0</v>
      </c>
      <c r="BK245" s="557">
        <v>0</v>
      </c>
      <c r="BL245" s="556">
        <f t="shared" si="144"/>
        <v>0</v>
      </c>
      <c r="BM245" s="557">
        <v>0</v>
      </c>
      <c r="BN245" s="557">
        <v>0</v>
      </c>
      <c r="BO245" s="557">
        <v>0</v>
      </c>
      <c r="BP245" s="557">
        <v>0</v>
      </c>
      <c r="BQ245" s="557">
        <v>0</v>
      </c>
      <c r="BR245" s="318"/>
      <c r="BS245" s="318"/>
      <c r="BT245" s="318"/>
      <c r="BU245" s="318"/>
      <c r="BV245" s="318"/>
      <c r="BW245" s="318"/>
      <c r="BX245" s="318"/>
      <c r="BY245" s="318"/>
      <c r="BZ245" s="318"/>
      <c r="CA245" s="318"/>
      <c r="CB245" s="318"/>
      <c r="CC245" s="318"/>
      <c r="CD245" s="318"/>
      <c r="CE245" s="457"/>
      <c r="CF245" s="318"/>
      <c r="CG245" s="360"/>
      <c r="CH245" s="360"/>
      <c r="CI245" s="360"/>
      <c r="CJ245" s="360"/>
      <c r="CK245" s="360"/>
      <c r="CL245" s="360"/>
      <c r="CM245" s="360"/>
      <c r="CN245" s="360"/>
      <c r="CO245" s="360"/>
      <c r="CP245" s="360"/>
    </row>
    <row r="246" spans="1:94" s="315" customFormat="1" ht="13" hidden="1" x14ac:dyDescent="0.25">
      <c r="A246" s="403">
        <v>235</v>
      </c>
      <c r="B246" s="313" t="s">
        <v>1235</v>
      </c>
      <c r="C246" s="313" t="s">
        <v>1237</v>
      </c>
      <c r="D246" s="318" t="s">
        <v>457</v>
      </c>
      <c r="E246" s="318"/>
      <c r="F246" s="313" t="s">
        <v>397</v>
      </c>
      <c r="G246" s="313" t="s">
        <v>1238</v>
      </c>
      <c r="H246" s="305"/>
      <c r="I246" s="305"/>
      <c r="J246" s="370"/>
      <c r="K246" s="370"/>
      <c r="L246" s="370"/>
      <c r="M246" s="316" t="s">
        <v>487</v>
      </c>
      <c r="N246" s="398"/>
      <c r="O246" s="398"/>
      <c r="P246" s="305"/>
      <c r="Q246" s="354"/>
      <c r="R246" s="305"/>
      <c r="S246" s="305"/>
      <c r="T246" s="305"/>
      <c r="U246" s="305"/>
      <c r="V246" s="426"/>
      <c r="W246" s="412"/>
      <c r="X246" s="412"/>
      <c r="Y246" s="412" t="str">
        <f t="shared" si="146"/>
        <v/>
      </c>
      <c r="Z246" s="318"/>
      <c r="AA246" s="318"/>
      <c r="AB246" s="318"/>
      <c r="AC246" s="318"/>
      <c r="AD246" s="458" t="s">
        <v>1239</v>
      </c>
      <c r="AE246" s="483">
        <f t="shared" si="169"/>
        <v>0</v>
      </c>
      <c r="AF246" s="482">
        <f t="shared" si="169"/>
        <v>0</v>
      </c>
      <c r="AG246" s="482">
        <f t="shared" si="169"/>
        <v>0</v>
      </c>
      <c r="AH246" s="482">
        <f t="shared" si="169"/>
        <v>0</v>
      </c>
      <c r="AI246" s="482">
        <f t="shared" si="169"/>
        <v>0</v>
      </c>
      <c r="AJ246" s="557">
        <f t="shared" si="169"/>
        <v>0</v>
      </c>
      <c r="AK246" s="556">
        <f t="shared" si="166"/>
        <v>0</v>
      </c>
      <c r="AL246" s="557">
        <f t="shared" si="166"/>
        <v>0</v>
      </c>
      <c r="AM246" s="557">
        <f t="shared" si="166"/>
        <v>0</v>
      </c>
      <c r="AN246" s="557">
        <f t="shared" si="166"/>
        <v>0</v>
      </c>
      <c r="AO246" s="557">
        <f t="shared" si="166"/>
        <v>0</v>
      </c>
      <c r="AP246" s="557">
        <f t="shared" si="166"/>
        <v>0</v>
      </c>
      <c r="AQ246" s="483">
        <f t="shared" si="150"/>
        <v>0</v>
      </c>
      <c r="AR246" s="482">
        <f t="shared" si="151"/>
        <v>0</v>
      </c>
      <c r="AS246" s="482">
        <f t="shared" si="151"/>
        <v>0</v>
      </c>
      <c r="AT246" s="482">
        <f t="shared" si="151"/>
        <v>0</v>
      </c>
      <c r="AU246" s="482">
        <f t="shared" si="151"/>
        <v>0</v>
      </c>
      <c r="AV246" s="482">
        <f t="shared" si="152"/>
        <v>0</v>
      </c>
      <c r="AW246" s="483">
        <f t="shared" si="155"/>
        <v>0</v>
      </c>
      <c r="AX246" s="514">
        <f t="shared" si="170"/>
        <v>0</v>
      </c>
      <c r="AY246" s="514" t="s">
        <v>1034</v>
      </c>
      <c r="AZ246" s="556">
        <f t="shared" si="171"/>
        <v>0</v>
      </c>
      <c r="BA246" s="557">
        <v>0</v>
      </c>
      <c r="BB246" s="557">
        <v>0</v>
      </c>
      <c r="BC246" s="557">
        <v>0</v>
      </c>
      <c r="BD246" s="557">
        <v>0</v>
      </c>
      <c r="BE246" s="557">
        <v>0</v>
      </c>
      <c r="BF246" s="556">
        <f t="shared" si="147"/>
        <v>0</v>
      </c>
      <c r="BG246" s="557">
        <v>0</v>
      </c>
      <c r="BH246" s="557">
        <v>0</v>
      </c>
      <c r="BI246" s="557">
        <v>0</v>
      </c>
      <c r="BJ246" s="557">
        <v>0</v>
      </c>
      <c r="BK246" s="557">
        <v>0</v>
      </c>
      <c r="BL246" s="556">
        <f t="shared" si="144"/>
        <v>0</v>
      </c>
      <c r="BM246" s="557">
        <v>0</v>
      </c>
      <c r="BN246" s="557">
        <v>0</v>
      </c>
      <c r="BO246" s="557">
        <v>0</v>
      </c>
      <c r="BP246" s="557">
        <v>0</v>
      </c>
      <c r="BQ246" s="557">
        <v>0</v>
      </c>
      <c r="BR246" s="318"/>
      <c r="BS246" s="318"/>
      <c r="BT246" s="318"/>
      <c r="BU246" s="318"/>
      <c r="BV246" s="318"/>
      <c r="BW246" s="318"/>
      <c r="BX246" s="318"/>
      <c r="BY246" s="318"/>
      <c r="BZ246" s="318"/>
      <c r="CA246" s="318"/>
      <c r="CB246" s="318"/>
      <c r="CC246" s="318"/>
      <c r="CD246" s="318"/>
      <c r="CE246" s="457"/>
      <c r="CF246" s="318"/>
      <c r="CG246" s="360"/>
      <c r="CH246" s="360"/>
      <c r="CI246" s="360"/>
      <c r="CJ246" s="360"/>
      <c r="CK246" s="360"/>
      <c r="CL246" s="360"/>
      <c r="CM246" s="360"/>
      <c r="CN246" s="360"/>
      <c r="CO246" s="360"/>
      <c r="CP246" s="360"/>
    </row>
    <row r="247" spans="1:94" s="315" customFormat="1" ht="37.5" hidden="1" x14ac:dyDescent="0.25">
      <c r="A247" s="403">
        <v>236</v>
      </c>
      <c r="B247" s="313" t="s">
        <v>1227</v>
      </c>
      <c r="C247" s="313" t="s">
        <v>1228</v>
      </c>
      <c r="D247" s="318" t="s">
        <v>457</v>
      </c>
      <c r="E247" s="318"/>
      <c r="F247" s="313" t="s">
        <v>395</v>
      </c>
      <c r="G247" s="313" t="s">
        <v>705</v>
      </c>
      <c r="H247" s="305"/>
      <c r="I247" s="305" t="s">
        <v>1243</v>
      </c>
      <c r="J247" s="370"/>
      <c r="K247" s="370" t="e">
        <f>(20200*$V$247)/(IF(#REF!="yes",0.188,1))</f>
        <v>#REF!</v>
      </c>
      <c r="L247" s="370" t="e">
        <f>K247</f>
        <v>#REF!</v>
      </c>
      <c r="M247" s="316" t="s">
        <v>807</v>
      </c>
      <c r="N247" s="398"/>
      <c r="O247" s="398">
        <v>2021</v>
      </c>
      <c r="P247" s="305" t="s">
        <v>474</v>
      </c>
      <c r="Q247" s="354" t="s">
        <v>1249</v>
      </c>
      <c r="R247" s="305"/>
      <c r="S247" s="305"/>
      <c r="T247" s="305" t="s">
        <v>1242</v>
      </c>
      <c r="U247" s="305" t="s">
        <v>536</v>
      </c>
      <c r="V247" s="426">
        <v>0.188</v>
      </c>
      <c r="W247" s="412">
        <v>1.8</v>
      </c>
      <c r="X247" s="412"/>
      <c r="Y247" s="412" t="e">
        <f t="shared" si="146"/>
        <v>#REF!</v>
      </c>
      <c r="Z247" s="318"/>
      <c r="AA247" s="318"/>
      <c r="AB247" s="318"/>
      <c r="AC247" s="318">
        <v>2</v>
      </c>
      <c r="AD247" s="458" t="s">
        <v>1240</v>
      </c>
      <c r="AE247" s="483">
        <f t="shared" si="169"/>
        <v>0</v>
      </c>
      <c r="AF247" s="482">
        <f t="shared" si="169"/>
        <v>0</v>
      </c>
      <c r="AG247" s="482">
        <f t="shared" si="169"/>
        <v>0</v>
      </c>
      <c r="AH247" s="482">
        <f t="shared" si="169"/>
        <v>0</v>
      </c>
      <c r="AI247" s="482">
        <f t="shared" si="169"/>
        <v>0</v>
      </c>
      <c r="AJ247" s="557">
        <f t="shared" si="169"/>
        <v>0</v>
      </c>
      <c r="AK247" s="556">
        <f t="shared" si="166"/>
        <v>0</v>
      </c>
      <c r="AL247" s="557">
        <f t="shared" si="166"/>
        <v>0</v>
      </c>
      <c r="AM247" s="557">
        <f t="shared" si="166"/>
        <v>0</v>
      </c>
      <c r="AN247" s="557">
        <f t="shared" si="166"/>
        <v>0</v>
      </c>
      <c r="AO247" s="557">
        <f t="shared" si="166"/>
        <v>0</v>
      </c>
      <c r="AP247" s="557">
        <f t="shared" si="166"/>
        <v>0</v>
      </c>
      <c r="AQ247" s="483">
        <f t="shared" si="150"/>
        <v>0</v>
      </c>
      <c r="AR247" s="482">
        <f t="shared" si="151"/>
        <v>0</v>
      </c>
      <c r="AS247" s="482">
        <f t="shared" si="151"/>
        <v>0</v>
      </c>
      <c r="AT247" s="482">
        <f t="shared" si="151"/>
        <v>0</v>
      </c>
      <c r="AU247" s="482">
        <f t="shared" si="151"/>
        <v>0</v>
      </c>
      <c r="AV247" s="482">
        <f t="shared" si="152"/>
        <v>0</v>
      </c>
      <c r="AW247" s="483">
        <f t="shared" si="155"/>
        <v>0</v>
      </c>
      <c r="AX247" s="514">
        <f t="shared" si="170"/>
        <v>0</v>
      </c>
      <c r="AY247" s="514" t="s">
        <v>1034</v>
      </c>
      <c r="AZ247" s="556">
        <f t="shared" si="171"/>
        <v>0</v>
      </c>
      <c r="BA247" s="557">
        <v>0</v>
      </c>
      <c r="BB247" s="557">
        <v>0</v>
      </c>
      <c r="BC247" s="557">
        <v>0</v>
      </c>
      <c r="BD247" s="557">
        <v>0</v>
      </c>
      <c r="BE247" s="557">
        <v>0</v>
      </c>
      <c r="BF247" s="556">
        <f t="shared" si="147"/>
        <v>0</v>
      </c>
      <c r="BG247" s="557">
        <v>0</v>
      </c>
      <c r="BH247" s="557">
        <v>0</v>
      </c>
      <c r="BI247" s="557">
        <v>0</v>
      </c>
      <c r="BJ247" s="557">
        <v>0</v>
      </c>
      <c r="BK247" s="557">
        <v>0</v>
      </c>
      <c r="BL247" s="556">
        <f t="shared" si="144"/>
        <v>0</v>
      </c>
      <c r="BM247" s="557">
        <v>0</v>
      </c>
      <c r="BN247" s="557">
        <v>0</v>
      </c>
      <c r="BO247" s="557">
        <v>0</v>
      </c>
      <c r="BP247" s="557">
        <v>0</v>
      </c>
      <c r="BQ247" s="557">
        <v>0</v>
      </c>
      <c r="BR247" s="318"/>
      <c r="BS247" s="318"/>
      <c r="BT247" s="318"/>
      <c r="BU247" s="318"/>
      <c r="BV247" s="318"/>
      <c r="BW247" s="318"/>
      <c r="BX247" s="318" t="s">
        <v>1247</v>
      </c>
      <c r="BY247" s="318"/>
      <c r="BZ247" s="318" t="s">
        <v>1245</v>
      </c>
      <c r="CA247" s="318" t="s">
        <v>1248</v>
      </c>
      <c r="CB247" s="318"/>
      <c r="CC247" s="318"/>
      <c r="CD247" s="318"/>
      <c r="CE247" s="457" t="s">
        <v>1244</v>
      </c>
      <c r="CF247" s="318">
        <v>32.6</v>
      </c>
      <c r="CG247" s="360" t="s">
        <v>1241</v>
      </c>
      <c r="CH247" s="430">
        <v>1</v>
      </c>
      <c r="CI247" s="360"/>
      <c r="CJ247" s="360"/>
      <c r="CK247" s="360"/>
      <c r="CL247" s="360"/>
      <c r="CM247" s="360"/>
      <c r="CN247" s="360"/>
      <c r="CO247" s="360"/>
      <c r="CP247" s="360"/>
    </row>
    <row r="248" spans="1:94" s="315" customFormat="1" ht="37.5" hidden="1" x14ac:dyDescent="0.25">
      <c r="A248" s="403">
        <v>237</v>
      </c>
      <c r="B248" s="313" t="s">
        <v>1227</v>
      </c>
      <c r="C248" s="313" t="s">
        <v>1228</v>
      </c>
      <c r="D248" s="318" t="s">
        <v>594</v>
      </c>
      <c r="E248" s="318"/>
      <c r="F248" s="313" t="s">
        <v>395</v>
      </c>
      <c r="G248" s="313" t="s">
        <v>705</v>
      </c>
      <c r="H248" s="305"/>
      <c r="I248" s="305" t="s">
        <v>1243</v>
      </c>
      <c r="J248" s="370"/>
      <c r="K248" s="370" t="e">
        <f>(20200*$V$248)/(IF(#REF!="yes",0.188,1))</f>
        <v>#REF!</v>
      </c>
      <c r="L248" s="370" t="e">
        <f>K248</f>
        <v>#REF!</v>
      </c>
      <c r="M248" s="316" t="s">
        <v>807</v>
      </c>
      <c r="N248" s="398"/>
      <c r="O248" s="398">
        <v>2021</v>
      </c>
      <c r="P248" s="305" t="s">
        <v>474</v>
      </c>
      <c r="Q248" s="354" t="s">
        <v>1249</v>
      </c>
      <c r="R248" s="305"/>
      <c r="S248" s="305"/>
      <c r="T248" s="305" t="s">
        <v>1242</v>
      </c>
      <c r="U248" s="305" t="s">
        <v>536</v>
      </c>
      <c r="V248" s="426">
        <v>0.188</v>
      </c>
      <c r="W248" s="412">
        <v>1.8</v>
      </c>
      <c r="X248" s="412"/>
      <c r="Y248" s="412" t="e">
        <f t="shared" si="146"/>
        <v>#REF!</v>
      </c>
      <c r="Z248" s="318"/>
      <c r="AA248" s="318"/>
      <c r="AB248" s="318"/>
      <c r="AC248" s="318">
        <v>2</v>
      </c>
      <c r="AD248" s="458" t="s">
        <v>1240</v>
      </c>
      <c r="AE248" s="483">
        <f t="shared" si="169"/>
        <v>0</v>
      </c>
      <c r="AF248" s="482">
        <f t="shared" si="169"/>
        <v>0</v>
      </c>
      <c r="AG248" s="482">
        <f t="shared" si="169"/>
        <v>0</v>
      </c>
      <c r="AH248" s="482">
        <f t="shared" si="169"/>
        <v>0</v>
      </c>
      <c r="AI248" s="482">
        <f t="shared" si="169"/>
        <v>0</v>
      </c>
      <c r="AJ248" s="557">
        <f t="shared" si="169"/>
        <v>0</v>
      </c>
      <c r="AK248" s="556">
        <f t="shared" si="166"/>
        <v>0</v>
      </c>
      <c r="AL248" s="557">
        <f t="shared" si="166"/>
        <v>0</v>
      </c>
      <c r="AM248" s="557">
        <f t="shared" si="166"/>
        <v>0</v>
      </c>
      <c r="AN248" s="557">
        <f t="shared" si="166"/>
        <v>0</v>
      </c>
      <c r="AO248" s="557">
        <f t="shared" si="166"/>
        <v>0</v>
      </c>
      <c r="AP248" s="557">
        <f t="shared" si="166"/>
        <v>0</v>
      </c>
      <c r="AQ248" s="483">
        <f t="shared" si="150"/>
        <v>0</v>
      </c>
      <c r="AR248" s="482">
        <f t="shared" si="151"/>
        <v>0</v>
      </c>
      <c r="AS248" s="482">
        <f t="shared" si="151"/>
        <v>0</v>
      </c>
      <c r="AT248" s="482">
        <f t="shared" si="151"/>
        <v>0</v>
      </c>
      <c r="AU248" s="482">
        <f t="shared" si="151"/>
        <v>0</v>
      </c>
      <c r="AV248" s="482">
        <f t="shared" si="152"/>
        <v>0</v>
      </c>
      <c r="AW248" s="483">
        <f t="shared" si="155"/>
        <v>0</v>
      </c>
      <c r="AX248" s="514">
        <f t="shared" si="170"/>
        <v>0</v>
      </c>
      <c r="AY248" s="514" t="s">
        <v>1034</v>
      </c>
      <c r="AZ248" s="556">
        <f t="shared" si="171"/>
        <v>0</v>
      </c>
      <c r="BA248" s="557">
        <v>0</v>
      </c>
      <c r="BB248" s="557">
        <v>0</v>
      </c>
      <c r="BC248" s="557">
        <v>0</v>
      </c>
      <c r="BD248" s="557">
        <v>0</v>
      </c>
      <c r="BE248" s="557">
        <v>0</v>
      </c>
      <c r="BF248" s="556">
        <f t="shared" si="147"/>
        <v>0</v>
      </c>
      <c r="BG248" s="557">
        <v>0</v>
      </c>
      <c r="BH248" s="557">
        <v>0</v>
      </c>
      <c r="BI248" s="557">
        <v>0</v>
      </c>
      <c r="BJ248" s="557">
        <v>0</v>
      </c>
      <c r="BK248" s="557">
        <v>0</v>
      </c>
      <c r="BL248" s="556">
        <f t="shared" si="144"/>
        <v>0</v>
      </c>
      <c r="BM248" s="557">
        <v>0</v>
      </c>
      <c r="BN248" s="557">
        <v>0</v>
      </c>
      <c r="BO248" s="557">
        <v>0</v>
      </c>
      <c r="BP248" s="557">
        <v>0</v>
      </c>
      <c r="BQ248" s="557">
        <v>0</v>
      </c>
      <c r="BR248" s="318"/>
      <c r="BS248" s="318"/>
      <c r="BT248" s="318"/>
      <c r="BU248" s="318"/>
      <c r="BV248" s="318"/>
      <c r="BW248" s="318" t="s">
        <v>1246</v>
      </c>
      <c r="BX248" s="318" t="s">
        <v>1247</v>
      </c>
      <c r="BY248" s="318"/>
      <c r="BZ248" s="318" t="s">
        <v>1245</v>
      </c>
      <c r="CA248" s="318" t="s">
        <v>1248</v>
      </c>
      <c r="CB248" s="318"/>
      <c r="CC248" s="318"/>
      <c r="CD248" s="318"/>
      <c r="CE248" s="457" t="s">
        <v>1244</v>
      </c>
      <c r="CF248" s="318">
        <v>32.6</v>
      </c>
      <c r="CG248" s="360" t="s">
        <v>1241</v>
      </c>
      <c r="CH248" s="430">
        <v>1</v>
      </c>
      <c r="CI248" s="360"/>
      <c r="CJ248" s="360"/>
      <c r="CK248" s="360"/>
      <c r="CL248" s="360"/>
      <c r="CM248" s="360"/>
      <c r="CN248" s="360"/>
      <c r="CO248" s="360"/>
      <c r="CP248" s="360"/>
    </row>
    <row r="249" spans="1:94" s="315" customFormat="1" ht="37.5" hidden="1" x14ac:dyDescent="0.25">
      <c r="A249" s="403">
        <v>238</v>
      </c>
      <c r="B249" s="313" t="s">
        <v>1256</v>
      </c>
      <c r="C249" s="313" t="s">
        <v>1257</v>
      </c>
      <c r="D249" s="318" t="s">
        <v>457</v>
      </c>
      <c r="E249" s="318"/>
      <c r="F249" s="313" t="s">
        <v>1260</v>
      </c>
      <c r="G249" s="313" t="s">
        <v>1261</v>
      </c>
      <c r="H249" s="305"/>
      <c r="I249" s="305" t="s">
        <v>1259</v>
      </c>
      <c r="J249" s="370"/>
      <c r="K249" s="370"/>
      <c r="L249" s="370"/>
      <c r="M249" s="316" t="s">
        <v>807</v>
      </c>
      <c r="N249" s="398"/>
      <c r="O249" s="398">
        <v>2024</v>
      </c>
      <c r="P249" s="305" t="s">
        <v>1258</v>
      </c>
      <c r="Q249" s="354"/>
      <c r="R249" s="305"/>
      <c r="S249" s="305"/>
      <c r="T249" s="305"/>
      <c r="U249" s="305" t="s">
        <v>536</v>
      </c>
      <c r="V249" s="426"/>
      <c r="W249" s="412"/>
      <c r="X249" s="412"/>
      <c r="Y249" s="412" t="str">
        <f t="shared" si="146"/>
        <v/>
      </c>
      <c r="Z249" s="318"/>
      <c r="AA249" s="318"/>
      <c r="AB249" s="318"/>
      <c r="AC249" s="318">
        <v>5</v>
      </c>
      <c r="AD249" s="458" t="s">
        <v>1262</v>
      </c>
      <c r="AE249" s="483">
        <f t="shared" si="169"/>
        <v>0</v>
      </c>
      <c r="AF249" s="482">
        <f t="shared" si="169"/>
        <v>0</v>
      </c>
      <c r="AG249" s="482">
        <f t="shared" si="169"/>
        <v>0</v>
      </c>
      <c r="AH249" s="482">
        <f t="shared" si="169"/>
        <v>0</v>
      </c>
      <c r="AI249" s="482">
        <f t="shared" si="169"/>
        <v>0</v>
      </c>
      <c r="AJ249" s="557">
        <f t="shared" si="169"/>
        <v>0</v>
      </c>
      <c r="AK249" s="556">
        <f t="shared" si="166"/>
        <v>0</v>
      </c>
      <c r="AL249" s="557">
        <f t="shared" si="166"/>
        <v>0</v>
      </c>
      <c r="AM249" s="557">
        <f t="shared" si="166"/>
        <v>0</v>
      </c>
      <c r="AN249" s="557">
        <f t="shared" si="166"/>
        <v>0</v>
      </c>
      <c r="AO249" s="557">
        <f t="shared" si="166"/>
        <v>0</v>
      </c>
      <c r="AP249" s="557">
        <f t="shared" si="166"/>
        <v>0</v>
      </c>
      <c r="AQ249" s="483">
        <f t="shared" si="150"/>
        <v>0</v>
      </c>
      <c r="AR249" s="482">
        <f t="shared" si="151"/>
        <v>0</v>
      </c>
      <c r="AS249" s="482">
        <f t="shared" si="151"/>
        <v>0</v>
      </c>
      <c r="AT249" s="482">
        <f t="shared" si="151"/>
        <v>0</v>
      </c>
      <c r="AU249" s="482">
        <f t="shared" si="151"/>
        <v>0</v>
      </c>
      <c r="AV249" s="482">
        <f t="shared" si="152"/>
        <v>0</v>
      </c>
      <c r="AW249" s="483">
        <f t="shared" si="155"/>
        <v>0</v>
      </c>
      <c r="AX249" s="514">
        <f t="shared" si="170"/>
        <v>0</v>
      </c>
      <c r="AY249" s="514" t="s">
        <v>1034</v>
      </c>
      <c r="AZ249" s="556">
        <f t="shared" si="171"/>
        <v>0</v>
      </c>
      <c r="BA249" s="557">
        <v>0</v>
      </c>
      <c r="BB249" s="557">
        <v>0</v>
      </c>
      <c r="BC249" s="557">
        <v>0</v>
      </c>
      <c r="BD249" s="557">
        <v>0</v>
      </c>
      <c r="BE249" s="557">
        <v>0</v>
      </c>
      <c r="BF249" s="556">
        <f t="shared" si="147"/>
        <v>0</v>
      </c>
      <c r="BG249" s="557">
        <v>0</v>
      </c>
      <c r="BH249" s="557">
        <v>0</v>
      </c>
      <c r="BI249" s="557">
        <v>0</v>
      </c>
      <c r="BJ249" s="557">
        <v>0</v>
      </c>
      <c r="BK249" s="557">
        <v>0</v>
      </c>
      <c r="BL249" s="556">
        <f t="shared" si="144"/>
        <v>0</v>
      </c>
      <c r="BM249" s="557">
        <v>0</v>
      </c>
      <c r="BN249" s="557">
        <v>0</v>
      </c>
      <c r="BO249" s="557">
        <v>0</v>
      </c>
      <c r="BP249" s="557">
        <v>0</v>
      </c>
      <c r="BQ249" s="557">
        <v>0</v>
      </c>
      <c r="BR249" s="318"/>
      <c r="BS249" s="318"/>
      <c r="BT249" s="318"/>
      <c r="BU249" s="318"/>
      <c r="BV249" s="318"/>
      <c r="BW249" s="318"/>
      <c r="BX249" s="318"/>
      <c r="BY249" s="318"/>
      <c r="BZ249" s="318"/>
      <c r="CA249" s="318"/>
      <c r="CB249" s="318"/>
      <c r="CC249" s="318"/>
      <c r="CD249" s="318"/>
      <c r="CE249" s="457"/>
      <c r="CF249" s="456">
        <v>13377</v>
      </c>
      <c r="CG249" s="360" t="s">
        <v>1263</v>
      </c>
      <c r="CH249" s="430">
        <v>1</v>
      </c>
      <c r="CI249" s="360"/>
      <c r="CJ249" s="360"/>
      <c r="CK249" s="360"/>
      <c r="CL249" s="360"/>
      <c r="CM249" s="360"/>
      <c r="CN249" s="360"/>
      <c r="CO249" s="360"/>
      <c r="CP249" s="360"/>
    </row>
    <row r="250" spans="1:94" s="315" customFormat="1" ht="13" hidden="1" x14ac:dyDescent="0.25">
      <c r="A250" s="403">
        <v>239</v>
      </c>
      <c r="B250" s="313" t="s">
        <v>1256</v>
      </c>
      <c r="C250" s="313" t="s">
        <v>1264</v>
      </c>
      <c r="D250" s="318" t="s">
        <v>594</v>
      </c>
      <c r="E250" s="318"/>
      <c r="F250" s="313" t="s">
        <v>247</v>
      </c>
      <c r="G250" s="313" t="s">
        <v>1265</v>
      </c>
      <c r="H250" s="305"/>
      <c r="I250" s="305"/>
      <c r="J250" s="370"/>
      <c r="K250" s="370"/>
      <c r="L250" s="370"/>
      <c r="M250" s="316" t="s">
        <v>807</v>
      </c>
      <c r="N250" s="398"/>
      <c r="O250" s="398"/>
      <c r="P250" s="305"/>
      <c r="Q250" s="354"/>
      <c r="R250" s="305"/>
      <c r="S250" s="305"/>
      <c r="T250" s="305"/>
      <c r="U250" s="305"/>
      <c r="V250" s="426"/>
      <c r="W250" s="412"/>
      <c r="X250" s="412"/>
      <c r="Y250" s="412" t="str">
        <f t="shared" si="146"/>
        <v/>
      </c>
      <c r="Z250" s="318"/>
      <c r="AA250" s="318"/>
      <c r="AB250" s="318"/>
      <c r="AC250" s="318">
        <v>5</v>
      </c>
      <c r="AD250" s="458" t="s">
        <v>1266</v>
      </c>
      <c r="AE250" s="483">
        <f t="shared" si="169"/>
        <v>0</v>
      </c>
      <c r="AF250" s="482">
        <f t="shared" si="169"/>
        <v>0</v>
      </c>
      <c r="AG250" s="482">
        <f t="shared" si="169"/>
        <v>0</v>
      </c>
      <c r="AH250" s="482">
        <f t="shared" si="169"/>
        <v>0</v>
      </c>
      <c r="AI250" s="482">
        <f t="shared" si="169"/>
        <v>0</v>
      </c>
      <c r="AJ250" s="557">
        <f t="shared" si="169"/>
        <v>0</v>
      </c>
      <c r="AK250" s="556">
        <f t="shared" si="166"/>
        <v>0</v>
      </c>
      <c r="AL250" s="557">
        <f t="shared" si="166"/>
        <v>0</v>
      </c>
      <c r="AM250" s="557">
        <f t="shared" si="166"/>
        <v>0</v>
      </c>
      <c r="AN250" s="557">
        <f t="shared" si="166"/>
        <v>0</v>
      </c>
      <c r="AO250" s="557">
        <f t="shared" si="166"/>
        <v>0</v>
      </c>
      <c r="AP250" s="557">
        <f t="shared" si="166"/>
        <v>0</v>
      </c>
      <c r="AQ250" s="483">
        <f t="shared" si="150"/>
        <v>0</v>
      </c>
      <c r="AR250" s="482">
        <f t="shared" si="151"/>
        <v>0</v>
      </c>
      <c r="AS250" s="482">
        <f t="shared" si="151"/>
        <v>0</v>
      </c>
      <c r="AT250" s="482">
        <f t="shared" si="151"/>
        <v>0</v>
      </c>
      <c r="AU250" s="482">
        <f t="shared" si="151"/>
        <v>0</v>
      </c>
      <c r="AV250" s="482">
        <f t="shared" si="152"/>
        <v>0</v>
      </c>
      <c r="AW250" s="483">
        <f t="shared" si="155"/>
        <v>0</v>
      </c>
      <c r="AX250" s="514">
        <f t="shared" si="170"/>
        <v>0</v>
      </c>
      <c r="AY250" s="514" t="s">
        <v>1034</v>
      </c>
      <c r="AZ250" s="556">
        <f t="shared" si="171"/>
        <v>0</v>
      </c>
      <c r="BA250" s="557">
        <v>0</v>
      </c>
      <c r="BB250" s="557">
        <v>0</v>
      </c>
      <c r="BC250" s="557">
        <v>0</v>
      </c>
      <c r="BD250" s="557">
        <v>0</v>
      </c>
      <c r="BE250" s="557">
        <v>0</v>
      </c>
      <c r="BF250" s="556">
        <f>AK250</f>
        <v>0</v>
      </c>
      <c r="BG250" s="557">
        <v>0</v>
      </c>
      <c r="BH250" s="557">
        <v>0</v>
      </c>
      <c r="BI250" s="557">
        <v>0</v>
      </c>
      <c r="BJ250" s="557">
        <v>0</v>
      </c>
      <c r="BK250" s="557">
        <v>0</v>
      </c>
      <c r="BL250" s="556">
        <f t="shared" si="144"/>
        <v>0</v>
      </c>
      <c r="BM250" s="557">
        <v>0</v>
      </c>
      <c r="BN250" s="557">
        <v>0</v>
      </c>
      <c r="BO250" s="557">
        <v>0</v>
      </c>
      <c r="BP250" s="557">
        <v>0</v>
      </c>
      <c r="BQ250" s="557">
        <v>0</v>
      </c>
      <c r="BR250" s="318"/>
      <c r="BS250" s="318"/>
      <c r="BT250" s="318"/>
      <c r="BU250" s="318"/>
      <c r="BV250" s="318"/>
      <c r="BW250" s="318"/>
      <c r="BX250" s="318"/>
      <c r="BY250" s="318"/>
      <c r="BZ250" s="318"/>
      <c r="CA250" s="318"/>
      <c r="CB250" s="318"/>
      <c r="CC250" s="318"/>
      <c r="CD250" s="318"/>
      <c r="CE250" s="457"/>
      <c r="CF250" s="456">
        <v>13377</v>
      </c>
      <c r="CG250" s="360" t="s">
        <v>1263</v>
      </c>
      <c r="CH250" s="430">
        <v>1</v>
      </c>
      <c r="CI250" s="360"/>
      <c r="CJ250" s="360"/>
      <c r="CK250" s="360"/>
      <c r="CL250" s="360"/>
      <c r="CM250" s="360"/>
      <c r="CN250" s="360"/>
      <c r="CO250" s="360"/>
      <c r="CP250" s="360"/>
    </row>
    <row r="251" spans="1:94" s="315" customFormat="1" ht="13" hidden="1" x14ac:dyDescent="0.25">
      <c r="A251" s="403">
        <v>240</v>
      </c>
      <c r="B251" s="313" t="s">
        <v>1274</v>
      </c>
      <c r="C251" s="313" t="s">
        <v>1275</v>
      </c>
      <c r="D251" s="318" t="s">
        <v>594</v>
      </c>
      <c r="E251" s="318"/>
      <c r="F251" s="313" t="s">
        <v>1277</v>
      </c>
      <c r="G251" s="313" t="s">
        <v>32</v>
      </c>
      <c r="H251" s="305"/>
      <c r="I251" s="305" t="s">
        <v>1276</v>
      </c>
      <c r="J251" s="370"/>
      <c r="K251" s="370"/>
      <c r="L251" s="370"/>
      <c r="M251" s="316" t="s">
        <v>807</v>
      </c>
      <c r="N251" s="398"/>
      <c r="O251" s="398"/>
      <c r="P251" s="305"/>
      <c r="Q251" s="354"/>
      <c r="R251" s="305"/>
      <c r="S251" s="305"/>
      <c r="T251" s="305"/>
      <c r="U251" s="305"/>
      <c r="V251" s="426"/>
      <c r="W251" s="412"/>
      <c r="X251" s="412"/>
      <c r="Y251" s="412" t="str">
        <f t="shared" si="146"/>
        <v/>
      </c>
      <c r="Z251" s="318"/>
      <c r="AA251" s="318"/>
      <c r="AB251" s="318"/>
      <c r="AC251" s="318"/>
      <c r="AD251" s="458" t="s">
        <v>1278</v>
      </c>
      <c r="AE251" s="483">
        <f t="shared" si="169"/>
        <v>0</v>
      </c>
      <c r="AF251" s="482">
        <f t="shared" si="169"/>
        <v>0</v>
      </c>
      <c r="AG251" s="482">
        <f t="shared" si="169"/>
        <v>0</v>
      </c>
      <c r="AH251" s="482">
        <f t="shared" si="169"/>
        <v>0</v>
      </c>
      <c r="AI251" s="482">
        <f t="shared" si="169"/>
        <v>0</v>
      </c>
      <c r="AJ251" s="557">
        <f t="shared" si="169"/>
        <v>0</v>
      </c>
      <c r="AK251" s="556">
        <f t="shared" si="166"/>
        <v>0</v>
      </c>
      <c r="AL251" s="557">
        <f t="shared" si="166"/>
        <v>0</v>
      </c>
      <c r="AM251" s="557">
        <f t="shared" si="166"/>
        <v>0</v>
      </c>
      <c r="AN251" s="557">
        <f t="shared" si="166"/>
        <v>0</v>
      </c>
      <c r="AO251" s="557">
        <f t="shared" si="166"/>
        <v>0</v>
      </c>
      <c r="AP251" s="557">
        <f t="shared" si="166"/>
        <v>0</v>
      </c>
      <c r="AQ251" s="483">
        <f t="shared" si="150"/>
        <v>0</v>
      </c>
      <c r="AR251" s="482">
        <f t="shared" si="151"/>
        <v>0</v>
      </c>
      <c r="AS251" s="482">
        <f t="shared" si="151"/>
        <v>0</v>
      </c>
      <c r="AT251" s="482">
        <f t="shared" si="151"/>
        <v>0</v>
      </c>
      <c r="AU251" s="482">
        <f t="shared" si="151"/>
        <v>0</v>
      </c>
      <c r="AV251" s="482">
        <f t="shared" si="152"/>
        <v>0</v>
      </c>
      <c r="AW251" s="483">
        <f t="shared" si="155"/>
        <v>0</v>
      </c>
      <c r="AX251" s="514">
        <f t="shared" si="170"/>
        <v>0</v>
      </c>
      <c r="AY251" s="514" t="s">
        <v>1034</v>
      </c>
      <c r="AZ251" s="556">
        <f t="shared" si="171"/>
        <v>0</v>
      </c>
      <c r="BA251" s="557">
        <v>0</v>
      </c>
      <c r="BB251" s="557">
        <v>0</v>
      </c>
      <c r="BC251" s="557">
        <v>0</v>
      </c>
      <c r="BD251" s="557">
        <v>0</v>
      </c>
      <c r="BE251" s="557">
        <v>0</v>
      </c>
      <c r="BF251" s="556">
        <f t="shared" si="147"/>
        <v>0</v>
      </c>
      <c r="BG251" s="557">
        <v>0</v>
      </c>
      <c r="BH251" s="557">
        <v>0</v>
      </c>
      <c r="BI251" s="557">
        <v>0</v>
      </c>
      <c r="BJ251" s="557">
        <v>0</v>
      </c>
      <c r="BK251" s="557">
        <v>0</v>
      </c>
      <c r="BL251" s="556">
        <f t="shared" si="144"/>
        <v>0</v>
      </c>
      <c r="BM251" s="557">
        <v>0</v>
      </c>
      <c r="BN251" s="557">
        <v>0</v>
      </c>
      <c r="BO251" s="557">
        <v>0</v>
      </c>
      <c r="BP251" s="557">
        <v>0</v>
      </c>
      <c r="BQ251" s="557">
        <v>0</v>
      </c>
      <c r="BR251" s="318"/>
      <c r="BS251" s="318"/>
      <c r="BT251" s="318"/>
      <c r="BU251" s="318"/>
      <c r="BV251" s="318"/>
      <c r="BW251" s="318"/>
      <c r="BX251" s="318"/>
      <c r="BY251" s="318"/>
      <c r="BZ251" s="318"/>
      <c r="CA251" s="318"/>
      <c r="CB251" s="318"/>
      <c r="CC251" s="318"/>
      <c r="CD251" s="318"/>
      <c r="CE251" s="457"/>
      <c r="CF251" s="318"/>
      <c r="CG251" s="360"/>
      <c r="CH251" s="360"/>
      <c r="CI251" s="360"/>
      <c r="CJ251" s="360"/>
      <c r="CK251" s="360"/>
      <c r="CL251" s="360"/>
      <c r="CM251" s="360"/>
      <c r="CN251" s="360"/>
      <c r="CO251" s="360"/>
      <c r="CP251" s="360"/>
    </row>
    <row r="252" spans="1:94" s="315" customFormat="1" ht="13" hidden="1" x14ac:dyDescent="0.25">
      <c r="A252" s="403">
        <v>241</v>
      </c>
      <c r="B252" s="313" t="s">
        <v>1274</v>
      </c>
      <c r="C252" s="313" t="s">
        <v>1275</v>
      </c>
      <c r="D252" s="318" t="s">
        <v>457</v>
      </c>
      <c r="E252" s="318"/>
      <c r="F252" s="313" t="s">
        <v>1277</v>
      </c>
      <c r="G252" s="313" t="s">
        <v>32</v>
      </c>
      <c r="H252" s="305"/>
      <c r="I252" s="305" t="s">
        <v>1276</v>
      </c>
      <c r="J252" s="370"/>
      <c r="K252" s="370"/>
      <c r="L252" s="370"/>
      <c r="M252" s="316" t="s">
        <v>807</v>
      </c>
      <c r="N252" s="398"/>
      <c r="O252" s="398"/>
      <c r="P252" s="305"/>
      <c r="Q252" s="354"/>
      <c r="R252" s="305"/>
      <c r="S252" s="305"/>
      <c r="T252" s="305"/>
      <c r="U252" s="305"/>
      <c r="V252" s="426"/>
      <c r="W252" s="412"/>
      <c r="X252" s="412"/>
      <c r="Y252" s="412" t="str">
        <f t="shared" si="146"/>
        <v/>
      </c>
      <c r="Z252" s="318"/>
      <c r="AA252" s="318"/>
      <c r="AB252" s="318"/>
      <c r="AC252" s="318"/>
      <c r="AD252" s="458" t="s">
        <v>1278</v>
      </c>
      <c r="AE252" s="483">
        <f t="shared" si="169"/>
        <v>0</v>
      </c>
      <c r="AF252" s="482">
        <f t="shared" si="169"/>
        <v>0</v>
      </c>
      <c r="AG252" s="482">
        <f t="shared" si="169"/>
        <v>0</v>
      </c>
      <c r="AH252" s="482">
        <f t="shared" si="169"/>
        <v>0</v>
      </c>
      <c r="AI252" s="482">
        <f t="shared" si="169"/>
        <v>0</v>
      </c>
      <c r="AJ252" s="557">
        <f t="shared" si="169"/>
        <v>0</v>
      </c>
      <c r="AK252" s="556">
        <f t="shared" si="166"/>
        <v>0</v>
      </c>
      <c r="AL252" s="557">
        <f t="shared" si="166"/>
        <v>0</v>
      </c>
      <c r="AM252" s="557">
        <f t="shared" si="166"/>
        <v>0</v>
      </c>
      <c r="AN252" s="557">
        <f t="shared" si="166"/>
        <v>0</v>
      </c>
      <c r="AO252" s="557">
        <f t="shared" si="166"/>
        <v>0</v>
      </c>
      <c r="AP252" s="557">
        <f t="shared" si="166"/>
        <v>0</v>
      </c>
      <c r="AQ252" s="483">
        <f t="shared" si="150"/>
        <v>0</v>
      </c>
      <c r="AR252" s="482">
        <f t="shared" si="151"/>
        <v>0</v>
      </c>
      <c r="AS252" s="482">
        <f t="shared" si="151"/>
        <v>0</v>
      </c>
      <c r="AT252" s="482">
        <f t="shared" si="151"/>
        <v>0</v>
      </c>
      <c r="AU252" s="482">
        <f t="shared" si="151"/>
        <v>0</v>
      </c>
      <c r="AV252" s="482">
        <f t="shared" si="152"/>
        <v>0</v>
      </c>
      <c r="AW252" s="483">
        <f t="shared" si="155"/>
        <v>0</v>
      </c>
      <c r="AX252" s="514">
        <f t="shared" si="170"/>
        <v>0</v>
      </c>
      <c r="AY252" s="514" t="s">
        <v>1034</v>
      </c>
      <c r="AZ252" s="556">
        <f t="shared" si="171"/>
        <v>0</v>
      </c>
      <c r="BA252" s="557">
        <v>0</v>
      </c>
      <c r="BB252" s="557">
        <v>0</v>
      </c>
      <c r="BC252" s="557">
        <v>0</v>
      </c>
      <c r="BD252" s="557">
        <v>0</v>
      </c>
      <c r="BE252" s="557">
        <v>0</v>
      </c>
      <c r="BF252" s="556">
        <f t="shared" si="147"/>
        <v>0</v>
      </c>
      <c r="BG252" s="557">
        <v>0</v>
      </c>
      <c r="BH252" s="557">
        <v>0</v>
      </c>
      <c r="BI252" s="557">
        <v>0</v>
      </c>
      <c r="BJ252" s="557">
        <v>0</v>
      </c>
      <c r="BK252" s="557">
        <v>0</v>
      </c>
      <c r="BL252" s="556">
        <f t="shared" si="144"/>
        <v>0</v>
      </c>
      <c r="BM252" s="557">
        <v>0</v>
      </c>
      <c r="BN252" s="557">
        <v>0</v>
      </c>
      <c r="BO252" s="557">
        <v>0</v>
      </c>
      <c r="BP252" s="557">
        <v>0</v>
      </c>
      <c r="BQ252" s="557">
        <v>0</v>
      </c>
      <c r="BR252" s="318"/>
      <c r="BS252" s="318"/>
      <c r="BT252" s="318"/>
      <c r="BU252" s="318"/>
      <c r="BV252" s="318"/>
      <c r="BW252" s="318"/>
      <c r="BX252" s="318"/>
      <c r="BY252" s="318"/>
      <c r="BZ252" s="318"/>
      <c r="CA252" s="318"/>
      <c r="CB252" s="318"/>
      <c r="CC252" s="318"/>
      <c r="CD252" s="318"/>
      <c r="CE252" s="457"/>
      <c r="CF252" s="318"/>
      <c r="CG252" s="360"/>
      <c r="CH252" s="360"/>
      <c r="CI252" s="360"/>
      <c r="CJ252" s="360"/>
      <c r="CK252" s="360"/>
      <c r="CL252" s="360"/>
      <c r="CM252" s="360"/>
      <c r="CN252" s="360"/>
      <c r="CO252" s="360"/>
      <c r="CP252" s="360"/>
    </row>
    <row r="253" spans="1:94" s="315" customFormat="1" ht="25" hidden="1" x14ac:dyDescent="0.25">
      <c r="A253" s="403">
        <v>242</v>
      </c>
      <c r="B253" s="313" t="s">
        <v>1101</v>
      </c>
      <c r="C253" s="313" t="s">
        <v>1302</v>
      </c>
      <c r="D253" s="318" t="s">
        <v>594</v>
      </c>
      <c r="E253" s="318"/>
      <c r="F253" s="313" t="s">
        <v>244</v>
      </c>
      <c r="G253" s="313" t="s">
        <v>792</v>
      </c>
      <c r="H253" s="305"/>
      <c r="I253" s="305" t="s">
        <v>1384</v>
      </c>
      <c r="J253" s="370">
        <v>0</v>
      </c>
      <c r="K253" s="370" t="e">
        <f>10000*V253/(IF(#REF!="yes",0.188,1))</f>
        <v>#REF!</v>
      </c>
      <c r="L253" s="370" t="e">
        <f>K253-J253</f>
        <v>#REF!</v>
      </c>
      <c r="M253" s="544" t="s">
        <v>484</v>
      </c>
      <c r="N253" s="398"/>
      <c r="O253" s="547">
        <v>2018</v>
      </c>
      <c r="P253" s="305" t="s">
        <v>519</v>
      </c>
      <c r="Q253" s="324"/>
      <c r="R253" s="305"/>
      <c r="S253" s="305"/>
      <c r="T253" s="305"/>
      <c r="U253" s="305" t="s">
        <v>579</v>
      </c>
      <c r="V253" s="426">
        <v>0.16600000000000001</v>
      </c>
      <c r="W253" s="443">
        <v>5</v>
      </c>
      <c r="X253" s="414"/>
      <c r="Y253" s="412" t="e">
        <f t="shared" si="146"/>
        <v>#REF!</v>
      </c>
      <c r="Z253" s="318">
        <v>2</v>
      </c>
      <c r="AA253" s="318">
        <v>3</v>
      </c>
      <c r="AB253" s="318">
        <v>2</v>
      </c>
      <c r="AC253" s="318">
        <v>3</v>
      </c>
      <c r="AD253" s="318"/>
      <c r="AE253" s="483">
        <f t="shared" si="169"/>
        <v>0</v>
      </c>
      <c r="AF253" s="482">
        <f t="shared" si="169"/>
        <v>0</v>
      </c>
      <c r="AG253" s="482">
        <f t="shared" si="169"/>
        <v>0</v>
      </c>
      <c r="AH253" s="482">
        <f t="shared" si="169"/>
        <v>0</v>
      </c>
      <c r="AI253" s="482">
        <f t="shared" si="169"/>
        <v>0</v>
      </c>
      <c r="AJ253" s="557">
        <f t="shared" si="169"/>
        <v>0</v>
      </c>
      <c r="AK253" s="556" t="str">
        <f t="shared" si="166"/>
        <v>check</v>
      </c>
      <c r="AL253" s="557" t="str">
        <f t="shared" si="166"/>
        <v>check</v>
      </c>
      <c r="AM253" s="557" t="str">
        <f t="shared" si="166"/>
        <v>check</v>
      </c>
      <c r="AN253" s="557" t="str">
        <f t="shared" si="166"/>
        <v>check</v>
      </c>
      <c r="AO253" s="557" t="str">
        <f t="shared" si="166"/>
        <v>check</v>
      </c>
      <c r="AP253" s="557" t="str">
        <f t="shared" si="166"/>
        <v>check</v>
      </c>
      <c r="AQ253" s="483" t="str">
        <f t="shared" si="150"/>
        <v>check</v>
      </c>
      <c r="AR253" s="482" t="str">
        <f t="shared" si="151"/>
        <v>check</v>
      </c>
      <c r="AS253" s="482" t="str">
        <f t="shared" si="151"/>
        <v>check</v>
      </c>
      <c r="AT253" s="482" t="str">
        <f t="shared" si="151"/>
        <v>check</v>
      </c>
      <c r="AU253" s="482" t="str">
        <f t="shared" si="151"/>
        <v>check</v>
      </c>
      <c r="AV253" s="482" t="str">
        <f t="shared" si="152"/>
        <v>check</v>
      </c>
      <c r="AW253" s="483" t="str">
        <f t="shared" si="155"/>
        <v>check</v>
      </c>
      <c r="AX253" s="514" t="str">
        <f t="shared" si="170"/>
        <v>check</v>
      </c>
      <c r="AY253" s="482" t="s">
        <v>1524</v>
      </c>
      <c r="AZ253" s="556">
        <f t="shared" si="171"/>
        <v>0</v>
      </c>
      <c r="BA253" s="557">
        <v>0</v>
      </c>
      <c r="BB253" s="557">
        <v>0</v>
      </c>
      <c r="BC253" s="557">
        <v>0</v>
      </c>
      <c r="BD253" s="557">
        <v>0</v>
      </c>
      <c r="BE253" s="557">
        <v>0</v>
      </c>
      <c r="BF253" s="556" t="str">
        <f t="shared" si="147"/>
        <v>check</v>
      </c>
      <c r="BG253" s="557" t="s">
        <v>1524</v>
      </c>
      <c r="BH253" s="557" t="s">
        <v>1524</v>
      </c>
      <c r="BI253" s="557" t="s">
        <v>1524</v>
      </c>
      <c r="BJ253" s="557" t="s">
        <v>1524</v>
      </c>
      <c r="BK253" s="557" t="s">
        <v>1524</v>
      </c>
      <c r="BL253" s="556" t="str">
        <f t="shared" si="144"/>
        <v>check</v>
      </c>
      <c r="BM253" s="557" t="s">
        <v>1524</v>
      </c>
      <c r="BN253" s="557" t="s">
        <v>1524</v>
      </c>
      <c r="BO253" s="557" t="s">
        <v>1524</v>
      </c>
      <c r="BP253" s="557" t="s">
        <v>1524</v>
      </c>
      <c r="BQ253" s="557" t="s">
        <v>1524</v>
      </c>
      <c r="BR253" s="318"/>
      <c r="BS253" s="318"/>
      <c r="BT253" s="318"/>
      <c r="BU253" s="318"/>
      <c r="BV253" s="318"/>
      <c r="BW253" s="318"/>
      <c r="BX253" s="318"/>
      <c r="BY253" s="318"/>
      <c r="BZ253" s="318" t="s">
        <v>1511</v>
      </c>
      <c r="CA253" s="318"/>
      <c r="CB253" s="318"/>
      <c r="CC253" s="318"/>
      <c r="CD253" s="318"/>
      <c r="CE253" s="457"/>
      <c r="CF253" s="443"/>
      <c r="CG253" s="360" t="s">
        <v>1224</v>
      </c>
      <c r="CH253" s="430">
        <v>1</v>
      </c>
      <c r="CI253" s="360"/>
      <c r="CJ253" s="360"/>
      <c r="CK253" s="360"/>
      <c r="CL253" s="360"/>
      <c r="CM253" s="360"/>
      <c r="CN253" s="360"/>
      <c r="CO253" s="360"/>
      <c r="CP253" s="360"/>
    </row>
    <row r="254" spans="1:94" s="315" customFormat="1" ht="50" hidden="1" x14ac:dyDescent="0.25">
      <c r="A254" s="403">
        <v>243</v>
      </c>
      <c r="B254" s="313" t="s">
        <v>791</v>
      </c>
      <c r="C254" s="313" t="s">
        <v>1049</v>
      </c>
      <c r="D254" s="318" t="s">
        <v>594</v>
      </c>
      <c r="E254" s="318"/>
      <c r="F254" s="313" t="s">
        <v>465</v>
      </c>
      <c r="G254" s="313" t="s">
        <v>1393</v>
      </c>
      <c r="H254" s="305"/>
      <c r="I254" s="305" t="s">
        <v>1306</v>
      </c>
      <c r="J254" s="370"/>
      <c r="K254" s="370">
        <v>20000</v>
      </c>
      <c r="L254" s="370">
        <f>K254</f>
        <v>20000</v>
      </c>
      <c r="M254" s="316" t="s">
        <v>807</v>
      </c>
      <c r="N254" s="398"/>
      <c r="O254" s="398">
        <v>2021</v>
      </c>
      <c r="P254" s="305" t="s">
        <v>463</v>
      </c>
      <c r="Q254" s="354"/>
      <c r="R254" s="305"/>
      <c r="S254" s="305"/>
      <c r="T254" s="305"/>
      <c r="U254" s="305" t="s">
        <v>235</v>
      </c>
      <c r="V254" s="426">
        <v>0.188</v>
      </c>
      <c r="W254" s="412"/>
      <c r="X254" s="412"/>
      <c r="Y254" s="412" t="str">
        <f t="shared" si="146"/>
        <v/>
      </c>
      <c r="Z254" s="318"/>
      <c r="AA254" s="318"/>
      <c r="AB254" s="318"/>
      <c r="AC254" s="318">
        <v>5</v>
      </c>
      <c r="AD254" s="458" t="s">
        <v>1304</v>
      </c>
      <c r="AE254" s="483">
        <f t="shared" si="169"/>
        <v>0</v>
      </c>
      <c r="AF254" s="482">
        <f t="shared" si="169"/>
        <v>0</v>
      </c>
      <c r="AG254" s="482">
        <f t="shared" si="169"/>
        <v>0</v>
      </c>
      <c r="AH254" s="482">
        <f t="shared" si="169"/>
        <v>0</v>
      </c>
      <c r="AI254" s="557">
        <f t="shared" si="169"/>
        <v>0</v>
      </c>
      <c r="AJ254" s="557">
        <f t="shared" si="169"/>
        <v>0</v>
      </c>
      <c r="AK254" s="556">
        <f t="shared" si="166"/>
        <v>0</v>
      </c>
      <c r="AL254" s="557">
        <f t="shared" si="166"/>
        <v>0</v>
      </c>
      <c r="AM254" s="557">
        <f t="shared" si="166"/>
        <v>0</v>
      </c>
      <c r="AN254" s="557">
        <f t="shared" si="166"/>
        <v>0</v>
      </c>
      <c r="AO254" s="557">
        <f t="shared" si="166"/>
        <v>0</v>
      </c>
      <c r="AP254" s="557">
        <f t="shared" si="166"/>
        <v>0</v>
      </c>
      <c r="AQ254" s="483">
        <f t="shared" si="150"/>
        <v>0</v>
      </c>
      <c r="AR254" s="482">
        <f t="shared" si="151"/>
        <v>0</v>
      </c>
      <c r="AS254" s="482">
        <f t="shared" si="151"/>
        <v>0</v>
      </c>
      <c r="AT254" s="482">
        <f t="shared" si="151"/>
        <v>0</v>
      </c>
      <c r="AU254" s="482">
        <f t="shared" si="151"/>
        <v>0</v>
      </c>
      <c r="AV254" s="482">
        <f t="shared" si="152"/>
        <v>0</v>
      </c>
      <c r="AW254" s="483">
        <f t="shared" si="155"/>
        <v>0</v>
      </c>
      <c r="AX254" s="514">
        <f t="shared" si="170"/>
        <v>0</v>
      </c>
      <c r="AY254" s="514" t="s">
        <v>1034</v>
      </c>
      <c r="AZ254" s="556">
        <f t="shared" si="171"/>
        <v>0</v>
      </c>
      <c r="BA254" s="557">
        <f t="shared" ref="AZ254:BE254" si="172">IF(OR($M254="Exploration", $M254="Pre-feasibility", $O254&gt;2017), 0, "check")</f>
        <v>0</v>
      </c>
      <c r="BB254" s="557">
        <f t="shared" si="172"/>
        <v>0</v>
      </c>
      <c r="BC254" s="557">
        <f t="shared" si="172"/>
        <v>0</v>
      </c>
      <c r="BD254" s="557">
        <f t="shared" si="172"/>
        <v>0</v>
      </c>
      <c r="BE254" s="557">
        <f t="shared" si="172"/>
        <v>0</v>
      </c>
      <c r="BF254" s="556">
        <f t="shared" si="147"/>
        <v>0</v>
      </c>
      <c r="BG254" s="557">
        <f t="shared" ref="BF254:BK254" si="173">IF(OR($M254="Exploration", $M254="Pre-feasibility", $O254&gt;2018), 0, "check")</f>
        <v>0</v>
      </c>
      <c r="BH254" s="557">
        <f t="shared" si="173"/>
        <v>0</v>
      </c>
      <c r="BI254" s="557">
        <f t="shared" si="173"/>
        <v>0</v>
      </c>
      <c r="BJ254" s="557">
        <f t="shared" si="173"/>
        <v>0</v>
      </c>
      <c r="BK254" s="557">
        <f t="shared" si="173"/>
        <v>0</v>
      </c>
      <c r="BL254" s="556">
        <f t="shared" si="144"/>
        <v>0</v>
      </c>
      <c r="BM254" s="557">
        <f t="shared" ref="BM254:BP254" si="174">IF(OR($M254="Exploration", $M254="Pre-feasibility", $O254&gt;2019), 0, "check")</f>
        <v>0</v>
      </c>
      <c r="BN254" s="557">
        <f t="shared" si="174"/>
        <v>0</v>
      </c>
      <c r="BO254" s="557">
        <f t="shared" si="174"/>
        <v>0</v>
      </c>
      <c r="BP254" s="557">
        <f t="shared" si="174"/>
        <v>0</v>
      </c>
      <c r="BQ254" s="557" t="str">
        <f t="shared" ref="BQ254" si="175">IF(OR(AH254="Exploration", AH254="Pre-feasibility", AJ254&gt;2019), 0, "check")</f>
        <v>check</v>
      </c>
      <c r="BR254" s="318"/>
      <c r="BS254" s="318"/>
      <c r="BT254" s="318"/>
      <c r="BU254" s="318"/>
      <c r="BV254" s="318"/>
      <c r="BW254" s="318"/>
      <c r="BX254" s="318"/>
      <c r="BY254" s="318"/>
      <c r="BZ254" s="318"/>
      <c r="CA254" s="318"/>
      <c r="CB254" s="318"/>
      <c r="CC254" s="318"/>
      <c r="CD254" s="318"/>
      <c r="CE254" s="457"/>
      <c r="CF254" s="456">
        <v>8888</v>
      </c>
      <c r="CG254" s="360" t="s">
        <v>791</v>
      </c>
      <c r="CH254" s="430">
        <v>1</v>
      </c>
      <c r="CI254" s="360"/>
      <c r="CJ254" s="360"/>
      <c r="CK254" s="360"/>
      <c r="CL254" s="360"/>
      <c r="CM254" s="360"/>
      <c r="CN254" s="360"/>
      <c r="CO254" s="360"/>
      <c r="CP254" s="360"/>
    </row>
    <row r="255" spans="1:94" s="315" customFormat="1" ht="13" hidden="1" x14ac:dyDescent="0.25">
      <c r="A255" s="403">
        <v>244</v>
      </c>
      <c r="B255" s="313" t="s">
        <v>621</v>
      </c>
      <c r="C255" s="313" t="s">
        <v>466</v>
      </c>
      <c r="D255" s="318" t="s">
        <v>594</v>
      </c>
      <c r="E255" s="318" t="s">
        <v>552</v>
      </c>
      <c r="F255" s="313" t="s">
        <v>465</v>
      </c>
      <c r="G255" s="313" t="s">
        <v>1298</v>
      </c>
      <c r="H255" s="305"/>
      <c r="I255" s="305" t="s">
        <v>618</v>
      </c>
      <c r="J255" s="370">
        <v>0</v>
      </c>
      <c r="K255" s="370" t="e">
        <f>25000*V255/(IF(#REF!="yes",0.188,1))</f>
        <v>#REF!</v>
      </c>
      <c r="L255" s="370" t="e">
        <f>K255</f>
        <v>#REF!</v>
      </c>
      <c r="M255" s="316" t="s">
        <v>484</v>
      </c>
      <c r="N255" s="398">
        <v>2018</v>
      </c>
      <c r="O255" s="398">
        <v>2021</v>
      </c>
      <c r="P255" s="305" t="s">
        <v>463</v>
      </c>
      <c r="Q255" s="305" t="s">
        <v>1367</v>
      </c>
      <c r="R255" s="305" t="s">
        <v>623</v>
      </c>
      <c r="S255" s="305" t="s">
        <v>1047</v>
      </c>
      <c r="T255" s="305" t="s">
        <v>1368</v>
      </c>
      <c r="U255" s="305" t="s">
        <v>536</v>
      </c>
      <c r="V255" s="426">
        <v>0.188</v>
      </c>
      <c r="W255" s="443">
        <v>2.4950000000000001</v>
      </c>
      <c r="X255" s="414"/>
      <c r="Y255" s="412" t="e">
        <f t="shared" si="146"/>
        <v>#REF!</v>
      </c>
      <c r="Z255" s="318">
        <v>4</v>
      </c>
      <c r="AA255" s="318">
        <v>5</v>
      </c>
      <c r="AB255" s="318">
        <v>2</v>
      </c>
      <c r="AC255" s="318">
        <v>4</v>
      </c>
      <c r="AD255" s="458" t="s">
        <v>1376</v>
      </c>
      <c r="AE255" s="483">
        <f t="shared" si="169"/>
        <v>0</v>
      </c>
      <c r="AF255" s="482">
        <f t="shared" si="169"/>
        <v>0</v>
      </c>
      <c r="AG255" s="482">
        <f t="shared" si="169"/>
        <v>0</v>
      </c>
      <c r="AH255" s="482">
        <f t="shared" si="169"/>
        <v>0</v>
      </c>
      <c r="AI255" s="557">
        <f t="shared" si="169"/>
        <v>0</v>
      </c>
      <c r="AJ255" s="557">
        <f t="shared" si="169"/>
        <v>0</v>
      </c>
      <c r="AK255" s="556">
        <f t="shared" si="166"/>
        <v>0</v>
      </c>
      <c r="AL255" s="557">
        <f t="shared" si="166"/>
        <v>0</v>
      </c>
      <c r="AM255" s="557">
        <f t="shared" si="166"/>
        <v>0</v>
      </c>
      <c r="AN255" s="557">
        <f t="shared" si="166"/>
        <v>0</v>
      </c>
      <c r="AO255" s="557">
        <f t="shared" si="166"/>
        <v>0</v>
      </c>
      <c r="AP255" s="557">
        <f t="shared" si="166"/>
        <v>0</v>
      </c>
      <c r="AQ255" s="483" t="s">
        <v>1524</v>
      </c>
      <c r="AR255" s="482">
        <f t="shared" si="151"/>
        <v>0</v>
      </c>
      <c r="AS255" s="482">
        <f t="shared" si="151"/>
        <v>0</v>
      </c>
      <c r="AT255" s="482">
        <f t="shared" si="151"/>
        <v>0</v>
      </c>
      <c r="AU255" s="482">
        <f t="shared" si="151"/>
        <v>0</v>
      </c>
      <c r="AV255" s="482">
        <f t="shared" si="152"/>
        <v>0</v>
      </c>
      <c r="AW255" s="483" t="str">
        <f t="shared" si="155"/>
        <v>check</v>
      </c>
      <c r="AX255" s="514">
        <f t="shared" si="170"/>
        <v>0</v>
      </c>
      <c r="AY255" s="514" t="s">
        <v>1034</v>
      </c>
      <c r="AZ255" s="556">
        <f t="shared" si="171"/>
        <v>0</v>
      </c>
      <c r="BA255" s="557">
        <v>0</v>
      </c>
      <c r="BB255" s="557">
        <v>0</v>
      </c>
      <c r="BC255" s="557">
        <v>0</v>
      </c>
      <c r="BD255" s="557">
        <v>0</v>
      </c>
      <c r="BE255" s="557">
        <v>0</v>
      </c>
      <c r="BF255" s="556">
        <f t="shared" si="147"/>
        <v>0</v>
      </c>
      <c r="BG255" s="557">
        <v>0</v>
      </c>
      <c r="BH255" s="557">
        <v>0</v>
      </c>
      <c r="BI255" s="557">
        <v>0</v>
      </c>
      <c r="BJ255" s="557">
        <v>0</v>
      </c>
      <c r="BK255" s="557">
        <v>0</v>
      </c>
      <c r="BL255" s="556" t="str">
        <f t="shared" si="144"/>
        <v>check</v>
      </c>
      <c r="BM255" s="557">
        <v>0</v>
      </c>
      <c r="BN255" s="557">
        <v>0</v>
      </c>
      <c r="BO255" s="557">
        <v>0</v>
      </c>
      <c r="BP255" s="557">
        <v>0</v>
      </c>
      <c r="BQ255" s="557">
        <v>0</v>
      </c>
      <c r="BR255" s="318" t="s">
        <v>1372</v>
      </c>
      <c r="BS255" s="318"/>
      <c r="BT255" s="318"/>
      <c r="BU255" s="318">
        <v>40</v>
      </c>
      <c r="BV255" s="318" t="s">
        <v>1136</v>
      </c>
      <c r="BW255" s="318"/>
      <c r="BX255" s="318"/>
      <c r="BY255" s="318"/>
      <c r="BZ255" s="318" t="s">
        <v>1370</v>
      </c>
      <c r="CA255" s="318"/>
      <c r="CB255" s="318"/>
      <c r="CC255" s="318" t="s">
        <v>1373</v>
      </c>
      <c r="CD255" s="318"/>
      <c r="CE255" s="457" t="s">
        <v>1369</v>
      </c>
      <c r="CF255" s="443">
        <f>(41.6*50%)+(480*50%)</f>
        <v>260.8</v>
      </c>
      <c r="CG255" s="360" t="s">
        <v>748</v>
      </c>
      <c r="CH255" s="430">
        <v>0.5</v>
      </c>
      <c r="CI255" s="360" t="s">
        <v>562</v>
      </c>
      <c r="CJ255" s="430">
        <v>0.5</v>
      </c>
      <c r="CK255" s="360"/>
      <c r="CL255" s="360"/>
      <c r="CM255" s="360"/>
      <c r="CN255" s="360"/>
      <c r="CO255" s="360"/>
      <c r="CP255" s="360"/>
    </row>
    <row r="256" spans="1:94" s="315" customFormat="1" ht="13" hidden="1" x14ac:dyDescent="0.25">
      <c r="A256" s="403">
        <v>245</v>
      </c>
      <c r="B256" s="313" t="s">
        <v>621</v>
      </c>
      <c r="C256" s="313" t="s">
        <v>466</v>
      </c>
      <c r="D256" s="318" t="s">
        <v>594</v>
      </c>
      <c r="E256" s="318" t="s">
        <v>553</v>
      </c>
      <c r="F256" s="313" t="s">
        <v>465</v>
      </c>
      <c r="G256" s="313" t="s">
        <v>1298</v>
      </c>
      <c r="H256" s="305"/>
      <c r="I256" s="305" t="s">
        <v>591</v>
      </c>
      <c r="J256" s="370">
        <v>0</v>
      </c>
      <c r="K256" s="370" t="e">
        <f>40000*V256/(IF(#REF!="yes",0.188,1))</f>
        <v>#REF!</v>
      </c>
      <c r="L256" s="370" t="e">
        <f>K256-K255</f>
        <v>#REF!</v>
      </c>
      <c r="M256" s="316" t="s">
        <v>844</v>
      </c>
      <c r="N256" s="398">
        <v>2021</v>
      </c>
      <c r="O256" s="398">
        <v>2022</v>
      </c>
      <c r="P256" s="305" t="s">
        <v>463</v>
      </c>
      <c r="Q256" s="305" t="s">
        <v>1367</v>
      </c>
      <c r="R256" s="305" t="s">
        <v>623</v>
      </c>
      <c r="S256" s="305" t="s">
        <v>1047</v>
      </c>
      <c r="T256" s="305" t="s">
        <v>1368</v>
      </c>
      <c r="U256" s="305" t="s">
        <v>536</v>
      </c>
      <c r="V256" s="426">
        <v>0.188</v>
      </c>
      <c r="W256" s="443">
        <v>3.5760000000000001</v>
      </c>
      <c r="X256" s="414"/>
      <c r="Y256" s="412" t="e">
        <f t="shared" si="146"/>
        <v>#REF!</v>
      </c>
      <c r="Z256" s="318">
        <v>4</v>
      </c>
      <c r="AA256" s="318">
        <v>5</v>
      </c>
      <c r="AB256" s="318">
        <v>2</v>
      </c>
      <c r="AC256" s="318">
        <v>4</v>
      </c>
      <c r="AD256" s="458" t="s">
        <v>1375</v>
      </c>
      <c r="AE256" s="483">
        <f t="shared" si="169"/>
        <v>0</v>
      </c>
      <c r="AF256" s="482">
        <f t="shared" si="169"/>
        <v>0</v>
      </c>
      <c r="AG256" s="482">
        <f t="shared" si="169"/>
        <v>0</v>
      </c>
      <c r="AH256" s="482">
        <f t="shared" si="169"/>
        <v>0</v>
      </c>
      <c r="AI256" s="557">
        <f t="shared" si="169"/>
        <v>0</v>
      </c>
      <c r="AJ256" s="557">
        <f t="shared" si="169"/>
        <v>0</v>
      </c>
      <c r="AK256" s="556">
        <f t="shared" si="166"/>
        <v>0</v>
      </c>
      <c r="AL256" s="557">
        <f t="shared" si="166"/>
        <v>0</v>
      </c>
      <c r="AM256" s="557">
        <f t="shared" si="166"/>
        <v>0</v>
      </c>
      <c r="AN256" s="557">
        <f t="shared" si="166"/>
        <v>0</v>
      </c>
      <c r="AO256" s="557">
        <f t="shared" si="166"/>
        <v>0</v>
      </c>
      <c r="AP256" s="557">
        <f t="shared" si="166"/>
        <v>0</v>
      </c>
      <c r="AQ256" s="483">
        <f t="shared" si="150"/>
        <v>0</v>
      </c>
      <c r="AR256" s="482">
        <f t="shared" si="151"/>
        <v>0</v>
      </c>
      <c r="AS256" s="482">
        <f t="shared" si="151"/>
        <v>0</v>
      </c>
      <c r="AT256" s="482">
        <f t="shared" si="151"/>
        <v>0</v>
      </c>
      <c r="AU256" s="482">
        <f t="shared" si="151"/>
        <v>0</v>
      </c>
      <c r="AV256" s="482">
        <f t="shared" si="152"/>
        <v>0</v>
      </c>
      <c r="AW256" s="483">
        <f t="shared" si="155"/>
        <v>0</v>
      </c>
      <c r="AX256" s="514">
        <f t="shared" si="170"/>
        <v>0</v>
      </c>
      <c r="AY256" s="514" t="s">
        <v>1034</v>
      </c>
      <c r="AZ256" s="556">
        <f t="shared" si="171"/>
        <v>0</v>
      </c>
      <c r="BA256" s="557">
        <v>0</v>
      </c>
      <c r="BB256" s="557">
        <v>0</v>
      </c>
      <c r="BC256" s="557">
        <v>0</v>
      </c>
      <c r="BD256" s="557">
        <v>0</v>
      </c>
      <c r="BE256" s="557">
        <v>0</v>
      </c>
      <c r="BF256" s="556">
        <f t="shared" si="147"/>
        <v>0</v>
      </c>
      <c r="BG256" s="557">
        <v>0</v>
      </c>
      <c r="BH256" s="557">
        <v>0</v>
      </c>
      <c r="BI256" s="557">
        <v>0</v>
      </c>
      <c r="BJ256" s="557">
        <v>0</v>
      </c>
      <c r="BK256" s="557">
        <v>0</v>
      </c>
      <c r="BL256" s="556">
        <f t="shared" si="144"/>
        <v>0</v>
      </c>
      <c r="BM256" s="557">
        <v>0</v>
      </c>
      <c r="BN256" s="557">
        <v>0</v>
      </c>
      <c r="BO256" s="557">
        <v>0</v>
      </c>
      <c r="BP256" s="557">
        <v>0</v>
      </c>
      <c r="BQ256" s="557">
        <v>0</v>
      </c>
      <c r="BR256" s="318" t="s">
        <v>1372</v>
      </c>
      <c r="BS256" s="318"/>
      <c r="BT256" s="318"/>
      <c r="BU256" s="318">
        <v>40</v>
      </c>
      <c r="BV256" s="318" t="s">
        <v>1136</v>
      </c>
      <c r="BW256" s="318"/>
      <c r="BX256" s="318"/>
      <c r="BY256" s="318"/>
      <c r="BZ256" s="318" t="s">
        <v>1366</v>
      </c>
      <c r="CA256" s="318"/>
      <c r="CB256" s="318"/>
      <c r="CC256" s="318" t="s">
        <v>1374</v>
      </c>
      <c r="CD256" s="318"/>
      <c r="CE256" s="457" t="s">
        <v>1371</v>
      </c>
      <c r="CF256" s="443">
        <f>(41.6*50%)+(480*50%)</f>
        <v>260.8</v>
      </c>
      <c r="CG256" s="360" t="s">
        <v>748</v>
      </c>
      <c r="CH256" s="430">
        <v>0.5</v>
      </c>
      <c r="CI256" s="360" t="s">
        <v>562</v>
      </c>
      <c r="CJ256" s="430">
        <v>0.5</v>
      </c>
      <c r="CK256" s="360"/>
      <c r="CL256" s="360"/>
      <c r="CM256" s="360"/>
      <c r="CN256" s="360"/>
      <c r="CO256" s="360"/>
      <c r="CP256" s="360"/>
    </row>
    <row r="257" spans="1:94" s="315" customFormat="1" ht="13" hidden="1" x14ac:dyDescent="0.25">
      <c r="A257" s="403">
        <v>246</v>
      </c>
      <c r="B257" s="313" t="s">
        <v>1386</v>
      </c>
      <c r="C257" s="313" t="s">
        <v>746</v>
      </c>
      <c r="D257" s="318" t="s">
        <v>457</v>
      </c>
      <c r="E257" s="318"/>
      <c r="F257" s="313" t="s">
        <v>462</v>
      </c>
      <c r="G257" s="313" t="s">
        <v>32</v>
      </c>
      <c r="H257" s="305"/>
      <c r="I257" s="305"/>
      <c r="J257" s="370"/>
      <c r="K257" s="370"/>
      <c r="L257" s="370"/>
      <c r="M257" s="316" t="s">
        <v>487</v>
      </c>
      <c r="N257" s="398"/>
      <c r="O257" s="398"/>
      <c r="P257" s="305" t="s">
        <v>463</v>
      </c>
      <c r="Q257" s="305" t="s">
        <v>1387</v>
      </c>
      <c r="R257" s="305" t="s">
        <v>1388</v>
      </c>
      <c r="S257" s="305"/>
      <c r="T257" s="305"/>
      <c r="U257" s="305"/>
      <c r="V257" s="426"/>
      <c r="W257" s="412"/>
      <c r="X257" s="412"/>
      <c r="Y257" s="412" t="str">
        <f t="shared" si="146"/>
        <v/>
      </c>
      <c r="Z257" s="318"/>
      <c r="AA257" s="318"/>
      <c r="AB257" s="318"/>
      <c r="AC257" s="318"/>
      <c r="AD257" s="458" t="s">
        <v>1389</v>
      </c>
      <c r="AE257" s="483">
        <f t="shared" si="169"/>
        <v>0</v>
      </c>
      <c r="AF257" s="482">
        <f t="shared" si="169"/>
        <v>0</v>
      </c>
      <c r="AG257" s="482">
        <f t="shared" si="169"/>
        <v>0</v>
      </c>
      <c r="AH257" s="482">
        <f t="shared" si="169"/>
        <v>0</v>
      </c>
      <c r="AI257" s="557">
        <f t="shared" si="169"/>
        <v>0</v>
      </c>
      <c r="AJ257" s="557">
        <f t="shared" si="169"/>
        <v>0</v>
      </c>
      <c r="AK257" s="556">
        <f t="shared" si="166"/>
        <v>0</v>
      </c>
      <c r="AL257" s="557">
        <f t="shared" si="166"/>
        <v>0</v>
      </c>
      <c r="AM257" s="557">
        <f t="shared" si="166"/>
        <v>0</v>
      </c>
      <c r="AN257" s="557">
        <f t="shared" si="166"/>
        <v>0</v>
      </c>
      <c r="AO257" s="557">
        <f t="shared" si="166"/>
        <v>0</v>
      </c>
      <c r="AP257" s="557">
        <f t="shared" si="166"/>
        <v>0</v>
      </c>
      <c r="AQ257" s="483">
        <f t="shared" si="150"/>
        <v>0</v>
      </c>
      <c r="AR257" s="482">
        <f t="shared" si="151"/>
        <v>0</v>
      </c>
      <c r="AS257" s="482">
        <f t="shared" si="151"/>
        <v>0</v>
      </c>
      <c r="AT257" s="482">
        <f t="shared" si="151"/>
        <v>0</v>
      </c>
      <c r="AU257" s="482">
        <f t="shared" si="151"/>
        <v>0</v>
      </c>
      <c r="AV257" s="482">
        <f t="shared" si="152"/>
        <v>0</v>
      </c>
      <c r="AW257" s="483">
        <f t="shared" si="155"/>
        <v>0</v>
      </c>
      <c r="AX257" s="514">
        <f t="shared" si="170"/>
        <v>0</v>
      </c>
      <c r="AY257" s="514" t="s">
        <v>1034</v>
      </c>
      <c r="AZ257" s="556">
        <f t="shared" si="171"/>
        <v>0</v>
      </c>
      <c r="BA257" s="557">
        <v>0</v>
      </c>
      <c r="BB257" s="557">
        <v>0</v>
      </c>
      <c r="BC257" s="557">
        <v>0</v>
      </c>
      <c r="BD257" s="557">
        <v>0</v>
      </c>
      <c r="BE257" s="557">
        <v>0</v>
      </c>
      <c r="BF257" s="556">
        <f t="shared" si="147"/>
        <v>0</v>
      </c>
      <c r="BG257" s="557">
        <v>0</v>
      </c>
      <c r="BH257" s="557">
        <v>0</v>
      </c>
      <c r="BI257" s="557">
        <v>0</v>
      </c>
      <c r="BJ257" s="557">
        <v>0</v>
      </c>
      <c r="BK257" s="557">
        <v>0</v>
      </c>
      <c r="BL257" s="556">
        <f t="shared" si="144"/>
        <v>0</v>
      </c>
      <c r="BM257" s="557">
        <v>0</v>
      </c>
      <c r="BN257" s="557">
        <v>0</v>
      </c>
      <c r="BO257" s="557">
        <v>0</v>
      </c>
      <c r="BP257" s="557">
        <v>0</v>
      </c>
      <c r="BQ257" s="557">
        <v>0</v>
      </c>
      <c r="BR257" s="318"/>
      <c r="BS257" s="318"/>
      <c r="BT257" s="318"/>
      <c r="BU257" s="318"/>
      <c r="BV257" s="318"/>
      <c r="BW257" s="318"/>
      <c r="BX257" s="318"/>
      <c r="BY257" s="318"/>
      <c r="BZ257" s="318"/>
      <c r="CA257" s="318"/>
      <c r="CB257" s="318"/>
      <c r="CC257" s="318"/>
      <c r="CD257" s="318"/>
      <c r="CE257" s="457"/>
      <c r="CF257" s="443"/>
      <c r="CG257" s="360" t="s">
        <v>1386</v>
      </c>
      <c r="CH257" s="430">
        <v>0.9</v>
      </c>
      <c r="CI257" s="360" t="s">
        <v>1390</v>
      </c>
      <c r="CJ257" s="430">
        <v>0.1</v>
      </c>
      <c r="CK257" s="360"/>
      <c r="CL257" s="360"/>
      <c r="CM257" s="360"/>
      <c r="CN257" s="360"/>
      <c r="CO257" s="360"/>
      <c r="CP257" s="360"/>
    </row>
    <row r="258" spans="1:94" s="315" customFormat="1" ht="13" hidden="1" x14ac:dyDescent="0.25">
      <c r="A258" s="403">
        <v>247</v>
      </c>
      <c r="B258" s="313" t="s">
        <v>1419</v>
      </c>
      <c r="C258" s="313" t="s">
        <v>1416</v>
      </c>
      <c r="D258" s="318" t="s">
        <v>457</v>
      </c>
      <c r="E258" s="318"/>
      <c r="F258" s="313" t="s">
        <v>476</v>
      </c>
      <c r="G258" s="313"/>
      <c r="H258" s="305"/>
      <c r="I258" s="305"/>
      <c r="J258" s="370"/>
      <c r="K258" s="370"/>
      <c r="L258" s="370"/>
      <c r="M258" s="316" t="s">
        <v>1208</v>
      </c>
      <c r="N258" s="398"/>
      <c r="O258" s="398"/>
      <c r="P258" s="305" t="s">
        <v>463</v>
      </c>
      <c r="Q258" s="354"/>
      <c r="R258" s="305"/>
      <c r="S258" s="305"/>
      <c r="T258" s="305"/>
      <c r="U258" s="305" t="s">
        <v>235</v>
      </c>
      <c r="V258" s="426"/>
      <c r="W258" s="412"/>
      <c r="X258" s="412"/>
      <c r="Y258" s="412" t="str">
        <f t="shared" si="146"/>
        <v/>
      </c>
      <c r="Z258" s="318"/>
      <c r="AA258" s="318"/>
      <c r="AB258" s="318"/>
      <c r="AC258" s="318"/>
      <c r="AD258" s="318" t="s">
        <v>1421</v>
      </c>
      <c r="AE258" s="483">
        <v>0</v>
      </c>
      <c r="AF258" s="482">
        <v>0</v>
      </c>
      <c r="AG258" s="482">
        <v>0</v>
      </c>
      <c r="AH258" s="482">
        <v>0</v>
      </c>
      <c r="AI258" s="557">
        <v>0</v>
      </c>
      <c r="AJ258" s="557">
        <v>0</v>
      </c>
      <c r="AK258" s="556">
        <v>0</v>
      </c>
      <c r="AL258" s="557">
        <v>0</v>
      </c>
      <c r="AM258" s="557">
        <v>0</v>
      </c>
      <c r="AN258" s="557">
        <v>0</v>
      </c>
      <c r="AO258" s="557">
        <v>0</v>
      </c>
      <c r="AP258" s="557">
        <v>0</v>
      </c>
      <c r="AQ258" s="483">
        <v>0</v>
      </c>
      <c r="AR258" s="482">
        <v>0</v>
      </c>
      <c r="AS258" s="482">
        <v>0</v>
      </c>
      <c r="AT258" s="482">
        <v>0</v>
      </c>
      <c r="AU258" s="482">
        <v>0</v>
      </c>
      <c r="AV258" s="482">
        <v>0</v>
      </c>
      <c r="AW258" s="483">
        <f t="shared" si="155"/>
        <v>0</v>
      </c>
      <c r="AX258" s="514">
        <f t="shared" si="170"/>
        <v>0</v>
      </c>
      <c r="AY258" s="514" t="s">
        <v>1034</v>
      </c>
      <c r="AZ258" s="556">
        <f t="shared" si="171"/>
        <v>0</v>
      </c>
      <c r="BA258" s="557">
        <v>0</v>
      </c>
      <c r="BB258" s="557">
        <v>0</v>
      </c>
      <c r="BC258" s="557">
        <v>0</v>
      </c>
      <c r="BD258" s="557">
        <v>0</v>
      </c>
      <c r="BE258" s="557">
        <v>0</v>
      </c>
      <c r="BF258" s="556">
        <f t="shared" si="147"/>
        <v>0</v>
      </c>
      <c r="BG258" s="557">
        <v>0</v>
      </c>
      <c r="BH258" s="557">
        <v>0</v>
      </c>
      <c r="BI258" s="557">
        <v>0</v>
      </c>
      <c r="BJ258" s="557">
        <v>0</v>
      </c>
      <c r="BK258" s="557">
        <v>0</v>
      </c>
      <c r="BL258" s="556">
        <f t="shared" si="144"/>
        <v>0</v>
      </c>
      <c r="BM258" s="557">
        <v>0</v>
      </c>
      <c r="BN258" s="557">
        <v>0</v>
      </c>
      <c r="BO258" s="557">
        <v>0</v>
      </c>
      <c r="BP258" s="557">
        <v>0</v>
      </c>
      <c r="BQ258" s="557">
        <v>0</v>
      </c>
      <c r="BR258" s="318"/>
      <c r="BS258" s="318"/>
      <c r="BT258" s="318"/>
      <c r="BU258" s="318"/>
      <c r="BV258" s="318"/>
      <c r="BW258" s="318"/>
      <c r="BX258" s="318"/>
      <c r="BY258" s="318"/>
      <c r="BZ258" s="318"/>
      <c r="CA258" s="318"/>
      <c r="CB258" s="318"/>
      <c r="CC258" s="318"/>
      <c r="CD258" s="318"/>
      <c r="CE258" s="49" t="s">
        <v>1420</v>
      </c>
      <c r="CF258" s="443"/>
      <c r="CG258" s="360"/>
      <c r="CH258" s="360"/>
      <c r="CI258" s="360"/>
      <c r="CJ258" s="360"/>
      <c r="CK258" s="360"/>
      <c r="CL258" s="360"/>
      <c r="CM258" s="360"/>
      <c r="CN258" s="360"/>
      <c r="CO258" s="360"/>
      <c r="CP258" s="360"/>
    </row>
    <row r="259" spans="1:94" s="315" customFormat="1" ht="13" hidden="1" x14ac:dyDescent="0.25">
      <c r="A259" s="403">
        <v>248</v>
      </c>
      <c r="B259" s="313" t="s">
        <v>1423</v>
      </c>
      <c r="C259" s="313" t="s">
        <v>1424</v>
      </c>
      <c r="D259" s="318" t="s">
        <v>594</v>
      </c>
      <c r="E259" s="318" t="s">
        <v>552</v>
      </c>
      <c r="F259" s="313" t="s">
        <v>244</v>
      </c>
      <c r="G259" s="313" t="s">
        <v>1424</v>
      </c>
      <c r="H259" s="305"/>
      <c r="I259" s="305"/>
      <c r="J259" s="370"/>
      <c r="K259" s="370"/>
      <c r="L259" s="370"/>
      <c r="M259" s="316" t="s">
        <v>484</v>
      </c>
      <c r="N259" s="398"/>
      <c r="O259" s="398">
        <v>2020</v>
      </c>
      <c r="P259" s="305" t="s">
        <v>519</v>
      </c>
      <c r="Q259" s="354"/>
      <c r="R259" s="305"/>
      <c r="S259" s="305"/>
      <c r="T259" s="305"/>
      <c r="U259" s="305"/>
      <c r="V259" s="426"/>
      <c r="W259" s="443"/>
      <c r="X259" s="414"/>
      <c r="Y259" s="412" t="str">
        <f t="shared" si="146"/>
        <v/>
      </c>
      <c r="Z259" s="318"/>
      <c r="AA259" s="318"/>
      <c r="AB259" s="318"/>
      <c r="AC259" s="318"/>
      <c r="AD259" s="318"/>
      <c r="AE259" s="483">
        <f t="shared" si="169"/>
        <v>0</v>
      </c>
      <c r="AF259" s="482">
        <f t="shared" si="169"/>
        <v>0</v>
      </c>
      <c r="AG259" s="482">
        <f t="shared" si="169"/>
        <v>0</v>
      </c>
      <c r="AH259" s="482">
        <f t="shared" si="169"/>
        <v>0</v>
      </c>
      <c r="AI259" s="557">
        <f t="shared" si="169"/>
        <v>0</v>
      </c>
      <c r="AJ259" s="557">
        <f t="shared" si="169"/>
        <v>0</v>
      </c>
      <c r="AK259" s="556">
        <f t="shared" si="166"/>
        <v>0</v>
      </c>
      <c r="AL259" s="557">
        <f t="shared" si="166"/>
        <v>0</v>
      </c>
      <c r="AM259" s="557">
        <f t="shared" si="166"/>
        <v>0</v>
      </c>
      <c r="AN259" s="557">
        <f t="shared" si="166"/>
        <v>0</v>
      </c>
      <c r="AO259" s="557">
        <f t="shared" si="166"/>
        <v>0</v>
      </c>
      <c r="AP259" s="557">
        <f t="shared" si="166"/>
        <v>0</v>
      </c>
      <c r="AQ259" s="483" t="s">
        <v>1524</v>
      </c>
      <c r="AR259" s="482">
        <f t="shared" si="151"/>
        <v>0</v>
      </c>
      <c r="AS259" s="482">
        <f t="shared" si="151"/>
        <v>0</v>
      </c>
      <c r="AT259" s="482">
        <f t="shared" si="151"/>
        <v>0</v>
      </c>
      <c r="AU259" s="482">
        <f t="shared" si="151"/>
        <v>0</v>
      </c>
      <c r="AV259" s="482">
        <f t="shared" si="152"/>
        <v>0</v>
      </c>
      <c r="AW259" s="483" t="str">
        <f t="shared" si="155"/>
        <v>check</v>
      </c>
      <c r="AX259" s="514" t="str">
        <f t="shared" si="170"/>
        <v>check</v>
      </c>
      <c r="AY259" s="514" t="s">
        <v>1524</v>
      </c>
      <c r="AZ259" s="556">
        <f>AE259</f>
        <v>0</v>
      </c>
      <c r="BA259" s="557">
        <v>0</v>
      </c>
      <c r="BB259" s="557">
        <v>0</v>
      </c>
      <c r="BC259" s="557">
        <v>0</v>
      </c>
      <c r="BD259" s="557">
        <v>0</v>
      </c>
      <c r="BE259" s="557">
        <v>0</v>
      </c>
      <c r="BF259" s="556">
        <f t="shared" si="147"/>
        <v>0</v>
      </c>
      <c r="BG259" s="557">
        <v>0</v>
      </c>
      <c r="BH259" s="557">
        <v>0</v>
      </c>
      <c r="BI259" s="557">
        <v>0</v>
      </c>
      <c r="BJ259" s="557">
        <v>0</v>
      </c>
      <c r="BK259" s="557">
        <v>0</v>
      </c>
      <c r="BL259" s="556" t="str">
        <f t="shared" si="144"/>
        <v>check</v>
      </c>
      <c r="BM259" s="557">
        <v>0</v>
      </c>
      <c r="BN259" s="557">
        <v>0</v>
      </c>
      <c r="BO259" s="557">
        <v>0</v>
      </c>
      <c r="BP259" s="557">
        <v>0</v>
      </c>
      <c r="BQ259" s="557">
        <v>0</v>
      </c>
      <c r="BR259" s="318"/>
      <c r="BS259" s="318"/>
      <c r="BT259" s="318"/>
      <c r="BU259" s="318"/>
      <c r="BV259" s="318"/>
      <c r="BW259" s="318"/>
      <c r="BX259" s="318"/>
      <c r="BY259" s="318"/>
      <c r="BZ259" s="318"/>
      <c r="CA259" s="318"/>
      <c r="CB259" s="318"/>
      <c r="CC259" s="318"/>
      <c r="CD259" s="318"/>
      <c r="CE259" s="457"/>
      <c r="CF259" s="443"/>
      <c r="CG259" s="360"/>
      <c r="CH259" s="360"/>
      <c r="CI259" s="360"/>
      <c r="CJ259" s="360"/>
      <c r="CK259" s="360"/>
      <c r="CL259" s="360"/>
      <c r="CM259" s="360"/>
      <c r="CN259" s="360"/>
      <c r="CO259" s="360"/>
      <c r="CP259" s="360"/>
    </row>
    <row r="260" spans="1:94" s="315" customFormat="1" ht="13" hidden="1" x14ac:dyDescent="0.25">
      <c r="A260" s="403">
        <v>249</v>
      </c>
      <c r="B260" s="313" t="s">
        <v>1423</v>
      </c>
      <c r="C260" s="313" t="s">
        <v>1424</v>
      </c>
      <c r="D260" s="318" t="s">
        <v>594</v>
      </c>
      <c r="E260" s="318" t="s">
        <v>553</v>
      </c>
      <c r="F260" s="313" t="s">
        <v>244</v>
      </c>
      <c r="G260" s="313" t="s">
        <v>1424</v>
      </c>
      <c r="H260" s="305"/>
      <c r="I260" s="305"/>
      <c r="J260" s="370"/>
      <c r="K260" s="370"/>
      <c r="L260" s="370"/>
      <c r="M260" s="316" t="s">
        <v>619</v>
      </c>
      <c r="N260" s="398"/>
      <c r="O260" s="398">
        <v>2024</v>
      </c>
      <c r="P260" s="305" t="s">
        <v>519</v>
      </c>
      <c r="Q260" s="354"/>
      <c r="R260" s="305"/>
      <c r="S260" s="305"/>
      <c r="T260" s="305"/>
      <c r="U260" s="305"/>
      <c r="V260" s="426"/>
      <c r="W260" s="443"/>
      <c r="X260" s="414"/>
      <c r="Y260" s="412" t="str">
        <f t="shared" si="146"/>
        <v/>
      </c>
      <c r="Z260" s="318"/>
      <c r="AA260" s="318"/>
      <c r="AB260" s="318"/>
      <c r="AC260" s="318"/>
      <c r="AD260" s="318"/>
      <c r="AE260" s="483">
        <f t="shared" ref="AE260:AJ263" si="176">IF(OR($M260="Exploration", $M260="Pre-feasibility", $O260&gt;2017), 0, "check")</f>
        <v>0</v>
      </c>
      <c r="AF260" s="482">
        <f t="shared" si="176"/>
        <v>0</v>
      </c>
      <c r="AG260" s="482">
        <f t="shared" si="176"/>
        <v>0</v>
      </c>
      <c r="AH260" s="482">
        <f t="shared" si="176"/>
        <v>0</v>
      </c>
      <c r="AI260" s="557">
        <f t="shared" si="176"/>
        <v>0</v>
      </c>
      <c r="AJ260" s="557">
        <f t="shared" si="176"/>
        <v>0</v>
      </c>
      <c r="AK260" s="556">
        <f t="shared" si="166"/>
        <v>0</v>
      </c>
      <c r="AL260" s="557">
        <f t="shared" si="166"/>
        <v>0</v>
      </c>
      <c r="AM260" s="557">
        <f t="shared" si="166"/>
        <v>0</v>
      </c>
      <c r="AN260" s="557">
        <f t="shared" si="166"/>
        <v>0</v>
      </c>
      <c r="AO260" s="557">
        <f t="shared" si="166"/>
        <v>0</v>
      </c>
      <c r="AP260" s="557">
        <f t="shared" si="166"/>
        <v>0</v>
      </c>
      <c r="AQ260" s="483">
        <f t="shared" si="150"/>
        <v>0</v>
      </c>
      <c r="AR260" s="482">
        <f t="shared" si="151"/>
        <v>0</v>
      </c>
      <c r="AS260" s="482">
        <f t="shared" si="151"/>
        <v>0</v>
      </c>
      <c r="AT260" s="482">
        <f t="shared" si="151"/>
        <v>0</v>
      </c>
      <c r="AU260" s="482">
        <f t="shared" si="151"/>
        <v>0</v>
      </c>
      <c r="AV260" s="482">
        <f t="shared" si="152"/>
        <v>0</v>
      </c>
      <c r="AW260" s="483">
        <f t="shared" si="155"/>
        <v>0</v>
      </c>
      <c r="AX260" s="514">
        <f t="shared" si="170"/>
        <v>0</v>
      </c>
      <c r="AY260" s="514" t="s">
        <v>1034</v>
      </c>
      <c r="AZ260" s="556">
        <f t="shared" si="171"/>
        <v>0</v>
      </c>
      <c r="BA260" s="557">
        <v>0</v>
      </c>
      <c r="BB260" s="557">
        <v>0</v>
      </c>
      <c r="BC260" s="557">
        <v>0</v>
      </c>
      <c r="BD260" s="557">
        <v>0</v>
      </c>
      <c r="BE260" s="557">
        <v>0</v>
      </c>
      <c r="BF260" s="556">
        <f t="shared" si="147"/>
        <v>0</v>
      </c>
      <c r="BG260" s="557">
        <v>0</v>
      </c>
      <c r="BH260" s="557">
        <v>0</v>
      </c>
      <c r="BI260" s="557">
        <v>0</v>
      </c>
      <c r="BJ260" s="557">
        <v>0</v>
      </c>
      <c r="BK260" s="557">
        <v>0</v>
      </c>
      <c r="BL260" s="556">
        <f t="shared" si="144"/>
        <v>0</v>
      </c>
      <c r="BM260" s="557">
        <v>0</v>
      </c>
      <c r="BN260" s="557">
        <v>0</v>
      </c>
      <c r="BO260" s="557">
        <v>0</v>
      </c>
      <c r="BP260" s="557">
        <v>0</v>
      </c>
      <c r="BQ260" s="557">
        <v>0</v>
      </c>
      <c r="BR260" s="318"/>
      <c r="BS260" s="318"/>
      <c r="BT260" s="318"/>
      <c r="BU260" s="318"/>
      <c r="BV260" s="318"/>
      <c r="BW260" s="318"/>
      <c r="BX260" s="318"/>
      <c r="BY260" s="318"/>
      <c r="BZ260" s="318"/>
      <c r="CA260" s="318"/>
      <c r="CB260" s="318"/>
      <c r="CC260" s="318"/>
      <c r="CD260" s="318"/>
      <c r="CE260" s="457"/>
      <c r="CF260" s="443"/>
      <c r="CG260" s="360"/>
      <c r="CH260" s="360"/>
      <c r="CI260" s="360"/>
      <c r="CJ260" s="360"/>
      <c r="CK260" s="360"/>
      <c r="CL260" s="360"/>
      <c r="CM260" s="360"/>
      <c r="CN260" s="360"/>
      <c r="CO260" s="360"/>
      <c r="CP260" s="360"/>
    </row>
    <row r="261" spans="1:94" s="315" customFormat="1" ht="13" hidden="1" x14ac:dyDescent="0.25">
      <c r="A261" s="403">
        <v>250</v>
      </c>
      <c r="B261" s="313" t="s">
        <v>1256</v>
      </c>
      <c r="C261" s="313" t="s">
        <v>1428</v>
      </c>
      <c r="D261" s="318" t="s">
        <v>594</v>
      </c>
      <c r="E261" s="318" t="s">
        <v>552</v>
      </c>
      <c r="F261" s="313" t="s">
        <v>250</v>
      </c>
      <c r="G261" s="313" t="s">
        <v>1427</v>
      </c>
      <c r="H261" s="305" t="s">
        <v>1429</v>
      </c>
      <c r="I261" s="305" t="s">
        <v>1431</v>
      </c>
      <c r="J261" s="370" t="e">
        <f>10*V261/(IF(#REF!="yes",0.188,1))</f>
        <v>#REF!</v>
      </c>
      <c r="K261" s="370" t="e">
        <f>5000*V261/(IF(#REF!="yes",0.188,1))</f>
        <v>#REF!</v>
      </c>
      <c r="L261" s="370" t="e">
        <f>K261</f>
        <v>#REF!</v>
      </c>
      <c r="M261" s="316" t="s">
        <v>807</v>
      </c>
      <c r="N261" s="398">
        <v>2019</v>
      </c>
      <c r="O261" s="398">
        <v>2022</v>
      </c>
      <c r="P261" s="305" t="s">
        <v>234</v>
      </c>
      <c r="Q261" s="354"/>
      <c r="R261" s="305"/>
      <c r="S261" s="305"/>
      <c r="T261" s="305"/>
      <c r="U261" s="305" t="s">
        <v>536</v>
      </c>
      <c r="V261" s="426">
        <v>0.188</v>
      </c>
      <c r="W261" s="412"/>
      <c r="X261" s="412"/>
      <c r="Y261" s="412" t="str">
        <f t="shared" si="146"/>
        <v/>
      </c>
      <c r="Z261" s="318"/>
      <c r="AA261" s="318"/>
      <c r="AB261" s="318"/>
      <c r="AC261" s="318"/>
      <c r="AD261" s="318" t="s">
        <v>1432</v>
      </c>
      <c r="AE261" s="483">
        <f t="shared" si="176"/>
        <v>0</v>
      </c>
      <c r="AF261" s="482">
        <f t="shared" si="176"/>
        <v>0</v>
      </c>
      <c r="AG261" s="482">
        <f t="shared" si="176"/>
        <v>0</v>
      </c>
      <c r="AH261" s="482">
        <f t="shared" si="176"/>
        <v>0</v>
      </c>
      <c r="AI261" s="557">
        <f t="shared" si="176"/>
        <v>0</v>
      </c>
      <c r="AJ261" s="557">
        <f t="shared" si="176"/>
        <v>0</v>
      </c>
      <c r="AK261" s="556">
        <v>10</v>
      </c>
      <c r="AL261" s="557" t="s">
        <v>1524</v>
      </c>
      <c r="AM261" s="557" t="s">
        <v>1524</v>
      </c>
      <c r="AN261" s="557" t="s">
        <v>1524</v>
      </c>
      <c r="AO261" s="557" t="s">
        <v>1524</v>
      </c>
      <c r="AP261" s="557">
        <f>IF(OR(M261="Exploration", M261="Pre-feasibility", O261&gt;2018), 0, "check")</f>
        <v>0</v>
      </c>
      <c r="AQ261" s="483">
        <f t="shared" si="150"/>
        <v>0</v>
      </c>
      <c r="AR261" s="482">
        <f t="shared" si="151"/>
        <v>0</v>
      </c>
      <c r="AS261" s="482">
        <f t="shared" si="151"/>
        <v>0</v>
      </c>
      <c r="AT261" s="482">
        <f t="shared" si="151"/>
        <v>0</v>
      </c>
      <c r="AU261" s="482">
        <f t="shared" si="151"/>
        <v>0</v>
      </c>
      <c r="AV261" s="482">
        <f t="shared" si="152"/>
        <v>0</v>
      </c>
      <c r="AW261" s="483">
        <f t="shared" si="155"/>
        <v>0</v>
      </c>
      <c r="AX261" s="514">
        <f t="shared" si="170"/>
        <v>0</v>
      </c>
      <c r="AY261" s="514" t="s">
        <v>1034</v>
      </c>
      <c r="AZ261" s="556">
        <f t="shared" si="171"/>
        <v>0</v>
      </c>
      <c r="BA261" s="557">
        <v>0</v>
      </c>
      <c r="BB261" s="557">
        <v>0</v>
      </c>
      <c r="BC261" s="557">
        <v>0</v>
      </c>
      <c r="BD261" s="557">
        <v>0</v>
      </c>
      <c r="BE261" s="557">
        <v>0</v>
      </c>
      <c r="BF261" s="556">
        <f t="shared" si="147"/>
        <v>10</v>
      </c>
      <c r="BG261" s="557">
        <v>0</v>
      </c>
      <c r="BH261" s="557">
        <v>0</v>
      </c>
      <c r="BI261" s="557">
        <v>0</v>
      </c>
      <c r="BJ261" s="557">
        <v>0</v>
      </c>
      <c r="BK261" s="557">
        <v>0</v>
      </c>
      <c r="BL261" s="556">
        <f t="shared" si="144"/>
        <v>0</v>
      </c>
      <c r="BM261" s="557">
        <v>0</v>
      </c>
      <c r="BN261" s="557">
        <v>0</v>
      </c>
      <c r="BO261" s="557">
        <v>0</v>
      </c>
      <c r="BP261" s="557">
        <v>0</v>
      </c>
      <c r="BQ261" s="557">
        <v>0</v>
      </c>
      <c r="BR261" s="318"/>
      <c r="BS261" s="318"/>
      <c r="BT261" s="318"/>
      <c r="BU261" s="318"/>
      <c r="BV261" s="318"/>
      <c r="BW261" s="318"/>
      <c r="BX261" s="318"/>
      <c r="BY261" s="318"/>
      <c r="BZ261" s="318"/>
      <c r="CA261" s="318"/>
      <c r="CB261" s="318"/>
      <c r="CC261" s="318"/>
      <c r="CD261" s="318"/>
      <c r="CE261" s="457" t="s">
        <v>1430</v>
      </c>
      <c r="CF261" s="443"/>
      <c r="CG261" s="360"/>
      <c r="CH261" s="360"/>
      <c r="CI261" s="360"/>
      <c r="CJ261" s="360"/>
      <c r="CK261" s="360"/>
      <c r="CL261" s="360"/>
      <c r="CM261" s="360"/>
      <c r="CN261" s="360"/>
      <c r="CO261" s="360"/>
      <c r="CP261" s="360"/>
    </row>
    <row r="262" spans="1:94" s="315" customFormat="1" ht="13" hidden="1" x14ac:dyDescent="0.25">
      <c r="A262" s="403">
        <v>251</v>
      </c>
      <c r="B262" s="313" t="s">
        <v>1440</v>
      </c>
      <c r="C262" s="313" t="s">
        <v>1445</v>
      </c>
      <c r="D262" s="318" t="s">
        <v>457</v>
      </c>
      <c r="E262" s="318"/>
      <c r="F262" s="313" t="s">
        <v>397</v>
      </c>
      <c r="G262" s="313" t="s">
        <v>1441</v>
      </c>
      <c r="H262" s="305"/>
      <c r="I262" s="305"/>
      <c r="J262" s="370"/>
      <c r="K262" s="370"/>
      <c r="L262" s="370"/>
      <c r="M262" s="316" t="s">
        <v>807</v>
      </c>
      <c r="N262" s="398"/>
      <c r="O262" s="398"/>
      <c r="P262" s="305" t="s">
        <v>463</v>
      </c>
      <c r="Q262" s="354" t="s">
        <v>1449</v>
      </c>
      <c r="R262" s="305"/>
      <c r="S262" s="305"/>
      <c r="T262" s="305" t="s">
        <v>1446</v>
      </c>
      <c r="U262" s="305"/>
      <c r="V262" s="426"/>
      <c r="W262" s="412"/>
      <c r="X262" s="412"/>
      <c r="Y262" s="412"/>
      <c r="Z262" s="318"/>
      <c r="AA262" s="318"/>
      <c r="AB262" s="318"/>
      <c r="AC262" s="318"/>
      <c r="AD262" s="458" t="s">
        <v>1452</v>
      </c>
      <c r="AE262" s="483">
        <f t="shared" si="176"/>
        <v>0</v>
      </c>
      <c r="AF262" s="482">
        <f t="shared" si="176"/>
        <v>0</v>
      </c>
      <c r="AG262" s="482">
        <f t="shared" si="176"/>
        <v>0</v>
      </c>
      <c r="AH262" s="482">
        <f t="shared" si="176"/>
        <v>0</v>
      </c>
      <c r="AI262" s="557">
        <f t="shared" si="176"/>
        <v>0</v>
      </c>
      <c r="AJ262" s="557">
        <f t="shared" si="176"/>
        <v>0</v>
      </c>
      <c r="AK262" s="556">
        <f t="shared" ref="AK262:AP266" si="177">IF(OR($M262="Exploration", $M262="Pre-feasibility", $O262&gt;2018), 0, "check")</f>
        <v>0</v>
      </c>
      <c r="AL262" s="557">
        <f t="shared" si="177"/>
        <v>0</v>
      </c>
      <c r="AM262" s="557">
        <f t="shared" si="177"/>
        <v>0</v>
      </c>
      <c r="AN262" s="557">
        <f t="shared" si="177"/>
        <v>0</v>
      </c>
      <c r="AO262" s="557">
        <f t="shared" si="177"/>
        <v>0</v>
      </c>
      <c r="AP262" s="557">
        <f t="shared" si="177"/>
        <v>0</v>
      </c>
      <c r="AQ262" s="483">
        <f t="shared" si="150"/>
        <v>0</v>
      </c>
      <c r="AR262" s="482">
        <f t="shared" si="151"/>
        <v>0</v>
      </c>
      <c r="AS262" s="482">
        <f t="shared" si="151"/>
        <v>0</v>
      </c>
      <c r="AT262" s="482">
        <f t="shared" si="151"/>
        <v>0</v>
      </c>
      <c r="AU262" s="482">
        <f t="shared" si="151"/>
        <v>0</v>
      </c>
      <c r="AV262" s="482">
        <f t="shared" si="152"/>
        <v>0</v>
      </c>
      <c r="AW262" s="483">
        <f t="shared" si="155"/>
        <v>0</v>
      </c>
      <c r="AX262" s="514">
        <f t="shared" si="170"/>
        <v>0</v>
      </c>
      <c r="AY262" s="514" t="s">
        <v>1034</v>
      </c>
      <c r="AZ262" s="556">
        <f t="shared" si="171"/>
        <v>0</v>
      </c>
      <c r="BA262" s="557">
        <v>0</v>
      </c>
      <c r="BB262" s="557">
        <v>0</v>
      </c>
      <c r="BC262" s="557">
        <v>0</v>
      </c>
      <c r="BD262" s="557">
        <v>0</v>
      </c>
      <c r="BE262" s="557">
        <v>0</v>
      </c>
      <c r="BF262" s="556">
        <f t="shared" si="147"/>
        <v>0</v>
      </c>
      <c r="BG262" s="557">
        <v>0</v>
      </c>
      <c r="BH262" s="557">
        <v>0</v>
      </c>
      <c r="BI262" s="557">
        <v>0</v>
      </c>
      <c r="BJ262" s="557">
        <v>0</v>
      </c>
      <c r="BK262" s="557">
        <v>0</v>
      </c>
      <c r="BL262" s="556">
        <f t="shared" si="144"/>
        <v>0</v>
      </c>
      <c r="BM262" s="557">
        <v>0</v>
      </c>
      <c r="BN262" s="557">
        <v>0</v>
      </c>
      <c r="BO262" s="557">
        <v>0</v>
      </c>
      <c r="BP262" s="557">
        <v>0</v>
      </c>
      <c r="BQ262" s="557">
        <v>0</v>
      </c>
      <c r="BR262" s="318"/>
      <c r="BS262" s="318"/>
      <c r="BT262" s="318"/>
      <c r="BU262" s="318"/>
      <c r="BV262" s="318"/>
      <c r="BW262" s="318"/>
      <c r="BX262" s="318"/>
      <c r="BY262" s="318"/>
      <c r="BZ262" s="318"/>
      <c r="CA262" s="318"/>
      <c r="CB262" s="318"/>
      <c r="CC262" s="318"/>
      <c r="CD262" s="318"/>
      <c r="CE262" s="457"/>
      <c r="CF262" s="443"/>
      <c r="CG262" s="360"/>
      <c r="CH262" s="360"/>
      <c r="CI262" s="360"/>
      <c r="CJ262" s="360"/>
      <c r="CK262" s="360"/>
      <c r="CL262" s="360"/>
      <c r="CM262" s="360"/>
      <c r="CN262" s="360"/>
      <c r="CO262" s="360"/>
      <c r="CP262" s="360"/>
    </row>
    <row r="263" spans="1:94" s="315" customFormat="1" ht="13" hidden="1" x14ac:dyDescent="0.25">
      <c r="A263" s="403">
        <v>252</v>
      </c>
      <c r="B263" s="313" t="s">
        <v>1440</v>
      </c>
      <c r="C263" s="313" t="s">
        <v>1443</v>
      </c>
      <c r="D263" s="318" t="s">
        <v>457</v>
      </c>
      <c r="E263" s="318"/>
      <c r="F263" s="313" t="s">
        <v>397</v>
      </c>
      <c r="G263" s="313" t="s">
        <v>1441</v>
      </c>
      <c r="H263" s="305"/>
      <c r="I263" s="305"/>
      <c r="J263" s="370"/>
      <c r="K263" s="370"/>
      <c r="L263" s="370"/>
      <c r="M263" s="316" t="s">
        <v>807</v>
      </c>
      <c r="N263" s="398"/>
      <c r="O263" s="398"/>
      <c r="P263" s="305" t="s">
        <v>463</v>
      </c>
      <c r="Q263" s="354" t="s">
        <v>1450</v>
      </c>
      <c r="R263" s="305"/>
      <c r="S263" s="305"/>
      <c r="T263" s="305" t="s">
        <v>1447</v>
      </c>
      <c r="U263" s="305"/>
      <c r="V263" s="426"/>
      <c r="W263" s="412"/>
      <c r="X263" s="412"/>
      <c r="Y263" s="412"/>
      <c r="Z263" s="318"/>
      <c r="AA263" s="318"/>
      <c r="AB263" s="318"/>
      <c r="AC263" s="318"/>
      <c r="AD263" s="458" t="s">
        <v>1452</v>
      </c>
      <c r="AE263" s="483">
        <f t="shared" si="176"/>
        <v>0</v>
      </c>
      <c r="AF263" s="482">
        <f t="shared" si="176"/>
        <v>0</v>
      </c>
      <c r="AG263" s="482">
        <f t="shared" si="176"/>
        <v>0</v>
      </c>
      <c r="AH263" s="482">
        <f t="shared" si="176"/>
        <v>0</v>
      </c>
      <c r="AI263" s="557">
        <f t="shared" si="176"/>
        <v>0</v>
      </c>
      <c r="AJ263" s="557">
        <f t="shared" si="176"/>
        <v>0</v>
      </c>
      <c r="AK263" s="556">
        <f t="shared" si="177"/>
        <v>0</v>
      </c>
      <c r="AL263" s="557">
        <f t="shared" si="177"/>
        <v>0</v>
      </c>
      <c r="AM263" s="557">
        <f t="shared" si="177"/>
        <v>0</v>
      </c>
      <c r="AN263" s="557">
        <f t="shared" si="177"/>
        <v>0</v>
      </c>
      <c r="AO263" s="557">
        <f t="shared" si="177"/>
        <v>0</v>
      </c>
      <c r="AP263" s="557">
        <f t="shared" si="177"/>
        <v>0</v>
      </c>
      <c r="AQ263" s="483">
        <f t="shared" si="150"/>
        <v>0</v>
      </c>
      <c r="AR263" s="482">
        <f t="shared" si="151"/>
        <v>0</v>
      </c>
      <c r="AS263" s="482">
        <f t="shared" si="151"/>
        <v>0</v>
      </c>
      <c r="AT263" s="482">
        <f t="shared" si="151"/>
        <v>0</v>
      </c>
      <c r="AU263" s="482">
        <f t="shared" si="151"/>
        <v>0</v>
      </c>
      <c r="AV263" s="482">
        <f t="shared" si="152"/>
        <v>0</v>
      </c>
      <c r="AW263" s="483">
        <f t="shared" si="155"/>
        <v>0</v>
      </c>
      <c r="AX263" s="514">
        <f t="shared" si="170"/>
        <v>0</v>
      </c>
      <c r="AY263" s="514" t="s">
        <v>1034</v>
      </c>
      <c r="AZ263" s="556">
        <f t="shared" si="171"/>
        <v>0</v>
      </c>
      <c r="BA263" s="557">
        <v>0</v>
      </c>
      <c r="BB263" s="557">
        <v>0</v>
      </c>
      <c r="BC263" s="557">
        <v>0</v>
      </c>
      <c r="BD263" s="557">
        <v>0</v>
      </c>
      <c r="BE263" s="557">
        <v>0</v>
      </c>
      <c r="BF263" s="556">
        <f t="shared" si="147"/>
        <v>0</v>
      </c>
      <c r="BG263" s="557">
        <v>0</v>
      </c>
      <c r="BH263" s="557">
        <v>0</v>
      </c>
      <c r="BI263" s="557">
        <v>0</v>
      </c>
      <c r="BJ263" s="557">
        <v>0</v>
      </c>
      <c r="BK263" s="557">
        <v>0</v>
      </c>
      <c r="BL263" s="556">
        <f t="shared" si="144"/>
        <v>0</v>
      </c>
      <c r="BM263" s="557">
        <v>0</v>
      </c>
      <c r="BN263" s="557">
        <v>0</v>
      </c>
      <c r="BO263" s="557">
        <v>0</v>
      </c>
      <c r="BP263" s="557">
        <v>0</v>
      </c>
      <c r="BQ263" s="557">
        <v>0</v>
      </c>
      <c r="BR263" s="318"/>
      <c r="BS263" s="318"/>
      <c r="BT263" s="318"/>
      <c r="BU263" s="318"/>
      <c r="BV263" s="318"/>
      <c r="BW263" s="318"/>
      <c r="BX263" s="318"/>
      <c r="BY263" s="318"/>
      <c r="BZ263" s="318"/>
      <c r="CA263" s="318"/>
      <c r="CB263" s="318"/>
      <c r="CC263" s="318"/>
      <c r="CD263" s="318"/>
      <c r="CE263" s="457"/>
      <c r="CF263" s="443"/>
      <c r="CG263" s="360"/>
      <c r="CH263" s="360"/>
      <c r="CI263" s="360"/>
      <c r="CJ263" s="360"/>
      <c r="CK263" s="360"/>
      <c r="CL263" s="360"/>
      <c r="CM263" s="360"/>
      <c r="CN263" s="360"/>
      <c r="CO263" s="360"/>
      <c r="CP263" s="360"/>
    </row>
    <row r="264" spans="1:94" s="315" customFormat="1" ht="13" hidden="1" x14ac:dyDescent="0.25">
      <c r="A264" s="403">
        <v>253</v>
      </c>
      <c r="B264" s="313" t="s">
        <v>1440</v>
      </c>
      <c r="C264" s="313" t="s">
        <v>1444</v>
      </c>
      <c r="D264" s="318" t="s">
        <v>457</v>
      </c>
      <c r="E264" s="318"/>
      <c r="F264" s="313" t="s">
        <v>397</v>
      </c>
      <c r="G264" s="313" t="s">
        <v>1441</v>
      </c>
      <c r="H264" s="305"/>
      <c r="I264" s="305"/>
      <c r="J264" s="370"/>
      <c r="K264" s="370"/>
      <c r="L264" s="370"/>
      <c r="M264" s="316" t="s">
        <v>807</v>
      </c>
      <c r="N264" s="398"/>
      <c r="O264" s="398"/>
      <c r="P264" s="305" t="s">
        <v>463</v>
      </c>
      <c r="Q264" s="354" t="s">
        <v>1451</v>
      </c>
      <c r="R264" s="305"/>
      <c r="S264" s="305"/>
      <c r="T264" s="305" t="s">
        <v>1448</v>
      </c>
      <c r="U264" s="305"/>
      <c r="V264" s="426"/>
      <c r="W264" s="412"/>
      <c r="X264" s="412"/>
      <c r="Y264" s="412"/>
      <c r="Z264" s="318"/>
      <c r="AA264" s="318"/>
      <c r="AB264" s="318"/>
      <c r="AC264" s="318"/>
      <c r="AD264" s="458" t="s">
        <v>1452</v>
      </c>
      <c r="AE264" s="483">
        <f t="shared" ref="AE264:AJ264" si="178">IF(OR($M264="Exploration", $M264="Pre-feasibility", $O264&gt;2017), 0, "check")</f>
        <v>0</v>
      </c>
      <c r="AF264" s="482">
        <f t="shared" si="178"/>
        <v>0</v>
      </c>
      <c r="AG264" s="482">
        <f t="shared" si="178"/>
        <v>0</v>
      </c>
      <c r="AH264" s="482">
        <f t="shared" si="178"/>
        <v>0</v>
      </c>
      <c r="AI264" s="557">
        <f t="shared" si="178"/>
        <v>0</v>
      </c>
      <c r="AJ264" s="557">
        <f t="shared" si="178"/>
        <v>0</v>
      </c>
      <c r="AK264" s="556">
        <f t="shared" si="177"/>
        <v>0</v>
      </c>
      <c r="AL264" s="557">
        <f t="shared" si="177"/>
        <v>0</v>
      </c>
      <c r="AM264" s="557">
        <f t="shared" si="177"/>
        <v>0</v>
      </c>
      <c r="AN264" s="557">
        <f t="shared" si="177"/>
        <v>0</v>
      </c>
      <c r="AO264" s="557">
        <f t="shared" si="177"/>
        <v>0</v>
      </c>
      <c r="AP264" s="557">
        <f t="shared" si="177"/>
        <v>0</v>
      </c>
      <c r="AQ264" s="483">
        <f t="shared" si="150"/>
        <v>0</v>
      </c>
      <c r="AR264" s="482">
        <f t="shared" si="151"/>
        <v>0</v>
      </c>
      <c r="AS264" s="482">
        <f t="shared" si="151"/>
        <v>0</v>
      </c>
      <c r="AT264" s="482">
        <f t="shared" si="151"/>
        <v>0</v>
      </c>
      <c r="AU264" s="482">
        <f t="shared" si="151"/>
        <v>0</v>
      </c>
      <c r="AV264" s="482">
        <f t="shared" si="152"/>
        <v>0</v>
      </c>
      <c r="AW264" s="483">
        <f t="shared" si="155"/>
        <v>0</v>
      </c>
      <c r="AX264" s="514">
        <f t="shared" si="170"/>
        <v>0</v>
      </c>
      <c r="AY264" s="514" t="s">
        <v>1034</v>
      </c>
      <c r="AZ264" s="556">
        <f t="shared" si="171"/>
        <v>0</v>
      </c>
      <c r="BA264" s="557">
        <v>0</v>
      </c>
      <c r="BB264" s="557">
        <v>0</v>
      </c>
      <c r="BC264" s="557">
        <v>0</v>
      </c>
      <c r="BD264" s="557">
        <v>0</v>
      </c>
      <c r="BE264" s="557">
        <v>0</v>
      </c>
      <c r="BF264" s="556">
        <f t="shared" si="147"/>
        <v>0</v>
      </c>
      <c r="BG264" s="557">
        <v>0</v>
      </c>
      <c r="BH264" s="557">
        <v>0</v>
      </c>
      <c r="BI264" s="557">
        <v>0</v>
      </c>
      <c r="BJ264" s="557">
        <v>0</v>
      </c>
      <c r="BK264" s="557">
        <v>0</v>
      </c>
      <c r="BL264" s="556">
        <f t="shared" si="144"/>
        <v>0</v>
      </c>
      <c r="BM264" s="557">
        <v>0</v>
      </c>
      <c r="BN264" s="557">
        <v>0</v>
      </c>
      <c r="BO264" s="557">
        <v>0</v>
      </c>
      <c r="BP264" s="557">
        <v>0</v>
      </c>
      <c r="BQ264" s="557">
        <v>0</v>
      </c>
      <c r="BR264" s="318"/>
      <c r="BS264" s="318"/>
      <c r="BT264" s="318"/>
      <c r="BU264" s="318"/>
      <c r="BV264" s="318"/>
      <c r="BW264" s="318"/>
      <c r="BX264" s="318"/>
      <c r="BY264" s="318"/>
      <c r="BZ264" s="318"/>
      <c r="CA264" s="318"/>
      <c r="CB264" s="318"/>
      <c r="CC264" s="318"/>
      <c r="CD264" s="318"/>
      <c r="CE264" s="457"/>
      <c r="CF264" s="443"/>
      <c r="CG264" s="360"/>
      <c r="CH264" s="360"/>
      <c r="CI264" s="360"/>
      <c r="CJ264" s="360"/>
      <c r="CK264" s="360"/>
      <c r="CL264" s="360"/>
      <c r="CM264" s="360"/>
      <c r="CN264" s="360"/>
      <c r="CO264" s="360"/>
      <c r="CP264" s="360"/>
    </row>
    <row r="265" spans="1:94" s="315" customFormat="1" ht="21" hidden="1" customHeight="1" x14ac:dyDescent="0.25">
      <c r="A265" s="403">
        <v>254</v>
      </c>
      <c r="B265" s="313" t="s">
        <v>1440</v>
      </c>
      <c r="C265" s="313" t="s">
        <v>1442</v>
      </c>
      <c r="D265" s="318" t="s">
        <v>594</v>
      </c>
      <c r="E265" s="318"/>
      <c r="F265" s="313" t="s">
        <v>397</v>
      </c>
      <c r="G265" s="313" t="s">
        <v>1441</v>
      </c>
      <c r="H265" s="305"/>
      <c r="I265" s="305"/>
      <c r="J265" s="370"/>
      <c r="K265" s="370"/>
      <c r="L265" s="370"/>
      <c r="M265" s="316" t="s">
        <v>807</v>
      </c>
      <c r="N265" s="398"/>
      <c r="O265" s="398"/>
      <c r="P265" s="305" t="s">
        <v>463</v>
      </c>
      <c r="Q265" s="354" t="s">
        <v>572</v>
      </c>
      <c r="R265" s="305"/>
      <c r="S265" s="305"/>
      <c r="T265" s="305" t="s">
        <v>572</v>
      </c>
      <c r="U265" s="305"/>
      <c r="V265" s="426"/>
      <c r="W265" s="412"/>
      <c r="X265" s="412"/>
      <c r="Y265" s="412"/>
      <c r="Z265" s="318"/>
      <c r="AA265" s="318"/>
      <c r="AB265" s="318"/>
      <c r="AC265" s="318"/>
      <c r="AD265" s="458" t="s">
        <v>1452</v>
      </c>
      <c r="AE265" s="483">
        <f t="shared" ref="AE265:AJ265" si="179">IF(OR($M265="Exploration", $M265="Pre-feasibility", $O265&gt;2017), 0, "check")</f>
        <v>0</v>
      </c>
      <c r="AF265" s="482">
        <f t="shared" si="179"/>
        <v>0</v>
      </c>
      <c r="AG265" s="482">
        <f t="shared" si="179"/>
        <v>0</v>
      </c>
      <c r="AH265" s="482">
        <f t="shared" si="179"/>
        <v>0</v>
      </c>
      <c r="AI265" s="557">
        <f t="shared" si="179"/>
        <v>0</v>
      </c>
      <c r="AJ265" s="557">
        <f t="shared" si="179"/>
        <v>0</v>
      </c>
      <c r="AK265" s="556">
        <f t="shared" si="177"/>
        <v>0</v>
      </c>
      <c r="AL265" s="557">
        <f t="shared" si="177"/>
        <v>0</v>
      </c>
      <c r="AM265" s="557">
        <f t="shared" si="177"/>
        <v>0</v>
      </c>
      <c r="AN265" s="557">
        <f t="shared" si="177"/>
        <v>0</v>
      </c>
      <c r="AO265" s="557">
        <f t="shared" si="177"/>
        <v>0</v>
      </c>
      <c r="AP265" s="557">
        <f t="shared" si="177"/>
        <v>0</v>
      </c>
      <c r="AQ265" s="483">
        <f t="shared" si="150"/>
        <v>0</v>
      </c>
      <c r="AR265" s="482">
        <f t="shared" si="151"/>
        <v>0</v>
      </c>
      <c r="AS265" s="482">
        <f t="shared" si="151"/>
        <v>0</v>
      </c>
      <c r="AT265" s="482">
        <f t="shared" si="151"/>
        <v>0</v>
      </c>
      <c r="AU265" s="482">
        <f t="shared" si="151"/>
        <v>0</v>
      </c>
      <c r="AV265" s="482">
        <f t="shared" si="152"/>
        <v>0</v>
      </c>
      <c r="AW265" s="483">
        <f t="shared" si="155"/>
        <v>0</v>
      </c>
      <c r="AX265" s="514">
        <f t="shared" si="170"/>
        <v>0</v>
      </c>
      <c r="AY265" s="514" t="s">
        <v>1034</v>
      </c>
      <c r="AZ265" s="556">
        <f t="shared" si="171"/>
        <v>0</v>
      </c>
      <c r="BA265" s="557">
        <v>0</v>
      </c>
      <c r="BB265" s="557">
        <v>0</v>
      </c>
      <c r="BC265" s="557">
        <v>0</v>
      </c>
      <c r="BD265" s="557">
        <v>0</v>
      </c>
      <c r="BE265" s="557">
        <v>0</v>
      </c>
      <c r="BF265" s="556">
        <f t="shared" si="147"/>
        <v>0</v>
      </c>
      <c r="BG265" s="557">
        <v>0</v>
      </c>
      <c r="BH265" s="557">
        <v>0</v>
      </c>
      <c r="BI265" s="557">
        <v>0</v>
      </c>
      <c r="BJ265" s="557">
        <v>0</v>
      </c>
      <c r="BK265" s="557">
        <v>0</v>
      </c>
      <c r="BL265" s="556">
        <f t="shared" si="144"/>
        <v>0</v>
      </c>
      <c r="BM265" s="557">
        <v>0</v>
      </c>
      <c r="BN265" s="557">
        <v>0</v>
      </c>
      <c r="BO265" s="557">
        <v>0</v>
      </c>
      <c r="BP265" s="557">
        <v>0</v>
      </c>
      <c r="BQ265" s="557">
        <v>0</v>
      </c>
      <c r="BR265" s="318"/>
      <c r="BS265" s="318"/>
      <c r="BT265" s="318"/>
      <c r="BU265" s="318"/>
      <c r="BV265" s="318"/>
      <c r="BW265" s="318"/>
      <c r="BX265" s="318"/>
      <c r="BY265" s="318"/>
      <c r="BZ265" s="318"/>
      <c r="CA265" s="318"/>
      <c r="CB265" s="318"/>
      <c r="CC265" s="318"/>
      <c r="CD265" s="318"/>
      <c r="CE265" s="457"/>
      <c r="CF265" s="443"/>
      <c r="CG265" s="360"/>
      <c r="CH265" s="360"/>
      <c r="CI265" s="360"/>
      <c r="CJ265" s="360"/>
      <c r="CK265" s="360"/>
      <c r="CL265" s="360"/>
      <c r="CM265" s="360"/>
      <c r="CN265" s="360"/>
      <c r="CO265" s="360"/>
      <c r="CP265" s="360"/>
    </row>
    <row r="266" spans="1:94" s="315" customFormat="1" ht="13" hidden="1" x14ac:dyDescent="0.25">
      <c r="A266" s="403">
        <v>255</v>
      </c>
      <c r="B266" s="313" t="s">
        <v>471</v>
      </c>
      <c r="C266" s="313" t="s">
        <v>800</v>
      </c>
      <c r="D266" s="318" t="s">
        <v>594</v>
      </c>
      <c r="E266" s="318"/>
      <c r="F266" s="313" t="s">
        <v>244</v>
      </c>
      <c r="G266" s="313" t="s">
        <v>1409</v>
      </c>
      <c r="H266" s="305" t="s">
        <v>1516</v>
      </c>
      <c r="I266" s="305"/>
      <c r="J266" s="370"/>
      <c r="K266" s="370"/>
      <c r="L266" s="370"/>
      <c r="M266" s="316"/>
      <c r="N266" s="398"/>
      <c r="O266" s="398"/>
      <c r="P266" s="305"/>
      <c r="Q266" s="354"/>
      <c r="R266" s="305"/>
      <c r="S266" s="305"/>
      <c r="T266" s="305"/>
      <c r="U266" s="305" t="s">
        <v>804</v>
      </c>
      <c r="V266" s="426"/>
      <c r="W266" s="443"/>
      <c r="X266" s="414"/>
      <c r="Y266" s="412"/>
      <c r="Z266" s="318"/>
      <c r="AA266" s="318"/>
      <c r="AB266" s="318"/>
      <c r="AC266" s="318"/>
      <c r="AD266" s="318"/>
      <c r="AE266" s="483" t="str">
        <f t="shared" ref="AE266:AJ266" si="180">IF(OR($M266="Exploration", $M266="Pre-feasibility", $O266&gt;2017), 0, "check")</f>
        <v>check</v>
      </c>
      <c r="AF266" s="482" t="str">
        <f t="shared" si="180"/>
        <v>check</v>
      </c>
      <c r="AG266" s="482" t="str">
        <f t="shared" si="180"/>
        <v>check</v>
      </c>
      <c r="AH266" s="482" t="str">
        <f t="shared" si="180"/>
        <v>check</v>
      </c>
      <c r="AI266" s="557" t="str">
        <f t="shared" si="180"/>
        <v>check</v>
      </c>
      <c r="AJ266" s="557" t="str">
        <f t="shared" si="180"/>
        <v>check</v>
      </c>
      <c r="AK266" s="556" t="str">
        <f t="shared" si="177"/>
        <v>check</v>
      </c>
      <c r="AL266" s="557" t="str">
        <f t="shared" si="177"/>
        <v>check</v>
      </c>
      <c r="AM266" s="557" t="str">
        <f t="shared" si="177"/>
        <v>check</v>
      </c>
      <c r="AN266" s="557" t="str">
        <f t="shared" si="177"/>
        <v>check</v>
      </c>
      <c r="AO266" s="557" t="str">
        <f t="shared" si="177"/>
        <v>check</v>
      </c>
      <c r="AP266" s="557" t="str">
        <f t="shared" si="177"/>
        <v>check</v>
      </c>
      <c r="AQ266" s="483">
        <v>0</v>
      </c>
      <c r="AR266" s="482" t="str">
        <f t="shared" si="151"/>
        <v>check</v>
      </c>
      <c r="AS266" s="482" t="str">
        <f t="shared" si="151"/>
        <v>check</v>
      </c>
      <c r="AT266" s="482" t="str">
        <f t="shared" si="151"/>
        <v>check</v>
      </c>
      <c r="AU266" s="482" t="str">
        <f t="shared" si="151"/>
        <v>check</v>
      </c>
      <c r="AV266" s="482" t="str">
        <f t="shared" si="152"/>
        <v>check</v>
      </c>
      <c r="AW266" s="483">
        <f t="shared" si="155"/>
        <v>0</v>
      </c>
      <c r="AX266" s="514">
        <f t="shared" si="170"/>
        <v>0</v>
      </c>
      <c r="AY266" s="482" t="s">
        <v>1524</v>
      </c>
      <c r="AZ266" s="556" t="str">
        <f t="shared" si="171"/>
        <v>check</v>
      </c>
      <c r="BA266" s="557" t="str">
        <f t="shared" ref="AZ266:BE266" si="181">IF(OR($M266="Exploration", $M266="Pre-feasibility", $O266&gt;2017), 0, "check")</f>
        <v>check</v>
      </c>
      <c r="BB266" s="557" t="str">
        <f t="shared" si="181"/>
        <v>check</v>
      </c>
      <c r="BC266" s="557" t="str">
        <f t="shared" si="181"/>
        <v>check</v>
      </c>
      <c r="BD266" s="557" t="str">
        <f t="shared" si="181"/>
        <v>check</v>
      </c>
      <c r="BE266" s="557" t="str">
        <f t="shared" si="181"/>
        <v>check</v>
      </c>
      <c r="BF266" s="556" t="str">
        <f t="shared" si="147"/>
        <v>check</v>
      </c>
      <c r="BG266" s="557" t="str">
        <f t="shared" ref="BF266:BK266" si="182">IF(OR($M266="Exploration", $M266="Pre-feasibility", $O266&gt;2018), 0, "check")</f>
        <v>check</v>
      </c>
      <c r="BH266" s="557" t="str">
        <f t="shared" si="182"/>
        <v>check</v>
      </c>
      <c r="BI266" s="557" t="str">
        <f t="shared" si="182"/>
        <v>check</v>
      </c>
      <c r="BJ266" s="557" t="str">
        <f t="shared" si="182"/>
        <v>check</v>
      </c>
      <c r="BK266" s="557" t="str">
        <f t="shared" si="182"/>
        <v>check</v>
      </c>
      <c r="BL266" s="556">
        <f t="shared" si="144"/>
        <v>0</v>
      </c>
      <c r="BM266" s="557" t="str">
        <f t="shared" ref="BM266:BP266" si="183">IF(OR($M266="Exploration", $M266="Pre-feasibility", $O266&gt;2019), 0, "check")</f>
        <v>check</v>
      </c>
      <c r="BN266" s="557" t="str">
        <f t="shared" si="183"/>
        <v>check</v>
      </c>
      <c r="BO266" s="557" t="str">
        <f t="shared" si="183"/>
        <v>check</v>
      </c>
      <c r="BP266" s="557" t="str">
        <f t="shared" si="183"/>
        <v>check</v>
      </c>
      <c r="BQ266" s="557">
        <f t="shared" ref="BQ266" si="184">IF(OR(AH266="Exploration", AH266="Pre-feasibility", AJ266&gt;2019), 0, "check")</f>
        <v>0</v>
      </c>
      <c r="BR266" s="318"/>
      <c r="BS266" s="318"/>
      <c r="BT266" s="318"/>
      <c r="BU266" s="318"/>
      <c r="BV266" s="318"/>
      <c r="BW266" s="318"/>
      <c r="BX266" s="318"/>
      <c r="BY266" s="318"/>
      <c r="BZ266" s="318"/>
      <c r="CA266" s="318"/>
      <c r="CB266" s="318"/>
      <c r="CC266" s="318"/>
      <c r="CD266" s="318"/>
      <c r="CE266" s="457"/>
      <c r="CF266" s="443"/>
      <c r="CG266" s="360"/>
      <c r="CH266" s="360"/>
      <c r="CI266" s="360"/>
      <c r="CJ266" s="360"/>
      <c r="CK266" s="360"/>
      <c r="CL266" s="360"/>
      <c r="CM266" s="360"/>
      <c r="CN266" s="360"/>
      <c r="CO266" s="360"/>
      <c r="CP266" s="360"/>
    </row>
    <row r="267" spans="1:94" s="315" customFormat="1" ht="13" hidden="1" x14ac:dyDescent="0.25">
      <c r="A267" s="403">
        <v>256</v>
      </c>
      <c r="B267" s="313" t="s">
        <v>690</v>
      </c>
      <c r="C267" s="313" t="s">
        <v>1521</v>
      </c>
      <c r="D267" s="318" t="s">
        <v>594</v>
      </c>
      <c r="E267" s="318"/>
      <c r="F267" s="313" t="s">
        <v>252</v>
      </c>
      <c r="G267" s="313"/>
      <c r="H267" s="305" t="s">
        <v>1522</v>
      </c>
      <c r="I267" s="305"/>
      <c r="J267" s="370">
        <v>1500</v>
      </c>
      <c r="K267" s="370">
        <v>1500</v>
      </c>
      <c r="L267" s="370">
        <v>1500</v>
      </c>
      <c r="M267" s="316" t="s">
        <v>483</v>
      </c>
      <c r="N267" s="398"/>
      <c r="O267" s="398">
        <v>2016</v>
      </c>
      <c r="P267" s="305" t="s">
        <v>519</v>
      </c>
      <c r="Q267" s="354"/>
      <c r="R267" s="305"/>
      <c r="S267" s="305"/>
      <c r="T267" s="305"/>
      <c r="U267" s="305" t="s">
        <v>536</v>
      </c>
      <c r="V267" s="426">
        <v>0.188</v>
      </c>
      <c r="W267" s="443"/>
      <c r="X267" s="414"/>
      <c r="Y267" s="412"/>
      <c r="Z267" s="318"/>
      <c r="AA267" s="318"/>
      <c r="AB267" s="318"/>
      <c r="AC267" s="318"/>
      <c r="AD267" s="306" t="s">
        <v>1523</v>
      </c>
      <c r="AE267" s="483">
        <v>1500</v>
      </c>
      <c r="AF267" s="482" t="s">
        <v>1524</v>
      </c>
      <c r="AG267" s="482" t="s">
        <v>1524</v>
      </c>
      <c r="AH267" s="482" t="s">
        <v>1524</v>
      </c>
      <c r="AI267" s="557" t="s">
        <v>1524</v>
      </c>
      <c r="AJ267" s="557" t="s">
        <v>1524</v>
      </c>
      <c r="AK267" s="556">
        <v>1500</v>
      </c>
      <c r="AL267" s="557" t="s">
        <v>1524</v>
      </c>
      <c r="AM267" s="557" t="s">
        <v>1524</v>
      </c>
      <c r="AN267" s="557" t="s">
        <v>1524</v>
      </c>
      <c r="AO267" s="557" t="s">
        <v>1524</v>
      </c>
      <c r="AP267" s="557" t="s">
        <v>1524</v>
      </c>
      <c r="AQ267" s="483">
        <v>1500</v>
      </c>
      <c r="AR267" s="482" t="s">
        <v>1524</v>
      </c>
      <c r="AS267" s="482" t="s">
        <v>1524</v>
      </c>
      <c r="AT267" s="482" t="s">
        <v>1524</v>
      </c>
      <c r="AU267" s="482" t="s">
        <v>1524</v>
      </c>
      <c r="AV267" s="482" t="s">
        <v>1524</v>
      </c>
      <c r="AW267" s="483">
        <f t="shared" si="155"/>
        <v>1500</v>
      </c>
      <c r="AX267" s="514" t="str">
        <f>IF($O267&gt;2020,0,IF(AW267=0,0,"check"))</f>
        <v>check</v>
      </c>
      <c r="AY267" s="482" t="s">
        <v>1524</v>
      </c>
      <c r="AZ267" s="556">
        <f t="shared" si="171"/>
        <v>1500</v>
      </c>
      <c r="BA267" s="557" t="s">
        <v>1524</v>
      </c>
      <c r="BB267" s="557" t="s">
        <v>1524</v>
      </c>
      <c r="BC267" s="557" t="s">
        <v>1524</v>
      </c>
      <c r="BD267" s="557" t="s">
        <v>1524</v>
      </c>
      <c r="BE267" s="557" t="s">
        <v>1524</v>
      </c>
      <c r="BF267" s="556">
        <f t="shared" si="147"/>
        <v>1500</v>
      </c>
      <c r="BG267" s="557" t="s">
        <v>1524</v>
      </c>
      <c r="BH267" s="557" t="s">
        <v>1524</v>
      </c>
      <c r="BI267" s="557" t="s">
        <v>1524</v>
      </c>
      <c r="BJ267" s="557" t="s">
        <v>1524</v>
      </c>
      <c r="BK267" s="557" t="s">
        <v>1524</v>
      </c>
      <c r="BL267" s="556">
        <f>AQ267</f>
        <v>1500</v>
      </c>
      <c r="BM267" s="557" t="s">
        <v>1524</v>
      </c>
      <c r="BN267" s="557" t="s">
        <v>1524</v>
      </c>
      <c r="BO267" s="557" t="s">
        <v>1524</v>
      </c>
      <c r="BP267" s="557" t="s">
        <v>1524</v>
      </c>
      <c r="BQ267" s="557" t="s">
        <v>1524</v>
      </c>
      <c r="BR267" s="318"/>
      <c r="BS267" s="318"/>
      <c r="BT267" s="318"/>
      <c r="BU267" s="318"/>
      <c r="BV267" s="318"/>
      <c r="BW267" s="318"/>
      <c r="BX267" s="318"/>
      <c r="BY267" s="318"/>
      <c r="BZ267" s="318"/>
      <c r="CA267" s="318"/>
      <c r="CB267" s="318"/>
      <c r="CC267" s="318"/>
      <c r="CD267" s="318"/>
      <c r="CE267" s="457"/>
      <c r="CF267" s="443"/>
      <c r="CG267" s="360"/>
      <c r="CH267" s="360"/>
      <c r="CI267" s="360"/>
      <c r="CJ267" s="360"/>
      <c r="CK267" s="360"/>
      <c r="CL267" s="360"/>
      <c r="CM267" s="360"/>
      <c r="CN267" s="360"/>
      <c r="CO267" s="360"/>
      <c r="CP267" s="360"/>
    </row>
    <row r="268" spans="1:94" s="315" customFormat="1" ht="13" hidden="1" x14ac:dyDescent="0.25">
      <c r="A268" s="403">
        <v>257</v>
      </c>
      <c r="B268" s="313"/>
      <c r="C268" s="313"/>
      <c r="D268" s="318"/>
      <c r="E268" s="318"/>
      <c r="F268" s="313"/>
      <c r="G268" s="313"/>
      <c r="K268" s="370"/>
      <c r="N268" s="398"/>
      <c r="Q268" s="354"/>
      <c r="R268" s="305"/>
      <c r="S268" s="305"/>
      <c r="T268" s="305"/>
      <c r="U268" s="305"/>
      <c r="V268" s="426"/>
      <c r="W268" s="443"/>
      <c r="X268" s="414"/>
      <c r="Y268" s="412"/>
      <c r="Z268" s="318"/>
      <c r="AA268" s="318"/>
      <c r="AB268" s="318"/>
      <c r="AC268" s="318"/>
      <c r="AF268" s="482"/>
      <c r="AG268" s="482"/>
      <c r="AH268" s="482"/>
      <c r="AI268" s="482"/>
      <c r="AK268" s="515"/>
      <c r="AL268" s="479"/>
      <c r="AM268" s="479"/>
      <c r="AN268" s="479"/>
      <c r="AO268" s="479"/>
      <c r="AQ268" s="483"/>
      <c r="AR268" s="482"/>
      <c r="AS268" s="482"/>
      <c r="AT268" s="482"/>
      <c r="AU268" s="482"/>
      <c r="AW268" s="483"/>
      <c r="AX268" s="514"/>
      <c r="AY268" s="514"/>
      <c r="AZ268" s="483"/>
      <c r="BA268" s="482"/>
      <c r="BB268" s="482"/>
      <c r="BC268" s="482"/>
      <c r="BD268" s="482"/>
      <c r="BE268" s="482"/>
      <c r="BF268" s="483"/>
      <c r="BG268" s="482"/>
      <c r="BH268" s="482"/>
      <c r="BI268" s="482"/>
      <c r="BJ268" s="482"/>
      <c r="BK268" s="482"/>
      <c r="BL268" s="483"/>
      <c r="BM268" s="482"/>
      <c r="BN268" s="482"/>
      <c r="BO268" s="482"/>
      <c r="BP268" s="482"/>
      <c r="BQ268" s="482"/>
      <c r="BR268" s="318"/>
      <c r="BS268" s="318"/>
      <c r="BT268" s="318"/>
      <c r="BU268" s="318"/>
      <c r="BV268" s="318"/>
      <c r="BW268" s="318"/>
      <c r="BX268" s="318"/>
      <c r="BY268" s="318"/>
      <c r="BZ268" s="318"/>
      <c r="CA268" s="318"/>
      <c r="CB268" s="318"/>
      <c r="CC268" s="318"/>
      <c r="CD268" s="318"/>
      <c r="CE268" s="457"/>
      <c r="CF268" s="443"/>
      <c r="CG268" s="360"/>
      <c r="CH268" s="360"/>
      <c r="CI268" s="360"/>
      <c r="CJ268" s="360"/>
      <c r="CK268" s="360"/>
      <c r="CL268" s="360"/>
      <c r="CM268" s="360"/>
      <c r="CN268" s="360"/>
      <c r="CO268" s="360"/>
      <c r="CP268" s="360"/>
    </row>
    <row r="269" spans="1:94" s="315" customFormat="1" ht="13" hidden="1" x14ac:dyDescent="0.25">
      <c r="A269" s="403">
        <v>258</v>
      </c>
      <c r="B269" s="313"/>
      <c r="C269" s="313"/>
      <c r="D269" s="318"/>
      <c r="E269" s="318"/>
      <c r="F269" s="313"/>
      <c r="G269" s="313"/>
      <c r="H269" s="305"/>
      <c r="I269" s="305"/>
      <c r="J269" s="370"/>
      <c r="K269" s="370"/>
      <c r="L269" s="370"/>
      <c r="M269" s="316"/>
      <c r="N269" s="398"/>
      <c r="O269" s="398"/>
      <c r="P269" s="305"/>
      <c r="Q269" s="354"/>
      <c r="R269" s="305"/>
      <c r="S269" s="305"/>
      <c r="T269" s="305"/>
      <c r="U269" s="305"/>
      <c r="V269" s="426"/>
      <c r="W269" s="443"/>
      <c r="X269" s="414"/>
      <c r="Y269" s="412"/>
      <c r="Z269" s="318"/>
      <c r="AA269" s="318"/>
      <c r="AB269" s="318"/>
      <c r="AC269" s="318"/>
      <c r="AD269" s="318"/>
      <c r="AE269" s="483"/>
      <c r="AF269" s="482"/>
      <c r="AG269" s="482"/>
      <c r="AH269" s="482"/>
      <c r="AI269" s="482"/>
      <c r="AJ269" s="482"/>
      <c r="AK269" s="480"/>
      <c r="AL269" s="479"/>
      <c r="AM269" s="479"/>
      <c r="AN269" s="479"/>
      <c r="AO269" s="479"/>
      <c r="AP269" s="482"/>
      <c r="AQ269" s="483"/>
      <c r="AR269" s="482"/>
      <c r="AS269" s="482"/>
      <c r="AT269" s="482"/>
      <c r="AU269" s="482"/>
      <c r="AV269" s="482"/>
      <c r="AW269" s="483"/>
      <c r="AX269" s="514"/>
      <c r="AY269" s="514"/>
      <c r="AZ269" s="483"/>
      <c r="BA269" s="482"/>
      <c r="BB269" s="482"/>
      <c r="BC269" s="482"/>
      <c r="BD269" s="482"/>
      <c r="BE269" s="482"/>
      <c r="BF269" s="483"/>
      <c r="BG269" s="482"/>
      <c r="BH269" s="482"/>
      <c r="BI269" s="482"/>
      <c r="BJ269" s="482"/>
      <c r="BK269" s="482"/>
      <c r="BL269" s="483"/>
      <c r="BM269" s="482"/>
      <c r="BN269" s="482"/>
      <c r="BO269" s="482"/>
      <c r="BP269" s="482"/>
      <c r="BQ269" s="482"/>
      <c r="BR269" s="318"/>
      <c r="BS269" s="318"/>
      <c r="BT269" s="318"/>
      <c r="BU269" s="318"/>
      <c r="BV269" s="318"/>
      <c r="BW269" s="318"/>
      <c r="BX269" s="318"/>
      <c r="BY269" s="318"/>
      <c r="BZ269" s="318"/>
      <c r="CA269" s="318"/>
      <c r="CB269" s="318"/>
      <c r="CC269" s="318"/>
      <c r="CD269" s="318"/>
      <c r="CE269" s="457"/>
      <c r="CF269" s="443"/>
      <c r="CG269" s="360"/>
      <c r="CH269" s="360"/>
      <c r="CI269" s="360"/>
      <c r="CJ269" s="360"/>
      <c r="CK269" s="360"/>
      <c r="CL269" s="360"/>
      <c r="CM269" s="360"/>
      <c r="CN269" s="360"/>
      <c r="CO269" s="360"/>
      <c r="CP269" s="360"/>
    </row>
    <row r="270" spans="1:94" s="315" customFormat="1" ht="13" hidden="1" x14ac:dyDescent="0.25">
      <c r="A270" s="403">
        <v>259</v>
      </c>
      <c r="B270" s="313"/>
      <c r="C270" s="313"/>
      <c r="D270" s="318"/>
      <c r="E270" s="318"/>
      <c r="F270" s="313"/>
      <c r="G270" s="313"/>
      <c r="H270" s="305"/>
      <c r="I270" s="305"/>
      <c r="J270" s="370"/>
      <c r="K270" s="370"/>
      <c r="L270" s="370"/>
      <c r="M270" s="316"/>
      <c r="N270" s="398"/>
      <c r="O270" s="398"/>
      <c r="P270" s="305"/>
      <c r="Q270" s="354"/>
      <c r="R270" s="305"/>
      <c r="S270" s="305"/>
      <c r="T270" s="305"/>
      <c r="U270" s="305"/>
      <c r="V270" s="426"/>
      <c r="W270" s="443"/>
      <c r="X270" s="414"/>
      <c r="Y270" s="412"/>
      <c r="Z270" s="318"/>
      <c r="AA270" s="318"/>
      <c r="AB270" s="318"/>
      <c r="AC270" s="318"/>
      <c r="AD270" s="318"/>
      <c r="AE270" s="483"/>
      <c r="AF270" s="482"/>
      <c r="AG270" s="482"/>
      <c r="AH270" s="482"/>
      <c r="AI270" s="482"/>
      <c r="AJ270" s="482"/>
      <c r="AK270" s="480"/>
      <c r="AL270" s="479"/>
      <c r="AM270" s="479"/>
      <c r="AN270" s="479"/>
      <c r="AO270" s="479"/>
      <c r="AP270" s="482"/>
      <c r="AQ270" s="483"/>
      <c r="AR270" s="482"/>
      <c r="AS270" s="482"/>
      <c r="AT270" s="482"/>
      <c r="AU270" s="482"/>
      <c r="AV270" s="482"/>
      <c r="AW270" s="483"/>
      <c r="AX270" s="514"/>
      <c r="AY270" s="514"/>
      <c r="AZ270" s="483"/>
      <c r="BA270" s="482"/>
      <c r="BB270" s="482"/>
      <c r="BC270" s="482"/>
      <c r="BD270" s="482"/>
      <c r="BE270" s="482"/>
      <c r="BF270" s="483"/>
      <c r="BG270" s="482"/>
      <c r="BH270" s="482"/>
      <c r="BI270" s="482"/>
      <c r="BJ270" s="482"/>
      <c r="BK270" s="482"/>
      <c r="BL270" s="483"/>
      <c r="BM270" s="482"/>
      <c r="BN270" s="482"/>
      <c r="BO270" s="482"/>
      <c r="BP270" s="482"/>
      <c r="BQ270" s="482"/>
      <c r="BR270" s="318"/>
      <c r="BS270" s="318"/>
      <c r="BT270" s="318"/>
      <c r="BU270" s="318"/>
      <c r="BV270" s="318"/>
      <c r="BW270" s="318"/>
      <c r="BX270" s="318"/>
      <c r="BY270" s="318"/>
      <c r="BZ270" s="318"/>
      <c r="CA270" s="318"/>
      <c r="CB270" s="318"/>
      <c r="CC270" s="318"/>
      <c r="CD270" s="318"/>
      <c r="CE270" s="457"/>
      <c r="CF270" s="443"/>
      <c r="CG270" s="360"/>
      <c r="CH270" s="360"/>
      <c r="CI270" s="360"/>
      <c r="CJ270" s="360"/>
      <c r="CK270" s="360"/>
      <c r="CL270" s="360"/>
      <c r="CM270" s="360"/>
      <c r="CN270" s="360"/>
      <c r="CO270" s="360"/>
      <c r="CP270" s="360"/>
    </row>
    <row r="271" spans="1:94" s="315" customFormat="1" ht="13" hidden="1" x14ac:dyDescent="0.25">
      <c r="A271" s="403">
        <v>260</v>
      </c>
      <c r="B271" s="313"/>
      <c r="C271" s="313"/>
      <c r="D271" s="318"/>
      <c r="E271" s="318"/>
      <c r="F271" s="313"/>
      <c r="G271" s="313"/>
      <c r="H271" s="305"/>
      <c r="I271" s="305"/>
      <c r="J271" s="370"/>
      <c r="K271" s="370"/>
      <c r="L271" s="370"/>
      <c r="M271" s="316"/>
      <c r="N271" s="398"/>
      <c r="O271" s="398"/>
      <c r="P271" s="305"/>
      <c r="Q271" s="354"/>
      <c r="R271" s="305"/>
      <c r="S271" s="305"/>
      <c r="T271" s="305"/>
      <c r="U271" s="305"/>
      <c r="V271" s="426"/>
      <c r="W271" s="443"/>
      <c r="X271" s="414"/>
      <c r="Y271" s="412"/>
      <c r="Z271" s="318"/>
      <c r="AA271" s="318"/>
      <c r="AB271" s="318"/>
      <c r="AC271" s="318"/>
      <c r="AD271" s="318"/>
      <c r="AE271" s="483"/>
      <c r="AF271" s="482"/>
      <c r="AG271" s="482"/>
      <c r="AH271" s="482"/>
      <c r="AI271" s="482"/>
      <c r="AJ271" s="482"/>
      <c r="AK271" s="480"/>
      <c r="AL271" s="479"/>
      <c r="AM271" s="479"/>
      <c r="AN271" s="479"/>
      <c r="AO271" s="479"/>
      <c r="AP271" s="482"/>
      <c r="AQ271" s="483"/>
      <c r="AR271" s="482"/>
      <c r="AS271" s="482"/>
      <c r="AT271" s="482"/>
      <c r="AU271" s="482"/>
      <c r="AV271" s="482"/>
      <c r="AW271" s="483"/>
      <c r="AX271" s="514"/>
      <c r="AY271" s="514"/>
      <c r="AZ271" s="483"/>
      <c r="BA271" s="482"/>
      <c r="BB271" s="482"/>
      <c r="BC271" s="482"/>
      <c r="BD271" s="482"/>
      <c r="BE271" s="482"/>
      <c r="BF271" s="483"/>
      <c r="BG271" s="482"/>
      <c r="BH271" s="482"/>
      <c r="BI271" s="482"/>
      <c r="BJ271" s="482"/>
      <c r="BK271" s="482"/>
      <c r="BL271" s="483"/>
      <c r="BM271" s="482"/>
      <c r="BN271" s="482"/>
      <c r="BO271" s="482"/>
      <c r="BP271" s="482"/>
      <c r="BQ271" s="482"/>
      <c r="BR271" s="318"/>
      <c r="BS271" s="318"/>
      <c r="BT271" s="318"/>
      <c r="BU271" s="318"/>
      <c r="BV271" s="318"/>
      <c r="BW271" s="318"/>
      <c r="BX271" s="318"/>
      <c r="BY271" s="318"/>
      <c r="BZ271" s="318"/>
      <c r="CA271" s="318"/>
      <c r="CB271" s="318"/>
      <c r="CC271" s="318"/>
      <c r="CD271" s="318"/>
      <c r="CE271" s="457"/>
      <c r="CF271" s="443"/>
      <c r="CG271" s="360"/>
      <c r="CH271" s="360"/>
      <c r="CI271" s="360"/>
      <c r="CJ271" s="360"/>
      <c r="CK271" s="360"/>
      <c r="CL271" s="360"/>
      <c r="CM271" s="360"/>
      <c r="CN271" s="360"/>
      <c r="CO271" s="360"/>
      <c r="CP271" s="360"/>
    </row>
    <row r="272" spans="1:94" s="315" customFormat="1" ht="13" hidden="1" x14ac:dyDescent="0.25">
      <c r="A272" s="403">
        <v>261</v>
      </c>
      <c r="B272" s="313"/>
      <c r="C272" s="313"/>
      <c r="D272" s="318"/>
      <c r="E272" s="318"/>
      <c r="F272" s="313"/>
      <c r="G272" s="313"/>
      <c r="H272" s="305"/>
      <c r="I272" s="305"/>
      <c r="J272" s="370"/>
      <c r="K272" s="370"/>
      <c r="L272" s="370"/>
      <c r="M272" s="316"/>
      <c r="N272" s="398"/>
      <c r="O272" s="398"/>
      <c r="P272" s="305"/>
      <c r="Q272" s="354"/>
      <c r="R272" s="305"/>
      <c r="S272" s="305"/>
      <c r="T272" s="305"/>
      <c r="U272" s="305"/>
      <c r="V272" s="426"/>
      <c r="W272" s="443"/>
      <c r="X272" s="414"/>
      <c r="Y272" s="412"/>
      <c r="Z272" s="318"/>
      <c r="AA272" s="318"/>
      <c r="AB272" s="318"/>
      <c r="AC272" s="318"/>
      <c r="AD272" s="318"/>
      <c r="AE272" s="483"/>
      <c r="AF272" s="482"/>
      <c r="AG272" s="482"/>
      <c r="AH272" s="482"/>
      <c r="AI272" s="482"/>
      <c r="AJ272" s="482"/>
      <c r="AK272" s="480"/>
      <c r="AL272" s="479"/>
      <c r="AM272" s="479"/>
      <c r="AN272" s="479"/>
      <c r="AO272" s="479"/>
      <c r="AP272" s="482"/>
      <c r="AQ272" s="483"/>
      <c r="AR272" s="482"/>
      <c r="AS272" s="482"/>
      <c r="AT272" s="482"/>
      <c r="AU272" s="482"/>
      <c r="AV272" s="482"/>
      <c r="AW272" s="483"/>
      <c r="AX272" s="514"/>
      <c r="AY272" s="514"/>
      <c r="AZ272" s="483"/>
      <c r="BA272" s="482"/>
      <c r="BB272" s="482"/>
      <c r="BC272" s="482"/>
      <c r="BD272" s="482"/>
      <c r="BE272" s="482"/>
      <c r="BF272" s="483"/>
      <c r="BG272" s="482"/>
      <c r="BH272" s="482"/>
      <c r="BI272" s="482"/>
      <c r="BJ272" s="482"/>
      <c r="BK272" s="482"/>
      <c r="BL272" s="483"/>
      <c r="BM272" s="482"/>
      <c r="BN272" s="482"/>
      <c r="BO272" s="482"/>
      <c r="BP272" s="482"/>
      <c r="BQ272" s="482"/>
      <c r="BR272" s="318"/>
      <c r="BS272" s="318"/>
      <c r="BT272" s="318"/>
      <c r="BU272" s="318"/>
      <c r="BV272" s="318"/>
      <c r="BW272" s="318"/>
      <c r="BX272" s="318"/>
      <c r="BY272" s="318"/>
      <c r="BZ272" s="318"/>
      <c r="CA272" s="318"/>
      <c r="CB272" s="318"/>
      <c r="CC272" s="318"/>
      <c r="CD272" s="318"/>
      <c r="CE272" s="457"/>
      <c r="CF272" s="443"/>
      <c r="CG272" s="360"/>
      <c r="CH272" s="360"/>
      <c r="CI272" s="360"/>
      <c r="CJ272" s="360"/>
      <c r="CK272" s="360"/>
      <c r="CL272" s="360"/>
      <c r="CM272" s="360"/>
      <c r="CN272" s="360"/>
      <c r="CO272" s="360"/>
      <c r="CP272" s="360"/>
    </row>
    <row r="273" spans="1:94" s="315" customFormat="1" ht="13" hidden="1" x14ac:dyDescent="0.25">
      <c r="A273" s="403">
        <v>262</v>
      </c>
      <c r="B273" s="313"/>
      <c r="C273" s="313"/>
      <c r="D273" s="318"/>
      <c r="E273" s="318"/>
      <c r="F273" s="313"/>
      <c r="G273" s="313"/>
      <c r="H273" s="305"/>
      <c r="I273" s="305"/>
      <c r="J273" s="370"/>
      <c r="K273" s="370"/>
      <c r="L273" s="370"/>
      <c r="M273" s="316"/>
      <c r="N273" s="398"/>
      <c r="O273" s="398"/>
      <c r="P273" s="305"/>
      <c r="Q273" s="354"/>
      <c r="R273" s="305"/>
      <c r="S273" s="305"/>
      <c r="T273" s="305"/>
      <c r="U273" s="305"/>
      <c r="V273" s="426"/>
      <c r="W273" s="443"/>
      <c r="X273" s="414"/>
      <c r="Y273" s="412"/>
      <c r="Z273" s="318"/>
      <c r="AA273" s="318"/>
      <c r="AB273" s="318"/>
      <c r="AC273" s="318"/>
      <c r="AD273" s="318"/>
      <c r="AE273" s="483"/>
      <c r="AF273" s="482"/>
      <c r="AG273" s="482"/>
      <c r="AH273" s="482"/>
      <c r="AI273" s="482"/>
      <c r="AJ273" s="482"/>
      <c r="AK273" s="480"/>
      <c r="AL273" s="479"/>
      <c r="AM273" s="479"/>
      <c r="AN273" s="479"/>
      <c r="AO273" s="479"/>
      <c r="AP273" s="482"/>
      <c r="AQ273" s="483"/>
      <c r="AR273" s="482"/>
      <c r="AS273" s="482"/>
      <c r="AT273" s="482"/>
      <c r="AU273" s="482"/>
      <c r="AV273" s="482"/>
      <c r="AW273" s="483"/>
      <c r="AX273" s="514"/>
      <c r="AY273" s="514"/>
      <c r="AZ273" s="483"/>
      <c r="BA273" s="482"/>
      <c r="BB273" s="482"/>
      <c r="BC273" s="482"/>
      <c r="BD273" s="482"/>
      <c r="BE273" s="482"/>
      <c r="BF273" s="483"/>
      <c r="BG273" s="482"/>
      <c r="BH273" s="482"/>
      <c r="BI273" s="482"/>
      <c r="BJ273" s="482"/>
      <c r="BK273" s="482"/>
      <c r="BL273" s="483"/>
      <c r="BM273" s="482"/>
      <c r="BN273" s="482"/>
      <c r="BO273" s="482"/>
      <c r="BP273" s="482"/>
      <c r="BQ273" s="482"/>
      <c r="BR273" s="318"/>
      <c r="BS273" s="318"/>
      <c r="BT273" s="318"/>
      <c r="BU273" s="318"/>
      <c r="BV273" s="318"/>
      <c r="BW273" s="318"/>
      <c r="BX273" s="318"/>
      <c r="BY273" s="318"/>
      <c r="BZ273" s="318"/>
      <c r="CA273" s="318"/>
      <c r="CB273" s="318"/>
      <c r="CC273" s="318"/>
      <c r="CD273" s="318"/>
      <c r="CE273" s="457"/>
      <c r="CF273" s="443"/>
      <c r="CG273" s="360"/>
      <c r="CH273" s="360"/>
      <c r="CI273" s="360"/>
      <c r="CJ273" s="360"/>
      <c r="CK273" s="360"/>
      <c r="CL273" s="360"/>
      <c r="CM273" s="360"/>
      <c r="CN273" s="360"/>
      <c r="CO273" s="360"/>
      <c r="CP273" s="360"/>
    </row>
    <row r="274" spans="1:94" s="315" customFormat="1" ht="13" hidden="1" x14ac:dyDescent="0.25">
      <c r="A274" s="403">
        <v>263</v>
      </c>
      <c r="B274" s="313"/>
      <c r="C274" s="313"/>
      <c r="D274" s="318"/>
      <c r="E274" s="318"/>
      <c r="F274" s="313"/>
      <c r="G274" s="313"/>
      <c r="H274" s="305"/>
      <c r="I274" s="305"/>
      <c r="J274" s="370"/>
      <c r="K274" s="370"/>
      <c r="L274" s="370"/>
      <c r="M274" s="316"/>
      <c r="N274" s="398"/>
      <c r="O274" s="398"/>
      <c r="P274" s="305"/>
      <c r="Q274" s="354"/>
      <c r="R274" s="305"/>
      <c r="S274" s="305"/>
      <c r="T274" s="305"/>
      <c r="U274" s="305"/>
      <c r="V274" s="426"/>
      <c r="W274" s="443"/>
      <c r="X274" s="414"/>
      <c r="Y274" s="412"/>
      <c r="Z274" s="318"/>
      <c r="AA274" s="318"/>
      <c r="AB274" s="318"/>
      <c r="AC274" s="318"/>
      <c r="AD274" s="318"/>
      <c r="AE274" s="483"/>
      <c r="AF274" s="482"/>
      <c r="AG274" s="482"/>
      <c r="AH274" s="482"/>
      <c r="AI274" s="482"/>
      <c r="AJ274" s="482"/>
      <c r="AK274" s="512"/>
      <c r="AL274" s="479"/>
      <c r="AM274" s="479"/>
      <c r="AN274" s="479"/>
      <c r="AO274" s="479"/>
      <c r="AP274" s="482"/>
      <c r="AQ274" s="504"/>
      <c r="AR274" s="482"/>
      <c r="AS274" s="482"/>
      <c r="AT274" s="482"/>
      <c r="AU274" s="482"/>
      <c r="AV274" s="482"/>
      <c r="AW274" s="504"/>
      <c r="AX274" s="551"/>
      <c r="AY274" s="551"/>
      <c r="AZ274" s="504"/>
      <c r="BA274" s="482"/>
      <c r="BB274" s="482"/>
      <c r="BC274" s="482"/>
      <c r="BD274" s="482"/>
      <c r="BE274" s="482"/>
      <c r="BF274" s="504"/>
      <c r="BG274" s="482"/>
      <c r="BH274" s="482"/>
      <c r="BI274" s="482"/>
      <c r="BJ274" s="482"/>
      <c r="BK274" s="482"/>
      <c r="BL274" s="504"/>
      <c r="BM274" s="482"/>
      <c r="BN274" s="482"/>
      <c r="BO274" s="482"/>
      <c r="BP274" s="482"/>
      <c r="BQ274" s="482"/>
      <c r="BR274" s="318"/>
      <c r="BS274" s="318"/>
      <c r="BT274" s="318"/>
      <c r="BU274" s="318"/>
      <c r="BV274" s="318"/>
      <c r="BW274" s="318"/>
      <c r="BX274" s="318"/>
      <c r="BY274" s="318"/>
      <c r="BZ274" s="318"/>
      <c r="CA274" s="318"/>
      <c r="CB274" s="318"/>
      <c r="CC274" s="318"/>
      <c r="CD274" s="318"/>
      <c r="CE274" s="457"/>
      <c r="CF274" s="443"/>
      <c r="CG274" s="360"/>
      <c r="CH274" s="360"/>
      <c r="CI274" s="360"/>
      <c r="CJ274" s="360"/>
      <c r="CK274" s="360"/>
      <c r="CL274" s="360"/>
      <c r="CM274" s="360"/>
      <c r="CN274" s="360"/>
      <c r="CO274" s="360"/>
      <c r="CP274" s="360"/>
    </row>
    <row r="275" spans="1:94" s="315" customFormat="1" ht="13" hidden="1" x14ac:dyDescent="0.25">
      <c r="A275" s="403"/>
      <c r="B275" s="394" t="s">
        <v>25</v>
      </c>
      <c r="C275" s="394"/>
      <c r="D275" s="395"/>
      <c r="E275" s="395"/>
      <c r="F275" s="378"/>
      <c r="G275" s="378"/>
      <c r="H275" s="396"/>
      <c r="I275" s="396"/>
      <c r="J275" s="419" t="e">
        <f>SUM(J12:J274)</f>
        <v>#REF!</v>
      </c>
      <c r="K275" s="419" t="e">
        <f>SUM(K12:K274)</f>
        <v>#REF!</v>
      </c>
      <c r="L275" s="419" t="e">
        <f>SUM(L12:L274)</f>
        <v>#REF!</v>
      </c>
      <c r="M275" s="397"/>
      <c r="N275" s="401"/>
      <c r="O275" s="401"/>
      <c r="P275" s="396"/>
      <c r="Q275" s="431"/>
      <c r="R275" s="396"/>
      <c r="S275" s="396"/>
      <c r="T275" s="396"/>
      <c r="U275" s="396"/>
      <c r="V275" s="395"/>
      <c r="W275" s="427"/>
      <c r="X275" s="427"/>
      <c r="Y275" s="395"/>
      <c r="Z275" s="395"/>
      <c r="AA275" s="395"/>
      <c r="AB275" s="395"/>
      <c r="AC275" s="395"/>
      <c r="AD275" s="395"/>
      <c r="AE275" s="485"/>
      <c r="AF275" s="486"/>
      <c r="AG275" s="486"/>
      <c r="AH275" s="486"/>
      <c r="AI275" s="486"/>
      <c r="AJ275" s="486"/>
      <c r="AK275" s="486"/>
      <c r="AL275" s="486"/>
      <c r="AM275" s="486"/>
      <c r="AN275" s="486"/>
      <c r="AO275" s="486"/>
      <c r="AP275" s="486"/>
      <c r="AQ275" s="486"/>
      <c r="AR275" s="486"/>
      <c r="AS275" s="486"/>
      <c r="AT275" s="486"/>
      <c r="AU275" s="486"/>
      <c r="AV275" s="486"/>
      <c r="AW275" s="486"/>
      <c r="AX275" s="486"/>
      <c r="AY275" s="486"/>
      <c r="AZ275" s="486"/>
      <c r="BA275" s="486"/>
      <c r="BB275" s="486"/>
      <c r="BC275" s="486"/>
      <c r="BD275" s="486"/>
      <c r="BE275" s="486"/>
      <c r="BF275" s="486"/>
      <c r="BG275" s="486"/>
      <c r="BH275" s="486"/>
      <c r="BI275" s="486"/>
      <c r="BJ275" s="486"/>
      <c r="BK275" s="486"/>
      <c r="BL275" s="486"/>
      <c r="BM275" s="486"/>
      <c r="BN275" s="486"/>
      <c r="BO275" s="486"/>
      <c r="BP275" s="486"/>
      <c r="BQ275" s="486"/>
      <c r="BR275" s="395"/>
      <c r="BS275" s="395"/>
      <c r="BT275" s="395"/>
      <c r="BU275" s="395"/>
      <c r="BV275" s="395"/>
      <c r="BW275" s="395"/>
      <c r="BX275" s="395"/>
      <c r="BY275" s="395"/>
      <c r="BZ275" s="395"/>
      <c r="CA275" s="395"/>
      <c r="CB275" s="395"/>
      <c r="CC275" s="395"/>
      <c r="CD275" s="395"/>
      <c r="CE275" s="474"/>
      <c r="CF275" s="475"/>
      <c r="CG275" s="360"/>
      <c r="CH275" s="360"/>
      <c r="CI275" s="360"/>
      <c r="CJ275" s="360"/>
      <c r="CK275" s="360"/>
      <c r="CL275" s="360"/>
      <c r="CM275" s="360"/>
      <c r="CN275" s="360"/>
      <c r="CO275" s="360"/>
      <c r="CP275" s="360"/>
    </row>
    <row r="276" spans="1:94" s="315" customFormat="1" ht="12" hidden="1" customHeight="1" x14ac:dyDescent="0.25">
      <c r="A276" s="403"/>
      <c r="B276" s="351" t="s">
        <v>1002</v>
      </c>
      <c r="C276" s="351"/>
      <c r="D276" s="352"/>
      <c r="E276" s="352"/>
      <c r="F276" s="353"/>
      <c r="G276" s="368"/>
      <c r="H276" s="323"/>
      <c r="I276" s="368"/>
      <c r="J276" s="319"/>
      <c r="K276" s="352"/>
      <c r="L276" s="352"/>
      <c r="M276" s="319"/>
      <c r="N276" s="319"/>
      <c r="O276" s="368"/>
      <c r="P276" s="368"/>
      <c r="Q276" s="368"/>
      <c r="R276" s="319"/>
      <c r="S276" s="319"/>
      <c r="T276" s="319"/>
      <c r="U276" s="319"/>
      <c r="V276" s="352"/>
      <c r="W276" s="352"/>
      <c r="X276" s="352"/>
      <c r="Y276" s="352"/>
      <c r="Z276" s="352"/>
      <c r="AA276" s="352"/>
      <c r="AB276" s="352"/>
      <c r="AC276" s="352"/>
      <c r="AD276" s="352"/>
      <c r="AE276" s="487"/>
      <c r="AF276" s="488"/>
      <c r="AG276" s="488"/>
      <c r="AH276" s="488"/>
      <c r="AI276" s="488"/>
      <c r="AJ276" s="488"/>
      <c r="AK276" s="488"/>
      <c r="AL276" s="488"/>
      <c r="AM276" s="488"/>
      <c r="AN276" s="488"/>
      <c r="AO276" s="488"/>
      <c r="AP276" s="488"/>
      <c r="AQ276" s="488"/>
      <c r="AR276" s="488"/>
      <c r="AS276" s="488"/>
      <c r="AT276" s="488"/>
      <c r="AU276" s="488"/>
      <c r="AV276" s="488"/>
      <c r="AW276" s="488"/>
      <c r="AX276" s="488"/>
      <c r="AY276" s="488"/>
      <c r="AZ276" s="488"/>
      <c r="BA276" s="488"/>
      <c r="BB276" s="488"/>
      <c r="BC276" s="488"/>
      <c r="BD276" s="488"/>
      <c r="BE276" s="488"/>
      <c r="BF276" s="488"/>
      <c r="BG276" s="488"/>
      <c r="BH276" s="488"/>
      <c r="BI276" s="488"/>
      <c r="BJ276" s="488"/>
      <c r="BK276" s="488"/>
      <c r="BL276" s="488"/>
      <c r="BM276" s="488"/>
      <c r="BN276" s="488"/>
      <c r="BO276" s="488"/>
      <c r="BP276" s="488"/>
      <c r="BQ276" s="488"/>
      <c r="BR276" s="476"/>
      <c r="BS276" s="476"/>
      <c r="BT276" s="476"/>
      <c r="BU276" s="476"/>
      <c r="BV276" s="476"/>
      <c r="BW276" s="476"/>
      <c r="BX276" s="476"/>
      <c r="BY276" s="476"/>
      <c r="BZ276" s="476"/>
      <c r="CA276" s="476"/>
      <c r="CB276" s="476"/>
      <c r="CC276" s="476"/>
      <c r="CD276" s="476"/>
      <c r="CE276" s="477"/>
      <c r="CF276" s="478"/>
      <c r="CG276" s="360"/>
      <c r="CH276" s="360"/>
      <c r="CI276" s="360"/>
      <c r="CJ276" s="360"/>
      <c r="CK276" s="360"/>
      <c r="CL276" s="360"/>
      <c r="CM276" s="360"/>
      <c r="CN276" s="360"/>
      <c r="CO276" s="360"/>
      <c r="CP276" s="360"/>
    </row>
    <row r="277" spans="1:94" x14ac:dyDescent="0.25">
      <c r="CF277" s="318"/>
      <c r="CG277" s="360"/>
      <c r="CH277" s="430"/>
    </row>
  </sheetData>
  <autoFilter ref="A11:CY276" xr:uid="{60455689-F670-4DAB-AACD-3BD3E9607D9A}">
    <filterColumn colId="1">
      <filters>
        <filter val="Altura"/>
      </filters>
    </filterColumn>
  </autoFilter>
  <mergeCells count="4">
    <mergeCell ref="Y10:AC10"/>
    <mergeCell ref="BR10:BY10"/>
    <mergeCell ref="BZ10:CE10"/>
    <mergeCell ref="CG10:CP10"/>
  </mergeCells>
  <conditionalFormatting sqref="C275:D275 F275:AP275 BR275:CF275">
    <cfRule type="expression" dxfId="3317" priority="4089" stopIfTrue="1">
      <formula>MOD(ROW(),2)=1</formula>
    </cfRule>
    <cfRule type="expression" dxfId="3316" priority="4090" stopIfTrue="1">
      <formula>MOD(ROW(),2)=0</formula>
    </cfRule>
  </conditionalFormatting>
  <conditionalFormatting sqref="W96 B16:D16 O94:Q94 N21:N31 W50 B55 B88:C88 N88:N91 D55:F55 V86:V87 B130 W64 N133:O133 B90:C90 W157:W158 W161:W177 V160:W160 B176:B177 Q171:R171 Q176:R176 W99 Q99:R99 O119 W107 AB32 Z31 AA31:AA32 B53:F54 W80 W61:W62 W59 W42:W43 W119 W126 O96:R96 U96 O21:R22 V156:W156 U161:U162 U159:W159 U97:W98 V127:W128 V120:W124 R119 Q51:R51 V108:W118 V100:W106 V16:W16 U72:W79 V35:W35 U42:U43 V58:W58 U70 V40:W40 V31 U33:U40 O90:R91 Q41:R41 U41:W41 Q57:R57 Q77:R79 U16:U31 Q15:R15 R140 O147:R155 Q124:R125 C24:F25 H19:H22 C133:F133 B51:F51 B96:F118 B12:F12 C52:F52 F16:F17 D139:F139 B45:F45 B47:F47 F131 C94:F95 D88:F91 H90:H91 B18:F23 H23:I31 H33:I43 D44:F44 H44 C48:F48 C46:F46 C71:F71 H65 B68:F70 B72:F80 B85:F87 B92:F93 B26:F36 C67:F67 C13:F15 C81:F84 B49:F49 B134:F134 B138:F138 C137:F137 B141:F148 C149:F149 B132:F132 B150:F158 H155:I155 H179:J179 B181:F181 C196:F196 H211:H213 H201:J201 B178:F178 B197:F198 C199:F205 C209:G213 G178:G181 G196:G205 U90:U92 S70:T80 S12:T22 S139:T177 Q182:U182 S96:T129 Q185:U186 T90:T93 N177:R177 M99:O99 M97:R98 M94:N96 M43:N43 N171:O171 N176:O176 M119 M124:O124 M51:O51 N172:R175 J24:K31 M80:R80 M92:R92 H156:K156 M120:R123 N12:R14 N16:R20 M42:R42 M58:R64 M52:R56 M139:R139 M69:O69 M77:O79 M93:S93 H32:K32 M32:Q32 M67:Q67 H12:K18 N15:O15 M84:Q84 J134:K134 M134:Q135 M136:P138 M141:M154 M199:O200 M196:O196 M207:O209 H202:K205 N202:O205 M197:Q198 H45:K52 J68:K81 M88:M89 K23 K41 J42:K44 M44:P44 H138:K139 I140:K140 M140:P140 M202 H208:K210 H57:K64 H196:K200 C188:K189 W45:X45 X94 W179:X179 W70:X70 V92:X92 X156:X177 X126:X128 X96:X124 X12:X16 V20:X22 X72:X80 X33:X43 X50:X55 V139 O88:X88 Q133:X133 M47:X47 M83:X83 M85:X85 M68:X68 M66:U66 K131 M131:X131 M188:O189 L12:L165 V38:W38 W33:W34 K157 H157:I160 K159:K160 H165:K165 H164:J164 H166 L167:L179 J166 H167:J167 H171:K178 C176:F176 L181:L189 H181:J181 H180 L191:L216 J206 H121:I124 K121:K124 K126:K129 K133 J121:J133 T49:T50 I83:K84 H92:K120 B126:I129 I135:K137 B160:F160 B159 D159:F159 B161 D161:F161 B162:F175 M156:R168 M126:R129 C179:F180 H169:J170 H168:I168 Z45:AC45 Z47:AC47 Z94:AD94 AC68:AD68 Z70:AD70 Z88:AE88 Z85:AD85 Z92:AD92 Z12:AO12 Z126:AD128 U100:U129 G137:G139 V154 C50:F50 AC52:AD52 B57:F66 M33:R40 AC41:AD41 AC150 M204:M206 M100:R118 M70:R76 M50:R50 M45:U45 M41:O41 M26:M31 M12:M23 G57:G71 G141:G176 H68:I82 N141:R146 B120:F124 C119:F119 B38:F43 C37:F37 Z133:AD133 CF133 H85:K89 G74:G124 Z90:AC90 Z64:AE64 CF64 Z66:AC66 P43:S43 S90:S92 X58:X64 Q48 BW47:CF47 G12:G55 H161:K163 J33:K40 X139 BS88:CF88 V90:X90 V55 H141:K154 H66:K67 Z24:AC25 CA94:CE94 O24:T31 V28:W30 W26:W27 W36:W37 W39 V51:W54 Z58:AC63 T51:U64 S50:S64 W66:X66 V24:W25 V60:W60 V63:W63 BS90:CE90 V141:X147 U12:W15 Z179:AD179 AE24:AI24 CA24:CE25 V18:V19 X18:X19 J19:K22 V149:X153 G131:I134 BR24:BY25 BR179:CF179 BR156:CF177 BR142:CE143 BR72:CF76 BR20:CF22 BR58:CF63 BR66:CF66 BR53:CF56 BR145:CE147 BR45:CF45 BR47:BU47 BR64:BX64 BR80:CF80 BR33:CF40 BR133:CD133 BR134:CF141 BR144:CF144 BR96:CF124 BR148:CF154 BR41:CE41 BR52:CE52 BR26:CF31 BR42:CF43 BR126:CF128 BR12:CF17 BR83:CF83 BR92:CF92 BR85:CF85 BR51:CF51 BR70:CF70 BR68:CF68 BR94:BY94 BR50:CE50 AK13:AO13 AK134:AO136 AK24:AO24 AK88 X24:X30 P49:S49 M49:N49 AJ195 Z72:AO72 AE62:AE63 AE60:AJ61 AF63:AJ65 AK60:AK64 Z80:AO80 Z73:AD76 Z83:AO83 AJ89 Z96:AO97 Z98:AD118 Z120:AD124 AC134:AJ134 AC136:AJ136 AC135:AD135 AC137:AD139 AC141:AD143 AC147:AD149 Z157:AO163 Z156:AD156 Z164:AD177 AJ185 AJ192:AJ193 AJ207 AJ218:AJ221 AJ239 AJ243 Z56:AD56 Z54:AD54 Z53:AO53 Z50:AD51 Z43:AD43 Z40:AD40 Z34:AD38 Z33:AO33 Z27:AD30 AJ23:AJ24 Z20:AD22 AJ18 AC17:AD17 Z13:AD14 AC15:AD15 Z55:AO55 Z42:AL42 Z26:AO26 Z16:AO16 AV269:BQ274 AW268:BQ268 AV267 AP207 AL268:AO268 AJ269:AP274 AF268:AI268 AE267 L269:P274 N268 L266:P267 D268:G268 D266:J267 D269:J274 Z119:AO119 AC140:AO140 AC144:AI146 AC151:AO154 AK168:AO168 AK171:AO171 AP218:AP221 AP226 AP239 AK261:AP261 AJ267:AP267 AB31:AM31 Z39:AI39 BG40:BK41 AK39:AM39 AO39 BH39:BK39 BM39:BQ39 U140:U156 AJ93:AJ95 AK144:AO146 S33:T42 AK17 M170:M178 N170:R170 P169:R169 AK85:AO85">
    <cfRule type="expression" dxfId="3315" priority="4087" stopIfTrue="1">
      <formula>MOD(ROW(),2)=1</formula>
    </cfRule>
  </conditionalFormatting>
  <conditionalFormatting sqref="W96 B16:D16 O94:Q94 N21:N31 W50 B55 B88:C88 N88:N91 D55:F55 V86:V87 B130 W64 N133:O133 B90:C90 W157:W158 W161:W177 V160:W160 B176:B177 Q171:R171 Q176:R176 W99 Q99:R99 O119 W107 AB32 Z31 AA31:AA32 B53:F54 W80 W61:W62 W59 W42:W43 W119 W126 O96:R96 U96 O21:R22 V156:W156 U161:U162 U159:W159 U97:W98 V127:W128 V120:W124 R119 Q51:R51 V108:W118 V100:W106 V16:W16 U72:W79 V35:W35 U42:U43 V58:W58 U70 V40:W40 V31 U33:U40 O90:R91 Q41:R41 U41:W41 Q57:R57 Q77:R79 U16:U31 Q15:R15 R140 O147:R155 Q124:R125 C24:F25 H19:H22 C133:F133 B51:F51 B96:F118 B12:F12 C52:F52 F16:F17 D139:F139 B45:F45 B47:F47 F131 C94:F95 D88:F91 H90:H91 B18:F23 H23:I31 H33:I43 D44:F44 H44 C48:F48 C46:F46 C71:F71 H65 B68:F70 B72:F80 B85:F87 B92:F93 B26:F36 C67:F67 C13:F15 C81:F84 B49:F49 B134:F134 B138:F138 C137:F137 B141:F148 C149:F149 B132:F132 B150:F158 H155:I155 H179:J179 B181:F181 C196:F196 H211:H213 H201:J201 B178:F178 B197:F198 C199:F205 C209:G213 G178:G181 G196:G205 U90:U92 S70:T80 S12:T22 S139:T177 Q182:U182 S96:T129 Q185:U186 T90:T93 N177:R177 M99:O99 M97:R98 M94:N96 M43:N43 N171:O171 N176:O176 M119 M124:O124 M51:O51 N172:R175 J24:K31 M80:R80 M92:R92 H156:K156 M120:R123 N12:R14 N16:R20 M42:R42 M58:R64 M52:R56 M139:R139 M69:O69 M77:O79 M93:S93 H32:K32 M32:Q32 M67:Q67 H12:K18 N15:O15 M84:Q84 J134:K134 M134:Q135 M136:P138 M141:M154 M199:O200 M196:O196 M207:O209 H202:K205 N202:O205 M197:Q198 H45:K52 J68:K81 M88:M89 K23 K41 J42:K44 M44:P44 H138:K139 I140:K140 M140:P140 M202 H208:K210 H57:K64 H196:K200 C188:K189 W45:X45 X94 W179:X179 W70:X70 V92:X92 X156:X177 X126:X128 X96:X124 X12:X16 V20:X22 X72:X80 X33:X43 X50:X55 V139 O88:X88 Q133:X133 M47:X47 M83:X83 M85:X85 M68:X68 M66:U66 K131 M131:X131 M188:O189 L12:L165 V38:W38 W33:W34 K157 H157:I160 K159:K160 H165:K165 H164:J164 H166 L167:L179 J166 H167:J167 H171:K178 C176:F176 L181:L189 H181:J181 H180 L191:L216 J206 H121:I124 K121:K124 K126:K129 K133 J121:J133 T49:T50 I83:K84 H92:K120 B126:I129 I135:K137 B160:F160 B159 D159:F159 B161 D161:F161 B162:F175 M156:R168 M126:R129 C179:F180 H169:J170 H168:I168 Z45:AC45 Z47:AC47 Z94:AD94 AC68:AD68 Z70:AD70 Z88:AE88 Z85:AD85 Z92:AD92 Z12:AO12 Z126:AD128 U100:U129 G137:G139 V154 C50:F50 AC52:AD52 B57:F66 M33:R40 AC41:AD41 AC150 M204:M206 M100:R118 M70:R76 M50:R50 M45:U45 M41:O41 M26:M31 M12:M23 G57:G71 G141:G176 H68:I82 N141:R146 B120:F124 C119:F119 B38:F43 C37:F37 Z133:AD133 CF133 H85:K89 G74:G124 Z90:AC90 Z64:AE64 CF64 Z66:AC66 P43:S43 S90:S92 X58:X64 Q48 BW47:CF47 G12:G55 H161:K163 J33:K40 X139 BS88:CF88 V90:X90 V55 H141:K154 H66:K67 Z24:AC25 CA94:CE94 O24:T31 V28:W30 W26:W27 W36:W37 W39 V51:W54 Z58:AC63 T51:U64 S50:S64 W66:X66 V24:W25 V60:W60 V63:W63 BS90:CE90 V141:X147 U12:W15 Z179:AD179 AE24:AI24 CA24:CE25 V18:V19 X18:X19 J19:K22 V149:X153 G131:I134 BR24:BY25 BR179:CF179 BR156:CF177 BR142:CE143 BR72:CF76 BR20:CF22 BR58:CF63 BR66:CF66 BR53:CF56 BR145:CE147 BR45:CF45 BR47:BU47 BR64:BX64 BR80:CF80 BR33:CF40 BR133:CD133 BR134:CF141 BR144:CF144 BR96:CF124 BR148:CF154 BR41:CE41 BR52:CE52 BR26:CF31 BR42:CF43 BR126:CF128 BR12:CF17 BR83:CF83 BR92:CF92 BR85:CF85 BR51:CF51 BR70:CF70 BR68:CF68 BR94:BY94 BR50:CE50 AK13:AO13 AK134:AO136 AK24:AO24 AK88 X24:X30 P49:S49 M49:N49 AJ195 Z72:AO72 AE62:AE63 AE60:AJ61 AF63:AJ65 AK60:AK64 Z80:AO80 Z73:AD76 Z83:AO83 AJ89 Z96:AO97 Z98:AD118 Z120:AD124 AC134:AJ134 AC136:AJ136 AC135:AD135 AC137:AD139 AC141:AD143 AC147:AD149 Z157:AO163 Z156:AD156 Z164:AD177 AJ185 AJ192:AJ193 AJ207 AJ218:AJ221 AJ239 AJ243 Z56:AD56 Z54:AD54 Z53:AO53 Z50:AD51 Z43:AD43 Z40:AD40 Z34:AD38 Z33:AO33 Z27:AD30 AJ23:AJ24 Z20:AD22 AJ18 AC17:AD17 Z13:AD14 AC15:AD15 Z55:AO55 Z42:AL42 Z26:AO26 Z16:AO16 AV269:BQ274 AW268:BQ268 AV267 AP207 AL268:AO268 AJ269:AP274 AF268:AI268 AE267 L269:P274 N268 L266:P267 D268:G268 D266:J267 D269:J274 Z119:AO119 AC140:AO140 AC144:AI146 AC151:AO154 AK168:AO168 AK171:AO171 AP218:AP221 AP226 AP239 AK261:AP261 AJ267:AP267 AB31:AM31 Z39:AI39 BG40:BK41 AK39:AM39 AO39 BH39:BK39 BM39:BQ39 U140:U156 AJ93:AJ95 AK144:AO146 S33:T42 AK17 M170:M178 N170:R170 P169:R169 AK85:AO85">
    <cfRule type="expression" dxfId="3314" priority="4088" stopIfTrue="1">
      <formula>MOD(ROW(),2)=0</formula>
    </cfRule>
  </conditionalFormatting>
  <conditionalFormatting sqref="B275">
    <cfRule type="expression" dxfId="3313" priority="4085" stopIfTrue="1">
      <formula>MOD(ROW(),2)=1</formula>
    </cfRule>
    <cfRule type="expression" dxfId="3312" priority="4086" stopIfTrue="1">
      <formula>MOD(ROW(),2)=0</formula>
    </cfRule>
  </conditionalFormatting>
  <conditionalFormatting sqref="E275">
    <cfRule type="expression" dxfId="3311" priority="4083" stopIfTrue="1">
      <formula>MOD(ROW(),2)=1</formula>
    </cfRule>
    <cfRule type="expression" dxfId="3310" priority="4084" stopIfTrue="1">
      <formula>MOD(ROW(),2)=0</formula>
    </cfRule>
  </conditionalFormatting>
  <conditionalFormatting sqref="E16">
    <cfRule type="expression" dxfId="3309" priority="4081" stopIfTrue="1">
      <formula>MOD(ROW(),2)=1</formula>
    </cfRule>
  </conditionalFormatting>
  <conditionalFormatting sqref="E16">
    <cfRule type="expression" dxfId="3308" priority="4082" stopIfTrue="1">
      <formula>MOD(ROW(),2)=0</formula>
    </cfRule>
  </conditionalFormatting>
  <conditionalFormatting sqref="O95:Q95 U94:U95 X95 Z95:AD95 CA95:CE95 BR95:BY95">
    <cfRule type="expression" dxfId="3307" priority="4079" stopIfTrue="1">
      <formula>MOD(ROW(),2)=1</formula>
    </cfRule>
  </conditionalFormatting>
  <conditionalFormatting sqref="O95:Q95 U94:U95 X95 Z95:AD95 CA95:CE95 BR95:BY95">
    <cfRule type="expression" dxfId="3306" priority="4080" stopIfTrue="1">
      <formula>MOD(ROW(),2)=0</formula>
    </cfRule>
  </conditionalFormatting>
  <conditionalFormatting sqref="C89 M90:M91 O89:R89 X89 Z89:AC89 BS89 T89 BU89:BY89 CA89:CE89">
    <cfRule type="expression" dxfId="3305" priority="4077" stopIfTrue="1">
      <formula>MOD(ROW(),2)=1</formula>
    </cfRule>
  </conditionalFormatting>
  <conditionalFormatting sqref="C89 M90:M91 O89:R89 X89 Z89:AC89 BS89 T89 BU89:BY89 CA89:CE89">
    <cfRule type="expression" dxfId="3304" priority="4078" stopIfTrue="1">
      <formula>MOD(ROW(),2)=0</formula>
    </cfRule>
  </conditionalFormatting>
  <conditionalFormatting sqref="C91 X91 Z91:AC91 BS91:BY91 CA91:CD91">
    <cfRule type="expression" dxfId="3303" priority="4075" stopIfTrue="1">
      <formula>MOD(ROW(),2)=1</formula>
    </cfRule>
  </conditionalFormatting>
  <conditionalFormatting sqref="C91 X91 Z91:AC91 BS91:BY91 CA91:CD91">
    <cfRule type="expression" dxfId="3302" priority="4076" stopIfTrue="1">
      <formula>MOD(ROW(),2)=0</formula>
    </cfRule>
  </conditionalFormatting>
  <conditionalFormatting sqref="R48">
    <cfRule type="expression" dxfId="3301" priority="4053" stopIfTrue="1">
      <formula>MOD(ROW(),2)=1</formula>
    </cfRule>
  </conditionalFormatting>
  <conditionalFormatting sqref="R48">
    <cfRule type="expression" dxfId="3300" priority="4054" stopIfTrue="1">
      <formula>MOD(ROW(),2)=0</formula>
    </cfRule>
  </conditionalFormatting>
  <conditionalFormatting sqref="O23 M24:M25 Q23:T23 X23">
    <cfRule type="expression" dxfId="3299" priority="4073" stopIfTrue="1">
      <formula>MOD(ROW(),2)=1</formula>
    </cfRule>
  </conditionalFormatting>
  <conditionalFormatting sqref="O23 M24:M25 Q23:T23 X23">
    <cfRule type="expression" dxfId="3298" priority="4074" stopIfTrue="1">
      <formula>MOD(ROW(),2)=0</formula>
    </cfRule>
  </conditionalFormatting>
  <conditionalFormatting sqref="J23">
    <cfRule type="expression" dxfId="3297" priority="4071" stopIfTrue="1">
      <formula>MOD(ROW(),2)=1</formula>
    </cfRule>
  </conditionalFormatting>
  <conditionalFormatting sqref="J23">
    <cfRule type="expression" dxfId="3296" priority="4072" stopIfTrue="1">
      <formula>MOD(ROW(),2)=0</formula>
    </cfRule>
  </conditionalFormatting>
  <conditionalFormatting sqref="B24">
    <cfRule type="expression" dxfId="3295" priority="4069" stopIfTrue="1">
      <formula>MOD(ROW(),2)=1</formula>
    </cfRule>
  </conditionalFormatting>
  <conditionalFormatting sqref="B24">
    <cfRule type="expression" dxfId="3294" priority="4070" stopIfTrue="1">
      <formula>MOD(ROW(),2)=0</formula>
    </cfRule>
  </conditionalFormatting>
  <conditionalFormatting sqref="B25">
    <cfRule type="expression" dxfId="3293" priority="4067" stopIfTrue="1">
      <formula>MOD(ROW(),2)=1</formula>
    </cfRule>
  </conditionalFormatting>
  <conditionalFormatting sqref="B25">
    <cfRule type="expression" dxfId="3292" priority="4068" stopIfTrue="1">
      <formula>MOD(ROW(),2)=0</formula>
    </cfRule>
  </conditionalFormatting>
  <conditionalFormatting sqref="B14">
    <cfRule type="expression" dxfId="3291" priority="4065" stopIfTrue="1">
      <formula>MOD(ROW(),2)=1</formula>
    </cfRule>
  </conditionalFormatting>
  <conditionalFormatting sqref="B14">
    <cfRule type="expression" dxfId="3290" priority="4066" stopIfTrue="1">
      <formula>MOD(ROW(),2)=0</formula>
    </cfRule>
  </conditionalFormatting>
  <conditionalFormatting sqref="Z41:AB41">
    <cfRule type="expression" dxfId="3289" priority="4061" stopIfTrue="1">
      <formula>MOD(ROW(),2)=1</formula>
    </cfRule>
  </conditionalFormatting>
  <conditionalFormatting sqref="Z41:AB41">
    <cfRule type="expression" dxfId="3288" priority="4062" stopIfTrue="1">
      <formula>MOD(ROW(),2)=0</formula>
    </cfRule>
  </conditionalFormatting>
  <conditionalFormatting sqref="I19:I22">
    <cfRule type="expression" dxfId="3287" priority="4063" stopIfTrue="1">
      <formula>MOD(ROW(),2)=1</formula>
    </cfRule>
  </conditionalFormatting>
  <conditionalFormatting sqref="I19:I22">
    <cfRule type="expression" dxfId="3286" priority="4064" stopIfTrue="1">
      <formula>MOD(ROW(),2)=0</formula>
    </cfRule>
  </conditionalFormatting>
  <conditionalFormatting sqref="U44:X44 Z44:AC44 CA44 BV44:BY44 BR44">
    <cfRule type="expression" dxfId="3285" priority="4057" stopIfTrue="1">
      <formula>MOD(ROW(),2)=1</formula>
    </cfRule>
  </conditionalFormatting>
  <conditionalFormatting sqref="U44:X44 Z44:AC44 CA44 BV44:BY44 BR44">
    <cfRule type="expression" dxfId="3284" priority="4058" stopIfTrue="1">
      <formula>MOD(ROW(),2)=0</formula>
    </cfRule>
  </conditionalFormatting>
  <conditionalFormatting sqref="P41">
    <cfRule type="expression" dxfId="3283" priority="4059" stopIfTrue="1">
      <formula>MOD(ROW(),2)=1</formula>
    </cfRule>
  </conditionalFormatting>
  <conditionalFormatting sqref="P41">
    <cfRule type="expression" dxfId="3282" priority="4060" stopIfTrue="1">
      <formula>MOD(ROW(),2)=0</formula>
    </cfRule>
  </conditionalFormatting>
  <conditionalFormatting sqref="M48:P48 U48:V48 U49:U50 Z48:AC48 BS48:BU48 CA48:CB48 CD48 X48 BW48:BY48">
    <cfRule type="expression" dxfId="3281" priority="4055" stopIfTrue="1">
      <formula>MOD(ROW(),2)=1</formula>
    </cfRule>
  </conditionalFormatting>
  <conditionalFormatting sqref="M48:P48 U48:V48 U49:U50 Z48:AC48 BS48:BU48 CA48:CB48 CD48 X48 BW48:BY48">
    <cfRule type="expression" dxfId="3280" priority="4056" stopIfTrue="1">
      <formula>MOD(ROW(),2)=0</formula>
    </cfRule>
  </conditionalFormatting>
  <conditionalFormatting sqref="V46">
    <cfRule type="expression" dxfId="3279" priority="4047" stopIfTrue="1">
      <formula>MOD(ROW(),2)=1</formula>
    </cfRule>
  </conditionalFormatting>
  <conditionalFormatting sqref="V46">
    <cfRule type="expression" dxfId="3278" priority="4048" stopIfTrue="1">
      <formula>MOD(ROW(),2)=0</formula>
    </cfRule>
  </conditionalFormatting>
  <conditionalFormatting sqref="V45">
    <cfRule type="expression" dxfId="3277" priority="4049" stopIfTrue="1">
      <formula>MOD(ROW(),2)=1</formula>
    </cfRule>
  </conditionalFormatting>
  <conditionalFormatting sqref="V45">
    <cfRule type="expression" dxfId="3276" priority="4050" stopIfTrue="1">
      <formula>MOD(ROW(),2)=0</formula>
    </cfRule>
  </conditionalFormatting>
  <conditionalFormatting sqref="R46">
    <cfRule type="expression" dxfId="3275" priority="4045" stopIfTrue="1">
      <formula>MOD(ROW(),2)=1</formula>
    </cfRule>
  </conditionalFormatting>
  <conditionalFormatting sqref="R46">
    <cfRule type="expression" dxfId="3274" priority="4046" stopIfTrue="1">
      <formula>MOD(ROW(),2)=0</formula>
    </cfRule>
  </conditionalFormatting>
  <conditionalFormatting sqref="N46:Q46 X46 Z46:AC46 CA46:CB46 BW46:BY46 BT46:BU46 CD46:CE46">
    <cfRule type="expression" dxfId="3273" priority="4051" stopIfTrue="1">
      <formula>MOD(ROW(),2)=1</formula>
    </cfRule>
  </conditionalFormatting>
  <conditionalFormatting sqref="N46:Q46 X46 Z46:AC46 CA46:CB46 BW46:BY46 BT46:BU46 CD46:CE46">
    <cfRule type="expression" dxfId="3272" priority="4052" stopIfTrue="1">
      <formula>MOD(ROW(),2)=0</formula>
    </cfRule>
  </conditionalFormatting>
  <conditionalFormatting sqref="Z52:AB52">
    <cfRule type="expression" dxfId="3271" priority="4043" stopIfTrue="1">
      <formula>MOD(ROW(),2)=1</formula>
    </cfRule>
  </conditionalFormatting>
  <conditionalFormatting sqref="Z52:AB52">
    <cfRule type="expression" dxfId="3270" priority="4044" stopIfTrue="1">
      <formula>MOD(ROW(),2)=0</formula>
    </cfRule>
  </conditionalFormatting>
  <conditionalFormatting sqref="V50">
    <cfRule type="expression" dxfId="3269" priority="4041" stopIfTrue="1">
      <formula>MOD(ROW(),2)=1</formula>
    </cfRule>
  </conditionalFormatting>
  <conditionalFormatting sqref="V50">
    <cfRule type="expression" dxfId="3268" priority="4042" stopIfTrue="1">
      <formula>MOD(ROW(),2)=0</formula>
    </cfRule>
  </conditionalFormatting>
  <conditionalFormatting sqref="P51">
    <cfRule type="expression" dxfId="3267" priority="4039" stopIfTrue="1">
      <formula>MOD(ROW(),2)=1</formula>
    </cfRule>
  </conditionalFormatting>
  <conditionalFormatting sqref="P51">
    <cfRule type="expression" dxfId="3266" priority="4040" stopIfTrue="1">
      <formula>MOD(ROW(),2)=0</formula>
    </cfRule>
  </conditionalFormatting>
  <conditionalFormatting sqref="U71 W71:X71 Z71:AD71 BR71:CF71">
    <cfRule type="expression" dxfId="3265" priority="4037" stopIfTrue="1">
      <formula>MOD(ROW(),2)=1</formula>
    </cfRule>
  </conditionalFormatting>
  <conditionalFormatting sqref="U71 W71:X71 Z71:AD71 BR71:CF71">
    <cfRule type="expression" dxfId="3264" priority="4038" stopIfTrue="1">
      <formula>MOD(ROW(),2)=0</formula>
    </cfRule>
  </conditionalFormatting>
  <conditionalFormatting sqref="M57:O57 B56:G56 W57:X57 Z57:AD57 X56 BR57:CF57">
    <cfRule type="expression" dxfId="3263" priority="4035" stopIfTrue="1">
      <formula>MOD(ROW(),2)=1</formula>
    </cfRule>
  </conditionalFormatting>
  <conditionalFormatting sqref="M57:O57 B56:G56 W57:X57 Z57:AD57 X56 BR57:CF57">
    <cfRule type="expression" dxfId="3262" priority="4036" stopIfTrue="1">
      <formula>MOD(ROW(),2)=0</formula>
    </cfRule>
  </conditionalFormatting>
  <conditionalFormatting sqref="C55">
    <cfRule type="expression" dxfId="3261" priority="4033" stopIfTrue="1">
      <formula>MOD(ROW(),2)=1</formula>
    </cfRule>
  </conditionalFormatting>
  <conditionalFormatting sqref="C55">
    <cfRule type="expression" dxfId="3260" priority="4034" stopIfTrue="1">
      <formula>MOD(ROW(),2)=0</formula>
    </cfRule>
  </conditionalFormatting>
  <conditionalFormatting sqref="M65:P65 J65 R65 W65 Z65:AE65 CB65:CD65 BR65:BZ65 AK65">
    <cfRule type="expression" dxfId="3259" priority="4031" stopIfTrue="1">
      <formula>MOD(ROW(),2)=1</formula>
    </cfRule>
  </conditionalFormatting>
  <conditionalFormatting sqref="M65:P65 J65 R65 W65 Z65:AE65 CB65:CD65 BR65:BZ65 AK65">
    <cfRule type="expression" dxfId="3258" priority="4032" stopIfTrue="1">
      <formula>MOD(ROW(),2)=0</formula>
    </cfRule>
  </conditionalFormatting>
  <conditionalFormatting sqref="Q65">
    <cfRule type="expression" dxfId="3257" priority="4029" stopIfTrue="1">
      <formula>MOD(ROW(),2)=1</formula>
    </cfRule>
  </conditionalFormatting>
  <conditionalFormatting sqref="Q65">
    <cfRule type="expression" dxfId="3256" priority="4030" stopIfTrue="1">
      <formula>MOD(ROW(),2)=0</formula>
    </cfRule>
  </conditionalFormatting>
  <conditionalFormatting sqref="B17:D17 Z17:AB17 W17:X17">
    <cfRule type="expression" dxfId="3255" priority="3985" stopIfTrue="1">
      <formula>MOD(ROW(),2)=1</formula>
    </cfRule>
  </conditionalFormatting>
  <conditionalFormatting sqref="B17:D17 Z17:AB17 W17:X17">
    <cfRule type="expression" dxfId="3254" priority="3986" stopIfTrue="1">
      <formula>MOD(ROW(),2)=0</formula>
    </cfRule>
  </conditionalFormatting>
  <conditionalFormatting sqref="Q69:T69 W69:X69 Z69:AD69 BR69:CE69">
    <cfRule type="expression" dxfId="3253" priority="4025" stopIfTrue="1">
      <formula>MOD(ROW(),2)=1</formula>
    </cfRule>
  </conditionalFormatting>
  <conditionalFormatting sqref="Q69:T69 W69:X69 Z69:AD69 BR69:CE69">
    <cfRule type="expression" dxfId="3252" priority="4026" stopIfTrue="1">
      <formula>MOD(ROW(),2)=0</formula>
    </cfRule>
  </conditionalFormatting>
  <conditionalFormatting sqref="Z79:AD79 BR79:CE79">
    <cfRule type="expression" dxfId="3251" priority="4023" stopIfTrue="1">
      <formula>MOD(ROW(),2)=1</formula>
    </cfRule>
  </conditionalFormatting>
  <conditionalFormatting sqref="Z79:AD79 BR79:CE79">
    <cfRule type="expression" dxfId="3250" priority="4024" stopIfTrue="1">
      <formula>MOD(ROW(),2)=0</formula>
    </cfRule>
  </conditionalFormatting>
  <conditionalFormatting sqref="Z78:AD78 BR78:CE78">
    <cfRule type="expression" dxfId="3249" priority="4021" stopIfTrue="1">
      <formula>MOD(ROW(),2)=1</formula>
    </cfRule>
  </conditionalFormatting>
  <conditionalFormatting sqref="Z78:AD78 BR78:CE78">
    <cfRule type="expression" dxfId="3248" priority="4022" stopIfTrue="1">
      <formula>MOD(ROW(),2)=0</formula>
    </cfRule>
  </conditionalFormatting>
  <conditionalFormatting sqref="Z77:AD77 BR77:CE77">
    <cfRule type="expression" dxfId="3247" priority="4019" stopIfTrue="1">
      <formula>MOD(ROW(),2)=1</formula>
    </cfRule>
  </conditionalFormatting>
  <conditionalFormatting sqref="Z77:AD77 BR77:CE77">
    <cfRule type="expression" dxfId="3246" priority="4020" stopIfTrue="1">
      <formula>MOD(ROW(),2)=0</formula>
    </cfRule>
  </conditionalFormatting>
  <conditionalFormatting sqref="M81:P81 X81 Z81:AD81 CA81:CD81 BR81:BY81">
    <cfRule type="expression" dxfId="3245" priority="4017" stopIfTrue="1">
      <formula>MOD(ROW(),2)=1</formula>
    </cfRule>
  </conditionalFormatting>
  <conditionalFormatting sqref="M81:P81 X81 Z81:AD81 CA81:CD81 BR81:BY81">
    <cfRule type="expression" dxfId="3244" priority="4018" stopIfTrue="1">
      <formula>MOD(ROW(),2)=0</formula>
    </cfRule>
  </conditionalFormatting>
  <conditionalFormatting sqref="J82:K82">
    <cfRule type="expression" dxfId="3243" priority="4013" stopIfTrue="1">
      <formula>MOD(ROW(),2)=1</formula>
    </cfRule>
  </conditionalFormatting>
  <conditionalFormatting sqref="J82:K82">
    <cfRule type="expression" dxfId="3242" priority="4014" stopIfTrue="1">
      <formula>MOD(ROW(),2)=0</formula>
    </cfRule>
  </conditionalFormatting>
  <conditionalFormatting sqref="Q81">
    <cfRule type="expression" dxfId="3241" priority="4015" stopIfTrue="1">
      <formula>MOD(ROW(),2)=1</formula>
    </cfRule>
  </conditionalFormatting>
  <conditionalFormatting sqref="Q81">
    <cfRule type="expression" dxfId="3240" priority="4016" stopIfTrue="1">
      <formula>MOD(ROW(),2)=0</formula>
    </cfRule>
  </conditionalFormatting>
  <conditionalFormatting sqref="M82:N82 P82 X82 Z82:AD82 BR82:CE82">
    <cfRule type="expression" dxfId="3239" priority="4011" stopIfTrue="1">
      <formula>MOD(ROW(),2)=1</formula>
    </cfRule>
  </conditionalFormatting>
  <conditionalFormatting sqref="M82:N82 P82 X82 Z82:AD82 BR82:CE82">
    <cfRule type="expression" dxfId="3238" priority="4012" stopIfTrue="1">
      <formula>MOD(ROW(),2)=0</formula>
    </cfRule>
  </conditionalFormatting>
  <conditionalFormatting sqref="Q82">
    <cfRule type="expression" dxfId="3237" priority="4009" stopIfTrue="1">
      <formula>MOD(ROW(),2)=1</formula>
    </cfRule>
  </conditionalFormatting>
  <conditionalFormatting sqref="Q82">
    <cfRule type="expression" dxfId="3236" priority="4010" stopIfTrue="1">
      <formula>MOD(ROW(),2)=0</formula>
    </cfRule>
  </conditionalFormatting>
  <conditionalFormatting sqref="M87:P87 W87:X87 Z87:AD87 CA87:CE87 BR87:BY87">
    <cfRule type="expression" dxfId="3235" priority="4007" stopIfTrue="1">
      <formula>MOD(ROW(),2)=1</formula>
    </cfRule>
  </conditionalFormatting>
  <conditionalFormatting sqref="M87:P87 W87:X87 Z87:AD87 CA87:CE87 BR87:BY87">
    <cfRule type="expression" dxfId="3234" priority="4008" stopIfTrue="1">
      <formula>MOD(ROW(),2)=0</formula>
    </cfRule>
  </conditionalFormatting>
  <conditionalFormatting sqref="M86:N86 P86 W86:X86 Z86:AD86 CA86:CE86 BR86:BY86">
    <cfRule type="expression" dxfId="3233" priority="4005" stopIfTrue="1">
      <formula>MOD(ROW(),2)=1</formula>
    </cfRule>
  </conditionalFormatting>
  <conditionalFormatting sqref="M86:N86 P86 W86:X86 Z86:AD86 CA86:CE86 BR86:BY86">
    <cfRule type="expression" dxfId="3232" priority="4006" stopIfTrue="1">
      <formula>MOD(ROW(),2)=0</formula>
    </cfRule>
  </conditionalFormatting>
  <conditionalFormatting sqref="Q86:T86">
    <cfRule type="expression" dxfId="3231" priority="4003" stopIfTrue="1">
      <formula>MOD(ROW(),2)=1</formula>
    </cfRule>
  </conditionalFormatting>
  <conditionalFormatting sqref="Q86:T86">
    <cfRule type="expression" dxfId="3230" priority="4004" stopIfTrue="1">
      <formula>MOD(ROW(),2)=0</formula>
    </cfRule>
  </conditionalFormatting>
  <conditionalFormatting sqref="Q87:T87">
    <cfRule type="expression" dxfId="3229" priority="4001" stopIfTrue="1">
      <formula>MOD(ROW(),2)=1</formula>
    </cfRule>
  </conditionalFormatting>
  <conditionalFormatting sqref="Q87:T87">
    <cfRule type="expression" dxfId="3228" priority="4002" stopIfTrue="1">
      <formula>MOD(ROW(),2)=0</formula>
    </cfRule>
  </conditionalFormatting>
  <conditionalFormatting sqref="H91 H89:I89">
    <cfRule type="expression" dxfId="3227" priority="3997" stopIfTrue="1">
      <formula>MOD(ROW(),2)=1</formula>
    </cfRule>
  </conditionalFormatting>
  <conditionalFormatting sqref="H91 H89:I89">
    <cfRule type="expression" dxfId="3226" priority="3998" stopIfTrue="1">
      <formula>MOD(ROW(),2)=0</formula>
    </cfRule>
  </conditionalFormatting>
  <conditionalFormatting sqref="H90">
    <cfRule type="expression" dxfId="3225" priority="3995" stopIfTrue="1">
      <formula>MOD(ROW(),2)=1</formula>
    </cfRule>
  </conditionalFormatting>
  <conditionalFormatting sqref="H90">
    <cfRule type="expression" dxfId="3224" priority="3996" stopIfTrue="1">
      <formula>MOD(ROW(),2)=0</formula>
    </cfRule>
  </conditionalFormatting>
  <conditionalFormatting sqref="V89">
    <cfRule type="expression" dxfId="3223" priority="3993" stopIfTrue="1">
      <formula>MOD(ROW(),2)=1</formula>
    </cfRule>
  </conditionalFormatting>
  <conditionalFormatting sqref="V89">
    <cfRule type="expression" dxfId="3222" priority="3994" stopIfTrue="1">
      <formula>MOD(ROW(),2)=0</formula>
    </cfRule>
  </conditionalFormatting>
  <conditionalFormatting sqref="V91">
    <cfRule type="expression" dxfId="3221" priority="3991" stopIfTrue="1">
      <formula>MOD(ROW(),2)=1</formula>
    </cfRule>
  </conditionalFormatting>
  <conditionalFormatting sqref="V91">
    <cfRule type="expression" dxfId="3220" priority="3992" stopIfTrue="1">
      <formula>MOD(ROW(),2)=0</formula>
    </cfRule>
  </conditionalFormatting>
  <conditionalFormatting sqref="W93:X93 Z93:AI93 W94:W95 BR93:CF93 AK93:AO93">
    <cfRule type="expression" dxfId="3219" priority="3989" stopIfTrue="1">
      <formula>MOD(ROW(),2)=1</formula>
    </cfRule>
  </conditionalFormatting>
  <conditionalFormatting sqref="W93:X93 Z93:AI93 W94:W95 BR93:CF93 AK93:AO93">
    <cfRule type="expression" dxfId="3218" priority="3990" stopIfTrue="1">
      <formula>MOD(ROW(),2)=0</formula>
    </cfRule>
  </conditionalFormatting>
  <conditionalFormatting sqref="U93">
    <cfRule type="expression" dxfId="3217" priority="3987" stopIfTrue="1">
      <formula>MOD(ROW(),2)=1</formula>
    </cfRule>
  </conditionalFormatting>
  <conditionalFormatting sqref="U93">
    <cfRule type="expression" dxfId="3216" priority="3988" stopIfTrue="1">
      <formula>MOD(ROW(),2)=0</formula>
    </cfRule>
  </conditionalFormatting>
  <conditionalFormatting sqref="P23">
    <cfRule type="expression" dxfId="3215" priority="3853" stopIfTrue="1">
      <formula>MOD(ROW(),2)=1</formula>
    </cfRule>
  </conditionalFormatting>
  <conditionalFormatting sqref="P23">
    <cfRule type="expression" dxfId="3214" priority="3854" stopIfTrue="1">
      <formula>MOD(ROW(),2)=0</formula>
    </cfRule>
  </conditionalFormatting>
  <conditionalFormatting sqref="E17">
    <cfRule type="expression" dxfId="3213" priority="3983" stopIfTrue="1">
      <formula>MOD(ROW(),2)=1</formula>
    </cfRule>
  </conditionalFormatting>
  <conditionalFormatting sqref="E17">
    <cfRule type="expression" dxfId="3212" priority="3984" stopIfTrue="1">
      <formula>MOD(ROW(),2)=0</formula>
    </cfRule>
  </conditionalFormatting>
  <conditionalFormatting sqref="Z32 R32 T32">
    <cfRule type="expression" dxfId="3211" priority="3981" stopIfTrue="1">
      <formula>MOD(ROW(),2)=1</formula>
    </cfRule>
  </conditionalFormatting>
  <conditionalFormatting sqref="Z32 R32 T32">
    <cfRule type="expression" dxfId="3210" priority="3982" stopIfTrue="1">
      <formula>MOD(ROW(),2)=0</formula>
    </cfRule>
  </conditionalFormatting>
  <conditionalFormatting sqref="V56:V57">
    <cfRule type="expression" dxfId="3209" priority="3979" stopIfTrue="1">
      <formula>MOD(ROW(),2)=1</formula>
    </cfRule>
  </conditionalFormatting>
  <conditionalFormatting sqref="V56:V57">
    <cfRule type="expression" dxfId="3208" priority="3980" stopIfTrue="1">
      <formula>MOD(ROW(),2)=0</formula>
    </cfRule>
  </conditionalFormatting>
  <conditionalFormatting sqref="U67 X67 Z67:AC67 CA67:CD67 BR67:BY67">
    <cfRule type="expression" dxfId="3207" priority="3977" stopIfTrue="1">
      <formula>MOD(ROW(),2)=1</formula>
    </cfRule>
  </conditionalFormatting>
  <conditionalFormatting sqref="U67 X67 Z67:AC67 CA67:CD67 BR67:BY67">
    <cfRule type="expression" dxfId="3206" priority="3978" stopIfTrue="1">
      <formula>MOD(ROW(),2)=0</formula>
    </cfRule>
  </conditionalFormatting>
  <conditionalFormatting sqref="Z15:AB15">
    <cfRule type="expression" dxfId="3205" priority="3975" stopIfTrue="1">
      <formula>MOD(ROW(),2)=1</formula>
    </cfRule>
  </conditionalFormatting>
  <conditionalFormatting sqref="Z15:AB15">
    <cfRule type="expression" dxfId="3204" priority="3976" stopIfTrue="1">
      <formula>MOD(ROW(),2)=0</formula>
    </cfRule>
  </conditionalFormatting>
  <conditionalFormatting sqref="B15">
    <cfRule type="expression" dxfId="3203" priority="3973" stopIfTrue="1">
      <formula>MOD(ROW(),2)=1</formula>
    </cfRule>
  </conditionalFormatting>
  <conditionalFormatting sqref="B15">
    <cfRule type="expression" dxfId="3202" priority="3974" stopIfTrue="1">
      <formula>MOD(ROW(),2)=0</formula>
    </cfRule>
  </conditionalFormatting>
  <conditionalFormatting sqref="U84:V84 Z84:AD84 X84 CA84:CF84 BR84:BY84 AK84:AO84">
    <cfRule type="expression" dxfId="3201" priority="3971" stopIfTrue="1">
      <formula>MOD(ROW(),2)=1</formula>
    </cfRule>
  </conditionalFormatting>
  <conditionalFormatting sqref="U84:V84 Z84:AD84 X84 CA84:CF84 BR84:BY84 AK84:AO84">
    <cfRule type="expression" dxfId="3200" priority="3972" stopIfTrue="1">
      <formula>MOD(ROW(),2)=0</formula>
    </cfRule>
  </conditionalFormatting>
  <conditionalFormatting sqref="W49:X49 Z49:AD49 BR49:CF49">
    <cfRule type="expression" dxfId="3199" priority="3969" stopIfTrue="1">
      <formula>MOD(ROW(),2)=1</formula>
    </cfRule>
  </conditionalFormatting>
  <conditionalFormatting sqref="W49:X49 Z49:AD49 BR49:CF49">
    <cfRule type="expression" dxfId="3198" priority="3970" stopIfTrue="1">
      <formula>MOD(ROW(),2)=0</formula>
    </cfRule>
  </conditionalFormatting>
  <conditionalFormatting sqref="V49">
    <cfRule type="expression" dxfId="3197" priority="3967" stopIfTrue="1">
      <formula>MOD(ROW(),2)=1</formula>
    </cfRule>
  </conditionalFormatting>
  <conditionalFormatting sqref="V49">
    <cfRule type="expression" dxfId="3196" priority="3968" stopIfTrue="1">
      <formula>MOD(ROW(),2)=0</formula>
    </cfRule>
  </conditionalFormatting>
  <conditionalFormatting sqref="P132:P133 U134:U135 Z134:AB154 B135:F135 B140:G140 W140:X140 W148:X148 U136:X137 U138">
    <cfRule type="expression" dxfId="3195" priority="3965" stopIfTrue="1">
      <formula>MOD(ROW(),2)=1</formula>
    </cfRule>
  </conditionalFormatting>
  <conditionalFormatting sqref="P132:P133 U134:U135 Z134:AB154 B135:F135 B140:G140 W140:X140 W148:X148 U136:X137 U138">
    <cfRule type="expression" dxfId="3194" priority="3966" stopIfTrue="1">
      <formula>MOD(ROW(),2)=0</formula>
    </cfRule>
  </conditionalFormatting>
  <conditionalFormatting sqref="P130">
    <cfRule type="expression" dxfId="3193" priority="3963" stopIfTrue="1">
      <formula>MOD(ROW(),2)=1</formula>
    </cfRule>
  </conditionalFormatting>
  <conditionalFormatting sqref="P130">
    <cfRule type="expression" dxfId="3192" priority="3964" stopIfTrue="1">
      <formula>MOD(ROW(),2)=0</formula>
    </cfRule>
  </conditionalFormatting>
  <conditionalFormatting sqref="I44">
    <cfRule type="expression" dxfId="3191" priority="3957" stopIfTrue="1">
      <formula>MOD(ROW(),2)=1</formula>
    </cfRule>
  </conditionalFormatting>
  <conditionalFormatting sqref="I44">
    <cfRule type="expression" dxfId="3190" priority="3958" stopIfTrue="1">
      <formula>MOD(ROW(),2)=0</formula>
    </cfRule>
  </conditionalFormatting>
  <conditionalFormatting sqref="U132:V132">
    <cfRule type="expression" dxfId="3189" priority="3959" stopIfTrue="1">
      <formula>MOD(ROW(),2)=1</formula>
    </cfRule>
  </conditionalFormatting>
  <conditionalFormatting sqref="U132:V132">
    <cfRule type="expression" dxfId="3188" priority="3960" stopIfTrue="1">
      <formula>MOD(ROW(),2)=0</formula>
    </cfRule>
  </conditionalFormatting>
  <conditionalFormatting sqref="C44">
    <cfRule type="expression" dxfId="3187" priority="3955" stopIfTrue="1">
      <formula>MOD(ROW(),2)=1</formula>
    </cfRule>
  </conditionalFormatting>
  <conditionalFormatting sqref="C44">
    <cfRule type="expression" dxfId="3186" priority="3956" stopIfTrue="1">
      <formula>MOD(ROW(),2)=0</formula>
    </cfRule>
  </conditionalFormatting>
  <conditionalFormatting sqref="K65">
    <cfRule type="expression" dxfId="3185" priority="3953" stopIfTrue="1">
      <formula>MOD(ROW(),2)=1</formula>
    </cfRule>
  </conditionalFormatting>
  <conditionalFormatting sqref="K65">
    <cfRule type="expression" dxfId="3184" priority="3954" stopIfTrue="1">
      <formula>MOD(ROW(),2)=0</formula>
    </cfRule>
  </conditionalFormatting>
  <conditionalFormatting sqref="I65">
    <cfRule type="expression" dxfId="3183" priority="3951" stopIfTrue="1">
      <formula>MOD(ROW(),2)=1</formula>
    </cfRule>
  </conditionalFormatting>
  <conditionalFormatting sqref="I65">
    <cfRule type="expression" dxfId="3182" priority="3952" stopIfTrue="1">
      <formula>MOD(ROW(),2)=0</formula>
    </cfRule>
  </conditionalFormatting>
  <conditionalFormatting sqref="AC131:AD131 CA131:CE131 BR131:BY131">
    <cfRule type="expression" dxfId="3181" priority="3949" stopIfTrue="1">
      <formula>MOD(ROW(),2)=1</formula>
    </cfRule>
  </conditionalFormatting>
  <conditionalFormatting sqref="AC131:AD131 CA131:CE131 BR131:BY131">
    <cfRule type="expression" dxfId="3180" priority="3950" stopIfTrue="1">
      <formula>MOD(ROW(),2)=0</formula>
    </cfRule>
  </conditionalFormatting>
  <conditionalFormatting sqref="B131:D131 Z131:AB131">
    <cfRule type="expression" dxfId="3179" priority="3947" stopIfTrue="1">
      <formula>MOD(ROW(),2)=1</formula>
    </cfRule>
  </conditionalFormatting>
  <conditionalFormatting sqref="B131:D131 Z131:AB131">
    <cfRule type="expression" dxfId="3178" priority="3948" stopIfTrue="1">
      <formula>MOD(ROW(),2)=0</formula>
    </cfRule>
  </conditionalFormatting>
  <conditionalFormatting sqref="E131">
    <cfRule type="expression" dxfId="3177" priority="3945" stopIfTrue="1">
      <formula>MOD(ROW(),2)=1</formula>
    </cfRule>
  </conditionalFormatting>
  <conditionalFormatting sqref="E131">
    <cfRule type="expression" dxfId="3176" priority="3946" stopIfTrue="1">
      <formula>MOD(ROW(),2)=0</formula>
    </cfRule>
  </conditionalFormatting>
  <conditionalFormatting sqref="Z68:AB68">
    <cfRule type="expression" dxfId="3175" priority="3943" stopIfTrue="1">
      <formula>MOD(ROW(),2)=1</formula>
    </cfRule>
  </conditionalFormatting>
  <conditionalFormatting sqref="Z68:AB68">
    <cfRule type="expression" dxfId="3174" priority="3944" stopIfTrue="1">
      <formula>MOD(ROW(),2)=0</formula>
    </cfRule>
  </conditionalFormatting>
  <conditionalFormatting sqref="O43">
    <cfRule type="expression" dxfId="3173" priority="3939" stopIfTrue="1">
      <formula>MOD(ROW(),2)=1</formula>
    </cfRule>
  </conditionalFormatting>
  <conditionalFormatting sqref="O43">
    <cfRule type="expression" dxfId="3172" priority="3940" stopIfTrue="1">
      <formula>MOD(ROW(),2)=0</formula>
    </cfRule>
  </conditionalFormatting>
  <conditionalFormatting sqref="O82">
    <cfRule type="expression" dxfId="3171" priority="3937" stopIfTrue="1">
      <formula>MOD(ROW(),2)=1</formula>
    </cfRule>
  </conditionalFormatting>
  <conditionalFormatting sqref="O82">
    <cfRule type="expression" dxfId="3170" priority="3938" stopIfTrue="1">
      <formula>MOD(ROW(),2)=0</formula>
    </cfRule>
  </conditionalFormatting>
  <conditionalFormatting sqref="O86">
    <cfRule type="expression" dxfId="3169" priority="3935" stopIfTrue="1">
      <formula>MOD(ROW(),2)=1</formula>
    </cfRule>
  </conditionalFormatting>
  <conditionalFormatting sqref="O86">
    <cfRule type="expression" dxfId="3168" priority="3936" stopIfTrue="1">
      <formula>MOD(ROW(),2)=0</formula>
    </cfRule>
  </conditionalFormatting>
  <conditionalFormatting sqref="V138">
    <cfRule type="expression" dxfId="3167" priority="3917" stopIfTrue="1">
      <formula>MOD(ROW(),2)=1</formula>
    </cfRule>
  </conditionalFormatting>
  <conditionalFormatting sqref="V138">
    <cfRule type="expression" dxfId="3166" priority="3918" stopIfTrue="1">
      <formula>MOD(ROW(),2)=0</formula>
    </cfRule>
  </conditionalFormatting>
  <conditionalFormatting sqref="W129:X129 Z129:AD129 BR129:CF129">
    <cfRule type="expression" dxfId="3165" priority="3933" stopIfTrue="1">
      <formula>MOD(ROW(),2)=1</formula>
    </cfRule>
  </conditionalFormatting>
  <conditionalFormatting sqref="W129:X129 Z129:AD129 BR129:CF129">
    <cfRule type="expression" dxfId="3164" priority="3934" stopIfTrue="1">
      <formula>MOD(ROW(),2)=0</formula>
    </cfRule>
  </conditionalFormatting>
  <conditionalFormatting sqref="V96">
    <cfRule type="expression" dxfId="3163" priority="3929" stopIfTrue="1">
      <formula>MOD(ROW(),2)=1</formula>
    </cfRule>
  </conditionalFormatting>
  <conditionalFormatting sqref="V96">
    <cfRule type="expression" dxfId="3162" priority="3930" stopIfTrue="1">
      <formula>MOD(ROW(),2)=0</formula>
    </cfRule>
  </conditionalFormatting>
  <conditionalFormatting sqref="V129">
    <cfRule type="expression" dxfId="3161" priority="3931" stopIfTrue="1">
      <formula>MOD(ROW(),2)=1</formula>
    </cfRule>
  </conditionalFormatting>
  <conditionalFormatting sqref="V129">
    <cfRule type="expression" dxfId="3160" priority="3932" stopIfTrue="1">
      <formula>MOD(ROW(),2)=0</formula>
    </cfRule>
  </conditionalFormatting>
  <conditionalFormatting sqref="B13">
    <cfRule type="expression" dxfId="3159" priority="3901" stopIfTrue="1">
      <formula>MOD(ROW(),2)=1</formula>
    </cfRule>
  </conditionalFormatting>
  <conditionalFormatting sqref="B13">
    <cfRule type="expression" dxfId="3158" priority="3902" stopIfTrue="1">
      <formula>MOD(ROW(),2)=0</formula>
    </cfRule>
  </conditionalFormatting>
  <conditionalFormatting sqref="V134">
    <cfRule type="expression" dxfId="3157" priority="3927" stopIfTrue="1">
      <formula>MOD(ROW(),2)=1</formula>
    </cfRule>
  </conditionalFormatting>
  <conditionalFormatting sqref="V134">
    <cfRule type="expression" dxfId="3156" priority="3928" stopIfTrue="1">
      <formula>MOD(ROW(),2)=0</formula>
    </cfRule>
  </conditionalFormatting>
  <conditionalFormatting sqref="R134:T134">
    <cfRule type="expression" dxfId="3155" priority="3925" stopIfTrue="1">
      <formula>MOD(ROW(),2)=1</formula>
    </cfRule>
    <cfRule type="expression" dxfId="3154" priority="3926" stopIfTrue="1">
      <formula>MOD(ROW(),2)=0</formula>
    </cfRule>
  </conditionalFormatting>
  <conditionalFormatting sqref="H135">
    <cfRule type="expression" dxfId="3153" priority="3923" stopIfTrue="1">
      <formula>MOD(ROW(),2)=1</formula>
    </cfRule>
    <cfRule type="expression" dxfId="3152" priority="3924" stopIfTrue="1">
      <formula>MOD(ROW(),2)=0</formula>
    </cfRule>
  </conditionalFormatting>
  <conditionalFormatting sqref="V135">
    <cfRule type="expression" dxfId="3151" priority="3921" stopIfTrue="1">
      <formula>MOD(ROW(),2)=1</formula>
    </cfRule>
  </conditionalFormatting>
  <conditionalFormatting sqref="V135">
    <cfRule type="expression" dxfId="3150" priority="3922" stopIfTrue="1">
      <formula>MOD(ROW(),2)=0</formula>
    </cfRule>
  </conditionalFormatting>
  <conditionalFormatting sqref="B83:B84">
    <cfRule type="expression" dxfId="3149" priority="3919" stopIfTrue="1">
      <formula>MOD(ROW(),2)=1</formula>
    </cfRule>
  </conditionalFormatting>
  <conditionalFormatting sqref="B83:B84">
    <cfRule type="expression" dxfId="3148" priority="3920" stopIfTrue="1">
      <formula>MOD(ROW(),2)=0</formula>
    </cfRule>
  </conditionalFormatting>
  <conditionalFormatting sqref="C136:F136">
    <cfRule type="expression" dxfId="3147" priority="3913" stopIfTrue="1">
      <formula>MOD(ROW(),2)=1</formula>
    </cfRule>
  </conditionalFormatting>
  <conditionalFormatting sqref="C136:F136">
    <cfRule type="expression" dxfId="3146" priority="3914" stopIfTrue="1">
      <formula>MOD(ROW(),2)=0</formula>
    </cfRule>
  </conditionalFormatting>
  <conditionalFormatting sqref="B137">
    <cfRule type="expression" dxfId="3145" priority="3915" stopIfTrue="1">
      <formula>MOD(ROW(),2)=1</formula>
    </cfRule>
    <cfRule type="expression" dxfId="3144" priority="3916" stopIfTrue="1">
      <formula>MOD(ROW(),2)=0</formula>
    </cfRule>
  </conditionalFormatting>
  <conditionalFormatting sqref="B136">
    <cfRule type="expression" dxfId="3143" priority="3911" stopIfTrue="1">
      <formula>MOD(ROW(),2)=1</formula>
    </cfRule>
    <cfRule type="expression" dxfId="3142" priority="3912" stopIfTrue="1">
      <formula>MOD(ROW(),2)=0</formula>
    </cfRule>
  </conditionalFormatting>
  <conditionalFormatting sqref="B139">
    <cfRule type="expression" dxfId="3141" priority="3909" stopIfTrue="1">
      <formula>MOD(ROW(),2)=1</formula>
    </cfRule>
    <cfRule type="expression" dxfId="3140" priority="3910" stopIfTrue="1">
      <formula>MOD(ROW(),2)=0</formula>
    </cfRule>
  </conditionalFormatting>
  <conditionalFormatting sqref="C139">
    <cfRule type="expression" dxfId="3139" priority="3907" stopIfTrue="1">
      <formula>MOD(ROW(),2)=1</formula>
    </cfRule>
    <cfRule type="expression" dxfId="3138" priority="3908" stopIfTrue="1">
      <formula>MOD(ROW(),2)=0</formula>
    </cfRule>
  </conditionalFormatting>
  <conditionalFormatting sqref="Q140">
    <cfRule type="expression" dxfId="3137" priority="3905" stopIfTrue="1">
      <formula>MOD(ROW(),2)=1</formula>
    </cfRule>
    <cfRule type="expression" dxfId="3136" priority="3906" stopIfTrue="1">
      <formula>MOD(ROW(),2)=0</formula>
    </cfRule>
  </conditionalFormatting>
  <conditionalFormatting sqref="H140">
    <cfRule type="expression" dxfId="3135" priority="3903" stopIfTrue="1">
      <formula>MOD(ROW(),2)=1</formula>
    </cfRule>
    <cfRule type="expression" dxfId="3134" priority="3904" stopIfTrue="1">
      <formula>MOD(ROW(),2)=0</formula>
    </cfRule>
  </conditionalFormatting>
  <conditionalFormatting sqref="Q138">
    <cfRule type="expression" dxfId="3133" priority="3899" stopIfTrue="1">
      <formula>MOD(ROW(),2)=1</formula>
    </cfRule>
  </conditionalFormatting>
  <conditionalFormatting sqref="Q138">
    <cfRule type="expression" dxfId="3132" priority="3900" stopIfTrue="1">
      <formula>MOD(ROW(),2)=0</formula>
    </cfRule>
  </conditionalFormatting>
  <conditionalFormatting sqref="Q136">
    <cfRule type="expression" dxfId="3131" priority="3897" stopIfTrue="1">
      <formula>MOD(ROW(),2)=1</formula>
    </cfRule>
  </conditionalFormatting>
  <conditionalFormatting sqref="Q136">
    <cfRule type="expression" dxfId="3130" priority="3898" stopIfTrue="1">
      <formula>MOD(ROW(),2)=0</formula>
    </cfRule>
  </conditionalFormatting>
  <conditionalFormatting sqref="Q137">
    <cfRule type="expression" dxfId="3129" priority="3895" stopIfTrue="1">
      <formula>MOD(ROW(),2)=1</formula>
    </cfRule>
  </conditionalFormatting>
  <conditionalFormatting sqref="Q137">
    <cfRule type="expression" dxfId="3128" priority="3896" stopIfTrue="1">
      <formula>MOD(ROW(),2)=0</formula>
    </cfRule>
  </conditionalFormatting>
  <conditionalFormatting sqref="R135:T135">
    <cfRule type="expression" dxfId="3127" priority="3893" stopIfTrue="1">
      <formula>MOD(ROW(),2)=1</formula>
    </cfRule>
    <cfRule type="expression" dxfId="3126" priority="3894" stopIfTrue="1">
      <formula>MOD(ROW(),2)=0</formula>
    </cfRule>
  </conditionalFormatting>
  <conditionalFormatting sqref="R84:T84">
    <cfRule type="expression" dxfId="3125" priority="3891" stopIfTrue="1">
      <formula>MOD(ROW(),2)=1</formula>
    </cfRule>
  </conditionalFormatting>
  <conditionalFormatting sqref="R84:T84">
    <cfRule type="expression" dxfId="3124" priority="3892" stopIfTrue="1">
      <formula>MOD(ROW(),2)=0</formula>
    </cfRule>
  </conditionalFormatting>
  <conditionalFormatting sqref="R136:T136">
    <cfRule type="expression" dxfId="3123" priority="3889" stopIfTrue="1">
      <formula>MOD(ROW(),2)=1</formula>
    </cfRule>
  </conditionalFormatting>
  <conditionalFormatting sqref="R136:T136">
    <cfRule type="expression" dxfId="3122" priority="3890" stopIfTrue="1">
      <formula>MOD(ROW(),2)=0</formula>
    </cfRule>
  </conditionalFormatting>
  <conditionalFormatting sqref="R137:T137">
    <cfRule type="expression" dxfId="3121" priority="3887" stopIfTrue="1">
      <formula>MOD(ROW(),2)=1</formula>
    </cfRule>
  </conditionalFormatting>
  <conditionalFormatting sqref="R137:T137">
    <cfRule type="expression" dxfId="3120" priority="3888" stopIfTrue="1">
      <formula>MOD(ROW(),2)=0</formula>
    </cfRule>
  </conditionalFormatting>
  <conditionalFormatting sqref="R138:T138">
    <cfRule type="expression" dxfId="3119" priority="3885" stopIfTrue="1">
      <formula>MOD(ROW(),2)=1</formula>
    </cfRule>
  </conditionalFormatting>
  <conditionalFormatting sqref="R138:T138">
    <cfRule type="expression" dxfId="3118" priority="3886" stopIfTrue="1">
      <formula>MOD(ROW(),2)=0</formula>
    </cfRule>
  </conditionalFormatting>
  <conditionalFormatting sqref="B89">
    <cfRule type="expression" dxfId="3117" priority="3883" stopIfTrue="1">
      <formula>MOD(ROW(),2)=1</formula>
    </cfRule>
  </conditionalFormatting>
  <conditionalFormatting sqref="B89">
    <cfRule type="expression" dxfId="3116" priority="3884" stopIfTrue="1">
      <formula>MOD(ROW(),2)=0</formula>
    </cfRule>
  </conditionalFormatting>
  <conditionalFormatting sqref="B91">
    <cfRule type="expression" dxfId="3115" priority="3881" stopIfTrue="1">
      <formula>MOD(ROW(),2)=1</formula>
    </cfRule>
  </conditionalFormatting>
  <conditionalFormatting sqref="B91">
    <cfRule type="expression" dxfId="3114" priority="3882" stopIfTrue="1">
      <formula>MOD(ROW(),2)=0</formula>
    </cfRule>
  </conditionalFormatting>
  <conditionalFormatting sqref="B48">
    <cfRule type="expression" dxfId="3113" priority="3879" stopIfTrue="1">
      <formula>MOD(ROW(),2)=1</formula>
    </cfRule>
  </conditionalFormatting>
  <conditionalFormatting sqref="B48">
    <cfRule type="expression" dxfId="3112" priority="3880" stopIfTrue="1">
      <formula>MOD(ROW(),2)=0</formula>
    </cfRule>
  </conditionalFormatting>
  <conditionalFormatting sqref="B81">
    <cfRule type="expression" dxfId="3111" priority="3877" stopIfTrue="1">
      <formula>MOD(ROW(),2)=1</formula>
    </cfRule>
  </conditionalFormatting>
  <conditionalFormatting sqref="B81">
    <cfRule type="expression" dxfId="3110" priority="3878" stopIfTrue="1">
      <formula>MOD(ROW(),2)=0</formula>
    </cfRule>
  </conditionalFormatting>
  <conditionalFormatting sqref="B82">
    <cfRule type="expression" dxfId="3109" priority="3875" stopIfTrue="1">
      <formula>MOD(ROW(),2)=1</formula>
    </cfRule>
  </conditionalFormatting>
  <conditionalFormatting sqref="B82">
    <cfRule type="expression" dxfId="3108" priority="3876" stopIfTrue="1">
      <formula>MOD(ROW(),2)=0</formula>
    </cfRule>
  </conditionalFormatting>
  <conditionalFormatting sqref="R81:S81">
    <cfRule type="expression" dxfId="3107" priority="3863" stopIfTrue="1">
      <formula>MOD(ROW(),2)=1</formula>
    </cfRule>
  </conditionalFormatting>
  <conditionalFormatting sqref="R81:S81">
    <cfRule type="expression" dxfId="3106" priority="3864" stopIfTrue="1">
      <formula>MOD(ROW(),2)=0</formula>
    </cfRule>
  </conditionalFormatting>
  <conditionalFormatting sqref="N147:N154">
    <cfRule type="expression" dxfId="3105" priority="3871" stopIfTrue="1">
      <formula>MOD(ROW(),2)=1</formula>
    </cfRule>
  </conditionalFormatting>
  <conditionalFormatting sqref="N147:N154">
    <cfRule type="expression" dxfId="3104" priority="3872" stopIfTrue="1">
      <formula>MOD(ROW(),2)=0</formula>
    </cfRule>
  </conditionalFormatting>
  <conditionalFormatting sqref="R67:S67">
    <cfRule type="expression" dxfId="3103" priority="3869" stopIfTrue="1">
      <formula>MOD(ROW(),2)=1</formula>
    </cfRule>
  </conditionalFormatting>
  <conditionalFormatting sqref="R67:S67">
    <cfRule type="expression" dxfId="3102" priority="3870" stopIfTrue="1">
      <formula>MOD(ROW(),2)=0</formula>
    </cfRule>
  </conditionalFormatting>
  <conditionalFormatting sqref="U81">
    <cfRule type="expression" dxfId="3101" priority="3867" stopIfTrue="1">
      <formula>MOD(ROW(),2)=1</formula>
    </cfRule>
  </conditionalFormatting>
  <conditionalFormatting sqref="U81">
    <cfRule type="expression" dxfId="3100" priority="3868" stopIfTrue="1">
      <formula>MOD(ROW(),2)=0</formula>
    </cfRule>
  </conditionalFormatting>
  <conditionalFormatting sqref="U82">
    <cfRule type="expression" dxfId="3099" priority="3865" stopIfTrue="1">
      <formula>MOD(ROW(),2)=1</formula>
    </cfRule>
  </conditionalFormatting>
  <conditionalFormatting sqref="U82">
    <cfRule type="expression" dxfId="3098" priority="3866" stopIfTrue="1">
      <formula>MOD(ROW(),2)=0</formula>
    </cfRule>
  </conditionalFormatting>
  <conditionalFormatting sqref="R82:S82">
    <cfRule type="expression" dxfId="3097" priority="3861" stopIfTrue="1">
      <formula>MOD(ROW(),2)=1</formula>
    </cfRule>
  </conditionalFormatting>
  <conditionalFormatting sqref="R82:S82">
    <cfRule type="expression" dxfId="3096" priority="3862" stopIfTrue="1">
      <formula>MOD(ROW(),2)=0</formula>
    </cfRule>
  </conditionalFormatting>
  <conditionalFormatting sqref="R94:S94">
    <cfRule type="expression" dxfId="3095" priority="3859" stopIfTrue="1">
      <formula>MOD(ROW(),2)=1</formula>
    </cfRule>
  </conditionalFormatting>
  <conditionalFormatting sqref="R94:S94">
    <cfRule type="expression" dxfId="3094" priority="3860" stopIfTrue="1">
      <formula>MOD(ROW(),2)=0</formula>
    </cfRule>
  </conditionalFormatting>
  <conditionalFormatting sqref="R95:S95">
    <cfRule type="expression" dxfId="3093" priority="3857" stopIfTrue="1">
      <formula>MOD(ROW(),2)=1</formula>
    </cfRule>
  </conditionalFormatting>
  <conditionalFormatting sqref="R95:S95">
    <cfRule type="expression" dxfId="3092" priority="3858" stopIfTrue="1">
      <formula>MOD(ROW(),2)=0</formula>
    </cfRule>
  </conditionalFormatting>
  <conditionalFormatting sqref="V23">
    <cfRule type="expression" dxfId="3091" priority="3855" stopIfTrue="1">
      <formula>MOD(ROW(),2)=1</formula>
    </cfRule>
  </conditionalFormatting>
  <conditionalFormatting sqref="V23">
    <cfRule type="expression" dxfId="3090" priority="3856" stopIfTrue="1">
      <formula>MOD(ROW(),2)=0</formula>
    </cfRule>
  </conditionalFormatting>
  <conditionalFormatting sqref="AC155:AD155 BR155:CE155 AK155:AO155">
    <cfRule type="expression" dxfId="3089" priority="3851" stopIfTrue="1">
      <formula>MOD(ROW(),2)=1</formula>
    </cfRule>
  </conditionalFormatting>
  <conditionalFormatting sqref="AC155:AD155 BR155:CE155 AK155:AO155">
    <cfRule type="expression" dxfId="3088" priority="3852" stopIfTrue="1">
      <formula>MOD(ROW(),2)=0</formula>
    </cfRule>
  </conditionalFormatting>
  <conditionalFormatting sqref="Z155:AB155 M155 W155:X155">
    <cfRule type="expression" dxfId="3087" priority="3849" stopIfTrue="1">
      <formula>MOD(ROW(),2)=1</formula>
    </cfRule>
  </conditionalFormatting>
  <conditionalFormatting sqref="Z155:AB155 M155 W155:X155">
    <cfRule type="expression" dxfId="3086" priority="3850" stopIfTrue="1">
      <formula>MOD(ROW(),2)=0</formula>
    </cfRule>
  </conditionalFormatting>
  <conditionalFormatting sqref="N155">
    <cfRule type="expression" dxfId="3085" priority="3847" stopIfTrue="1">
      <formula>MOD(ROW(),2)=1</formula>
    </cfRule>
  </conditionalFormatting>
  <conditionalFormatting sqref="N155">
    <cfRule type="expression" dxfId="3084" priority="3848" stopIfTrue="1">
      <formula>MOD(ROW(),2)=0</formula>
    </cfRule>
  </conditionalFormatting>
  <conditionalFormatting sqref="V155">
    <cfRule type="expression" dxfId="3083" priority="3845" stopIfTrue="1">
      <formula>MOD(ROW(),2)=1</formula>
    </cfRule>
  </conditionalFormatting>
  <conditionalFormatting sqref="V155">
    <cfRule type="expression" dxfId="3082" priority="3846" stopIfTrue="1">
      <formula>MOD(ROW(),2)=0</formula>
    </cfRule>
  </conditionalFormatting>
  <conditionalFormatting sqref="K155">
    <cfRule type="expression" dxfId="3081" priority="3843" stopIfTrue="1">
      <formula>MOD(ROW(),2)=1</formula>
    </cfRule>
  </conditionalFormatting>
  <conditionalFormatting sqref="K155">
    <cfRule type="expression" dxfId="3080" priority="3844" stopIfTrue="1">
      <formula>MOD(ROW(),2)=0</formula>
    </cfRule>
  </conditionalFormatting>
  <conditionalFormatting sqref="J157">
    <cfRule type="expression" dxfId="3079" priority="3841" stopIfTrue="1">
      <formula>MOD(ROW(),2)=1</formula>
    </cfRule>
  </conditionalFormatting>
  <conditionalFormatting sqref="J157">
    <cfRule type="expression" dxfId="3078" priority="3842" stopIfTrue="1">
      <formula>MOD(ROW(),2)=0</formula>
    </cfRule>
  </conditionalFormatting>
  <conditionalFormatting sqref="U157">
    <cfRule type="expression" dxfId="3077" priority="3839" stopIfTrue="1">
      <formula>MOD(ROW(),2)=1</formula>
    </cfRule>
  </conditionalFormatting>
  <conditionalFormatting sqref="U157">
    <cfRule type="expression" dxfId="3076" priority="3840" stopIfTrue="1">
      <formula>MOD(ROW(),2)=0</formula>
    </cfRule>
  </conditionalFormatting>
  <conditionalFormatting sqref="V157">
    <cfRule type="expression" dxfId="3075" priority="3837" stopIfTrue="1">
      <formula>MOD(ROW(),2)=1</formula>
    </cfRule>
  </conditionalFormatting>
  <conditionalFormatting sqref="V157">
    <cfRule type="expression" dxfId="3074" priority="3838" stopIfTrue="1">
      <formula>MOD(ROW(),2)=0</formula>
    </cfRule>
  </conditionalFormatting>
  <conditionalFormatting sqref="U65">
    <cfRule type="expression" dxfId="3073" priority="3835" stopIfTrue="1">
      <formula>MOD(ROW(),2)=1</formula>
    </cfRule>
  </conditionalFormatting>
  <conditionalFormatting sqref="U65">
    <cfRule type="expression" dxfId="3072" priority="3836" stopIfTrue="1">
      <formula>MOD(ROW(),2)=0</formula>
    </cfRule>
  </conditionalFormatting>
  <conditionalFormatting sqref="U158">
    <cfRule type="expression" dxfId="3071" priority="3833" stopIfTrue="1">
      <formula>MOD(ROW(),2)=1</formula>
    </cfRule>
  </conditionalFormatting>
  <conditionalFormatting sqref="U158">
    <cfRule type="expression" dxfId="3070" priority="3834" stopIfTrue="1">
      <formula>MOD(ROW(),2)=0</formula>
    </cfRule>
  </conditionalFormatting>
  <conditionalFormatting sqref="V158">
    <cfRule type="expression" dxfId="3069" priority="3831" stopIfTrue="1">
      <formula>MOD(ROW(),2)=1</formula>
    </cfRule>
  </conditionalFormatting>
  <conditionalFormatting sqref="V158">
    <cfRule type="expression" dxfId="3068" priority="3832" stopIfTrue="1">
      <formula>MOD(ROW(),2)=0</formula>
    </cfRule>
  </conditionalFormatting>
  <conditionalFormatting sqref="V161">
    <cfRule type="expression" dxfId="3067" priority="3829" stopIfTrue="1">
      <formula>MOD(ROW(),2)=1</formula>
    </cfRule>
  </conditionalFormatting>
  <conditionalFormatting sqref="V161">
    <cfRule type="expression" dxfId="3066" priority="3830" stopIfTrue="1">
      <formula>MOD(ROW(),2)=0</formula>
    </cfRule>
  </conditionalFormatting>
  <conditionalFormatting sqref="V162">
    <cfRule type="expression" dxfId="3065" priority="3827" stopIfTrue="1">
      <formula>MOD(ROW(),2)=1</formula>
    </cfRule>
  </conditionalFormatting>
  <conditionalFormatting sqref="V162">
    <cfRule type="expression" dxfId="3064" priority="3828" stopIfTrue="1">
      <formula>MOD(ROW(),2)=0</formula>
    </cfRule>
  </conditionalFormatting>
  <conditionalFormatting sqref="U163 U167:U169 U172:U175 U177">
    <cfRule type="expression" dxfId="3063" priority="3825" stopIfTrue="1">
      <formula>MOD(ROW(),2)=1</formula>
    </cfRule>
  </conditionalFormatting>
  <conditionalFormatting sqref="U163 U167:U169 U172:U175 U177">
    <cfRule type="expression" dxfId="3062" priority="3826" stopIfTrue="1">
      <formula>MOD(ROW(),2)=0</formula>
    </cfRule>
  </conditionalFormatting>
  <conditionalFormatting sqref="V163:V176">
    <cfRule type="expression" dxfId="3061" priority="3823" stopIfTrue="1">
      <formula>MOD(ROW(),2)=1</formula>
    </cfRule>
  </conditionalFormatting>
  <conditionalFormatting sqref="V163:V176">
    <cfRule type="expression" dxfId="3060" priority="3824" stopIfTrue="1">
      <formula>MOD(ROW(),2)=0</formula>
    </cfRule>
  </conditionalFormatting>
  <conditionalFormatting sqref="U164">
    <cfRule type="expression" dxfId="3059" priority="3821" stopIfTrue="1">
      <formula>MOD(ROW(),2)=1</formula>
    </cfRule>
  </conditionalFormatting>
  <conditionalFormatting sqref="U164">
    <cfRule type="expression" dxfId="3058" priority="3822" stopIfTrue="1">
      <formula>MOD(ROW(),2)=0</formula>
    </cfRule>
  </conditionalFormatting>
  <conditionalFormatting sqref="U171">
    <cfRule type="expression" dxfId="3057" priority="3819" stopIfTrue="1">
      <formula>MOD(ROW(),2)=1</formula>
    </cfRule>
  </conditionalFormatting>
  <conditionalFormatting sqref="U171">
    <cfRule type="expression" dxfId="3056" priority="3820" stopIfTrue="1">
      <formula>MOD(ROW(),2)=0</formula>
    </cfRule>
  </conditionalFormatting>
  <conditionalFormatting sqref="U166">
    <cfRule type="expression" dxfId="3055" priority="3817" stopIfTrue="1">
      <formula>MOD(ROW(),2)=1</formula>
    </cfRule>
  </conditionalFormatting>
  <conditionalFormatting sqref="U166">
    <cfRule type="expression" dxfId="3054" priority="3818" stopIfTrue="1">
      <formula>MOD(ROW(),2)=0</formula>
    </cfRule>
  </conditionalFormatting>
  <conditionalFormatting sqref="U170">
    <cfRule type="expression" dxfId="3053" priority="3815" stopIfTrue="1">
      <formula>MOD(ROW(),2)=1</formula>
    </cfRule>
  </conditionalFormatting>
  <conditionalFormatting sqref="U170">
    <cfRule type="expression" dxfId="3052" priority="3816" stopIfTrue="1">
      <formula>MOD(ROW(),2)=0</formula>
    </cfRule>
  </conditionalFormatting>
  <conditionalFormatting sqref="B149">
    <cfRule type="expression" dxfId="3051" priority="3813" stopIfTrue="1">
      <formula>MOD(ROW(),2)=1</formula>
    </cfRule>
  </conditionalFormatting>
  <conditionalFormatting sqref="B149">
    <cfRule type="expression" dxfId="3050" priority="3814" stopIfTrue="1">
      <formula>MOD(ROW(),2)=0</formula>
    </cfRule>
  </conditionalFormatting>
  <conditionalFormatting sqref="C177:G177">
    <cfRule type="expression" dxfId="3049" priority="3811" stopIfTrue="1">
      <formula>MOD(ROW(),2)=1</formula>
    </cfRule>
  </conditionalFormatting>
  <conditionalFormatting sqref="C177:G177">
    <cfRule type="expression" dxfId="3048" priority="3812" stopIfTrue="1">
      <formula>MOD(ROW(),2)=0</formula>
    </cfRule>
  </conditionalFormatting>
  <conditionalFormatting sqref="M179:O179 Q179:T179">
    <cfRule type="expression" dxfId="3047" priority="3809" stopIfTrue="1">
      <formula>MOD(ROW(),2)=1</formula>
    </cfRule>
  </conditionalFormatting>
  <conditionalFormatting sqref="M179:O179 Q179:T179">
    <cfRule type="expression" dxfId="3046" priority="3810" stopIfTrue="1">
      <formula>MOD(ROW(),2)=0</formula>
    </cfRule>
  </conditionalFormatting>
  <conditionalFormatting sqref="P179">
    <cfRule type="expression" dxfId="3045" priority="3805" stopIfTrue="1">
      <formula>MOD(ROW(),2)=1</formula>
    </cfRule>
  </conditionalFormatting>
  <conditionalFormatting sqref="P179">
    <cfRule type="expression" dxfId="3044" priority="3806" stopIfTrue="1">
      <formula>MOD(ROW(),2)=0</formula>
    </cfRule>
  </conditionalFormatting>
  <conditionalFormatting sqref="W180:X181 AD183 Z180:AD182 CA180:CE180 CA183:CF183 BR180:BY180 BR183:BY183 BR181:CF182">
    <cfRule type="expression" dxfId="3043" priority="3803" stopIfTrue="1">
      <formula>MOD(ROW(),2)=1</formula>
    </cfRule>
  </conditionalFormatting>
  <conditionalFormatting sqref="W180:X181 AD183 Z180:AD182 CA180:CE180 CA183:CF183 BR180:BY180 BR183:BY183 BR181:CF182">
    <cfRule type="expression" dxfId="3042" priority="3804" stopIfTrue="1">
      <formula>MOD(ROW(),2)=0</formula>
    </cfRule>
  </conditionalFormatting>
  <conditionalFormatting sqref="V181 M180:O181 H182:J182 Q180:T181 M183:O183 N182:O182 H183 J183">
    <cfRule type="expression" dxfId="3041" priority="3801" stopIfTrue="1">
      <formula>MOD(ROW(),2)=1</formula>
    </cfRule>
  </conditionalFormatting>
  <conditionalFormatting sqref="V181 M180:O181 H182:J182 Q180:T181 M183:O183 N182:O182 H183 J183">
    <cfRule type="expression" dxfId="3040" priority="3802" stopIfTrue="1">
      <formula>MOD(ROW(),2)=0</formula>
    </cfRule>
  </conditionalFormatting>
  <conditionalFormatting sqref="U181">
    <cfRule type="expression" dxfId="3039" priority="3799" stopIfTrue="1">
      <formula>MOD(ROW(),2)=1</formula>
    </cfRule>
  </conditionalFormatting>
  <conditionalFormatting sqref="U181">
    <cfRule type="expression" dxfId="3038" priority="3800" stopIfTrue="1">
      <formula>MOD(ROW(),2)=0</formula>
    </cfRule>
  </conditionalFormatting>
  <conditionalFormatting sqref="P180:P183">
    <cfRule type="expression" dxfId="3037" priority="3797" stopIfTrue="1">
      <formula>MOD(ROW(),2)=1</formula>
    </cfRule>
  </conditionalFormatting>
  <conditionalFormatting sqref="P180:P183">
    <cfRule type="expression" dxfId="3036" priority="3798" stopIfTrue="1">
      <formula>MOD(ROW(),2)=0</formula>
    </cfRule>
  </conditionalFormatting>
  <conditionalFormatting sqref="K181">
    <cfRule type="expression" dxfId="3035" priority="3793" stopIfTrue="1">
      <formula>MOD(ROW(),2)=1</formula>
    </cfRule>
  </conditionalFormatting>
  <conditionalFormatting sqref="K181">
    <cfRule type="expression" dxfId="3034" priority="3794" stopIfTrue="1">
      <formula>MOD(ROW(),2)=0</formula>
    </cfRule>
  </conditionalFormatting>
  <conditionalFormatting sqref="U160">
    <cfRule type="expression" dxfId="3033" priority="3791" stopIfTrue="1">
      <formula>MOD(ROW(),2)=1</formula>
    </cfRule>
  </conditionalFormatting>
  <conditionalFormatting sqref="U160">
    <cfRule type="expression" dxfId="3032" priority="3792" stopIfTrue="1">
      <formula>MOD(ROW(),2)=0</formula>
    </cfRule>
  </conditionalFormatting>
  <conditionalFormatting sqref="B179">
    <cfRule type="expression" dxfId="3031" priority="3789" stopIfTrue="1">
      <formula>MOD(ROW(),2)=1</formula>
    </cfRule>
  </conditionalFormatting>
  <conditionalFormatting sqref="B179">
    <cfRule type="expression" dxfId="3030" priority="3790" stopIfTrue="1">
      <formula>MOD(ROW(),2)=0</formula>
    </cfRule>
  </conditionalFormatting>
  <conditionalFormatting sqref="B180">
    <cfRule type="expression" dxfId="3029" priority="3787" stopIfTrue="1">
      <formula>MOD(ROW(),2)=1</formula>
    </cfRule>
  </conditionalFormatting>
  <conditionalFormatting sqref="B180">
    <cfRule type="expression" dxfId="3028" priority="3788" stopIfTrue="1">
      <formula>MOD(ROW(),2)=0</formula>
    </cfRule>
  </conditionalFormatting>
  <conditionalFormatting sqref="B182">
    <cfRule type="expression" dxfId="3027" priority="3777" stopIfTrue="1">
      <formula>MOD(ROW(),2)=1</formula>
    </cfRule>
  </conditionalFormatting>
  <conditionalFormatting sqref="B182">
    <cfRule type="expression" dxfId="3026" priority="3778" stopIfTrue="1">
      <formula>MOD(ROW(),2)=0</formula>
    </cfRule>
  </conditionalFormatting>
  <conditionalFormatting sqref="C182:G183">
    <cfRule type="expression" dxfId="3025" priority="3785" stopIfTrue="1">
      <formula>MOD(ROW(),2)=1</formula>
    </cfRule>
  </conditionalFormatting>
  <conditionalFormatting sqref="C182:G183">
    <cfRule type="expression" dxfId="3024" priority="3786" stopIfTrue="1">
      <formula>MOD(ROW(),2)=0</formula>
    </cfRule>
  </conditionalFormatting>
  <conditionalFormatting sqref="U176">
    <cfRule type="expression" dxfId="3023" priority="3783" stopIfTrue="1">
      <formula>MOD(ROW(),2)=1</formula>
    </cfRule>
  </conditionalFormatting>
  <conditionalFormatting sqref="U176">
    <cfRule type="expression" dxfId="3022" priority="3784" stopIfTrue="1">
      <formula>MOD(ROW(),2)=0</formula>
    </cfRule>
  </conditionalFormatting>
  <conditionalFormatting sqref="P171">
    <cfRule type="expression" dxfId="3021" priority="3781" stopIfTrue="1">
      <formula>MOD(ROW(),2)=1</formula>
    </cfRule>
  </conditionalFormatting>
  <conditionalFormatting sqref="P171">
    <cfRule type="expression" dxfId="3020" priority="3782" stopIfTrue="1">
      <formula>MOD(ROW(),2)=0</formula>
    </cfRule>
  </conditionalFormatting>
  <conditionalFormatting sqref="P176">
    <cfRule type="expression" dxfId="3019" priority="3779" stopIfTrue="1">
      <formula>MOD(ROW(),2)=1</formula>
    </cfRule>
  </conditionalFormatting>
  <conditionalFormatting sqref="P176">
    <cfRule type="expression" dxfId="3018" priority="3780" stopIfTrue="1">
      <formula>MOD(ROW(),2)=0</formula>
    </cfRule>
  </conditionalFormatting>
  <conditionalFormatting sqref="K182:K184">
    <cfRule type="expression" dxfId="3017" priority="3775" stopIfTrue="1">
      <formula>MOD(ROW(),2)=1</formula>
    </cfRule>
  </conditionalFormatting>
  <conditionalFormatting sqref="K182:K184">
    <cfRule type="expression" dxfId="3016" priority="3776" stopIfTrue="1">
      <formula>MOD(ROW(),2)=0</formula>
    </cfRule>
  </conditionalFormatting>
  <conditionalFormatting sqref="W182:X183">
    <cfRule type="expression" dxfId="3015" priority="3773" stopIfTrue="1">
      <formula>MOD(ROW(),2)=1</formula>
    </cfRule>
  </conditionalFormatting>
  <conditionalFormatting sqref="W182:X183">
    <cfRule type="expression" dxfId="3014" priority="3774" stopIfTrue="1">
      <formula>MOD(ROW(),2)=0</formula>
    </cfRule>
  </conditionalFormatting>
  <conditionalFormatting sqref="Q183:T183">
    <cfRule type="expression" dxfId="3013" priority="3771" stopIfTrue="1">
      <formula>MOD(ROW(),2)=1</formula>
    </cfRule>
  </conditionalFormatting>
  <conditionalFormatting sqref="Q183:T183">
    <cfRule type="expression" dxfId="3012" priority="3772" stopIfTrue="1">
      <formula>MOD(ROW(),2)=0</formula>
    </cfRule>
  </conditionalFormatting>
  <conditionalFormatting sqref="Z125:AD125 BR125:CE125">
    <cfRule type="expression" dxfId="3011" priority="3769" stopIfTrue="1">
      <formula>MOD(ROW(),2)=1</formula>
    </cfRule>
  </conditionalFormatting>
  <conditionalFormatting sqref="Z125:AD125 BR125:CE125">
    <cfRule type="expression" dxfId="3010" priority="3770" stopIfTrue="1">
      <formula>MOD(ROW(),2)=0</formula>
    </cfRule>
  </conditionalFormatting>
  <conditionalFormatting sqref="M125:O125 H125:I125">
    <cfRule type="expression" dxfId="3009" priority="3767" stopIfTrue="1">
      <formula>MOD(ROW(),2)=1</formula>
    </cfRule>
  </conditionalFormatting>
  <conditionalFormatting sqref="M125:O125 H125:I125">
    <cfRule type="expression" dxfId="3008" priority="3768" stopIfTrue="1">
      <formula>MOD(ROW(),2)=0</formula>
    </cfRule>
  </conditionalFormatting>
  <conditionalFormatting sqref="P125">
    <cfRule type="expression" dxfId="3007" priority="3765" stopIfTrue="1">
      <formula>MOD(ROW(),2)=1</formula>
    </cfRule>
  </conditionalFormatting>
  <conditionalFormatting sqref="P125">
    <cfRule type="expression" dxfId="3006" priority="3766" stopIfTrue="1">
      <formula>MOD(ROW(),2)=0</formula>
    </cfRule>
  </conditionalFormatting>
  <conditionalFormatting sqref="C125:G125">
    <cfRule type="expression" dxfId="3005" priority="3763" stopIfTrue="1">
      <formula>MOD(ROW(),2)=1</formula>
    </cfRule>
  </conditionalFormatting>
  <conditionalFormatting sqref="C125:G125">
    <cfRule type="expression" dxfId="3004" priority="3764" stopIfTrue="1">
      <formula>MOD(ROW(),2)=0</formula>
    </cfRule>
  </conditionalFormatting>
  <conditionalFormatting sqref="B125">
    <cfRule type="expression" dxfId="3003" priority="3761" stopIfTrue="1">
      <formula>MOD(ROW(),2)=1</formula>
    </cfRule>
  </conditionalFormatting>
  <conditionalFormatting sqref="B125">
    <cfRule type="expression" dxfId="3002" priority="3762" stopIfTrue="1">
      <formula>MOD(ROW(),2)=0</formula>
    </cfRule>
  </conditionalFormatting>
  <conditionalFormatting sqref="K125">
    <cfRule type="expression" dxfId="3001" priority="3759" stopIfTrue="1">
      <formula>MOD(ROW(),2)=1</formula>
    </cfRule>
  </conditionalFormatting>
  <conditionalFormatting sqref="K125">
    <cfRule type="expression" dxfId="3000" priority="3760" stopIfTrue="1">
      <formula>MOD(ROW(),2)=0</formula>
    </cfRule>
  </conditionalFormatting>
  <conditionalFormatting sqref="M185:O186 H185:H187 J185:J187 N187:O187">
    <cfRule type="expression" dxfId="2999" priority="3743" stopIfTrue="1">
      <formula>MOD(ROW(),2)=1</formula>
    </cfRule>
  </conditionalFormatting>
  <conditionalFormatting sqref="M185:O186 H185:H187 J185:J187 N187:O187">
    <cfRule type="expression" dxfId="2998" priority="3744" stopIfTrue="1">
      <formula>MOD(ROW(),2)=0</formula>
    </cfRule>
  </conditionalFormatting>
  <conditionalFormatting sqref="W125:X125">
    <cfRule type="expression" dxfId="2997" priority="3757" stopIfTrue="1">
      <formula>MOD(ROW(),2)=1</formula>
    </cfRule>
  </conditionalFormatting>
  <conditionalFormatting sqref="W125:X125">
    <cfRule type="expression" dxfId="2996" priority="3758" stopIfTrue="1">
      <formula>MOD(ROW(),2)=0</formula>
    </cfRule>
  </conditionalFormatting>
  <conditionalFormatting sqref="V182">
    <cfRule type="expression" dxfId="2995" priority="3753" stopIfTrue="1">
      <formula>MOD(ROW(),2)=1</formula>
    </cfRule>
  </conditionalFormatting>
  <conditionalFormatting sqref="V182">
    <cfRule type="expression" dxfId="2994" priority="3754" stopIfTrue="1">
      <formula>MOD(ROW(),2)=0</formula>
    </cfRule>
  </conditionalFormatting>
  <conditionalFormatting sqref="U99">
    <cfRule type="expression" dxfId="2993" priority="3751" stopIfTrue="1">
      <formula>MOD(ROW(),2)=1</formula>
    </cfRule>
  </conditionalFormatting>
  <conditionalFormatting sqref="U99">
    <cfRule type="expression" dxfId="2992" priority="3752" stopIfTrue="1">
      <formula>MOD(ROW(),2)=0</formula>
    </cfRule>
  </conditionalFormatting>
  <conditionalFormatting sqref="U165">
    <cfRule type="expression" dxfId="2991" priority="3749" stopIfTrue="1">
      <formula>MOD(ROW(),2)=1</formula>
    </cfRule>
  </conditionalFormatting>
  <conditionalFormatting sqref="U165">
    <cfRule type="expression" dxfId="2990" priority="3750" stopIfTrue="1">
      <formula>MOD(ROW(),2)=0</formula>
    </cfRule>
  </conditionalFormatting>
  <conditionalFormatting sqref="B183">
    <cfRule type="expression" dxfId="2989" priority="3747" stopIfTrue="1">
      <formula>MOD(ROW(),2)=1</formula>
    </cfRule>
  </conditionalFormatting>
  <conditionalFormatting sqref="B183">
    <cfRule type="expression" dxfId="2988" priority="3748" stopIfTrue="1">
      <formula>MOD(ROW(),2)=0</formula>
    </cfRule>
  </conditionalFormatting>
  <conditionalFormatting sqref="Z185:AI185 CA185:CF185 BR185:BY185">
    <cfRule type="expression" dxfId="2987" priority="3745" stopIfTrue="1">
      <formula>MOD(ROW(),2)=1</formula>
    </cfRule>
  </conditionalFormatting>
  <conditionalFormatting sqref="Z185:AI185 CA185:CF185 BR185:BY185">
    <cfRule type="expression" dxfId="2986" priority="3746" stopIfTrue="1">
      <formula>MOD(ROW(),2)=0</formula>
    </cfRule>
  </conditionalFormatting>
  <conditionalFormatting sqref="P185:P187">
    <cfRule type="expression" dxfId="2985" priority="3741" stopIfTrue="1">
      <formula>MOD(ROW(),2)=1</formula>
    </cfRule>
  </conditionalFormatting>
  <conditionalFormatting sqref="P185:P187">
    <cfRule type="expression" dxfId="2984" priority="3742" stopIfTrue="1">
      <formula>MOD(ROW(),2)=0</formula>
    </cfRule>
  </conditionalFormatting>
  <conditionalFormatting sqref="C185:G187">
    <cfRule type="expression" dxfId="2983" priority="3739" stopIfTrue="1">
      <formula>MOD(ROW(),2)=1</formula>
    </cfRule>
  </conditionalFormatting>
  <conditionalFormatting sqref="C185:G187">
    <cfRule type="expression" dxfId="2982" priority="3740" stopIfTrue="1">
      <formula>MOD(ROW(),2)=0</formula>
    </cfRule>
  </conditionalFormatting>
  <conditionalFormatting sqref="K185:K187">
    <cfRule type="expression" dxfId="2981" priority="3737" stopIfTrue="1">
      <formula>MOD(ROW(),2)=1</formula>
    </cfRule>
  </conditionalFormatting>
  <conditionalFormatting sqref="K185:K187">
    <cfRule type="expression" dxfId="2980" priority="3738" stopIfTrue="1">
      <formula>MOD(ROW(),2)=0</formula>
    </cfRule>
  </conditionalFormatting>
  <conditionalFormatting sqref="Q184:T184">
    <cfRule type="expression" dxfId="2979" priority="3717" stopIfTrue="1">
      <formula>MOD(ROW(),2)=1</formula>
    </cfRule>
  </conditionalFormatting>
  <conditionalFormatting sqref="Q184:T184">
    <cfRule type="expression" dxfId="2978" priority="3718" stopIfTrue="1">
      <formula>MOD(ROW(),2)=0</formula>
    </cfRule>
  </conditionalFormatting>
  <conditionalFormatting sqref="W185:X187">
    <cfRule type="expression" dxfId="2977" priority="3735" stopIfTrue="1">
      <formula>MOD(ROW(),2)=1</formula>
    </cfRule>
  </conditionalFormatting>
  <conditionalFormatting sqref="W185:X187">
    <cfRule type="expression" dxfId="2976" priority="3736" stopIfTrue="1">
      <formula>MOD(ROW(),2)=0</formula>
    </cfRule>
  </conditionalFormatting>
  <conditionalFormatting sqref="Q187:T187">
    <cfRule type="expression" dxfId="2975" priority="3733" stopIfTrue="1">
      <formula>MOD(ROW(),2)=1</formula>
    </cfRule>
  </conditionalFormatting>
  <conditionalFormatting sqref="Q187:T187">
    <cfRule type="expression" dxfId="2974" priority="3734" stopIfTrue="1">
      <formula>MOD(ROW(),2)=0</formula>
    </cfRule>
  </conditionalFormatting>
  <conditionalFormatting sqref="B185:B187">
    <cfRule type="expression" dxfId="2973" priority="3731" stopIfTrue="1">
      <formula>MOD(ROW(),2)=1</formula>
    </cfRule>
  </conditionalFormatting>
  <conditionalFormatting sqref="B185:B187">
    <cfRule type="expression" dxfId="2972" priority="3732" stopIfTrue="1">
      <formula>MOD(ROW(),2)=0</formula>
    </cfRule>
  </conditionalFormatting>
  <conditionalFormatting sqref="I185:I187">
    <cfRule type="expression" dxfId="2971" priority="3729" stopIfTrue="1">
      <formula>MOD(ROW(),2)=1</formula>
    </cfRule>
    <cfRule type="expression" dxfId="2970" priority="3730" stopIfTrue="1">
      <formula>MOD(ROW(),2)=0</formula>
    </cfRule>
  </conditionalFormatting>
  <conditionalFormatting sqref="AD184 CA184:CF184 BR184:BY184">
    <cfRule type="expression" dxfId="2969" priority="3727" stopIfTrue="1">
      <formula>MOD(ROW(),2)=1</formula>
    </cfRule>
  </conditionalFormatting>
  <conditionalFormatting sqref="AD184 CA184:CF184 BR184:BY184">
    <cfRule type="expression" dxfId="2968" priority="3728" stopIfTrue="1">
      <formula>MOD(ROW(),2)=0</formula>
    </cfRule>
  </conditionalFormatting>
  <conditionalFormatting sqref="M184:O184 H184 J184">
    <cfRule type="expression" dxfId="2967" priority="3725" stopIfTrue="1">
      <formula>MOD(ROW(),2)=1</formula>
    </cfRule>
  </conditionalFormatting>
  <conditionalFormatting sqref="M184:O184 H184 J184">
    <cfRule type="expression" dxfId="2966" priority="3726" stopIfTrue="1">
      <formula>MOD(ROW(),2)=0</formula>
    </cfRule>
  </conditionalFormatting>
  <conditionalFormatting sqref="P184">
    <cfRule type="expression" dxfId="2965" priority="3723" stopIfTrue="1">
      <formula>MOD(ROW(),2)=1</formula>
    </cfRule>
  </conditionalFormatting>
  <conditionalFormatting sqref="P184">
    <cfRule type="expression" dxfId="2964" priority="3724" stopIfTrue="1">
      <formula>MOD(ROW(),2)=0</formula>
    </cfRule>
  </conditionalFormatting>
  <conditionalFormatting sqref="D184:F184">
    <cfRule type="expression" dxfId="2963" priority="3721" stopIfTrue="1">
      <formula>MOD(ROW(),2)=1</formula>
    </cfRule>
  </conditionalFormatting>
  <conditionalFormatting sqref="D184:F184">
    <cfRule type="expression" dxfId="2962" priority="3722" stopIfTrue="1">
      <formula>MOD(ROW(),2)=0</formula>
    </cfRule>
  </conditionalFormatting>
  <conditionalFormatting sqref="W184:X184">
    <cfRule type="expression" dxfId="2961" priority="3719" stopIfTrue="1">
      <formula>MOD(ROW(),2)=1</formula>
    </cfRule>
  </conditionalFormatting>
  <conditionalFormatting sqref="W184:X184">
    <cfRule type="expression" dxfId="2960" priority="3720" stopIfTrue="1">
      <formula>MOD(ROW(),2)=0</formula>
    </cfRule>
  </conditionalFormatting>
  <conditionalFormatting sqref="B184">
    <cfRule type="expression" dxfId="2959" priority="3715" stopIfTrue="1">
      <formula>MOD(ROW(),2)=1</formula>
    </cfRule>
  </conditionalFormatting>
  <conditionalFormatting sqref="B184">
    <cfRule type="expression" dxfId="2958" priority="3716" stopIfTrue="1">
      <formula>MOD(ROW(),2)=0</formula>
    </cfRule>
  </conditionalFormatting>
  <conditionalFormatting sqref="Q188 V188">
    <cfRule type="expression" dxfId="2957" priority="3703" stopIfTrue="1">
      <formula>MOD(ROW(),2)=1</formula>
    </cfRule>
  </conditionalFormatting>
  <conditionalFormatting sqref="Q188 V188">
    <cfRule type="expression" dxfId="2956" priority="3704" stopIfTrue="1">
      <formula>MOD(ROW(),2)=0</formula>
    </cfRule>
  </conditionalFormatting>
  <conditionalFormatting sqref="P188">
    <cfRule type="expression" dxfId="2955" priority="3701" stopIfTrue="1">
      <formula>MOD(ROW(),2)=1</formula>
    </cfRule>
  </conditionalFormatting>
  <conditionalFormatting sqref="P188">
    <cfRule type="expression" dxfId="2954" priority="3702" stopIfTrue="1">
      <formula>MOD(ROW(),2)=0</formula>
    </cfRule>
  </conditionalFormatting>
  <conditionalFormatting sqref="P124">
    <cfRule type="expression" dxfId="2953" priority="3699" stopIfTrue="1">
      <formula>MOD(ROW(),2)=1</formula>
    </cfRule>
  </conditionalFormatting>
  <conditionalFormatting sqref="P124">
    <cfRule type="expression" dxfId="2952" priority="3700" stopIfTrue="1">
      <formula>MOD(ROW(),2)=0</formula>
    </cfRule>
  </conditionalFormatting>
  <conditionalFormatting sqref="P119">
    <cfRule type="expression" dxfId="2951" priority="3697" stopIfTrue="1">
      <formula>MOD(ROW(),2)=1</formula>
    </cfRule>
  </conditionalFormatting>
  <conditionalFormatting sqref="P119">
    <cfRule type="expression" dxfId="2950" priority="3698" stopIfTrue="1">
      <formula>MOD(ROW(),2)=0</formula>
    </cfRule>
  </conditionalFormatting>
  <conditionalFormatting sqref="P99">
    <cfRule type="expression" dxfId="2949" priority="3695" stopIfTrue="1">
      <formula>MOD(ROW(),2)=1</formula>
    </cfRule>
  </conditionalFormatting>
  <conditionalFormatting sqref="P99">
    <cfRule type="expression" dxfId="2948" priority="3696" stopIfTrue="1">
      <formula>MOD(ROW(),2)=0</formula>
    </cfRule>
  </conditionalFormatting>
  <conditionalFormatting sqref="R188:T188">
    <cfRule type="expression" dxfId="2947" priority="3677" stopIfTrue="1">
      <formula>MOD(ROW(),2)=1</formula>
    </cfRule>
  </conditionalFormatting>
  <conditionalFormatting sqref="R188:T188">
    <cfRule type="expression" dxfId="2946" priority="3678" stopIfTrue="1">
      <formula>MOD(ROW(),2)=0</formula>
    </cfRule>
  </conditionalFormatting>
  <conditionalFormatting sqref="Y12:Y191 Y243:Y252 Y238:Y241 Y254:Y274 Y193:Y236">
    <cfRule type="expression" dxfId="2945" priority="3691" stopIfTrue="1">
      <formula>MOD(ROW(),2)=1</formula>
    </cfRule>
  </conditionalFormatting>
  <conditionalFormatting sqref="Y12:Y191 Y243:Y252 Y238:Y241 Y254:Y274 Y193:Y236">
    <cfRule type="expression" dxfId="2944" priority="3692" stopIfTrue="1">
      <formula>MOD(ROW(),2)=0</formula>
    </cfRule>
  </conditionalFormatting>
  <conditionalFormatting sqref="P189">
    <cfRule type="expression" dxfId="2943" priority="3689" stopIfTrue="1">
      <formula>MOD(ROW(),2)=1</formula>
    </cfRule>
  </conditionalFormatting>
  <conditionalFormatting sqref="P189">
    <cfRule type="expression" dxfId="2942" priority="3690" stopIfTrue="1">
      <formula>MOD(ROW(),2)=0</formula>
    </cfRule>
  </conditionalFormatting>
  <conditionalFormatting sqref="Q189">
    <cfRule type="expression" dxfId="2941" priority="3685" stopIfTrue="1">
      <formula>MOD(ROW(),2)=1</formula>
    </cfRule>
  </conditionalFormatting>
  <conditionalFormatting sqref="Q189">
    <cfRule type="expression" dxfId="2940" priority="3686" stopIfTrue="1">
      <formula>MOD(ROW(),2)=0</formula>
    </cfRule>
  </conditionalFormatting>
  <conditionalFormatting sqref="V189">
    <cfRule type="expression" dxfId="2939" priority="3687" stopIfTrue="1">
      <formula>MOD(ROW(),2)=1</formula>
    </cfRule>
  </conditionalFormatting>
  <conditionalFormatting sqref="V189">
    <cfRule type="expression" dxfId="2938" priority="3688" stopIfTrue="1">
      <formula>MOD(ROW(),2)=0</formula>
    </cfRule>
  </conditionalFormatting>
  <conditionalFormatting sqref="V186">
    <cfRule type="expression" dxfId="2937" priority="3669" stopIfTrue="1">
      <formula>MOD(ROW(),2)=1</formula>
    </cfRule>
  </conditionalFormatting>
  <conditionalFormatting sqref="V186">
    <cfRule type="expression" dxfId="2936" priority="3670" stopIfTrue="1">
      <formula>MOD(ROW(),2)=0</formula>
    </cfRule>
  </conditionalFormatting>
  <conditionalFormatting sqref="B46">
    <cfRule type="expression" dxfId="2935" priority="3641" stopIfTrue="1">
      <formula>MOD(ROW(),2)=1</formula>
    </cfRule>
  </conditionalFormatting>
  <conditionalFormatting sqref="B46">
    <cfRule type="expression" dxfId="2934" priority="3642" stopIfTrue="1">
      <formula>MOD(ROW(),2)=0</formula>
    </cfRule>
  </conditionalFormatting>
  <conditionalFormatting sqref="B71">
    <cfRule type="expression" dxfId="2933" priority="3637" stopIfTrue="1">
      <formula>MOD(ROW(),2)=1</formula>
    </cfRule>
  </conditionalFormatting>
  <conditionalFormatting sqref="B71">
    <cfRule type="expression" dxfId="2932" priority="3638" stopIfTrue="1">
      <formula>MOD(ROW(),2)=0</formula>
    </cfRule>
  </conditionalFormatting>
  <conditionalFormatting sqref="Q119">
    <cfRule type="expression" dxfId="2931" priority="3679" stopIfTrue="1">
      <formula>MOD(ROW(),2)=1</formula>
    </cfRule>
  </conditionalFormatting>
  <conditionalFormatting sqref="Q119">
    <cfRule type="expression" dxfId="2930" priority="3680" stopIfTrue="1">
      <formula>MOD(ROW(),2)=0</formula>
    </cfRule>
  </conditionalFormatting>
  <conditionalFormatting sqref="R190:T190">
    <cfRule type="expression" dxfId="2929" priority="3645" stopIfTrue="1">
      <formula>MOD(ROW(),2)=1</formula>
    </cfRule>
  </conditionalFormatting>
  <conditionalFormatting sqref="R190:T190">
    <cfRule type="expression" dxfId="2928" priority="3646" stopIfTrue="1">
      <formula>MOD(ROW(),2)=0</formula>
    </cfRule>
  </conditionalFormatting>
  <conditionalFormatting sqref="R189:T189">
    <cfRule type="expression" dxfId="2927" priority="3675" stopIfTrue="1">
      <formula>MOD(ROW(),2)=1</formula>
    </cfRule>
  </conditionalFormatting>
  <conditionalFormatting sqref="R189:T189">
    <cfRule type="expression" dxfId="2926" priority="3676" stopIfTrue="1">
      <formula>MOD(ROW(),2)=0</formula>
    </cfRule>
  </conditionalFormatting>
  <conditionalFormatting sqref="W188:X188">
    <cfRule type="expression" dxfId="2925" priority="3671" stopIfTrue="1">
      <formula>MOD(ROW(),2)=1</formula>
    </cfRule>
  </conditionalFormatting>
  <conditionalFormatting sqref="W188:X188">
    <cfRule type="expression" dxfId="2924" priority="3672" stopIfTrue="1">
      <formula>MOD(ROW(),2)=0</formula>
    </cfRule>
  </conditionalFormatting>
  <conditionalFormatting sqref="W189:X189">
    <cfRule type="expression" dxfId="2923" priority="3673" stopIfTrue="1">
      <formula>MOD(ROW(),2)=1</formula>
    </cfRule>
  </conditionalFormatting>
  <conditionalFormatting sqref="W189:X189">
    <cfRule type="expression" dxfId="2922" priority="3674" stopIfTrue="1">
      <formula>MOD(ROW(),2)=0</formula>
    </cfRule>
  </conditionalFormatting>
  <conditionalFormatting sqref="U178">
    <cfRule type="expression" dxfId="2921" priority="3615" stopIfTrue="1">
      <formula>MOD(ROW(),2)=1</formula>
    </cfRule>
  </conditionalFormatting>
  <conditionalFormatting sqref="U178">
    <cfRule type="expression" dxfId="2920" priority="3616" stopIfTrue="1">
      <formula>MOD(ROW(),2)=0</formula>
    </cfRule>
  </conditionalFormatting>
  <conditionalFormatting sqref="B190">
    <cfRule type="expression" dxfId="2919" priority="3643" stopIfTrue="1">
      <formula>MOD(ROW(),2)=1</formula>
    </cfRule>
  </conditionalFormatting>
  <conditionalFormatting sqref="B190">
    <cfRule type="expression" dxfId="2918" priority="3644" stopIfTrue="1">
      <formula>MOD(ROW(),2)=0</formula>
    </cfRule>
  </conditionalFormatting>
  <conditionalFormatting sqref="U199:U200 U191:U196 U209:U213 C193:E193 N210:O211 J212:J213 M192:O195 N201:O201 U202 M212:O212 C191:G192 C194:G195 J211:K211 W199:X202 W209:X213 Z209:AD209 N213:O213 N191:O191 Z211:AD212 Z210:AC210 Z213:AC213 W191:X191 Z192:AI195 CA192:CE195 W196:X196 X193:X195 BR192:BY195 BR199:CF201 BR202:CE202 BR211:CF213 BR191:CE191 BR209:CE210 BR196:CF196 AK192:AO195 Z191:AD191 Z196:AD196 Z199:AD202">
    <cfRule type="expression" dxfId="2917" priority="3667" stopIfTrue="1">
      <formula>MOD(ROW(),2)=1</formula>
    </cfRule>
  </conditionalFormatting>
  <conditionalFormatting sqref="U199:U200 U191:U196 U209:U213 C193:E193 N210:O211 J212:J213 M192:O195 N201:O201 U202 M212:O212 C191:G192 C194:G195 J211:K211 W199:X202 W209:X213 Z209:AD209 N213:O213 N191:O191 Z211:AD212 Z210:AC210 Z213:AC213 W191:X191 Z192:AI195 CA192:CE195 W196:X196 X193:X195 BR192:BY195 BR199:CF201 BR202:CE202 BR211:CF213 BR191:CE191 BR209:CE210 BR196:CF196 AK192:AO195 Z191:AD191 Z196:AD196 Z199:AD202">
    <cfRule type="expression" dxfId="2916" priority="3668" stopIfTrue="1">
      <formula>MOD(ROW(),2)=0</formula>
    </cfRule>
  </conditionalFormatting>
  <conditionalFormatting sqref="P191:P194 P199:P202 P209:P213 P196">
    <cfRule type="expression" dxfId="2915" priority="3665" stopIfTrue="1">
      <formula>MOD(ROW(),2)=1</formula>
    </cfRule>
  </conditionalFormatting>
  <conditionalFormatting sqref="P191:P194 P199:P202 P209:P213 P196">
    <cfRule type="expression" dxfId="2914" priority="3666" stopIfTrue="1">
      <formula>MOD(ROW(),2)=0</formula>
    </cfRule>
  </conditionalFormatting>
  <conditionalFormatting sqref="V191 V199:V200 V209:V210 V202">
    <cfRule type="expression" dxfId="2913" priority="3663" stopIfTrue="1">
      <formula>MOD(ROW(),2)=1</formula>
    </cfRule>
  </conditionalFormatting>
  <conditionalFormatting sqref="V191 V199:V200 V209:V210 V202">
    <cfRule type="expression" dxfId="2912" priority="3664" stopIfTrue="1">
      <formula>MOD(ROW(),2)=0</formula>
    </cfRule>
  </conditionalFormatting>
  <conditionalFormatting sqref="Q190">
    <cfRule type="expression" dxfId="2911" priority="3647" stopIfTrue="1">
      <formula>MOD(ROW(),2)=1</formula>
    </cfRule>
  </conditionalFormatting>
  <conditionalFormatting sqref="Q190">
    <cfRule type="expression" dxfId="2910" priority="3648" stopIfTrue="1">
      <formula>MOD(ROW(),2)=0</formula>
    </cfRule>
  </conditionalFormatting>
  <conditionalFormatting sqref="Q211:Q213 Q191:T196 Q199:T202 Q207:T210">
    <cfRule type="expression" dxfId="2909" priority="3661" stopIfTrue="1">
      <formula>MOD(ROW(),2)=1</formula>
    </cfRule>
  </conditionalFormatting>
  <conditionalFormatting sqref="Q211:Q213 Q191:T196 Q199:T202 Q207:T210">
    <cfRule type="expression" dxfId="2908" priority="3662" stopIfTrue="1">
      <formula>MOD(ROW(),2)=0</formula>
    </cfRule>
  </conditionalFormatting>
  <conditionalFormatting sqref="N178:O178 W178:X178 Z178:AD178 BR178:CF178">
    <cfRule type="expression" dxfId="2907" priority="3659" stopIfTrue="1">
      <formula>MOD(ROW(),2)=1</formula>
    </cfRule>
  </conditionalFormatting>
  <conditionalFormatting sqref="N178:O178 W178:X178 Z178:AD178 BR178:CF178">
    <cfRule type="expression" dxfId="2906" priority="3660" stopIfTrue="1">
      <formula>MOD(ROW(),2)=0</formula>
    </cfRule>
  </conditionalFormatting>
  <conditionalFormatting sqref="P178">
    <cfRule type="expression" dxfId="2905" priority="3657" stopIfTrue="1">
      <formula>MOD(ROW(),2)=1</formula>
    </cfRule>
  </conditionalFormatting>
  <conditionalFormatting sqref="P178">
    <cfRule type="expression" dxfId="2904" priority="3658" stopIfTrue="1">
      <formula>MOD(ROW(),2)=0</formula>
    </cfRule>
  </conditionalFormatting>
  <conditionalFormatting sqref="Q178">
    <cfRule type="expression" dxfId="2903" priority="3655" stopIfTrue="1">
      <formula>MOD(ROW(),2)=1</formula>
    </cfRule>
  </conditionalFormatting>
  <conditionalFormatting sqref="Q178">
    <cfRule type="expression" dxfId="2902" priority="3656" stopIfTrue="1">
      <formula>MOD(ROW(),2)=0</formula>
    </cfRule>
  </conditionalFormatting>
  <conditionalFormatting sqref="M190 D190:G190 O190">
    <cfRule type="expression" dxfId="2901" priority="3653" stopIfTrue="1">
      <formula>MOD(ROW(),2)=1</formula>
    </cfRule>
  </conditionalFormatting>
  <conditionalFormatting sqref="M190 D190:G190 O190">
    <cfRule type="expression" dxfId="2900" priority="3654" stopIfTrue="1">
      <formula>MOD(ROW(),2)=0</formula>
    </cfRule>
  </conditionalFormatting>
  <conditionalFormatting sqref="P190">
    <cfRule type="expression" dxfId="2899" priority="3651" stopIfTrue="1">
      <formula>MOD(ROW(),2)=1</formula>
    </cfRule>
  </conditionalFormatting>
  <conditionalFormatting sqref="P190">
    <cfRule type="expression" dxfId="2898" priority="3652" stopIfTrue="1">
      <formula>MOD(ROW(),2)=0</formula>
    </cfRule>
  </conditionalFormatting>
  <conditionalFormatting sqref="B191:B196 B199:B202 B206 B209:B212">
    <cfRule type="expression" dxfId="2897" priority="3639" stopIfTrue="1">
      <formula>MOD(ROW(),2)=1</formula>
    </cfRule>
  </conditionalFormatting>
  <conditionalFormatting sqref="B191:B196 B199:B202 B206 B209:B212">
    <cfRule type="expression" dxfId="2896" priority="3640" stopIfTrue="1">
      <formula>MOD(ROW(),2)=0</formula>
    </cfRule>
  </conditionalFormatting>
  <conditionalFormatting sqref="R178:T178">
    <cfRule type="expression" dxfId="2895" priority="3649" stopIfTrue="1">
      <formula>MOD(ROW(),2)=1</formula>
    </cfRule>
  </conditionalFormatting>
  <conditionalFormatting sqref="R178:T178">
    <cfRule type="expression" dxfId="2894" priority="3650" stopIfTrue="1">
      <formula>MOD(ROW(),2)=0</formula>
    </cfRule>
  </conditionalFormatting>
  <conditionalFormatting sqref="B52">
    <cfRule type="expression" dxfId="2893" priority="3633" stopIfTrue="1">
      <formula>MOD(ROW(),2)=1</formula>
    </cfRule>
  </conditionalFormatting>
  <conditionalFormatting sqref="B52">
    <cfRule type="expression" dxfId="2892" priority="3634" stopIfTrue="1">
      <formula>MOD(ROW(),2)=0</formula>
    </cfRule>
  </conditionalFormatting>
  <conditionalFormatting sqref="B50">
    <cfRule type="expression" dxfId="2891" priority="3635" stopIfTrue="1">
      <formula>MOD(ROW(),2)=1</formula>
    </cfRule>
  </conditionalFormatting>
  <conditionalFormatting sqref="B50">
    <cfRule type="expression" dxfId="2890" priority="3636" stopIfTrue="1">
      <formula>MOD(ROW(),2)=0</formula>
    </cfRule>
  </conditionalFormatting>
  <conditionalFormatting sqref="U197:X198">
    <cfRule type="expression" dxfId="2889" priority="3631" stopIfTrue="1">
      <formula>MOD(ROW(),2)=1</formula>
    </cfRule>
  </conditionalFormatting>
  <conditionalFormatting sqref="U197:X198">
    <cfRule type="expression" dxfId="2888" priority="3632" stopIfTrue="1">
      <formula>MOD(ROW(),2)=0</formula>
    </cfRule>
  </conditionalFormatting>
  <conditionalFormatting sqref="U89">
    <cfRule type="expression" dxfId="2887" priority="3629" stopIfTrue="1">
      <formula>MOD(ROW(),2)=1</formula>
    </cfRule>
  </conditionalFormatting>
  <conditionalFormatting sqref="U89">
    <cfRule type="expression" dxfId="2886" priority="3630" stopIfTrue="1">
      <formula>MOD(ROW(),2)=0</formula>
    </cfRule>
  </conditionalFormatting>
  <conditionalFormatting sqref="U187">
    <cfRule type="expression" dxfId="2885" priority="3627" stopIfTrue="1">
      <formula>MOD(ROW(),2)=1</formula>
    </cfRule>
  </conditionalFormatting>
  <conditionalFormatting sqref="U187">
    <cfRule type="expression" dxfId="2884" priority="3628" stopIfTrue="1">
      <formula>MOD(ROW(),2)=0</formula>
    </cfRule>
  </conditionalFormatting>
  <conditionalFormatting sqref="N119">
    <cfRule type="expression" dxfId="2883" priority="3623" stopIfTrue="1">
      <formula>MOD(ROW(),2)=1</formula>
    </cfRule>
  </conditionalFormatting>
  <conditionalFormatting sqref="N119">
    <cfRule type="expression" dxfId="2882" priority="3624" stopIfTrue="1">
      <formula>MOD(ROW(),2)=0</formula>
    </cfRule>
  </conditionalFormatting>
  <conditionalFormatting sqref="V107">
    <cfRule type="expression" dxfId="2881" priority="3621" stopIfTrue="1">
      <formula>MOD(ROW(),2)=1</formula>
    </cfRule>
  </conditionalFormatting>
  <conditionalFormatting sqref="V107">
    <cfRule type="expression" dxfId="2880" priority="3622" stopIfTrue="1">
      <formula>MOD(ROW(),2)=0</formula>
    </cfRule>
  </conditionalFormatting>
  <conditionalFormatting sqref="V178">
    <cfRule type="expression" dxfId="2879" priority="3613" stopIfTrue="1">
      <formula>MOD(ROW(),2)=1</formula>
    </cfRule>
  </conditionalFormatting>
  <conditionalFormatting sqref="V178">
    <cfRule type="expression" dxfId="2878" priority="3614" stopIfTrue="1">
      <formula>MOD(ROW(),2)=0</formula>
    </cfRule>
  </conditionalFormatting>
  <conditionalFormatting sqref="Q44">
    <cfRule type="expression" dxfId="2877" priority="3611" stopIfTrue="1">
      <formula>MOD(ROW(),2)=1</formula>
    </cfRule>
  </conditionalFormatting>
  <conditionalFormatting sqref="Q44">
    <cfRule type="expression" dxfId="2876" priority="3612" stopIfTrue="1">
      <formula>MOD(ROW(),2)=0</formula>
    </cfRule>
  </conditionalFormatting>
  <conditionalFormatting sqref="R44">
    <cfRule type="expression" dxfId="2875" priority="3609" stopIfTrue="1">
      <formula>MOD(ROW(),2)=1</formula>
    </cfRule>
  </conditionalFormatting>
  <conditionalFormatting sqref="R44">
    <cfRule type="expression" dxfId="2874" priority="3610" stopIfTrue="1">
      <formula>MOD(ROW(),2)=0</formula>
    </cfRule>
  </conditionalFormatting>
  <conditionalFormatting sqref="X135">
    <cfRule type="expression" dxfId="2873" priority="3605" stopIfTrue="1">
      <formula>MOD(ROW(),2)=1</formula>
    </cfRule>
  </conditionalFormatting>
  <conditionalFormatting sqref="X135">
    <cfRule type="expression" dxfId="2872" priority="3606" stopIfTrue="1">
      <formula>MOD(ROW(),2)=0</formula>
    </cfRule>
  </conditionalFormatting>
  <conditionalFormatting sqref="X138">
    <cfRule type="expression" dxfId="2871" priority="3601" stopIfTrue="1">
      <formula>MOD(ROW(),2)=1</formula>
    </cfRule>
  </conditionalFormatting>
  <conditionalFormatting sqref="X134">
    <cfRule type="expression" dxfId="2870" priority="3607" stopIfTrue="1">
      <formula>MOD(ROW(),2)=1</formula>
    </cfRule>
  </conditionalFormatting>
  <conditionalFormatting sqref="X134">
    <cfRule type="expression" dxfId="2869" priority="3608" stopIfTrue="1">
      <formula>MOD(ROW(),2)=0</formula>
    </cfRule>
  </conditionalFormatting>
  <conditionalFormatting sqref="W31:X31">
    <cfRule type="expression" dxfId="2868" priority="3603" stopIfTrue="1">
      <formula>MOD(ROW(),2)=1</formula>
    </cfRule>
  </conditionalFormatting>
  <conditionalFormatting sqref="W31:X31">
    <cfRule type="expression" dxfId="2867" priority="3604" stopIfTrue="1">
      <formula>MOD(ROW(),2)=0</formula>
    </cfRule>
  </conditionalFormatting>
  <conditionalFormatting sqref="X138">
    <cfRule type="expression" dxfId="2866" priority="3602" stopIfTrue="1">
      <formula>MOD(ROW(),2)=0</formula>
    </cfRule>
  </conditionalFormatting>
  <conditionalFormatting sqref="U203:U205 W203:X205 Z203:AD204 Z205:AC205 BR203:CE203 BR204:CF205">
    <cfRule type="expression" dxfId="2865" priority="3599" stopIfTrue="1">
      <formula>MOD(ROW(),2)=1</formula>
    </cfRule>
  </conditionalFormatting>
  <conditionalFormatting sqref="U203:U205 W203:X205 Z203:AD204 Z205:AC205 BR203:CE203 BR204:CF205">
    <cfRule type="expression" dxfId="2864" priority="3600" stopIfTrue="1">
      <formula>MOD(ROW(),2)=0</formula>
    </cfRule>
  </conditionalFormatting>
  <conditionalFormatting sqref="P203:P205">
    <cfRule type="expression" dxfId="2863" priority="3597" stopIfTrue="1">
      <formula>MOD(ROW(),2)=1</formula>
    </cfRule>
  </conditionalFormatting>
  <conditionalFormatting sqref="P203:P205">
    <cfRule type="expression" dxfId="2862" priority="3598" stopIfTrue="1">
      <formula>MOD(ROW(),2)=0</formula>
    </cfRule>
  </conditionalFormatting>
  <conditionalFormatting sqref="V204:V205">
    <cfRule type="expression" dxfId="2861" priority="3595" stopIfTrue="1">
      <formula>MOD(ROW(),2)=1</formula>
    </cfRule>
  </conditionalFormatting>
  <conditionalFormatting sqref="V204:V205">
    <cfRule type="expression" dxfId="2860" priority="3596" stopIfTrue="1">
      <formula>MOD(ROW(),2)=0</formula>
    </cfRule>
  </conditionalFormatting>
  <conditionalFormatting sqref="Q203:T205">
    <cfRule type="expression" dxfId="2859" priority="3593" stopIfTrue="1">
      <formula>MOD(ROW(),2)=1</formula>
    </cfRule>
  </conditionalFormatting>
  <conditionalFormatting sqref="Q203:T205">
    <cfRule type="expression" dxfId="2858" priority="3594" stopIfTrue="1">
      <formula>MOD(ROW(),2)=0</formula>
    </cfRule>
  </conditionalFormatting>
  <conditionalFormatting sqref="B204:B205">
    <cfRule type="expression" dxfId="2857" priority="3591" stopIfTrue="1">
      <formula>MOD(ROW(),2)=1</formula>
    </cfRule>
  </conditionalFormatting>
  <conditionalFormatting sqref="B204:B205">
    <cfRule type="expression" dxfId="2856" priority="3592" stopIfTrue="1">
      <formula>MOD(ROW(),2)=0</formula>
    </cfRule>
  </conditionalFormatting>
  <conditionalFormatting sqref="R197:T198">
    <cfRule type="expression" dxfId="2855" priority="3589" stopIfTrue="1">
      <formula>MOD(ROW(),2)=1</formula>
    </cfRule>
  </conditionalFormatting>
  <conditionalFormatting sqref="R197:T198">
    <cfRule type="expression" dxfId="2854" priority="3590" stopIfTrue="1">
      <formula>MOD(ROW(),2)=0</formula>
    </cfRule>
  </conditionalFormatting>
  <conditionalFormatting sqref="Z197:AD197 CA197:CB197 CD197:CE197 BR197:BY197">
    <cfRule type="expression" dxfId="2853" priority="3587" stopIfTrue="1">
      <formula>MOD(ROW(),2)=1</formula>
    </cfRule>
  </conditionalFormatting>
  <conditionalFormatting sqref="Z197:AD197 CA197:CB197 CD197:CE197 BR197:BY197">
    <cfRule type="expression" dxfId="2852" priority="3588" stopIfTrue="1">
      <formula>MOD(ROW(),2)=0</formula>
    </cfRule>
  </conditionalFormatting>
  <conditionalFormatting sqref="Z198:AD198 CA198:CB198 CD198 BR198:BY198">
    <cfRule type="expression" dxfId="2851" priority="3585" stopIfTrue="1">
      <formula>MOD(ROW(),2)=1</formula>
    </cfRule>
  </conditionalFormatting>
  <conditionalFormatting sqref="Z198:AD198 CA198:CB198 CD198 BR198:BY198">
    <cfRule type="expression" dxfId="2850" priority="3586" stopIfTrue="1">
      <formula>MOD(ROW(),2)=0</formula>
    </cfRule>
  </conditionalFormatting>
  <conditionalFormatting sqref="F193:G193">
    <cfRule type="expression" dxfId="2849" priority="3583" stopIfTrue="1">
      <formula>MOD(ROW(),2)=1</formula>
    </cfRule>
  </conditionalFormatting>
  <conditionalFormatting sqref="F193:G193">
    <cfRule type="expression" dxfId="2848" priority="3584" stopIfTrue="1">
      <formula>MOD(ROW(),2)=0</formula>
    </cfRule>
  </conditionalFormatting>
  <conditionalFormatting sqref="AC32 BR32:CF32">
    <cfRule type="expression" dxfId="2847" priority="3581" stopIfTrue="1">
      <formula>MOD(ROW(),2)=1</formula>
    </cfRule>
  </conditionalFormatting>
  <conditionalFormatting sqref="AC32 BR32:CF32">
    <cfRule type="expression" dxfId="2846" priority="3582" stopIfTrue="1">
      <formula>MOD(ROW(),2)=0</formula>
    </cfRule>
  </conditionalFormatting>
  <conditionalFormatting sqref="Z189:AD189 BR189:CE189">
    <cfRule type="expression" dxfId="2845" priority="3579" stopIfTrue="1">
      <formula>MOD(ROW(),2)=1</formula>
    </cfRule>
  </conditionalFormatting>
  <conditionalFormatting sqref="Z189:AD189 BR189:CE189">
    <cfRule type="expression" dxfId="2844" priority="3580" stopIfTrue="1">
      <formula>MOD(ROW(),2)=0</formula>
    </cfRule>
  </conditionalFormatting>
  <conditionalFormatting sqref="W32:X32">
    <cfRule type="expression" dxfId="2843" priority="3577" stopIfTrue="1">
      <formula>MOD(ROW(),2)=1</formula>
    </cfRule>
  </conditionalFormatting>
  <conditionalFormatting sqref="W32:X32">
    <cfRule type="expression" dxfId="2842" priority="3578" stopIfTrue="1">
      <formula>MOD(ROW(),2)=0</formula>
    </cfRule>
  </conditionalFormatting>
  <conditionalFormatting sqref="Z188:AD188 BR188:CE188">
    <cfRule type="expression" dxfId="2841" priority="3575" stopIfTrue="1">
      <formula>MOD(ROW(),2)=1</formula>
    </cfRule>
  </conditionalFormatting>
  <conditionalFormatting sqref="Z188:AD188 BR188:CE188">
    <cfRule type="expression" dxfId="2840" priority="3576" stopIfTrue="1">
      <formula>MOD(ROW(),2)=0</formula>
    </cfRule>
  </conditionalFormatting>
  <conditionalFormatting sqref="Z187:AD187 BR187:CF187">
    <cfRule type="expression" dxfId="2839" priority="3573" stopIfTrue="1">
      <formula>MOD(ROW(),2)=1</formula>
    </cfRule>
  </conditionalFormatting>
  <conditionalFormatting sqref="Z187:AD187 BR187:CF187">
    <cfRule type="expression" dxfId="2838" priority="3574" stopIfTrue="1">
      <formula>MOD(ROW(),2)=0</formula>
    </cfRule>
  </conditionalFormatting>
  <conditionalFormatting sqref="Z186:AD186 BR186:CF186">
    <cfRule type="expression" dxfId="2837" priority="3571" stopIfTrue="1">
      <formula>MOD(ROW(),2)=1</formula>
    </cfRule>
  </conditionalFormatting>
  <conditionalFormatting sqref="Z186:AD186 BR186:CF186">
    <cfRule type="expression" dxfId="2836" priority="3572" stopIfTrue="1">
      <formula>MOD(ROW(),2)=0</formula>
    </cfRule>
  </conditionalFormatting>
  <conditionalFormatting sqref="V203">
    <cfRule type="expression" dxfId="2835" priority="3569" stopIfTrue="1">
      <formula>MOD(ROW(),2)=1</formula>
    </cfRule>
  </conditionalFormatting>
  <conditionalFormatting sqref="V203">
    <cfRule type="expression" dxfId="2834" priority="3570" stopIfTrue="1">
      <formula>MOD(ROW(),2)=0</formula>
    </cfRule>
  </conditionalFormatting>
  <conditionalFormatting sqref="V211">
    <cfRule type="expression" dxfId="2833" priority="3475" stopIfTrue="1">
      <formula>MOD(ROW(),2)=1</formula>
    </cfRule>
  </conditionalFormatting>
  <conditionalFormatting sqref="V211">
    <cfRule type="expression" dxfId="2832" priority="3476" stopIfTrue="1">
      <formula>MOD(ROW(),2)=0</formula>
    </cfRule>
  </conditionalFormatting>
  <conditionalFormatting sqref="H206">
    <cfRule type="expression" dxfId="2831" priority="3543" stopIfTrue="1">
      <formula>MOD(ROW(),2)=1</formula>
    </cfRule>
  </conditionalFormatting>
  <conditionalFormatting sqref="H206">
    <cfRule type="expression" dxfId="2830" priority="3544" stopIfTrue="1">
      <formula>MOD(ROW(),2)=0</formula>
    </cfRule>
  </conditionalFormatting>
  <conditionalFormatting sqref="V185">
    <cfRule type="expression" dxfId="2829" priority="3499" stopIfTrue="1">
      <formula>MOD(ROW(),2)=1</formula>
    </cfRule>
  </conditionalFormatting>
  <conditionalFormatting sqref="V185">
    <cfRule type="expression" dxfId="2828" priority="3500" stopIfTrue="1">
      <formula>MOD(ROW(),2)=0</formula>
    </cfRule>
  </conditionalFormatting>
  <conditionalFormatting sqref="V193">
    <cfRule type="expression" dxfId="2827" priority="3567" stopIfTrue="1">
      <formula>MOD(ROW(),2)=1</formula>
    </cfRule>
  </conditionalFormatting>
  <conditionalFormatting sqref="V193">
    <cfRule type="expression" dxfId="2826" priority="3568" stopIfTrue="1">
      <formula>MOD(ROW(),2)=0</formula>
    </cfRule>
  </conditionalFormatting>
  <conditionalFormatting sqref="V195">
    <cfRule type="expression" dxfId="2825" priority="3565" stopIfTrue="1">
      <formula>MOD(ROW(),2)=1</formula>
    </cfRule>
  </conditionalFormatting>
  <conditionalFormatting sqref="V195">
    <cfRule type="expression" dxfId="2824" priority="3566" stopIfTrue="1">
      <formula>MOD(ROW(),2)=0</formula>
    </cfRule>
  </conditionalFormatting>
  <conditionalFormatting sqref="C190">
    <cfRule type="expression" dxfId="2823" priority="3563" stopIfTrue="1">
      <formula>MOD(ROW(),2)=1</formula>
    </cfRule>
  </conditionalFormatting>
  <conditionalFormatting sqref="C190">
    <cfRule type="expression" dxfId="2822" priority="3564" stopIfTrue="1">
      <formula>MOD(ROW(),2)=0</formula>
    </cfRule>
  </conditionalFormatting>
  <conditionalFormatting sqref="X190 Z190:AC190 AE190 BS190:CD190 AK190">
    <cfRule type="expression" dxfId="2821" priority="3497" stopIfTrue="1">
      <formula>MOD(ROW(),2)=1</formula>
    </cfRule>
  </conditionalFormatting>
  <conditionalFormatting sqref="X190 Z190:AC190 AE190 BS190:CD190 AK190">
    <cfRule type="expression" dxfId="2820" priority="3498" stopIfTrue="1">
      <formula>MOD(ROW(),2)=0</formula>
    </cfRule>
  </conditionalFormatting>
  <conditionalFormatting sqref="V190">
    <cfRule type="expression" dxfId="2819" priority="3557" stopIfTrue="1">
      <formula>MOD(ROW(),2)=1</formula>
    </cfRule>
  </conditionalFormatting>
  <conditionalFormatting sqref="V190">
    <cfRule type="expression" dxfId="2818" priority="3558" stopIfTrue="1">
      <formula>MOD(ROW(),2)=0</formula>
    </cfRule>
  </conditionalFormatting>
  <conditionalFormatting sqref="U190">
    <cfRule type="expression" dxfId="2817" priority="3555" stopIfTrue="1">
      <formula>MOD(ROW(),2)=1</formula>
    </cfRule>
  </conditionalFormatting>
  <conditionalFormatting sqref="U190">
    <cfRule type="expression" dxfId="2816" priority="3556" stopIfTrue="1">
      <formula>MOD(ROW(),2)=0</formula>
    </cfRule>
  </conditionalFormatting>
  <conditionalFormatting sqref="R206:T206">
    <cfRule type="expression" dxfId="2815" priority="3547" stopIfTrue="1">
      <formula>MOD(ROW(),2)=1</formula>
    </cfRule>
  </conditionalFormatting>
  <conditionalFormatting sqref="R206:T206">
    <cfRule type="expression" dxfId="2814" priority="3548" stopIfTrue="1">
      <formula>MOD(ROW(),2)=0</formula>
    </cfRule>
  </conditionalFormatting>
  <conditionalFormatting sqref="Q206">
    <cfRule type="expression" dxfId="2813" priority="3549" stopIfTrue="1">
      <formula>MOD(ROW(),2)=1</formula>
    </cfRule>
  </conditionalFormatting>
  <conditionalFormatting sqref="Q206">
    <cfRule type="expression" dxfId="2812" priority="3550" stopIfTrue="1">
      <formula>MOD(ROW(),2)=0</formula>
    </cfRule>
  </conditionalFormatting>
  <conditionalFormatting sqref="D206:G206">
    <cfRule type="expression" dxfId="2811" priority="3553" stopIfTrue="1">
      <formula>MOD(ROW(),2)=1</formula>
    </cfRule>
  </conditionalFormatting>
  <conditionalFormatting sqref="D206:G206">
    <cfRule type="expression" dxfId="2810" priority="3554" stopIfTrue="1">
      <formula>MOD(ROW(),2)=0</formula>
    </cfRule>
  </conditionalFormatting>
  <conditionalFormatting sqref="P206">
    <cfRule type="expression" dxfId="2809" priority="3551" stopIfTrue="1">
      <formula>MOD(ROW(),2)=1</formula>
    </cfRule>
  </conditionalFormatting>
  <conditionalFormatting sqref="P206">
    <cfRule type="expression" dxfId="2808" priority="3552" stopIfTrue="1">
      <formula>MOD(ROW(),2)=0</formula>
    </cfRule>
  </conditionalFormatting>
  <conditionalFormatting sqref="H206">
    <cfRule type="expression" dxfId="2807" priority="3541" stopIfTrue="1">
      <formula>MOD(ROW(),2)=1</formula>
    </cfRule>
  </conditionalFormatting>
  <conditionalFormatting sqref="H206">
    <cfRule type="expression" dxfId="2806" priority="3542" stopIfTrue="1">
      <formula>MOD(ROW(),2)=0</formula>
    </cfRule>
  </conditionalFormatting>
  <conditionalFormatting sqref="Z19:AB19">
    <cfRule type="expression" dxfId="2805" priority="3527" stopIfTrue="1">
      <formula>MOD(ROW(),2)=1</formula>
    </cfRule>
  </conditionalFormatting>
  <conditionalFormatting sqref="Z19:AB19">
    <cfRule type="expression" dxfId="2804" priority="3528" stopIfTrue="1">
      <formula>MOD(ROW(),2)=0</formula>
    </cfRule>
  </conditionalFormatting>
  <conditionalFormatting sqref="V17">
    <cfRule type="expression" dxfId="2803" priority="3525" stopIfTrue="1">
      <formula>MOD(ROW(),2)=1</formula>
    </cfRule>
  </conditionalFormatting>
  <conditionalFormatting sqref="V17">
    <cfRule type="expression" dxfId="2802" priority="3526" stopIfTrue="1">
      <formula>MOD(ROW(),2)=0</formula>
    </cfRule>
  </conditionalFormatting>
  <conditionalFormatting sqref="U206">
    <cfRule type="expression" dxfId="2801" priority="3533" stopIfTrue="1">
      <formula>MOD(ROW(),2)=1</formula>
    </cfRule>
  </conditionalFormatting>
  <conditionalFormatting sqref="U206">
    <cfRule type="expression" dxfId="2800" priority="3534" stopIfTrue="1">
      <formula>MOD(ROW(),2)=0</formula>
    </cfRule>
  </conditionalFormatting>
  <conditionalFormatting sqref="V206">
    <cfRule type="expression" dxfId="2799" priority="3531" stopIfTrue="1">
      <formula>MOD(ROW(),2)=1</formula>
    </cfRule>
  </conditionalFormatting>
  <conditionalFormatting sqref="V206">
    <cfRule type="expression" dxfId="2798" priority="3532" stopIfTrue="1">
      <formula>MOD(ROW(),2)=0</formula>
    </cfRule>
  </conditionalFormatting>
  <conditionalFormatting sqref="Z18:AI18 AC19:AD19 CA18:CD19 BR18:BY19 AK18:AO18">
    <cfRule type="expression" dxfId="2797" priority="3529" stopIfTrue="1">
      <formula>MOD(ROW(),2)=1</formula>
    </cfRule>
  </conditionalFormatting>
  <conditionalFormatting sqref="Z18:AI18 AC19:AD19 CA18:CD19 BR18:BY19 AK18:AO18">
    <cfRule type="expression" dxfId="2796" priority="3530" stopIfTrue="1">
      <formula>MOD(ROW(),2)=0</formula>
    </cfRule>
  </conditionalFormatting>
  <conditionalFormatting sqref="Z23:AI23 CA23:CF23 BR23:BY23 AK23:AO23">
    <cfRule type="expression" dxfId="2795" priority="3523" stopIfTrue="1">
      <formula>MOD(ROW(),2)=1</formula>
    </cfRule>
  </conditionalFormatting>
  <conditionalFormatting sqref="Z23:AI23 CA23:CF23 BR23:BY23 AK23:AO23">
    <cfRule type="expression" dxfId="2794" priority="3524" stopIfTrue="1">
      <formula>MOD(ROW(),2)=0</formula>
    </cfRule>
  </conditionalFormatting>
  <conditionalFormatting sqref="B94">
    <cfRule type="expression" dxfId="2793" priority="3521" stopIfTrue="1">
      <formula>MOD(ROW(),2)=1</formula>
    </cfRule>
  </conditionalFormatting>
  <conditionalFormatting sqref="B94">
    <cfRule type="expression" dxfId="2792" priority="3522" stopIfTrue="1">
      <formula>MOD(ROW(),2)=0</formula>
    </cfRule>
  </conditionalFormatting>
  <conditionalFormatting sqref="B95">
    <cfRule type="expression" dxfId="2791" priority="3519" stopIfTrue="1">
      <formula>MOD(ROW(),2)=1</formula>
    </cfRule>
  </conditionalFormatting>
  <conditionalFormatting sqref="B95">
    <cfRule type="expression" dxfId="2790" priority="3520" stopIfTrue="1">
      <formula>MOD(ROW(),2)=0</formula>
    </cfRule>
  </conditionalFormatting>
  <conditionalFormatting sqref="B207:G208">
    <cfRule type="expression" dxfId="2789" priority="3517" stopIfTrue="1">
      <formula>MOD(ROW(),2)=1</formula>
    </cfRule>
  </conditionalFormatting>
  <conditionalFormatting sqref="B207:G208">
    <cfRule type="expression" dxfId="2788" priority="3518" stopIfTrue="1">
      <formula>MOD(ROW(),2)=0</formula>
    </cfRule>
  </conditionalFormatting>
  <conditionalFormatting sqref="P78">
    <cfRule type="expression" dxfId="2787" priority="3455" stopIfTrue="1">
      <formula>MOD(ROW(),2)=1</formula>
    </cfRule>
  </conditionalFormatting>
  <conditionalFormatting sqref="P78">
    <cfRule type="expression" dxfId="2786" priority="3456" stopIfTrue="1">
      <formula>MOD(ROW(),2)=0</formula>
    </cfRule>
  </conditionalFormatting>
  <conditionalFormatting sqref="P79">
    <cfRule type="expression" dxfId="2785" priority="3453" stopIfTrue="1">
      <formula>MOD(ROW(),2)=1</formula>
    </cfRule>
  </conditionalFormatting>
  <conditionalFormatting sqref="P79">
    <cfRule type="expression" dxfId="2784" priority="3454" stopIfTrue="1">
      <formula>MOD(ROW(),2)=0</formula>
    </cfRule>
  </conditionalFormatting>
  <conditionalFormatting sqref="U207:V208">
    <cfRule type="expression" dxfId="2783" priority="3511" stopIfTrue="1">
      <formula>MOD(ROW(),2)=1</formula>
    </cfRule>
  </conditionalFormatting>
  <conditionalFormatting sqref="U207:V208">
    <cfRule type="expression" dxfId="2782" priority="3512" stopIfTrue="1">
      <formula>MOD(ROW(),2)=0</formula>
    </cfRule>
  </conditionalFormatting>
  <conditionalFormatting sqref="P207:P208">
    <cfRule type="expression" dxfId="2781" priority="3509" stopIfTrue="1">
      <formula>MOD(ROW(),2)=1</formula>
    </cfRule>
  </conditionalFormatting>
  <conditionalFormatting sqref="P207:P208">
    <cfRule type="expression" dxfId="2780" priority="3510" stopIfTrue="1">
      <formula>MOD(ROW(),2)=0</formula>
    </cfRule>
  </conditionalFormatting>
  <conditionalFormatting sqref="AA207:AB208 X207:X208">
    <cfRule type="expression" dxfId="2779" priority="3507" stopIfTrue="1">
      <formula>MOD(ROW(),2)=1</formula>
    </cfRule>
  </conditionalFormatting>
  <conditionalFormatting sqref="AA207:AB208 X207:X208">
    <cfRule type="expression" dxfId="2778" priority="3508" stopIfTrue="1">
      <formula>MOD(ROW(),2)=0</formula>
    </cfRule>
  </conditionalFormatting>
  <conditionalFormatting sqref="Z208">
    <cfRule type="expression" dxfId="2777" priority="3487" stopIfTrue="1">
      <formula>MOD(ROW(),2)=1</formula>
    </cfRule>
  </conditionalFormatting>
  <conditionalFormatting sqref="U69:V69">
    <cfRule type="expression" dxfId="2776" priority="3505" stopIfTrue="1">
      <formula>MOD(ROW(),2)=1</formula>
    </cfRule>
  </conditionalFormatting>
  <conditionalFormatting sqref="U69:V69">
    <cfRule type="expression" dxfId="2775" priority="3506" stopIfTrue="1">
      <formula>MOD(ROW(),2)=0</formula>
    </cfRule>
  </conditionalFormatting>
  <conditionalFormatting sqref="P69">
    <cfRule type="expression" dxfId="2774" priority="3503" stopIfTrue="1">
      <formula>MOD(ROW(),2)=1</formula>
    </cfRule>
  </conditionalFormatting>
  <conditionalFormatting sqref="P69">
    <cfRule type="expression" dxfId="2773" priority="3504" stopIfTrue="1">
      <formula>MOD(ROW(),2)=0</formula>
    </cfRule>
  </conditionalFormatting>
  <conditionalFormatting sqref="M210">
    <cfRule type="expression" dxfId="2772" priority="3501" stopIfTrue="1">
      <formula>MOD(ROW(),2)=1</formula>
    </cfRule>
  </conditionalFormatting>
  <conditionalFormatting sqref="M210">
    <cfRule type="expression" dxfId="2771" priority="3502" stopIfTrue="1">
      <formula>MOD(ROW(),2)=0</formula>
    </cfRule>
  </conditionalFormatting>
  <conditionalFormatting sqref="X206 Z206:AC206 BS206:BY206 CA206:CD206">
    <cfRule type="expression" dxfId="2770" priority="3495" stopIfTrue="1">
      <formula>MOD(ROW(),2)=1</formula>
    </cfRule>
  </conditionalFormatting>
  <conditionalFormatting sqref="X206 Z206:AC206 BS206:BY206 CA206:CD206">
    <cfRule type="expression" dxfId="2769" priority="3496" stopIfTrue="1">
      <formula>MOD(ROW(),2)=0</formula>
    </cfRule>
  </conditionalFormatting>
  <conditionalFormatting sqref="AC207:AI207 CA207:CE207 BR207:BY207 AK207:AO207">
    <cfRule type="expression" dxfId="2768" priority="3493" stopIfTrue="1">
      <formula>MOD(ROW(),2)=1</formula>
    </cfRule>
  </conditionalFormatting>
  <conditionalFormatting sqref="AC207:AI207 CA207:CE207 BR207:BY207 AK207:AO207">
    <cfRule type="expression" dxfId="2767" priority="3494" stopIfTrue="1">
      <formula>MOD(ROW(),2)=0</formula>
    </cfRule>
  </conditionalFormatting>
  <conditionalFormatting sqref="AC208:AD208 CA208:CE208 BR208:BY208">
    <cfRule type="expression" dxfId="2766" priority="3491" stopIfTrue="1">
      <formula>MOD(ROW(),2)=1</formula>
    </cfRule>
  </conditionalFormatting>
  <conditionalFormatting sqref="AC208:AD208 CA208:CE208 BR208:BY208">
    <cfRule type="expression" dxfId="2765" priority="3492" stopIfTrue="1">
      <formula>MOD(ROW(),2)=0</formula>
    </cfRule>
  </conditionalFormatting>
  <conditionalFormatting sqref="Z207">
    <cfRule type="expression" dxfId="2764" priority="3489" stopIfTrue="1">
      <formula>MOD(ROW(),2)=1</formula>
    </cfRule>
  </conditionalFormatting>
  <conditionalFormatting sqref="Z207">
    <cfRule type="expression" dxfId="2763" priority="3490" stopIfTrue="1">
      <formula>MOD(ROW(),2)=0</formula>
    </cfRule>
  </conditionalFormatting>
  <conditionalFormatting sqref="Z208">
    <cfRule type="expression" dxfId="2762" priority="3488" stopIfTrue="1">
      <formula>MOD(ROW(),2)=0</formula>
    </cfRule>
  </conditionalFormatting>
  <conditionalFormatting sqref="I212:I213">
    <cfRule type="expression" dxfId="2761" priority="3485" stopIfTrue="1">
      <formula>MOD(ROW(),2)=1</formula>
    </cfRule>
  </conditionalFormatting>
  <conditionalFormatting sqref="I212:I213">
    <cfRule type="expression" dxfId="2760" priority="3486" stopIfTrue="1">
      <formula>MOD(ROW(),2)=0</formula>
    </cfRule>
  </conditionalFormatting>
  <conditionalFormatting sqref="K212:K213">
    <cfRule type="expression" dxfId="2759" priority="3483" stopIfTrue="1">
      <formula>MOD(ROW(),2)=1</formula>
    </cfRule>
  </conditionalFormatting>
  <conditionalFormatting sqref="K212:K213">
    <cfRule type="expression" dxfId="2758" priority="3484" stopIfTrue="1">
      <formula>MOD(ROW(),2)=0</formula>
    </cfRule>
  </conditionalFormatting>
  <conditionalFormatting sqref="I211">
    <cfRule type="expression" dxfId="2757" priority="3481" stopIfTrue="1">
      <formula>MOD(ROW(),2)=1</formula>
    </cfRule>
  </conditionalFormatting>
  <conditionalFormatting sqref="I211">
    <cfRule type="expression" dxfId="2756" priority="3482" stopIfTrue="1">
      <formula>MOD(ROW(),2)=0</formula>
    </cfRule>
  </conditionalFormatting>
  <conditionalFormatting sqref="R211:T211">
    <cfRule type="expression" dxfId="2755" priority="3479" stopIfTrue="1">
      <formula>MOD(ROW(),2)=1</formula>
    </cfRule>
  </conditionalFormatting>
  <conditionalFormatting sqref="R211:T211">
    <cfRule type="expression" dxfId="2754" priority="3480" stopIfTrue="1">
      <formula>MOD(ROW(),2)=0</formula>
    </cfRule>
  </conditionalFormatting>
  <conditionalFormatting sqref="R213:T213 R212 T212">
    <cfRule type="expression" dxfId="2753" priority="3477" stopIfTrue="1">
      <formula>MOD(ROW(),2)=1</formula>
    </cfRule>
  </conditionalFormatting>
  <conditionalFormatting sqref="R213:T213 R212 T212">
    <cfRule type="expression" dxfId="2752" priority="3478" stopIfTrue="1">
      <formula>MOD(ROW(),2)=0</formula>
    </cfRule>
  </conditionalFormatting>
  <conditionalFormatting sqref="V212:V213">
    <cfRule type="expression" dxfId="2751" priority="3473" stopIfTrue="1">
      <formula>MOD(ROW(),2)=1</formula>
    </cfRule>
  </conditionalFormatting>
  <conditionalFormatting sqref="V212:V213">
    <cfRule type="expression" dxfId="2750" priority="3474" stopIfTrue="1">
      <formula>MOD(ROW(),2)=0</formula>
    </cfRule>
  </conditionalFormatting>
  <conditionalFormatting sqref="I90">
    <cfRule type="expression" dxfId="2749" priority="3471" stopIfTrue="1">
      <formula>MOD(ROW(),2)=1</formula>
    </cfRule>
  </conditionalFormatting>
  <conditionalFormatting sqref="I90">
    <cfRule type="expression" dxfId="2748" priority="3472" stopIfTrue="1">
      <formula>MOD(ROW(),2)=0</formula>
    </cfRule>
  </conditionalFormatting>
  <conditionalFormatting sqref="J90:K91">
    <cfRule type="expression" dxfId="2747" priority="3469" stopIfTrue="1">
      <formula>MOD(ROW(),2)=1</formula>
    </cfRule>
  </conditionalFormatting>
  <conditionalFormatting sqref="J90:K91">
    <cfRule type="expression" dxfId="2746" priority="3470" stopIfTrue="1">
      <formula>MOD(ROW(),2)=0</formula>
    </cfRule>
  </conditionalFormatting>
  <conditionalFormatting sqref="I91">
    <cfRule type="expression" dxfId="2745" priority="3467" stopIfTrue="1">
      <formula>MOD(ROW(),2)=1</formula>
    </cfRule>
  </conditionalFormatting>
  <conditionalFormatting sqref="I91">
    <cfRule type="expression" dxfId="2744" priority="3468" stopIfTrue="1">
      <formula>MOD(ROW(),2)=0</formula>
    </cfRule>
  </conditionalFormatting>
  <conditionalFormatting sqref="I91">
    <cfRule type="expression" dxfId="2743" priority="3465" stopIfTrue="1">
      <formula>MOD(ROW(),2)=1</formula>
    </cfRule>
  </conditionalFormatting>
  <conditionalFormatting sqref="I91">
    <cfRule type="expression" dxfId="2742" priority="3466" stopIfTrue="1">
      <formula>MOD(ROW(),2)=0</formula>
    </cfRule>
  </conditionalFormatting>
  <conditionalFormatting sqref="I90">
    <cfRule type="expression" dxfId="2741" priority="3463" stopIfTrue="1">
      <formula>MOD(ROW(),2)=1</formula>
    </cfRule>
  </conditionalFormatting>
  <conditionalFormatting sqref="I90">
    <cfRule type="expression" dxfId="2740" priority="3464" stopIfTrue="1">
      <formula>MOD(ROW(),2)=0</formula>
    </cfRule>
  </conditionalFormatting>
  <conditionalFormatting sqref="P15">
    <cfRule type="expression" dxfId="2739" priority="3461" stopIfTrue="1">
      <formula>MOD(ROW(),2)=1</formula>
    </cfRule>
  </conditionalFormatting>
  <conditionalFormatting sqref="P15">
    <cfRule type="expression" dxfId="2738" priority="3462" stopIfTrue="1">
      <formula>MOD(ROW(),2)=0</formula>
    </cfRule>
  </conditionalFormatting>
  <conditionalFormatting sqref="P57">
    <cfRule type="expression" dxfId="2737" priority="3459" stopIfTrue="1">
      <formula>MOD(ROW(),2)=1</formula>
    </cfRule>
  </conditionalFormatting>
  <conditionalFormatting sqref="P57">
    <cfRule type="expression" dxfId="2736" priority="3460" stopIfTrue="1">
      <formula>MOD(ROW(),2)=0</formula>
    </cfRule>
  </conditionalFormatting>
  <conditionalFormatting sqref="P77">
    <cfRule type="expression" dxfId="2735" priority="3457" stopIfTrue="1">
      <formula>MOD(ROW(),2)=1</formula>
    </cfRule>
  </conditionalFormatting>
  <conditionalFormatting sqref="P77">
    <cfRule type="expression" dxfId="2734" priority="3458" stopIfTrue="1">
      <formula>MOD(ROW(),2)=0</formula>
    </cfRule>
  </conditionalFormatting>
  <conditionalFormatting sqref="T95">
    <cfRule type="expression" dxfId="2733" priority="3323" stopIfTrue="1">
      <formula>MOD(ROW(),2)=1</formula>
    </cfRule>
  </conditionalFormatting>
  <conditionalFormatting sqref="T95">
    <cfRule type="expression" dxfId="2732" priority="3324" stopIfTrue="1">
      <formula>MOD(ROW(),2)=0</formula>
    </cfRule>
  </conditionalFormatting>
  <conditionalFormatting sqref="S212">
    <cfRule type="expression" dxfId="2731" priority="3321" stopIfTrue="1">
      <formula>MOD(ROW(),2)=1</formula>
    </cfRule>
  </conditionalFormatting>
  <conditionalFormatting sqref="S212">
    <cfRule type="expression" dxfId="2730" priority="3322" stopIfTrue="1">
      <formula>MOD(ROW(),2)=0</formula>
    </cfRule>
  </conditionalFormatting>
  <conditionalFormatting sqref="H214:J214 N214:O214 M216:O216 H216:J216">
    <cfRule type="expression" dxfId="2729" priority="3451" stopIfTrue="1">
      <formula>MOD(ROW(),2)=1</formula>
    </cfRule>
  </conditionalFormatting>
  <conditionalFormatting sqref="H214:J214 N214:O214 M216:O216 H216:J216">
    <cfRule type="expression" dxfId="2728" priority="3452" stopIfTrue="1">
      <formula>MOD(ROW(),2)=0</formula>
    </cfRule>
  </conditionalFormatting>
  <conditionalFormatting sqref="P214 P216">
    <cfRule type="expression" dxfId="2727" priority="3449" stopIfTrue="1">
      <formula>MOD(ROW(),2)=1</formula>
    </cfRule>
  </conditionalFormatting>
  <conditionalFormatting sqref="P214 P216">
    <cfRule type="expression" dxfId="2726" priority="3450" stopIfTrue="1">
      <formula>MOD(ROW(),2)=0</formula>
    </cfRule>
  </conditionalFormatting>
  <conditionalFormatting sqref="Q214:T214 Q216:T216">
    <cfRule type="expression" dxfId="2725" priority="3447" stopIfTrue="1">
      <formula>MOD(ROW(),2)=1</formula>
    </cfRule>
  </conditionalFormatting>
  <conditionalFormatting sqref="Q214:T214 Q216:T216">
    <cfRule type="expression" dxfId="2724" priority="3448" stopIfTrue="1">
      <formula>MOD(ROW(),2)=0</formula>
    </cfRule>
  </conditionalFormatting>
  <conditionalFormatting sqref="B214 B216 B219">
    <cfRule type="expression" dxfId="2723" priority="3445" stopIfTrue="1">
      <formula>MOD(ROW(),2)=1</formula>
    </cfRule>
  </conditionalFormatting>
  <conditionalFormatting sqref="B214 B216 B219">
    <cfRule type="expression" dxfId="2722" priority="3446" stopIfTrue="1">
      <formula>MOD(ROW(),2)=0</formula>
    </cfRule>
  </conditionalFormatting>
  <conditionalFormatting sqref="C214:G214 C216:G216 C219">
    <cfRule type="expression" dxfId="2721" priority="3443" stopIfTrue="1">
      <formula>MOD(ROW(),2)=1</formula>
    </cfRule>
  </conditionalFormatting>
  <conditionalFormatting sqref="C214:G214 C216:G216 C219">
    <cfRule type="expression" dxfId="2720" priority="3444" stopIfTrue="1">
      <formula>MOD(ROW(),2)=0</formula>
    </cfRule>
  </conditionalFormatting>
  <conditionalFormatting sqref="K214 K216">
    <cfRule type="expression" dxfId="2719" priority="3441" stopIfTrue="1">
      <formula>MOD(ROW(),2)=1</formula>
    </cfRule>
  </conditionalFormatting>
  <conditionalFormatting sqref="K214 K216">
    <cfRule type="expression" dxfId="2718" priority="3442" stopIfTrue="1">
      <formula>MOD(ROW(),2)=0</formula>
    </cfRule>
  </conditionalFormatting>
  <conditionalFormatting sqref="U214:V214">
    <cfRule type="expression" dxfId="2717" priority="3439" stopIfTrue="1">
      <formula>MOD(ROW(),2)=1</formula>
    </cfRule>
  </conditionalFormatting>
  <conditionalFormatting sqref="U214:V214">
    <cfRule type="expression" dxfId="2716" priority="3440" stopIfTrue="1">
      <formula>MOD(ROW(),2)=0</formula>
    </cfRule>
  </conditionalFormatting>
  <conditionalFormatting sqref="AA214:AB214 AA216:AB216 W214:X214 W216:X216">
    <cfRule type="expression" dxfId="2715" priority="3437" stopIfTrue="1">
      <formula>MOD(ROW(),2)=1</formula>
    </cfRule>
  </conditionalFormatting>
  <conditionalFormatting sqref="AA214:AB214 AA216:AB216 W214:X214 W216:X216">
    <cfRule type="expression" dxfId="2714" priority="3438" stopIfTrue="1">
      <formula>MOD(ROW(),2)=0</formula>
    </cfRule>
  </conditionalFormatting>
  <conditionalFormatting sqref="Z214 Z216">
    <cfRule type="expression" dxfId="2713" priority="3433" stopIfTrue="1">
      <formula>MOD(ROW(),2)=1</formula>
    </cfRule>
  </conditionalFormatting>
  <conditionalFormatting sqref="AC214:AD214 AC216:AD216 BR216:CF216 BR214:CF214">
    <cfRule type="expression" dxfId="2712" priority="3435" stopIfTrue="1">
      <formula>MOD(ROW(),2)=1</formula>
    </cfRule>
  </conditionalFormatting>
  <conditionalFormatting sqref="AC214:AD214 AC216:AD216 BR216:CF216 BR214:CF214">
    <cfRule type="expression" dxfId="2711" priority="3436" stopIfTrue="1">
      <formula>MOD(ROW(),2)=0</formula>
    </cfRule>
  </conditionalFormatting>
  <conditionalFormatting sqref="Z214 Z216">
    <cfRule type="expression" dxfId="2710" priority="3434" stopIfTrue="1">
      <formula>MOD(ROW(),2)=0</formula>
    </cfRule>
  </conditionalFormatting>
  <conditionalFormatting sqref="J53:K53 H53 J56:K56 H54:K55">
    <cfRule type="expression" dxfId="2709" priority="3431" stopIfTrue="1">
      <formula>MOD(ROW(),2)=1</formula>
    </cfRule>
  </conditionalFormatting>
  <conditionalFormatting sqref="J53:K53 H53 J56:K56 H54:K55">
    <cfRule type="expression" dxfId="2708" priority="3432" stopIfTrue="1">
      <formula>MOD(ROW(),2)=0</formula>
    </cfRule>
  </conditionalFormatting>
  <conditionalFormatting sqref="I56">
    <cfRule type="expression" dxfId="2707" priority="3429" stopIfTrue="1">
      <formula>MOD(ROW(),2)=1</formula>
    </cfRule>
  </conditionalFormatting>
  <conditionalFormatting sqref="I56">
    <cfRule type="expression" dxfId="2706" priority="3430" stopIfTrue="1">
      <formula>MOD(ROW(),2)=0</formula>
    </cfRule>
  </conditionalFormatting>
  <conditionalFormatting sqref="I53">
    <cfRule type="expression" dxfId="2705" priority="3427" stopIfTrue="1">
      <formula>MOD(ROW(),2)=1</formula>
    </cfRule>
  </conditionalFormatting>
  <conditionalFormatting sqref="I53">
    <cfRule type="expression" dxfId="2704" priority="3428" stopIfTrue="1">
      <formula>MOD(ROW(),2)=0</formula>
    </cfRule>
  </conditionalFormatting>
  <conditionalFormatting sqref="H56">
    <cfRule type="expression" dxfId="2703" priority="3425" stopIfTrue="1">
      <formula>MOD(ROW(),2)=1</formula>
    </cfRule>
  </conditionalFormatting>
  <conditionalFormatting sqref="H56">
    <cfRule type="expression" dxfId="2702" priority="3426" stopIfTrue="1">
      <formula>MOD(ROW(),2)=0</formula>
    </cfRule>
  </conditionalFormatting>
  <conditionalFormatting sqref="H191:J191 H192:I195 K192:K195">
    <cfRule type="expression" dxfId="2701" priority="3423" stopIfTrue="1">
      <formula>MOD(ROW(),2)=1</formula>
    </cfRule>
  </conditionalFormatting>
  <conditionalFormatting sqref="H191:J191 H192:I195 K192:K195">
    <cfRule type="expression" dxfId="2700" priority="3424" stopIfTrue="1">
      <formula>MOD(ROW(),2)=0</formula>
    </cfRule>
  </conditionalFormatting>
  <conditionalFormatting sqref="K191">
    <cfRule type="expression" dxfId="2699" priority="3421" stopIfTrue="1">
      <formula>MOD(ROW(),2)=1</formula>
    </cfRule>
  </conditionalFormatting>
  <conditionalFormatting sqref="K191">
    <cfRule type="expression" dxfId="2698" priority="3422" stopIfTrue="1">
      <formula>MOD(ROW(),2)=0</formula>
    </cfRule>
  </conditionalFormatting>
  <conditionalFormatting sqref="J192">
    <cfRule type="expression" dxfId="2697" priority="3419" stopIfTrue="1">
      <formula>MOD(ROW(),2)=1</formula>
    </cfRule>
  </conditionalFormatting>
  <conditionalFormatting sqref="J192">
    <cfRule type="expression" dxfId="2696" priority="3420" stopIfTrue="1">
      <formula>MOD(ROW(),2)=0</formula>
    </cfRule>
  </conditionalFormatting>
  <conditionalFormatting sqref="J195">
    <cfRule type="expression" dxfId="2695" priority="3417" stopIfTrue="1">
      <formula>MOD(ROW(),2)=1</formula>
    </cfRule>
  </conditionalFormatting>
  <conditionalFormatting sqref="J195">
    <cfRule type="expression" dxfId="2694" priority="3418" stopIfTrue="1">
      <formula>MOD(ROW(),2)=0</formula>
    </cfRule>
  </conditionalFormatting>
  <conditionalFormatting sqref="J194">
    <cfRule type="expression" dxfId="2693" priority="3415" stopIfTrue="1">
      <formula>MOD(ROW(),2)=1</formula>
    </cfRule>
  </conditionalFormatting>
  <conditionalFormatting sqref="J194">
    <cfRule type="expression" dxfId="2692" priority="3416" stopIfTrue="1">
      <formula>MOD(ROW(),2)=0</formula>
    </cfRule>
  </conditionalFormatting>
  <conditionalFormatting sqref="J193">
    <cfRule type="expression" dxfId="2691" priority="3413" stopIfTrue="1">
      <formula>MOD(ROW(),2)=1</formula>
    </cfRule>
  </conditionalFormatting>
  <conditionalFormatting sqref="J193">
    <cfRule type="expression" dxfId="2690" priority="3414" stopIfTrue="1">
      <formula>MOD(ROW(),2)=0</formula>
    </cfRule>
  </conditionalFormatting>
  <conditionalFormatting sqref="N215 B215:G215 P215:T215 V215:X215 Z215:AD215 BR215:CF215">
    <cfRule type="expression" dxfId="2689" priority="3411" stopIfTrue="1">
      <formula>MOD(ROW(),2)=1</formula>
    </cfRule>
  </conditionalFormatting>
  <conditionalFormatting sqref="N215 B215:G215 P215:T215 V215:X215 Z215:AD215 BR215:CF215">
    <cfRule type="expression" dxfId="2688" priority="3412" stopIfTrue="1">
      <formula>MOD(ROW(),2)=0</formula>
    </cfRule>
  </conditionalFormatting>
  <conditionalFormatting sqref="H215">
    <cfRule type="expression" dxfId="2687" priority="3409" stopIfTrue="1">
      <formula>MOD(ROW(),2)=1</formula>
    </cfRule>
  </conditionalFormatting>
  <conditionalFormatting sqref="H215">
    <cfRule type="expression" dxfId="2686" priority="3410" stopIfTrue="1">
      <formula>MOD(ROW(),2)=0</formula>
    </cfRule>
  </conditionalFormatting>
  <conditionalFormatting sqref="I215:J215">
    <cfRule type="expression" dxfId="2685" priority="3407" stopIfTrue="1">
      <formula>MOD(ROW(),2)=1</formula>
    </cfRule>
  </conditionalFormatting>
  <conditionalFormatting sqref="I215:J215">
    <cfRule type="expression" dxfId="2684" priority="3408" stopIfTrue="1">
      <formula>MOD(ROW(),2)=0</formula>
    </cfRule>
  </conditionalFormatting>
  <conditionalFormatting sqref="K215">
    <cfRule type="expression" dxfId="2683" priority="3405" stopIfTrue="1">
      <formula>MOD(ROW(),2)=1</formula>
    </cfRule>
  </conditionalFormatting>
  <conditionalFormatting sqref="K215">
    <cfRule type="expression" dxfId="2682" priority="3406" stopIfTrue="1">
      <formula>MOD(ROW(),2)=0</formula>
    </cfRule>
  </conditionalFormatting>
  <conditionalFormatting sqref="O215">
    <cfRule type="expression" dxfId="2681" priority="3403" stopIfTrue="1">
      <formula>MOD(ROW(),2)=1</formula>
    </cfRule>
  </conditionalFormatting>
  <conditionalFormatting sqref="O215">
    <cfRule type="expression" dxfId="2680" priority="3404" stopIfTrue="1">
      <formula>MOD(ROW(),2)=0</formula>
    </cfRule>
  </conditionalFormatting>
  <conditionalFormatting sqref="U215">
    <cfRule type="expression" dxfId="2679" priority="3401" stopIfTrue="1">
      <formula>MOD(ROW(),2)=1</formula>
    </cfRule>
  </conditionalFormatting>
  <conditionalFormatting sqref="U215">
    <cfRule type="expression" dxfId="2678" priority="3402" stopIfTrue="1">
      <formula>MOD(ROW(),2)=0</formula>
    </cfRule>
  </conditionalFormatting>
  <conditionalFormatting sqref="V192">
    <cfRule type="expression" dxfId="2677" priority="3399" stopIfTrue="1">
      <formula>MOD(ROW(),2)=1</formula>
    </cfRule>
  </conditionalFormatting>
  <conditionalFormatting sqref="V192">
    <cfRule type="expression" dxfId="2676" priority="3400" stopIfTrue="1">
      <formula>MOD(ROW(),2)=0</formula>
    </cfRule>
  </conditionalFormatting>
  <conditionalFormatting sqref="V194">
    <cfRule type="expression" dxfId="2675" priority="3397" stopIfTrue="1">
      <formula>MOD(ROW(),2)=1</formula>
    </cfRule>
  </conditionalFormatting>
  <conditionalFormatting sqref="V194">
    <cfRule type="expression" dxfId="2674" priority="3398" stopIfTrue="1">
      <formula>MOD(ROW(),2)=0</formula>
    </cfRule>
  </conditionalFormatting>
  <conditionalFormatting sqref="P195">
    <cfRule type="expression" dxfId="2673" priority="3395" stopIfTrue="1">
      <formula>MOD(ROW(),2)=1</formula>
    </cfRule>
  </conditionalFormatting>
  <conditionalFormatting sqref="P195">
    <cfRule type="expression" dxfId="2672" priority="3396" stopIfTrue="1">
      <formula>MOD(ROW(),2)=0</formula>
    </cfRule>
  </conditionalFormatting>
  <conditionalFormatting sqref="V126">
    <cfRule type="expression" dxfId="2671" priority="3349" stopIfTrue="1">
      <formula>MOD(ROW(),2)=1</formula>
    </cfRule>
  </conditionalFormatting>
  <conditionalFormatting sqref="V126">
    <cfRule type="expression" dxfId="2670" priority="3350" stopIfTrue="1">
      <formula>MOD(ROW(),2)=0</formula>
    </cfRule>
  </conditionalFormatting>
  <conditionalFormatting sqref="U32:V32">
    <cfRule type="expression" dxfId="2669" priority="3337" stopIfTrue="1">
      <formula>MOD(ROW(),2)=1</formula>
    </cfRule>
  </conditionalFormatting>
  <conditionalFormatting sqref="U32:V32">
    <cfRule type="expression" dxfId="2668" priority="3338" stopIfTrue="1">
      <formula>MOD(ROW(),2)=0</formula>
    </cfRule>
  </conditionalFormatting>
  <conditionalFormatting sqref="K201">
    <cfRule type="expression" dxfId="2667" priority="3341" stopIfTrue="1">
      <formula>MOD(ROW(),2)=1</formula>
    </cfRule>
  </conditionalFormatting>
  <conditionalFormatting sqref="K201">
    <cfRule type="expression" dxfId="2666" priority="3342" stopIfTrue="1">
      <formula>MOD(ROW(),2)=0</formula>
    </cfRule>
  </conditionalFormatting>
  <conditionalFormatting sqref="U80">
    <cfRule type="expression" dxfId="2665" priority="3393" stopIfTrue="1">
      <formula>MOD(ROW(),2)=1</formula>
    </cfRule>
  </conditionalFormatting>
  <conditionalFormatting sqref="U80">
    <cfRule type="expression" dxfId="2664" priority="3394" stopIfTrue="1">
      <formula>MOD(ROW(),2)=0</formula>
    </cfRule>
  </conditionalFormatting>
  <conditionalFormatting sqref="V64">
    <cfRule type="expression" dxfId="2663" priority="3383" stopIfTrue="1">
      <formula>MOD(ROW(),2)=1</formula>
    </cfRule>
  </conditionalFormatting>
  <conditionalFormatting sqref="V64">
    <cfRule type="expression" dxfId="2662" priority="3384" stopIfTrue="1">
      <formula>MOD(ROW(),2)=0</formula>
    </cfRule>
  </conditionalFormatting>
  <conditionalFormatting sqref="V71">
    <cfRule type="expression" dxfId="2661" priority="3363" stopIfTrue="1">
      <formula>MOD(ROW(),2)=1</formula>
    </cfRule>
  </conditionalFormatting>
  <conditionalFormatting sqref="V71">
    <cfRule type="expression" dxfId="2660" priority="3364" stopIfTrue="1">
      <formula>MOD(ROW(),2)=0</formula>
    </cfRule>
  </conditionalFormatting>
  <conditionalFormatting sqref="V99">
    <cfRule type="expression" dxfId="2659" priority="3355" stopIfTrue="1">
      <formula>MOD(ROW(),2)=1</formula>
    </cfRule>
  </conditionalFormatting>
  <conditionalFormatting sqref="V99">
    <cfRule type="expression" dxfId="2658" priority="3356" stopIfTrue="1">
      <formula>MOD(ROW(),2)=0</formula>
    </cfRule>
  </conditionalFormatting>
  <conditionalFormatting sqref="V125">
    <cfRule type="expression" dxfId="2657" priority="3351" stopIfTrue="1">
      <formula>MOD(ROW(),2)=1</formula>
    </cfRule>
  </conditionalFormatting>
  <conditionalFormatting sqref="V125">
    <cfRule type="expression" dxfId="2656" priority="3352" stopIfTrue="1">
      <formula>MOD(ROW(),2)=0</formula>
    </cfRule>
  </conditionalFormatting>
  <conditionalFormatting sqref="V140">
    <cfRule type="expression" dxfId="2655" priority="3347" stopIfTrue="1">
      <formula>MOD(ROW(),2)=1</formula>
    </cfRule>
  </conditionalFormatting>
  <conditionalFormatting sqref="V140">
    <cfRule type="expression" dxfId="2654" priority="3348" stopIfTrue="1">
      <formula>MOD(ROW(),2)=0</formula>
    </cfRule>
  </conditionalFormatting>
  <conditionalFormatting sqref="V177">
    <cfRule type="expression" dxfId="2653" priority="3343" stopIfTrue="1">
      <formula>MOD(ROW(),2)=1</formula>
    </cfRule>
  </conditionalFormatting>
  <conditionalFormatting sqref="V177">
    <cfRule type="expression" dxfId="2652" priority="3344" stopIfTrue="1">
      <formula>MOD(ROW(),2)=0</formula>
    </cfRule>
  </conditionalFormatting>
  <conditionalFormatting sqref="V26">
    <cfRule type="expression" dxfId="2651" priority="3367" stopIfTrue="1">
      <formula>MOD(ROW(),2)=1</formula>
    </cfRule>
  </conditionalFormatting>
  <conditionalFormatting sqref="V26">
    <cfRule type="expression" dxfId="2650" priority="3368" stopIfTrue="1">
      <formula>MOD(ROW(),2)=0</formula>
    </cfRule>
  </conditionalFormatting>
  <conditionalFormatting sqref="V70">
    <cfRule type="expression" dxfId="2649" priority="3365" stopIfTrue="1">
      <formula>MOD(ROW(),2)=1</formula>
    </cfRule>
  </conditionalFormatting>
  <conditionalFormatting sqref="V70">
    <cfRule type="expression" dxfId="2648" priority="3366" stopIfTrue="1">
      <formula>MOD(ROW(),2)=0</formula>
    </cfRule>
  </conditionalFormatting>
  <conditionalFormatting sqref="V119">
    <cfRule type="expression" dxfId="2647" priority="3353" stopIfTrue="1">
      <formula>MOD(ROW(),2)=1</formula>
    </cfRule>
  </conditionalFormatting>
  <conditionalFormatting sqref="V119">
    <cfRule type="expression" dxfId="2646" priority="3354" stopIfTrue="1">
      <formula>MOD(ROW(),2)=0</formula>
    </cfRule>
  </conditionalFormatting>
  <conditionalFormatting sqref="V95">
    <cfRule type="expression" dxfId="2645" priority="3357" stopIfTrue="1">
      <formula>MOD(ROW(),2)=1</formula>
    </cfRule>
  </conditionalFormatting>
  <conditionalFormatting sqref="V95">
    <cfRule type="expression" dxfId="2644" priority="3358" stopIfTrue="1">
      <formula>MOD(ROW(),2)=0</formula>
    </cfRule>
  </conditionalFormatting>
  <conditionalFormatting sqref="V148">
    <cfRule type="expression" dxfId="2643" priority="3345" stopIfTrue="1">
      <formula>MOD(ROW(),2)=1</formula>
    </cfRule>
  </conditionalFormatting>
  <conditionalFormatting sqref="V148">
    <cfRule type="expression" dxfId="2642" priority="3346" stopIfTrue="1">
      <formula>MOD(ROW(),2)=0</formula>
    </cfRule>
  </conditionalFormatting>
  <conditionalFormatting sqref="U201:V201">
    <cfRule type="expression" dxfId="2641" priority="3339" stopIfTrue="1">
      <formula>MOD(ROW(),2)=1</formula>
    </cfRule>
  </conditionalFormatting>
  <conditionalFormatting sqref="U201:V201">
    <cfRule type="expression" dxfId="2640" priority="3340" stopIfTrue="1">
      <formula>MOD(ROW(),2)=0</formula>
    </cfRule>
  </conditionalFormatting>
  <conditionalFormatting sqref="J41">
    <cfRule type="expression" dxfId="2639" priority="3335" stopIfTrue="1">
      <formula>MOD(ROW(),2)=1</formula>
    </cfRule>
  </conditionalFormatting>
  <conditionalFormatting sqref="J41">
    <cfRule type="expression" dxfId="2638" priority="3336" stopIfTrue="1">
      <formula>MOD(ROW(),2)=0</formula>
    </cfRule>
  </conditionalFormatting>
  <conditionalFormatting sqref="V33">
    <cfRule type="expression" dxfId="2637" priority="3333" stopIfTrue="1">
      <formula>MOD(ROW(),2)=1</formula>
    </cfRule>
  </conditionalFormatting>
  <conditionalFormatting sqref="V33">
    <cfRule type="expression" dxfId="2636" priority="3334" stopIfTrue="1">
      <formula>MOD(ROW(),2)=0</formula>
    </cfRule>
  </conditionalFormatting>
  <conditionalFormatting sqref="T81">
    <cfRule type="expression" dxfId="2635" priority="3329" stopIfTrue="1">
      <formula>MOD(ROW(),2)=1</formula>
    </cfRule>
  </conditionalFormatting>
  <conditionalFormatting sqref="T81">
    <cfRule type="expression" dxfId="2634" priority="3330" stopIfTrue="1">
      <formula>MOD(ROW(),2)=0</formula>
    </cfRule>
  </conditionalFormatting>
  <conditionalFormatting sqref="T82">
    <cfRule type="expression" dxfId="2633" priority="3327" stopIfTrue="1">
      <formula>MOD(ROW(),2)=1</formula>
    </cfRule>
  </conditionalFormatting>
  <conditionalFormatting sqref="T82">
    <cfRule type="expression" dxfId="2632" priority="3328" stopIfTrue="1">
      <formula>MOD(ROW(),2)=0</formula>
    </cfRule>
  </conditionalFormatting>
  <conditionalFormatting sqref="T94">
    <cfRule type="expression" dxfId="2631" priority="3325" stopIfTrue="1">
      <formula>MOD(ROW(),2)=1</formula>
    </cfRule>
  </conditionalFormatting>
  <conditionalFormatting sqref="T94">
    <cfRule type="expression" dxfId="2630" priority="3326" stopIfTrue="1">
      <formula>MOD(ROW(),2)=0</formula>
    </cfRule>
  </conditionalFormatting>
  <conditionalFormatting sqref="Z218:AB218">
    <cfRule type="expression" dxfId="2629" priority="3289" stopIfTrue="1">
      <formula>MOD(ROW(),2)=1</formula>
    </cfRule>
  </conditionalFormatting>
  <conditionalFormatting sqref="Z218:AB218">
    <cfRule type="expression" dxfId="2628" priority="3290" stopIfTrue="1">
      <formula>MOD(ROW(),2)=0</formula>
    </cfRule>
  </conditionalFormatting>
  <conditionalFormatting sqref="V34">
    <cfRule type="expression" dxfId="2627" priority="3317" stopIfTrue="1">
      <formula>MOD(ROW(),2)=1</formula>
    </cfRule>
  </conditionalFormatting>
  <conditionalFormatting sqref="V34">
    <cfRule type="expression" dxfId="2626" priority="3318" stopIfTrue="1">
      <formula>MOD(ROW(),2)=0</formula>
    </cfRule>
  </conditionalFormatting>
  <conditionalFormatting sqref="V37">
    <cfRule type="expression" dxfId="2625" priority="3315" stopIfTrue="1">
      <formula>MOD(ROW(),2)=1</formula>
    </cfRule>
  </conditionalFormatting>
  <conditionalFormatting sqref="V37">
    <cfRule type="expression" dxfId="2624" priority="3316" stopIfTrue="1">
      <formula>MOD(ROW(),2)=0</formula>
    </cfRule>
  </conditionalFormatting>
  <conditionalFormatting sqref="V216">
    <cfRule type="expression" dxfId="2623" priority="3313" stopIfTrue="1">
      <formula>MOD(ROW(),2)=1</formula>
    </cfRule>
  </conditionalFormatting>
  <conditionalFormatting sqref="V216">
    <cfRule type="expression" dxfId="2622" priority="3314" stopIfTrue="1">
      <formula>MOD(ROW(),2)=0</formula>
    </cfRule>
  </conditionalFormatting>
  <conditionalFormatting sqref="I207">
    <cfRule type="expression" dxfId="2621" priority="3311" stopIfTrue="1">
      <formula>MOD(ROW(),2)=1</formula>
    </cfRule>
  </conditionalFormatting>
  <conditionalFormatting sqref="I207">
    <cfRule type="expression" dxfId="2620" priority="3312" stopIfTrue="1">
      <formula>MOD(ROW(),2)=0</formula>
    </cfRule>
  </conditionalFormatting>
  <conditionalFormatting sqref="B217:H217 L217">
    <cfRule type="expression" dxfId="2619" priority="3309" stopIfTrue="1">
      <formula>MOD(ROW(),2)=1</formula>
    </cfRule>
  </conditionalFormatting>
  <conditionalFormatting sqref="B217:H217 L217">
    <cfRule type="expression" dxfId="2618" priority="3310" stopIfTrue="1">
      <formula>MOD(ROW(),2)=0</formula>
    </cfRule>
  </conditionalFormatting>
  <conditionalFormatting sqref="M217:P217 J217 R217 Z217:AD217 BU217:BV217 CF217 BX217:BY217 BR217:BS217">
    <cfRule type="expression" dxfId="2617" priority="3307" stopIfTrue="1">
      <formula>MOD(ROW(),2)=1</formula>
    </cfRule>
  </conditionalFormatting>
  <conditionalFormatting sqref="M217:P217 J217 R217 Z217:AD217 BU217:BV217 CF217 BX217:BY217 BR217:BS217">
    <cfRule type="expression" dxfId="2616" priority="3308" stopIfTrue="1">
      <formula>MOD(ROW(),2)=0</formula>
    </cfRule>
  </conditionalFormatting>
  <conditionalFormatting sqref="Q217">
    <cfRule type="expression" dxfId="2615" priority="3305" stopIfTrue="1">
      <formula>MOD(ROW(),2)=1</formula>
    </cfRule>
  </conditionalFormatting>
  <conditionalFormatting sqref="Q217">
    <cfRule type="expression" dxfId="2614" priority="3306" stopIfTrue="1">
      <formula>MOD(ROW(),2)=0</formula>
    </cfRule>
  </conditionalFormatting>
  <conditionalFormatting sqref="V217">
    <cfRule type="expression" dxfId="2613" priority="3303" stopIfTrue="1">
      <formula>MOD(ROW(),2)=1</formula>
    </cfRule>
  </conditionalFormatting>
  <conditionalFormatting sqref="V217">
    <cfRule type="expression" dxfId="2612" priority="3304" stopIfTrue="1">
      <formula>MOD(ROW(),2)=0</formula>
    </cfRule>
  </conditionalFormatting>
  <conditionalFormatting sqref="K217">
    <cfRule type="expression" dxfId="2611" priority="3301" stopIfTrue="1">
      <formula>MOD(ROW(),2)=1</formula>
    </cfRule>
  </conditionalFormatting>
  <conditionalFormatting sqref="K217">
    <cfRule type="expression" dxfId="2610" priority="3302" stopIfTrue="1">
      <formula>MOD(ROW(),2)=0</formula>
    </cfRule>
  </conditionalFormatting>
  <conditionalFormatting sqref="I217">
    <cfRule type="expression" dxfId="2609" priority="3299" stopIfTrue="1">
      <formula>MOD(ROW(),2)=1</formula>
    </cfRule>
  </conditionalFormatting>
  <conditionalFormatting sqref="I217">
    <cfRule type="expression" dxfId="2608" priority="3300" stopIfTrue="1">
      <formula>MOD(ROW(),2)=0</formula>
    </cfRule>
  </conditionalFormatting>
  <conditionalFormatting sqref="U217">
    <cfRule type="expression" dxfId="2607" priority="3297" stopIfTrue="1">
      <formula>MOD(ROW(),2)=1</formula>
    </cfRule>
  </conditionalFormatting>
  <conditionalFormatting sqref="U217">
    <cfRule type="expression" dxfId="2606" priority="3298" stopIfTrue="1">
      <formula>MOD(ROW(),2)=0</formula>
    </cfRule>
  </conditionalFormatting>
  <conditionalFormatting sqref="Z219:AB219">
    <cfRule type="expression" dxfId="2605" priority="3279" stopIfTrue="1">
      <formula>MOD(ROW(),2)=1</formula>
    </cfRule>
  </conditionalFormatting>
  <conditionalFormatting sqref="Z219:AB219">
    <cfRule type="expression" dxfId="2604" priority="3280" stopIfTrue="1">
      <formula>MOD(ROW(),2)=0</formula>
    </cfRule>
  </conditionalFormatting>
  <conditionalFormatting sqref="V65">
    <cfRule type="expression" dxfId="2603" priority="3293" stopIfTrue="1">
      <formula>MOD(ROW(),2)=1</formula>
    </cfRule>
  </conditionalFormatting>
  <conditionalFormatting sqref="V65">
    <cfRule type="expression" dxfId="2602" priority="3294" stopIfTrue="1">
      <formula>MOD(ROW(),2)=0</formula>
    </cfRule>
  </conditionalFormatting>
  <conditionalFormatting sqref="B218:G218 K218:V218 I218 AC218:AI218 K219 CA218:CE218 X218 BR218:BY218 AK218:AO218">
    <cfRule type="expression" dxfId="2601" priority="3291" stopIfTrue="1">
      <formula>MOD(ROW(),2)=1</formula>
    </cfRule>
  </conditionalFormatting>
  <conditionalFormatting sqref="B218:G218 K218:V218 I218 AC218:AI218 K219 CA218:CE218 X218 BR218:BY218 AK218:AO218">
    <cfRule type="expression" dxfId="2600" priority="3292" stopIfTrue="1">
      <formula>MOD(ROW(),2)=0</formula>
    </cfRule>
  </conditionalFormatting>
  <conditionalFormatting sqref="V219">
    <cfRule type="expression" dxfId="2599" priority="3271" stopIfTrue="1">
      <formula>MOD(ROW(),2)=1</formula>
    </cfRule>
  </conditionalFormatting>
  <conditionalFormatting sqref="V219">
    <cfRule type="expression" dxfId="2598" priority="3272" stopIfTrue="1">
      <formula>MOD(ROW(),2)=0</formula>
    </cfRule>
  </conditionalFormatting>
  <conditionalFormatting sqref="J218">
    <cfRule type="expression" dxfId="2597" priority="3285" stopIfTrue="1">
      <formula>MOD(ROW(),2)=1</formula>
    </cfRule>
  </conditionalFormatting>
  <conditionalFormatting sqref="J218">
    <cfRule type="expression" dxfId="2596" priority="3286" stopIfTrue="1">
      <formula>MOD(ROW(),2)=0</formula>
    </cfRule>
  </conditionalFormatting>
  <conditionalFormatting sqref="H218">
    <cfRule type="expression" dxfId="2595" priority="3283" stopIfTrue="1">
      <formula>MOD(ROW(),2)=1</formula>
    </cfRule>
  </conditionalFormatting>
  <conditionalFormatting sqref="H218">
    <cfRule type="expression" dxfId="2594" priority="3284" stopIfTrue="1">
      <formula>MOD(ROW(),2)=0</formula>
    </cfRule>
  </conditionalFormatting>
  <conditionalFormatting sqref="D219:G219 L219:U219 I219 X219 AC219:AI219 CA219:CE219 BR219:BY219 AK219:AO219">
    <cfRule type="expression" dxfId="2593" priority="3281" stopIfTrue="1">
      <formula>MOD(ROW(),2)=1</formula>
    </cfRule>
  </conditionalFormatting>
  <conditionalFormatting sqref="D219:G219 L219:U219 I219 X219 AC219:AI219 CA219:CE219 BR219:BY219 AK219:AO219">
    <cfRule type="expression" dxfId="2592" priority="3282" stopIfTrue="1">
      <formula>MOD(ROW(),2)=0</formula>
    </cfRule>
  </conditionalFormatting>
  <conditionalFormatting sqref="J219">
    <cfRule type="expression" dxfId="2591" priority="3275" stopIfTrue="1">
      <formula>MOD(ROW(),2)=1</formula>
    </cfRule>
  </conditionalFormatting>
  <conditionalFormatting sqref="J219">
    <cfRule type="expression" dxfId="2590" priority="3276" stopIfTrue="1">
      <formula>MOD(ROW(),2)=0</formula>
    </cfRule>
  </conditionalFormatting>
  <conditionalFormatting sqref="H219">
    <cfRule type="expression" dxfId="2589" priority="3273" stopIfTrue="1">
      <formula>MOD(ROW(),2)=1</formula>
    </cfRule>
  </conditionalFormatting>
  <conditionalFormatting sqref="H219">
    <cfRule type="expression" dxfId="2588" priority="3274" stopIfTrue="1">
      <formula>MOD(ROW(),2)=0</formula>
    </cfRule>
  </conditionalFormatting>
  <conditionalFormatting sqref="J158">
    <cfRule type="expression" dxfId="2587" priority="3269" stopIfTrue="1">
      <formula>MOD(ROW(),2)=1</formula>
    </cfRule>
  </conditionalFormatting>
  <conditionalFormatting sqref="J158">
    <cfRule type="expression" dxfId="2586" priority="3270" stopIfTrue="1">
      <formula>MOD(ROW(),2)=0</formula>
    </cfRule>
  </conditionalFormatting>
  <conditionalFormatting sqref="K158">
    <cfRule type="expression" dxfId="2585" priority="3267" stopIfTrue="1">
      <formula>MOD(ROW(),2)=1</formula>
    </cfRule>
  </conditionalFormatting>
  <conditionalFormatting sqref="K158">
    <cfRule type="expression" dxfId="2584" priority="3268" stopIfTrue="1">
      <formula>MOD(ROW(),2)=0</formula>
    </cfRule>
  </conditionalFormatting>
  <conditionalFormatting sqref="W220:X220 L220:T220 C220:I220 Z220:AI220 CA220:CE220 BR220:BY220 AK220:AO220">
    <cfRule type="expression" dxfId="2583" priority="3265" stopIfTrue="1">
      <formula>MOD(ROW(),2)=1</formula>
    </cfRule>
  </conditionalFormatting>
  <conditionalFormatting sqref="W220:X220 L220:T220 C220:I220 Z220:AI220 CA220:CE220 BR220:BY220 AK220:AO220">
    <cfRule type="expression" dxfId="2582" priority="3266" stopIfTrue="1">
      <formula>MOD(ROW(),2)=0</formula>
    </cfRule>
  </conditionalFormatting>
  <conditionalFormatting sqref="U220">
    <cfRule type="expression" dxfId="2581" priority="3263" stopIfTrue="1">
      <formula>MOD(ROW(),2)=1</formula>
    </cfRule>
  </conditionalFormatting>
  <conditionalFormatting sqref="U220">
    <cfRule type="expression" dxfId="2580" priority="3264" stopIfTrue="1">
      <formula>MOD(ROW(),2)=0</formula>
    </cfRule>
  </conditionalFormatting>
  <conditionalFormatting sqref="J220">
    <cfRule type="expression" dxfId="2579" priority="3257" stopIfTrue="1">
      <formula>MOD(ROW(),2)=1</formula>
    </cfRule>
  </conditionalFormatting>
  <conditionalFormatting sqref="J220">
    <cfRule type="expression" dxfId="2578" priority="3258" stopIfTrue="1">
      <formula>MOD(ROW(),2)=0</formula>
    </cfRule>
  </conditionalFormatting>
  <conditionalFormatting sqref="K220">
    <cfRule type="expression" dxfId="2577" priority="3255" stopIfTrue="1">
      <formula>MOD(ROW(),2)=1</formula>
    </cfRule>
  </conditionalFormatting>
  <conditionalFormatting sqref="K220">
    <cfRule type="expression" dxfId="2576" priority="3256" stopIfTrue="1">
      <formula>MOD(ROW(),2)=0</formula>
    </cfRule>
  </conditionalFormatting>
  <conditionalFormatting sqref="V220">
    <cfRule type="expression" dxfId="2575" priority="3253" stopIfTrue="1">
      <formula>MOD(ROW(),2)=1</formula>
    </cfRule>
  </conditionalFormatting>
  <conditionalFormatting sqref="V220">
    <cfRule type="expression" dxfId="2574" priority="3254" stopIfTrue="1">
      <formula>MOD(ROW(),2)=0</formula>
    </cfRule>
  </conditionalFormatting>
  <conditionalFormatting sqref="L223">
    <cfRule type="expression" dxfId="2573" priority="3251" stopIfTrue="1">
      <formula>MOD(ROW(),2)=1</formula>
    </cfRule>
  </conditionalFormatting>
  <conditionalFormatting sqref="L223">
    <cfRule type="expression" dxfId="2572" priority="3252" stopIfTrue="1">
      <formula>MOD(ROW(),2)=0</formula>
    </cfRule>
  </conditionalFormatting>
  <conditionalFormatting sqref="J159">
    <cfRule type="expression" dxfId="2571" priority="3227" stopIfTrue="1">
      <formula>MOD(ROW(),2)=1</formula>
    </cfRule>
  </conditionalFormatting>
  <conditionalFormatting sqref="J159">
    <cfRule type="expression" dxfId="2570" priority="3228" stopIfTrue="1">
      <formula>MOD(ROW(),2)=0</formula>
    </cfRule>
  </conditionalFormatting>
  <conditionalFormatting sqref="J223">
    <cfRule type="expression" dxfId="2569" priority="3247" stopIfTrue="1">
      <formula>MOD(ROW(),2)=1</formula>
    </cfRule>
  </conditionalFormatting>
  <conditionalFormatting sqref="J223">
    <cfRule type="expression" dxfId="2568" priority="3248" stopIfTrue="1">
      <formula>MOD(ROW(),2)=0</formula>
    </cfRule>
  </conditionalFormatting>
  <conditionalFormatting sqref="D221:G221 K221 M221:O221 I221 Q221:T221">
    <cfRule type="expression" dxfId="2567" priority="3223" stopIfTrue="1">
      <formula>MOD(ROW(),2)=1</formula>
    </cfRule>
  </conditionalFormatting>
  <conditionalFormatting sqref="D221:G221 K221 M221:O221 I221 Q221:T221">
    <cfRule type="expression" dxfId="2566" priority="3224" stopIfTrue="1">
      <formula>MOD(ROW(),2)=0</formula>
    </cfRule>
  </conditionalFormatting>
  <conditionalFormatting sqref="U221">
    <cfRule type="expression" dxfId="2565" priority="3221" stopIfTrue="1">
      <formula>MOD(ROW(),2)=1</formula>
    </cfRule>
  </conditionalFormatting>
  <conditionalFormatting sqref="U221">
    <cfRule type="expression" dxfId="2564" priority="3222" stopIfTrue="1">
      <formula>MOD(ROW(),2)=0</formula>
    </cfRule>
  </conditionalFormatting>
  <conditionalFormatting sqref="M223:T223">
    <cfRule type="expression" dxfId="2563" priority="3193" stopIfTrue="1">
      <formula>MOD(ROW(),2)=1</formula>
    </cfRule>
  </conditionalFormatting>
  <conditionalFormatting sqref="M223:T223">
    <cfRule type="expression" dxfId="2562" priority="3194" stopIfTrue="1">
      <formula>MOD(ROW(),2)=0</formula>
    </cfRule>
  </conditionalFormatting>
  <conditionalFormatting sqref="J221">
    <cfRule type="expression" dxfId="2561" priority="3217" stopIfTrue="1">
      <formula>MOD(ROW(),2)=1</formula>
    </cfRule>
  </conditionalFormatting>
  <conditionalFormatting sqref="J221">
    <cfRule type="expression" dxfId="2560" priority="3218" stopIfTrue="1">
      <formula>MOD(ROW(),2)=0</formula>
    </cfRule>
  </conditionalFormatting>
  <conditionalFormatting sqref="K223">
    <cfRule type="expression" dxfId="2559" priority="3237" stopIfTrue="1">
      <formula>MOD(ROW(),2)=1</formula>
    </cfRule>
  </conditionalFormatting>
  <conditionalFormatting sqref="K223">
    <cfRule type="expression" dxfId="2558" priority="3238" stopIfTrue="1">
      <formula>MOD(ROW(),2)=0</formula>
    </cfRule>
  </conditionalFormatting>
  <conditionalFormatting sqref="K164">
    <cfRule type="expression" dxfId="2557" priority="3213" stopIfTrue="1">
      <formula>MOD(ROW(),2)=1</formula>
    </cfRule>
  </conditionalFormatting>
  <conditionalFormatting sqref="K164">
    <cfRule type="expression" dxfId="2556" priority="3214" stopIfTrue="1">
      <formula>MOD(ROW(),2)=0</formula>
    </cfRule>
  </conditionalFormatting>
  <conditionalFormatting sqref="W222:X222 L222 B222:F222 H222:J222 N222:T222 Z222:AD222 BR222:CF222">
    <cfRule type="expression" dxfId="2555" priority="3211" stopIfTrue="1">
      <formula>MOD(ROW(),2)=1</formula>
    </cfRule>
  </conditionalFormatting>
  <conditionalFormatting sqref="W222:X222 L222 B222:F222 H222:J222 N222:T222 Z222:AD222 BR222:CF222">
    <cfRule type="expression" dxfId="2554" priority="3212" stopIfTrue="1">
      <formula>MOD(ROW(),2)=0</formula>
    </cfRule>
  </conditionalFormatting>
  <conditionalFormatting sqref="U222">
    <cfRule type="expression" dxfId="2553" priority="3207" stopIfTrue="1">
      <formula>MOD(ROW(),2)=1</formula>
    </cfRule>
  </conditionalFormatting>
  <conditionalFormatting sqref="V222">
    <cfRule type="expression" dxfId="2552" priority="3209" stopIfTrue="1">
      <formula>MOD(ROW(),2)=1</formula>
    </cfRule>
  </conditionalFormatting>
  <conditionalFormatting sqref="V222">
    <cfRule type="expression" dxfId="2551" priority="3210" stopIfTrue="1">
      <formula>MOD(ROW(),2)=0</formula>
    </cfRule>
  </conditionalFormatting>
  <conditionalFormatting sqref="U222">
    <cfRule type="expression" dxfId="2550" priority="3208" stopIfTrue="1">
      <formula>MOD(ROW(),2)=0</formula>
    </cfRule>
  </conditionalFormatting>
  <conditionalFormatting sqref="J160">
    <cfRule type="expression" dxfId="2549" priority="3225" stopIfTrue="1">
      <formula>MOD(ROW(),2)=1</formula>
    </cfRule>
  </conditionalFormatting>
  <conditionalFormatting sqref="J160">
    <cfRule type="expression" dxfId="2548" priority="3226" stopIfTrue="1">
      <formula>MOD(ROW(),2)=0</formula>
    </cfRule>
  </conditionalFormatting>
  <conditionalFormatting sqref="V221">
    <cfRule type="expression" dxfId="2547" priority="3215" stopIfTrue="1">
      <formula>MOD(ROW(),2)=1</formula>
    </cfRule>
  </conditionalFormatting>
  <conditionalFormatting sqref="V221">
    <cfRule type="expression" dxfId="2546" priority="3216" stopIfTrue="1">
      <formula>MOD(ROW(),2)=0</formula>
    </cfRule>
  </conditionalFormatting>
  <conditionalFormatting sqref="K222">
    <cfRule type="expression" dxfId="2545" priority="3203" stopIfTrue="1">
      <formula>MOD(ROW(),2)=1</formula>
    </cfRule>
  </conditionalFormatting>
  <conditionalFormatting sqref="K222">
    <cfRule type="expression" dxfId="2544" priority="3204" stopIfTrue="1">
      <formula>MOD(ROW(),2)=0</formula>
    </cfRule>
  </conditionalFormatting>
  <conditionalFormatting sqref="G222">
    <cfRule type="expression" dxfId="2543" priority="3201" stopIfTrue="1">
      <formula>MOD(ROW(),2)=1</formula>
    </cfRule>
  </conditionalFormatting>
  <conditionalFormatting sqref="G222">
    <cfRule type="expression" dxfId="2542" priority="3202" stopIfTrue="1">
      <formula>MOD(ROW(),2)=0</formula>
    </cfRule>
  </conditionalFormatting>
  <conditionalFormatting sqref="V223">
    <cfRule type="expression" dxfId="2541" priority="3199" stopIfTrue="1">
      <formula>MOD(ROW(),2)=1</formula>
    </cfRule>
  </conditionalFormatting>
  <conditionalFormatting sqref="V223">
    <cfRule type="expression" dxfId="2540" priority="3200" stopIfTrue="1">
      <formula>MOD(ROW(),2)=0</formula>
    </cfRule>
  </conditionalFormatting>
  <conditionalFormatting sqref="U223">
    <cfRule type="expression" dxfId="2539" priority="3197" stopIfTrue="1">
      <formula>MOD(ROW(),2)=1</formula>
    </cfRule>
  </conditionalFormatting>
  <conditionalFormatting sqref="U223">
    <cfRule type="expression" dxfId="2538" priority="3198" stopIfTrue="1">
      <formula>MOD(ROW(),2)=0</formula>
    </cfRule>
  </conditionalFormatting>
  <conditionalFormatting sqref="B223:I223">
    <cfRule type="expression" dxfId="2537" priority="3195" stopIfTrue="1">
      <formula>MOD(ROW(),2)=1</formula>
    </cfRule>
  </conditionalFormatting>
  <conditionalFormatting sqref="B223:I223">
    <cfRule type="expression" dxfId="2536" priority="3196" stopIfTrue="1">
      <formula>MOD(ROW(),2)=0</formula>
    </cfRule>
  </conditionalFormatting>
  <conditionalFormatting sqref="W223:X223 AD223 CA223:CF223 BR223:BY223">
    <cfRule type="expression" dxfId="2535" priority="3191" stopIfTrue="1">
      <formula>MOD(ROW(),2)=1</formula>
    </cfRule>
  </conditionalFormatting>
  <conditionalFormatting sqref="W223:X223 AD223 CA223:CF223 BR223:BY223">
    <cfRule type="expression" dxfId="2534" priority="3192" stopIfTrue="1">
      <formula>MOD(ROW(),2)=0</formula>
    </cfRule>
  </conditionalFormatting>
  <conditionalFormatting sqref="W224:X224 B224 L224:T224 D224:H224 J224 Z224:AC224 CA224:CE224 BR224:BY224">
    <cfRule type="expression" dxfId="2533" priority="3187" stopIfTrue="1">
      <formula>MOD(ROW(),2)=1</formula>
    </cfRule>
  </conditionalFormatting>
  <conditionalFormatting sqref="W224:X224 B224 L224:T224 D224:H224 J224 Z224:AC224 CA224:CE224 BR224:BY224">
    <cfRule type="expression" dxfId="2532" priority="3188" stopIfTrue="1">
      <formula>MOD(ROW(),2)=0</formula>
    </cfRule>
  </conditionalFormatting>
  <conditionalFormatting sqref="U224">
    <cfRule type="expression" dxfId="2531" priority="3183" stopIfTrue="1">
      <formula>MOD(ROW(),2)=1</formula>
    </cfRule>
  </conditionalFormatting>
  <conditionalFormatting sqref="U224">
    <cfRule type="expression" dxfId="2530" priority="3184" stopIfTrue="1">
      <formula>MOD(ROW(),2)=0</formula>
    </cfRule>
  </conditionalFormatting>
  <conditionalFormatting sqref="K170">
    <cfRule type="expression" dxfId="2529" priority="3165" stopIfTrue="1">
      <formula>MOD(ROW(),2)=1</formula>
    </cfRule>
  </conditionalFormatting>
  <conditionalFormatting sqref="K170">
    <cfRule type="expression" dxfId="2528" priority="3166" stopIfTrue="1">
      <formula>MOD(ROW(),2)=0</formula>
    </cfRule>
  </conditionalFormatting>
  <conditionalFormatting sqref="K169">
    <cfRule type="expression" dxfId="2527" priority="3167" stopIfTrue="1">
      <formula>MOD(ROW(),2)=1</formula>
    </cfRule>
  </conditionalFormatting>
  <conditionalFormatting sqref="K169">
    <cfRule type="expression" dxfId="2526" priority="3168" stopIfTrue="1">
      <formula>MOD(ROW(),2)=0</formula>
    </cfRule>
  </conditionalFormatting>
  <conditionalFormatting sqref="V224">
    <cfRule type="expression" dxfId="2525" priority="3177" stopIfTrue="1">
      <formula>MOD(ROW(),2)=1</formula>
    </cfRule>
  </conditionalFormatting>
  <conditionalFormatting sqref="V224">
    <cfRule type="expression" dxfId="2524" priority="3178" stopIfTrue="1">
      <formula>MOD(ROW(),2)=0</formula>
    </cfRule>
  </conditionalFormatting>
  <conditionalFormatting sqref="K166:L166">
    <cfRule type="expression" dxfId="2523" priority="3175" stopIfTrue="1">
      <formula>MOD(ROW(),2)=1</formula>
    </cfRule>
  </conditionalFormatting>
  <conditionalFormatting sqref="K166:L166">
    <cfRule type="expression" dxfId="2522" priority="3176" stopIfTrue="1">
      <formula>MOD(ROW(),2)=0</formula>
    </cfRule>
  </conditionalFormatting>
  <conditionalFormatting sqref="V226">
    <cfRule type="expression" dxfId="2521" priority="3133" stopIfTrue="1">
      <formula>MOD(ROW(),2)=1</formula>
    </cfRule>
  </conditionalFormatting>
  <conditionalFormatting sqref="V226">
    <cfRule type="expression" dxfId="2520" priority="3134" stopIfTrue="1">
      <formula>MOD(ROW(),2)=0</formula>
    </cfRule>
  </conditionalFormatting>
  <conditionalFormatting sqref="K167">
    <cfRule type="expression" dxfId="2519" priority="3171" stopIfTrue="1">
      <formula>MOD(ROW(),2)=1</formula>
    </cfRule>
  </conditionalFormatting>
  <conditionalFormatting sqref="K167">
    <cfRule type="expression" dxfId="2518" priority="3172" stopIfTrue="1">
      <formula>MOD(ROW(),2)=0</formula>
    </cfRule>
  </conditionalFormatting>
  <conditionalFormatting sqref="P227">
    <cfRule type="expression" dxfId="2517" priority="3125" stopIfTrue="1">
      <formula>MOD(ROW(),2)=1</formula>
    </cfRule>
  </conditionalFormatting>
  <conditionalFormatting sqref="P227">
    <cfRule type="expression" dxfId="2516" priority="3126" stopIfTrue="1">
      <formula>MOD(ROW(),2)=0</formula>
    </cfRule>
  </conditionalFormatting>
  <conditionalFormatting sqref="L225:N225 C225:G225 I225:J225 Q225:T225">
    <cfRule type="expression" dxfId="2515" priority="3163" stopIfTrue="1">
      <formula>MOD(ROW(),2)=1</formula>
    </cfRule>
  </conditionalFormatting>
  <conditionalFormatting sqref="L225:N225 C225:G225 I225:J225 Q225:T225">
    <cfRule type="expression" dxfId="2514" priority="3164" stopIfTrue="1">
      <formula>MOD(ROW(),2)=0</formula>
    </cfRule>
  </conditionalFormatting>
  <conditionalFormatting sqref="U225">
    <cfRule type="expression" dxfId="2513" priority="3159" stopIfTrue="1">
      <formula>MOD(ROW(),2)=1</formula>
    </cfRule>
  </conditionalFormatting>
  <conditionalFormatting sqref="U225">
    <cfRule type="expression" dxfId="2512" priority="3160" stopIfTrue="1">
      <formula>MOD(ROW(),2)=0</formula>
    </cfRule>
  </conditionalFormatting>
  <conditionalFormatting sqref="U226">
    <cfRule type="expression" dxfId="2511" priority="3135" stopIfTrue="1">
      <formula>MOD(ROW(),2)=1</formula>
    </cfRule>
  </conditionalFormatting>
  <conditionalFormatting sqref="U226">
    <cfRule type="expression" dxfId="2510" priority="3136" stopIfTrue="1">
      <formula>MOD(ROW(),2)=0</formula>
    </cfRule>
  </conditionalFormatting>
  <conditionalFormatting sqref="K225">
    <cfRule type="expression" dxfId="2509" priority="3155" stopIfTrue="1">
      <formula>MOD(ROW(),2)=1</formula>
    </cfRule>
  </conditionalFormatting>
  <conditionalFormatting sqref="K225">
    <cfRule type="expression" dxfId="2508" priority="3156" stopIfTrue="1">
      <formula>MOD(ROW(),2)=0</formula>
    </cfRule>
  </conditionalFormatting>
  <conditionalFormatting sqref="V225">
    <cfRule type="expression" dxfId="2507" priority="3153" stopIfTrue="1">
      <formula>MOD(ROW(),2)=1</formula>
    </cfRule>
  </conditionalFormatting>
  <conditionalFormatting sqref="V225">
    <cfRule type="expression" dxfId="2506" priority="3154" stopIfTrue="1">
      <formula>MOD(ROW(),2)=0</formula>
    </cfRule>
  </conditionalFormatting>
  <conditionalFormatting sqref="Q226:T226 W226:X227 B226:I226 K226:O226 B227:C227 CA226:CE227 BR226:BY227 AK226:AO226 Z226:AD227">
    <cfRule type="expression" dxfId="2505" priority="3151" stopIfTrue="1">
      <formula>MOD(ROW(),2)=1</formula>
    </cfRule>
  </conditionalFormatting>
  <conditionalFormatting sqref="Q226:T226 W226:X227 B226:I226 K226:O226 B227:C227 CA226:CE227 BR226:BY227 AK226:AO226 Z226:AD227">
    <cfRule type="expression" dxfId="2504" priority="3152" stopIfTrue="1">
      <formula>MOD(ROW(),2)=0</formula>
    </cfRule>
  </conditionalFormatting>
  <conditionalFormatting sqref="J226">
    <cfRule type="expression" dxfId="2503" priority="3137" stopIfTrue="1">
      <formula>MOD(ROW(),2)=1</formula>
    </cfRule>
  </conditionalFormatting>
  <conditionalFormatting sqref="J226">
    <cfRule type="expression" dxfId="2502" priority="3138" stopIfTrue="1">
      <formula>MOD(ROW(),2)=0</formula>
    </cfRule>
  </conditionalFormatting>
  <conditionalFormatting sqref="Q227:T227 D227:O227">
    <cfRule type="expression" dxfId="2501" priority="3131" stopIfTrue="1">
      <formula>MOD(ROW(),2)=1</formula>
    </cfRule>
  </conditionalFormatting>
  <conditionalFormatting sqref="Q227:T227 D227:O227">
    <cfRule type="expression" dxfId="2500" priority="3132" stopIfTrue="1">
      <formula>MOD(ROW(),2)=0</formula>
    </cfRule>
  </conditionalFormatting>
  <conditionalFormatting sqref="P226">
    <cfRule type="expression" dxfId="2499" priority="3145" stopIfTrue="1">
      <formula>MOD(ROW(),2)=1</formula>
    </cfRule>
  </conditionalFormatting>
  <conditionalFormatting sqref="P226">
    <cfRule type="expression" dxfId="2498" priority="3146" stopIfTrue="1">
      <formula>MOD(ROW(),2)=0</formula>
    </cfRule>
  </conditionalFormatting>
  <conditionalFormatting sqref="V227">
    <cfRule type="expression" dxfId="2497" priority="3121" stopIfTrue="1">
      <formula>MOD(ROW(),2)=1</formula>
    </cfRule>
  </conditionalFormatting>
  <conditionalFormatting sqref="U241 U243:U247 U249:U252 U254:U257 U259:U274">
    <cfRule type="expression" dxfId="2496" priority="3111" stopIfTrue="1">
      <formula>MOD(ROW(),2)=1</formula>
    </cfRule>
  </conditionalFormatting>
  <conditionalFormatting sqref="U241 U243:U247 U249:U252 U254:U257 U259:U274">
    <cfRule type="expression" dxfId="2495" priority="3112" stopIfTrue="1">
      <formula>MOD(ROW(),2)=0</formula>
    </cfRule>
  </conditionalFormatting>
  <conditionalFormatting sqref="V243:V252 V255:V274">
    <cfRule type="expression" dxfId="2494" priority="3109" stopIfTrue="1">
      <formula>MOD(ROW(),2)=1</formula>
    </cfRule>
  </conditionalFormatting>
  <conditionalFormatting sqref="V243:V252 V255:V274">
    <cfRule type="expression" dxfId="2493" priority="3110" stopIfTrue="1">
      <formula>MOD(ROW(),2)=0</formula>
    </cfRule>
  </conditionalFormatting>
  <conditionalFormatting sqref="W240:X241 B241:C241 Z240:AC240 Z241:AD241 B243:C243 X243:X244 B245:C247 B249:C251 W245:X252 B254:C257 Z245:AC252 Z254:AC254 W254:X254 BS255:BT256 CA255:CB255 BW255:BY255 BW256:CB256 CD255:CD256 W256:X274 X255 Z257:AC257 B259:C259 C258 CF258 B266:C274 B261:C264 Z267:AI267 Z262:AC265 CA243:CE243 CA244:CD244 CA259:CF260 BR259:BY260 BR258:CD258 BR257:CF257 BR261:CF274 BR254:CE254 BR251:CF252 BR245:CF249 BR250:CE250 BR243:BY244 BR240:CE241 Z269:AI274 Z268:AC268 Z258:AD261 Z266:AD266">
    <cfRule type="expression" dxfId="2492" priority="3119" stopIfTrue="1">
      <formula>MOD(ROW(),2)=1</formula>
    </cfRule>
  </conditionalFormatting>
  <conditionalFormatting sqref="W240:X241 B241:C241 Z240:AC240 Z241:AD241 B243:C243 X243:X244 B245:C247 B249:C251 W245:X252 B254:C257 Z245:AC252 Z254:AC254 W254:X254 BS255:BT256 CA255:CB255 BW255:BY255 BW256:CB256 CD255:CD256 W256:X274 X255 Z257:AC257 B259:C259 C258 CF258 B266:C274 B261:C264 Z267:AI267 Z262:AC265 CA243:CE243 CA244:CD244 CA259:CF260 BR259:BY260 BR258:CD258 BR257:CF257 BR261:CF274 BR254:CE254 BR251:CF252 BR245:CF249 BR250:CE250 BR243:BY244 BR240:CE241 Z269:AI274 Z268:AC268 Z258:AD261 Z266:AD266">
    <cfRule type="expression" dxfId="2491" priority="3120" stopIfTrue="1">
      <formula>MOD(ROW(),2)=0</formula>
    </cfRule>
  </conditionalFormatting>
  <conditionalFormatting sqref="U227">
    <cfRule type="expression" dxfId="2490" priority="3123" stopIfTrue="1">
      <formula>MOD(ROW(),2)=1</formula>
    </cfRule>
  </conditionalFormatting>
  <conditionalFormatting sqref="U227">
    <cfRule type="expression" dxfId="2489" priority="3124" stopIfTrue="1">
      <formula>MOD(ROW(),2)=0</formula>
    </cfRule>
  </conditionalFormatting>
  <conditionalFormatting sqref="V227">
    <cfRule type="expression" dxfId="2488" priority="3122" stopIfTrue="1">
      <formula>MOD(ROW(),2)=0</formula>
    </cfRule>
  </conditionalFormatting>
  <conditionalFormatting sqref="U179">
    <cfRule type="expression" dxfId="2487" priority="3103" stopIfTrue="1">
      <formula>MOD(ROW(),2)=1</formula>
    </cfRule>
  </conditionalFormatting>
  <conditionalFormatting sqref="U179">
    <cfRule type="expression" dxfId="2486" priority="3104" stopIfTrue="1">
      <formula>MOD(ROW(),2)=0</formula>
    </cfRule>
  </conditionalFormatting>
  <conditionalFormatting sqref="Q240:T241 D241:J241 E240 G240:J240 N239 L240:O240 D243:H243 Q245:T247 N241:O241 J243 M243 L244:M244 S243:T244 D245:O246 D249:O251 Q249:T252 E248:J248 Q248:S248 D247:J247 L247:O248 F252:O252 E244:J244 Q254:T254 L241 D254:O254 D257:O259 D255:F256 Q257:T274 E260:O260 H255:J256 L255:O256 D261:I264 L261:O264">
    <cfRule type="expression" dxfId="2485" priority="3115" stopIfTrue="1">
      <formula>MOD(ROW(),2)=1</formula>
    </cfRule>
  </conditionalFormatting>
  <conditionalFormatting sqref="Q240:T241 D241:J241 E240 G240:J240 N239 L240:O240 D243:H243 Q245:T247 N241:O241 J243 M243 L244:M244 S243:T244 D245:O246 D249:O251 Q249:T252 E248:J248 Q248:S248 D247:J247 L247:O248 F252:O252 E244:J244 Q254:T254 L241 D254:O254 D257:O259 D255:F256 Q257:T274 E260:O260 H255:J256 L255:O256 D261:I264 L261:O264">
    <cfRule type="expression" dxfId="2484" priority="3116" stopIfTrue="1">
      <formula>MOD(ROW(),2)=0</formula>
    </cfRule>
  </conditionalFormatting>
  <conditionalFormatting sqref="C228:H228 W228:X228 L228 J228 Z228:AD228 CA228:CE228 BR228:BY228">
    <cfRule type="expression" dxfId="2483" priority="3101" stopIfTrue="1">
      <formula>MOD(ROW(),2)=1</formula>
    </cfRule>
  </conditionalFormatting>
  <conditionalFormatting sqref="C228:H228 W228:X228 L228 J228 Z228:AD228 CA228:CE228 BR228:BY228">
    <cfRule type="expression" dxfId="2482" priority="3102" stopIfTrue="1">
      <formula>MOD(ROW(),2)=0</formula>
    </cfRule>
  </conditionalFormatting>
  <conditionalFormatting sqref="P241 P243:P252 P254:P264">
    <cfRule type="expression" dxfId="2481" priority="3113" stopIfTrue="1">
      <formula>MOD(ROW(),2)=1</formula>
    </cfRule>
  </conditionalFormatting>
  <conditionalFormatting sqref="P241 P243:P252 P254:P264">
    <cfRule type="expression" dxfId="2480" priority="3114" stopIfTrue="1">
      <formula>MOD(ROW(),2)=0</formula>
    </cfRule>
  </conditionalFormatting>
  <conditionalFormatting sqref="K179">
    <cfRule type="expression" dxfId="2479" priority="3107" stopIfTrue="1">
      <formula>MOD(ROW(),2)=1</formula>
    </cfRule>
  </conditionalFormatting>
  <conditionalFormatting sqref="K179">
    <cfRule type="expression" dxfId="2478" priority="3108" stopIfTrue="1">
      <formula>MOD(ROW(),2)=0</formula>
    </cfRule>
  </conditionalFormatting>
  <conditionalFormatting sqref="V179">
    <cfRule type="expression" dxfId="2477" priority="3105" stopIfTrue="1">
      <formula>MOD(ROW(),2)=1</formula>
    </cfRule>
  </conditionalFormatting>
  <conditionalFormatting sqref="V179">
    <cfRule type="expression" dxfId="2476" priority="3106" stopIfTrue="1">
      <formula>MOD(ROW(),2)=0</formula>
    </cfRule>
  </conditionalFormatting>
  <conditionalFormatting sqref="M228:O228 Q228:T228">
    <cfRule type="expression" dxfId="2475" priority="3099" stopIfTrue="1">
      <formula>MOD(ROW(),2)=1</formula>
    </cfRule>
  </conditionalFormatting>
  <conditionalFormatting sqref="M228:O228 Q228:T228">
    <cfRule type="expression" dxfId="2474" priority="3100" stopIfTrue="1">
      <formula>MOD(ROW(),2)=0</formula>
    </cfRule>
  </conditionalFormatting>
  <conditionalFormatting sqref="P228">
    <cfRule type="expression" dxfId="2473" priority="3097" stopIfTrue="1">
      <formula>MOD(ROW(),2)=1</formula>
    </cfRule>
  </conditionalFormatting>
  <conditionalFormatting sqref="P228">
    <cfRule type="expression" dxfId="2472" priority="3098" stopIfTrue="1">
      <formula>MOD(ROW(),2)=0</formula>
    </cfRule>
  </conditionalFormatting>
  <conditionalFormatting sqref="B228">
    <cfRule type="expression" dxfId="2471" priority="3095" stopIfTrue="1">
      <formula>MOD(ROW(),2)=1</formula>
    </cfRule>
  </conditionalFormatting>
  <conditionalFormatting sqref="B228">
    <cfRule type="expression" dxfId="2470" priority="3096" stopIfTrue="1">
      <formula>MOD(ROW(),2)=0</formula>
    </cfRule>
  </conditionalFormatting>
  <conditionalFormatting sqref="M229:O229 Q229:T229">
    <cfRule type="expression" dxfId="2469" priority="3077" stopIfTrue="1">
      <formula>MOD(ROW(),2)=1</formula>
    </cfRule>
  </conditionalFormatting>
  <conditionalFormatting sqref="M229:O229 Q229:T229">
    <cfRule type="expression" dxfId="2468" priority="3078" stopIfTrue="1">
      <formula>MOD(ROW(),2)=0</formula>
    </cfRule>
  </conditionalFormatting>
  <conditionalFormatting sqref="K228">
    <cfRule type="expression" dxfId="2467" priority="3091" stopIfTrue="1">
      <formula>MOD(ROW(),2)=1</formula>
    </cfRule>
  </conditionalFormatting>
  <conditionalFormatting sqref="K228">
    <cfRule type="expression" dxfId="2466" priority="3092" stopIfTrue="1">
      <formula>MOD(ROW(),2)=0</formula>
    </cfRule>
  </conditionalFormatting>
  <conditionalFormatting sqref="V228">
    <cfRule type="expression" dxfId="2465" priority="3083" stopIfTrue="1">
      <formula>MOD(ROW(),2)=1</formula>
    </cfRule>
  </conditionalFormatting>
  <conditionalFormatting sqref="U228">
    <cfRule type="expression" dxfId="2464" priority="3085" stopIfTrue="1">
      <formula>MOD(ROW(),2)=1</formula>
    </cfRule>
  </conditionalFormatting>
  <conditionalFormatting sqref="U228">
    <cfRule type="expression" dxfId="2463" priority="3086" stopIfTrue="1">
      <formula>MOD(ROW(),2)=0</formula>
    </cfRule>
  </conditionalFormatting>
  <conditionalFormatting sqref="V228">
    <cfRule type="expression" dxfId="2462" priority="3084" stopIfTrue="1">
      <formula>MOD(ROW(),2)=0</formula>
    </cfRule>
  </conditionalFormatting>
  <conditionalFormatting sqref="D229:H229 J229">
    <cfRule type="expression" dxfId="2461" priority="3081" stopIfTrue="1">
      <formula>MOD(ROW(),2)=1</formula>
    </cfRule>
  </conditionalFormatting>
  <conditionalFormatting sqref="D229:H229 J229">
    <cfRule type="expression" dxfId="2460" priority="3082" stopIfTrue="1">
      <formula>MOD(ROW(),2)=0</formula>
    </cfRule>
  </conditionalFormatting>
  <conditionalFormatting sqref="W229:X229 Z229:AD229 CA229:CE229 BR229:BY229">
    <cfRule type="expression" dxfId="2459" priority="3079" stopIfTrue="1">
      <formula>MOD(ROW(),2)=1</formula>
    </cfRule>
  </conditionalFormatting>
  <conditionalFormatting sqref="W229:X229 Z229:AD229 CA229:CE229 BR229:BY229">
    <cfRule type="expression" dxfId="2458" priority="3080" stopIfTrue="1">
      <formula>MOD(ROW(),2)=0</formula>
    </cfRule>
  </conditionalFormatting>
  <conditionalFormatting sqref="P229">
    <cfRule type="expression" dxfId="2457" priority="3073" stopIfTrue="1">
      <formula>MOD(ROW(),2)=1</formula>
    </cfRule>
  </conditionalFormatting>
  <conditionalFormatting sqref="P229">
    <cfRule type="expression" dxfId="2456" priority="3074" stopIfTrue="1">
      <formula>MOD(ROW(),2)=0</formula>
    </cfRule>
  </conditionalFormatting>
  <conditionalFormatting sqref="B229">
    <cfRule type="expression" dxfId="2455" priority="3069" stopIfTrue="1">
      <formula>MOD(ROW(),2)=1</formula>
    </cfRule>
  </conditionalFormatting>
  <conditionalFormatting sqref="B229">
    <cfRule type="expression" dxfId="2454" priority="3070" stopIfTrue="1">
      <formula>MOD(ROW(),2)=0</formula>
    </cfRule>
  </conditionalFormatting>
  <conditionalFormatting sqref="K180">
    <cfRule type="expression" dxfId="2453" priority="3051" stopIfTrue="1">
      <formula>MOD(ROW(),2)=1</formula>
    </cfRule>
  </conditionalFormatting>
  <conditionalFormatting sqref="K180">
    <cfRule type="expression" dxfId="2452" priority="3052" stopIfTrue="1">
      <formula>MOD(ROW(),2)=0</formula>
    </cfRule>
  </conditionalFormatting>
  <conditionalFormatting sqref="W231:X231">
    <cfRule type="expression" dxfId="2451" priority="3019" stopIfTrue="1">
      <formula>MOD(ROW(),2)=1</formula>
    </cfRule>
  </conditionalFormatting>
  <conditionalFormatting sqref="W231:X231">
    <cfRule type="expression" dxfId="2450" priority="3020" stopIfTrue="1">
      <formula>MOD(ROW(),2)=0</formula>
    </cfRule>
  </conditionalFormatting>
  <conditionalFormatting sqref="V229">
    <cfRule type="expression" dxfId="2449" priority="3061" stopIfTrue="1">
      <formula>MOD(ROW(),2)=1</formula>
    </cfRule>
  </conditionalFormatting>
  <conditionalFormatting sqref="U229">
    <cfRule type="expression" dxfId="2448" priority="3063" stopIfTrue="1">
      <formula>MOD(ROW(),2)=1</formula>
    </cfRule>
  </conditionalFormatting>
  <conditionalFormatting sqref="U229">
    <cfRule type="expression" dxfId="2447" priority="3064" stopIfTrue="1">
      <formula>MOD(ROW(),2)=0</formula>
    </cfRule>
  </conditionalFormatting>
  <conditionalFormatting sqref="V229">
    <cfRule type="expression" dxfId="2446" priority="3062" stopIfTrue="1">
      <formula>MOD(ROW(),2)=0</formula>
    </cfRule>
  </conditionalFormatting>
  <conditionalFormatting sqref="L229">
    <cfRule type="expression" dxfId="2445" priority="3059" stopIfTrue="1">
      <formula>MOD(ROW(),2)=1</formula>
    </cfRule>
  </conditionalFormatting>
  <conditionalFormatting sqref="L229">
    <cfRule type="expression" dxfId="2444" priority="3060" stopIfTrue="1">
      <formula>MOD(ROW(),2)=0</formula>
    </cfRule>
  </conditionalFormatting>
  <conditionalFormatting sqref="K229">
    <cfRule type="expression" dxfId="2443" priority="3057" stopIfTrue="1">
      <formula>MOD(ROW(),2)=1</formula>
    </cfRule>
  </conditionalFormatting>
  <conditionalFormatting sqref="K229">
    <cfRule type="expression" dxfId="2442" priority="3058" stopIfTrue="1">
      <formula>MOD(ROW(),2)=0</formula>
    </cfRule>
  </conditionalFormatting>
  <conditionalFormatting sqref="I180:J180">
    <cfRule type="expression" dxfId="2441" priority="3055" stopIfTrue="1">
      <formula>MOD(ROW(),2)=1</formula>
    </cfRule>
  </conditionalFormatting>
  <conditionalFormatting sqref="I180:J180">
    <cfRule type="expression" dxfId="2440" priority="3056" stopIfTrue="1">
      <formula>MOD(ROW(),2)=0</formula>
    </cfRule>
  </conditionalFormatting>
  <conditionalFormatting sqref="L180">
    <cfRule type="expression" dxfId="2439" priority="3053" stopIfTrue="1">
      <formula>MOD(ROW(),2)=1</formula>
    </cfRule>
  </conditionalFormatting>
  <conditionalFormatting sqref="L180">
    <cfRule type="expression" dxfId="2438" priority="3054" stopIfTrue="1">
      <formula>MOD(ROW(),2)=0</formula>
    </cfRule>
  </conditionalFormatting>
  <conditionalFormatting sqref="V180">
    <cfRule type="expression" dxfId="2437" priority="3049" stopIfTrue="1">
      <formula>MOD(ROW(),2)=1</formula>
    </cfRule>
  </conditionalFormatting>
  <conditionalFormatting sqref="V180">
    <cfRule type="expression" dxfId="2436" priority="3050" stopIfTrue="1">
      <formula>MOD(ROW(),2)=0</formula>
    </cfRule>
  </conditionalFormatting>
  <conditionalFormatting sqref="U180">
    <cfRule type="expression" dxfId="2435" priority="3047" stopIfTrue="1">
      <formula>MOD(ROW(),2)=1</formula>
    </cfRule>
  </conditionalFormatting>
  <conditionalFormatting sqref="U180">
    <cfRule type="expression" dxfId="2434" priority="3048" stopIfTrue="1">
      <formula>MOD(ROW(),2)=0</formula>
    </cfRule>
  </conditionalFormatting>
  <conditionalFormatting sqref="L230:L231">
    <cfRule type="expression" dxfId="2433" priority="3045" stopIfTrue="1">
      <formula>MOD(ROW(),2)=1</formula>
    </cfRule>
  </conditionalFormatting>
  <conditionalFormatting sqref="L230:L231">
    <cfRule type="expression" dxfId="2432" priority="3046" stopIfTrue="1">
      <formula>MOD(ROW(),2)=0</formula>
    </cfRule>
  </conditionalFormatting>
  <conditionalFormatting sqref="AD230 CA230:CF230 BR230:BY230">
    <cfRule type="expression" dxfId="2431" priority="3043" stopIfTrue="1">
      <formula>MOD(ROW(),2)=1</formula>
    </cfRule>
  </conditionalFormatting>
  <conditionalFormatting sqref="AD230 CA230:CF230 BR230:BY230">
    <cfRule type="expression" dxfId="2430" priority="3044" stopIfTrue="1">
      <formula>MOD(ROW(),2)=0</formula>
    </cfRule>
  </conditionalFormatting>
  <conditionalFormatting sqref="M230:O230 H230:J230">
    <cfRule type="expression" dxfId="2429" priority="3041" stopIfTrue="1">
      <formula>MOD(ROW(),2)=1</formula>
    </cfRule>
  </conditionalFormatting>
  <conditionalFormatting sqref="M230:O230 H230:J230">
    <cfRule type="expression" dxfId="2428" priority="3042" stopIfTrue="1">
      <formula>MOD(ROW(),2)=0</formula>
    </cfRule>
  </conditionalFormatting>
  <conditionalFormatting sqref="P230">
    <cfRule type="expression" dxfId="2427" priority="3039" stopIfTrue="1">
      <formula>MOD(ROW(),2)=1</formula>
    </cfRule>
  </conditionalFormatting>
  <conditionalFormatting sqref="P230">
    <cfRule type="expression" dxfId="2426" priority="3040" stopIfTrue="1">
      <formula>MOD(ROW(),2)=0</formula>
    </cfRule>
  </conditionalFormatting>
  <conditionalFormatting sqref="C230:G230">
    <cfRule type="expression" dxfId="2425" priority="3037" stopIfTrue="1">
      <formula>MOD(ROW(),2)=1</formula>
    </cfRule>
  </conditionalFormatting>
  <conditionalFormatting sqref="C230:G230">
    <cfRule type="expression" dxfId="2424" priority="3038" stopIfTrue="1">
      <formula>MOD(ROW(),2)=0</formula>
    </cfRule>
  </conditionalFormatting>
  <conditionalFormatting sqref="K230:K231">
    <cfRule type="expression" dxfId="2423" priority="3035" stopIfTrue="1">
      <formula>MOD(ROW(),2)=1</formula>
    </cfRule>
  </conditionalFormatting>
  <conditionalFormatting sqref="K230:K231">
    <cfRule type="expression" dxfId="2422" priority="3036" stopIfTrue="1">
      <formula>MOD(ROW(),2)=0</formula>
    </cfRule>
  </conditionalFormatting>
  <conditionalFormatting sqref="W230:X230">
    <cfRule type="expression" dxfId="2421" priority="3033" stopIfTrue="1">
      <formula>MOD(ROW(),2)=1</formula>
    </cfRule>
  </conditionalFormatting>
  <conditionalFormatting sqref="W230:X230">
    <cfRule type="expression" dxfId="2420" priority="3034" stopIfTrue="1">
      <formula>MOD(ROW(),2)=0</formula>
    </cfRule>
  </conditionalFormatting>
  <conditionalFormatting sqref="Q230:T230">
    <cfRule type="expression" dxfId="2419" priority="3031" stopIfTrue="1">
      <formula>MOD(ROW(),2)=1</formula>
    </cfRule>
  </conditionalFormatting>
  <conditionalFormatting sqref="Q230:T230">
    <cfRule type="expression" dxfId="2418" priority="3032" stopIfTrue="1">
      <formula>MOD(ROW(),2)=0</formula>
    </cfRule>
  </conditionalFormatting>
  <conditionalFormatting sqref="B230">
    <cfRule type="expression" dxfId="2417" priority="3029" stopIfTrue="1">
      <formula>MOD(ROW(),2)=1</formula>
    </cfRule>
  </conditionalFormatting>
  <conditionalFormatting sqref="B230">
    <cfRule type="expression" dxfId="2416" priority="3030" stopIfTrue="1">
      <formula>MOD(ROW(),2)=0</formula>
    </cfRule>
  </conditionalFormatting>
  <conditionalFormatting sqref="Q231:T231">
    <cfRule type="expression" dxfId="2415" priority="3017" stopIfTrue="1">
      <formula>MOD(ROW(),2)=1</formula>
    </cfRule>
  </conditionalFormatting>
  <conditionalFormatting sqref="Q231:T231">
    <cfRule type="expression" dxfId="2414" priority="3018" stopIfTrue="1">
      <formula>MOD(ROW(),2)=0</formula>
    </cfRule>
  </conditionalFormatting>
  <conditionalFormatting sqref="AD231 CA231:CF231 BR231:BY231">
    <cfRule type="expression" dxfId="2413" priority="3027" stopIfTrue="1">
      <formula>MOD(ROW(),2)=1</formula>
    </cfRule>
  </conditionalFormatting>
  <conditionalFormatting sqref="AD231 CA231:CF231 BR231:BY231">
    <cfRule type="expression" dxfId="2412" priority="3028" stopIfTrue="1">
      <formula>MOD(ROW(),2)=0</formula>
    </cfRule>
  </conditionalFormatting>
  <conditionalFormatting sqref="M231:O231 H231 J231">
    <cfRule type="expression" dxfId="2411" priority="3025" stopIfTrue="1">
      <formula>MOD(ROW(),2)=1</formula>
    </cfRule>
  </conditionalFormatting>
  <conditionalFormatting sqref="M231:O231 H231 J231">
    <cfRule type="expression" dxfId="2410" priority="3026" stopIfTrue="1">
      <formula>MOD(ROW(),2)=0</formula>
    </cfRule>
  </conditionalFormatting>
  <conditionalFormatting sqref="P231">
    <cfRule type="expression" dxfId="2409" priority="3023" stopIfTrue="1">
      <formula>MOD(ROW(),2)=1</formula>
    </cfRule>
  </conditionalFormatting>
  <conditionalFormatting sqref="P231">
    <cfRule type="expression" dxfId="2408" priority="3024" stopIfTrue="1">
      <formula>MOD(ROW(),2)=0</formula>
    </cfRule>
  </conditionalFormatting>
  <conditionalFormatting sqref="D231:G231">
    <cfRule type="expression" dxfId="2407" priority="3021" stopIfTrue="1">
      <formula>MOD(ROW(),2)=1</formula>
    </cfRule>
  </conditionalFormatting>
  <conditionalFormatting sqref="D231:G231">
    <cfRule type="expression" dxfId="2406" priority="3022" stopIfTrue="1">
      <formula>MOD(ROW(),2)=0</formula>
    </cfRule>
  </conditionalFormatting>
  <conditionalFormatting sqref="V230">
    <cfRule type="expression" dxfId="2405" priority="3011" stopIfTrue="1">
      <formula>MOD(ROW(),2)=1</formula>
    </cfRule>
  </conditionalFormatting>
  <conditionalFormatting sqref="V230">
    <cfRule type="expression" dxfId="2404" priority="3012" stopIfTrue="1">
      <formula>MOD(ROW(),2)=0</formula>
    </cfRule>
  </conditionalFormatting>
  <conditionalFormatting sqref="B231">
    <cfRule type="expression" dxfId="2403" priority="3015" stopIfTrue="1">
      <formula>MOD(ROW(),2)=1</formula>
    </cfRule>
  </conditionalFormatting>
  <conditionalFormatting sqref="B231">
    <cfRule type="expression" dxfId="2402" priority="3016" stopIfTrue="1">
      <formula>MOD(ROW(),2)=0</formula>
    </cfRule>
  </conditionalFormatting>
  <conditionalFormatting sqref="I231">
    <cfRule type="expression" dxfId="2401" priority="3013" stopIfTrue="1">
      <formula>MOD(ROW(),2)=1</formula>
    </cfRule>
  </conditionalFormatting>
  <conditionalFormatting sqref="I231">
    <cfRule type="expression" dxfId="2400" priority="3014" stopIfTrue="1">
      <formula>MOD(ROW(),2)=0</formula>
    </cfRule>
  </conditionalFormatting>
  <conditionalFormatting sqref="U183">
    <cfRule type="expression" dxfId="2399" priority="2995" stopIfTrue="1">
      <formula>MOD(ROW(),2)=1</formula>
    </cfRule>
  </conditionalFormatting>
  <conditionalFormatting sqref="U183">
    <cfRule type="expression" dxfId="2398" priority="2996" stopIfTrue="1">
      <formula>MOD(ROW(),2)=0</formula>
    </cfRule>
  </conditionalFormatting>
  <conditionalFormatting sqref="U233">
    <cfRule type="expression" dxfId="2397" priority="2907" stopIfTrue="1">
      <formula>MOD(ROW(),2)=1</formula>
    </cfRule>
  </conditionalFormatting>
  <conditionalFormatting sqref="U233">
    <cfRule type="expression" dxfId="2396" priority="2908" stopIfTrue="1">
      <formula>MOD(ROW(),2)=0</formula>
    </cfRule>
  </conditionalFormatting>
  <conditionalFormatting sqref="V231">
    <cfRule type="expression" dxfId="2395" priority="3007" stopIfTrue="1">
      <formula>MOD(ROW(),2)=1</formula>
    </cfRule>
  </conditionalFormatting>
  <conditionalFormatting sqref="V231">
    <cfRule type="expression" dxfId="2394" priority="3008" stopIfTrue="1">
      <formula>MOD(ROW(),2)=0</formula>
    </cfRule>
  </conditionalFormatting>
  <conditionalFormatting sqref="N232">
    <cfRule type="expression" dxfId="2393" priority="2905" stopIfTrue="1">
      <formula>MOD(ROW(),2)=1</formula>
    </cfRule>
  </conditionalFormatting>
  <conditionalFormatting sqref="N232">
    <cfRule type="expression" dxfId="2392" priority="2906" stopIfTrue="1">
      <formula>MOD(ROW(),2)=0</formula>
    </cfRule>
  </conditionalFormatting>
  <conditionalFormatting sqref="U231">
    <cfRule type="expression" dxfId="2391" priority="2987" stopIfTrue="1">
      <formula>MOD(ROW(),2)=1</formula>
    </cfRule>
  </conditionalFormatting>
  <conditionalFormatting sqref="U231">
    <cfRule type="expression" dxfId="2390" priority="2988" stopIfTrue="1">
      <formula>MOD(ROW(),2)=0</formula>
    </cfRule>
  </conditionalFormatting>
  <conditionalFormatting sqref="G184">
    <cfRule type="expression" dxfId="2389" priority="3001" stopIfTrue="1">
      <formula>MOD(ROW(),2)=1</formula>
    </cfRule>
  </conditionalFormatting>
  <conditionalFormatting sqref="G184">
    <cfRule type="expression" dxfId="2388" priority="3002" stopIfTrue="1">
      <formula>MOD(ROW(),2)=0</formula>
    </cfRule>
  </conditionalFormatting>
  <conditionalFormatting sqref="C184">
    <cfRule type="expression" dxfId="2387" priority="2999" stopIfTrue="1">
      <formula>MOD(ROW(),2)=1</formula>
    </cfRule>
  </conditionalFormatting>
  <conditionalFormatting sqref="C184">
    <cfRule type="expression" dxfId="2386" priority="3000" stopIfTrue="1">
      <formula>MOD(ROW(),2)=0</formula>
    </cfRule>
  </conditionalFormatting>
  <conditionalFormatting sqref="V183">
    <cfRule type="expression" dxfId="2385" priority="2997" stopIfTrue="1">
      <formula>MOD(ROW(),2)=1</formula>
    </cfRule>
  </conditionalFormatting>
  <conditionalFormatting sqref="V183">
    <cfRule type="expression" dxfId="2384" priority="2998" stopIfTrue="1">
      <formula>MOD(ROW(),2)=0</formula>
    </cfRule>
  </conditionalFormatting>
  <conditionalFormatting sqref="V184">
    <cfRule type="expression" dxfId="2383" priority="2993" stopIfTrue="1">
      <formula>MOD(ROW(),2)=1</formula>
    </cfRule>
  </conditionalFormatting>
  <conditionalFormatting sqref="V184">
    <cfRule type="expression" dxfId="2382" priority="2994" stopIfTrue="1">
      <formula>MOD(ROW(),2)=0</formula>
    </cfRule>
  </conditionalFormatting>
  <conditionalFormatting sqref="U184">
    <cfRule type="expression" dxfId="2381" priority="2991" stopIfTrue="1">
      <formula>MOD(ROW(),2)=1</formula>
    </cfRule>
  </conditionalFormatting>
  <conditionalFormatting sqref="U184">
    <cfRule type="expression" dxfId="2380" priority="2992" stopIfTrue="1">
      <formula>MOD(ROW(),2)=0</formula>
    </cfRule>
  </conditionalFormatting>
  <conditionalFormatting sqref="U230">
    <cfRule type="expression" dxfId="2379" priority="2989" stopIfTrue="1">
      <formula>MOD(ROW(),2)=1</formula>
    </cfRule>
  </conditionalFormatting>
  <conditionalFormatting sqref="U230">
    <cfRule type="expression" dxfId="2378" priority="2990" stopIfTrue="1">
      <formula>MOD(ROW(),2)=0</formula>
    </cfRule>
  </conditionalFormatting>
  <conditionalFormatting sqref="C231">
    <cfRule type="expression" dxfId="2377" priority="2985" stopIfTrue="1">
      <formula>MOD(ROW(),2)=1</formula>
    </cfRule>
  </conditionalFormatting>
  <conditionalFormatting sqref="C231">
    <cfRule type="expression" dxfId="2376" priority="2986" stopIfTrue="1">
      <formula>MOD(ROW(),2)=0</formula>
    </cfRule>
  </conditionalFormatting>
  <conditionalFormatting sqref="L232">
    <cfRule type="expression" dxfId="2375" priority="2983" stopIfTrue="1">
      <formula>MOD(ROW(),2)=1</formula>
    </cfRule>
  </conditionalFormatting>
  <conditionalFormatting sqref="L232">
    <cfRule type="expression" dxfId="2374" priority="2984" stopIfTrue="1">
      <formula>MOD(ROW(),2)=0</formula>
    </cfRule>
  </conditionalFormatting>
  <conditionalFormatting sqref="R232:T232">
    <cfRule type="expression" dxfId="2373" priority="2973" stopIfTrue="1">
      <formula>MOD(ROW(),2)=1</formula>
    </cfRule>
  </conditionalFormatting>
  <conditionalFormatting sqref="R232:T232">
    <cfRule type="expression" dxfId="2372" priority="2974" stopIfTrue="1">
      <formula>MOD(ROW(),2)=0</formula>
    </cfRule>
  </conditionalFormatting>
  <conditionalFormatting sqref="B232">
    <cfRule type="expression" dxfId="2371" priority="2971" stopIfTrue="1">
      <formula>MOD(ROW(),2)=1</formula>
    </cfRule>
  </conditionalFormatting>
  <conditionalFormatting sqref="B232">
    <cfRule type="expression" dxfId="2370" priority="2972" stopIfTrue="1">
      <formula>MOD(ROW(),2)=0</formula>
    </cfRule>
  </conditionalFormatting>
  <conditionalFormatting sqref="Q232">
    <cfRule type="expression" dxfId="2369" priority="2975" stopIfTrue="1">
      <formula>MOD(ROW(),2)=1</formula>
    </cfRule>
  </conditionalFormatting>
  <conditionalFormatting sqref="Q232">
    <cfRule type="expression" dxfId="2368" priority="2976" stopIfTrue="1">
      <formula>MOD(ROW(),2)=0</formula>
    </cfRule>
  </conditionalFormatting>
  <conditionalFormatting sqref="M232 D232:G232 O232">
    <cfRule type="expression" dxfId="2367" priority="2979" stopIfTrue="1">
      <formula>MOD(ROW(),2)=1</formula>
    </cfRule>
  </conditionalFormatting>
  <conditionalFormatting sqref="M232 D232:G232 O232">
    <cfRule type="expression" dxfId="2366" priority="2980" stopIfTrue="1">
      <formula>MOD(ROW(),2)=0</formula>
    </cfRule>
  </conditionalFormatting>
  <conditionalFormatting sqref="P232">
    <cfRule type="expression" dxfId="2365" priority="2977" stopIfTrue="1">
      <formula>MOD(ROW(),2)=1</formula>
    </cfRule>
  </conditionalFormatting>
  <conditionalFormatting sqref="P232">
    <cfRule type="expression" dxfId="2364" priority="2978" stopIfTrue="1">
      <formula>MOD(ROW(),2)=0</formula>
    </cfRule>
  </conditionalFormatting>
  <conditionalFormatting sqref="J232:K232">
    <cfRule type="expression" dxfId="2363" priority="2967" stopIfTrue="1">
      <formula>MOD(ROW(),2)=1</formula>
    </cfRule>
  </conditionalFormatting>
  <conditionalFormatting sqref="J232:K232">
    <cfRule type="expression" dxfId="2362" priority="2968" stopIfTrue="1">
      <formula>MOD(ROW(),2)=0</formula>
    </cfRule>
  </conditionalFormatting>
  <conditionalFormatting sqref="H232:I232">
    <cfRule type="expression" dxfId="2361" priority="2901" stopIfTrue="1">
      <formula>MOD(ROW(),2)=1</formula>
    </cfRule>
  </conditionalFormatting>
  <conditionalFormatting sqref="H232:I232">
    <cfRule type="expression" dxfId="2360" priority="2902" stopIfTrue="1">
      <formula>MOD(ROW(),2)=0</formula>
    </cfRule>
  </conditionalFormatting>
  <conditionalFormatting sqref="L190">
    <cfRule type="expression" dxfId="2359" priority="2949" stopIfTrue="1">
      <formula>MOD(ROW(),2)=1</formula>
    </cfRule>
  </conditionalFormatting>
  <conditionalFormatting sqref="L190">
    <cfRule type="expression" dxfId="2358" priority="2950" stopIfTrue="1">
      <formula>MOD(ROW(),2)=0</formula>
    </cfRule>
  </conditionalFormatting>
  <conditionalFormatting sqref="I206">
    <cfRule type="expression" dxfId="2357" priority="2897" stopIfTrue="1">
      <formula>MOD(ROW(),2)=1</formula>
    </cfRule>
  </conditionalFormatting>
  <conditionalFormatting sqref="I206">
    <cfRule type="expression" dxfId="2356" priority="2898" stopIfTrue="1">
      <formula>MOD(ROW(),2)=0</formula>
    </cfRule>
  </conditionalFormatting>
  <conditionalFormatting sqref="I206">
    <cfRule type="expression" dxfId="2355" priority="2895" stopIfTrue="1">
      <formula>MOD(ROW(),2)=1</formula>
    </cfRule>
  </conditionalFormatting>
  <conditionalFormatting sqref="I206">
    <cfRule type="expression" dxfId="2354" priority="2896" stopIfTrue="1">
      <formula>MOD(ROW(),2)=0</formula>
    </cfRule>
  </conditionalFormatting>
  <conditionalFormatting sqref="X232 Z232:AC232 BS232:BY232 CA232:CD232">
    <cfRule type="expression" dxfId="2353" priority="2959" stopIfTrue="1">
      <formula>MOD(ROW(),2)=1</formula>
    </cfRule>
  </conditionalFormatting>
  <conditionalFormatting sqref="X232 Z232:AC232 BS232:BY232 CA232:CD232">
    <cfRule type="expression" dxfId="2352" priority="2960" stopIfTrue="1">
      <formula>MOD(ROW(),2)=0</formula>
    </cfRule>
  </conditionalFormatting>
  <conditionalFormatting sqref="P233">
    <cfRule type="expression" dxfId="2351" priority="2933" stopIfTrue="1">
      <formula>MOD(ROW(),2)=1</formula>
    </cfRule>
  </conditionalFormatting>
  <conditionalFormatting sqref="P233">
    <cfRule type="expression" dxfId="2350" priority="2934" stopIfTrue="1">
      <formula>MOD(ROW(),2)=0</formula>
    </cfRule>
  </conditionalFormatting>
  <conditionalFormatting sqref="C232">
    <cfRule type="expression" dxfId="2349" priority="2955" stopIfTrue="1">
      <formula>MOD(ROW(),2)=1</formula>
    </cfRule>
  </conditionalFormatting>
  <conditionalFormatting sqref="C232">
    <cfRule type="expression" dxfId="2348" priority="2956" stopIfTrue="1">
      <formula>MOD(ROW(),2)=0</formula>
    </cfRule>
  </conditionalFormatting>
  <conditionalFormatting sqref="V232">
    <cfRule type="expression" dxfId="2347" priority="2953" stopIfTrue="1">
      <formula>MOD(ROW(),2)=1</formula>
    </cfRule>
  </conditionalFormatting>
  <conditionalFormatting sqref="V232">
    <cfRule type="expression" dxfId="2346" priority="2954" stopIfTrue="1">
      <formula>MOD(ROW(),2)=0</formula>
    </cfRule>
  </conditionalFormatting>
  <conditionalFormatting sqref="U232">
    <cfRule type="expression" dxfId="2345" priority="2951" stopIfTrue="1">
      <formula>MOD(ROW(),2)=1</formula>
    </cfRule>
  </conditionalFormatting>
  <conditionalFormatting sqref="U232">
    <cfRule type="expression" dxfId="2344" priority="2952" stopIfTrue="1">
      <formula>MOD(ROW(),2)=0</formula>
    </cfRule>
  </conditionalFormatting>
  <conditionalFormatting sqref="H190:K190">
    <cfRule type="expression" dxfId="2343" priority="2947" stopIfTrue="1">
      <formula>MOD(ROW(),2)=1</formula>
    </cfRule>
  </conditionalFormatting>
  <conditionalFormatting sqref="H190:K190">
    <cfRule type="expression" dxfId="2342" priority="2948" stopIfTrue="1">
      <formula>MOD(ROW(),2)=0</formula>
    </cfRule>
  </conditionalFormatting>
  <conditionalFormatting sqref="H190:I190">
    <cfRule type="expression" dxfId="2341" priority="2945" stopIfTrue="1">
      <formula>MOD(ROW(),2)=1</formula>
    </cfRule>
  </conditionalFormatting>
  <conditionalFormatting sqref="H190:I190">
    <cfRule type="expression" dxfId="2340" priority="2946" stopIfTrue="1">
      <formula>MOD(ROW(),2)=0</formula>
    </cfRule>
  </conditionalFormatting>
  <conditionalFormatting sqref="N190">
    <cfRule type="expression" dxfId="2339" priority="2943" stopIfTrue="1">
      <formula>MOD(ROW(),2)=1</formula>
    </cfRule>
  </conditionalFormatting>
  <conditionalFormatting sqref="N190">
    <cfRule type="expression" dxfId="2338" priority="2944" stopIfTrue="1">
      <formula>MOD(ROW(),2)=0</formula>
    </cfRule>
  </conditionalFormatting>
  <conditionalFormatting sqref="J233:M233">
    <cfRule type="expression" dxfId="2337" priority="2941" stopIfTrue="1">
      <formula>MOD(ROW(),2)=1</formula>
    </cfRule>
  </conditionalFormatting>
  <conditionalFormatting sqref="J233:M233">
    <cfRule type="expression" dxfId="2336" priority="2942" stopIfTrue="1">
      <formula>MOD(ROW(),2)=0</formula>
    </cfRule>
  </conditionalFormatting>
  <conditionalFormatting sqref="I233">
    <cfRule type="expression" dxfId="2335" priority="2923" stopIfTrue="1">
      <formula>MOD(ROW(),2)=1</formula>
    </cfRule>
  </conditionalFormatting>
  <conditionalFormatting sqref="I233">
    <cfRule type="expression" dxfId="2334" priority="2924" stopIfTrue="1">
      <formula>MOD(ROW(),2)=0</formula>
    </cfRule>
  </conditionalFormatting>
  <conditionalFormatting sqref="B233">
    <cfRule type="expression" dxfId="2333" priority="2937" stopIfTrue="1">
      <formula>MOD(ROW(),2)=1</formula>
    </cfRule>
  </conditionalFormatting>
  <conditionalFormatting sqref="B233">
    <cfRule type="expression" dxfId="2332" priority="2938" stopIfTrue="1">
      <formula>MOD(ROW(),2)=0</formula>
    </cfRule>
  </conditionalFormatting>
  <conditionalFormatting sqref="H233">
    <cfRule type="expression" dxfId="2331" priority="2927" stopIfTrue="1">
      <formula>MOD(ROW(),2)=1</formula>
    </cfRule>
  </conditionalFormatting>
  <conditionalFormatting sqref="H233">
    <cfRule type="expression" dxfId="2330" priority="2928" stopIfTrue="1">
      <formula>MOD(ROW(),2)=0</formula>
    </cfRule>
  </conditionalFormatting>
  <conditionalFormatting sqref="R233:T233">
    <cfRule type="expression" dxfId="2329" priority="2929" stopIfTrue="1">
      <formula>MOD(ROW(),2)=1</formula>
    </cfRule>
  </conditionalFormatting>
  <conditionalFormatting sqref="R233:T233">
    <cfRule type="expression" dxfId="2328" priority="2930" stopIfTrue="1">
      <formula>MOD(ROW(),2)=0</formula>
    </cfRule>
  </conditionalFormatting>
  <conditionalFormatting sqref="Q233">
    <cfRule type="expression" dxfId="2327" priority="2931" stopIfTrue="1">
      <formula>MOD(ROW(),2)=1</formula>
    </cfRule>
  </conditionalFormatting>
  <conditionalFormatting sqref="Q233">
    <cfRule type="expression" dxfId="2326" priority="2932" stopIfTrue="1">
      <formula>MOD(ROW(),2)=0</formula>
    </cfRule>
  </conditionalFormatting>
  <conditionalFormatting sqref="O233 D233:G233">
    <cfRule type="expression" dxfId="2325" priority="2935" stopIfTrue="1">
      <formula>MOD(ROW(),2)=1</formula>
    </cfRule>
  </conditionalFormatting>
  <conditionalFormatting sqref="O233 D233:G233">
    <cfRule type="expression" dxfId="2324" priority="2936" stopIfTrue="1">
      <formula>MOD(ROW(),2)=0</formula>
    </cfRule>
  </conditionalFormatting>
  <conditionalFormatting sqref="H233">
    <cfRule type="expression" dxfId="2323" priority="2925" stopIfTrue="1">
      <formula>MOD(ROW(),2)=1</formula>
    </cfRule>
  </conditionalFormatting>
  <conditionalFormatting sqref="H233">
    <cfRule type="expression" dxfId="2322" priority="2926" stopIfTrue="1">
      <formula>MOD(ROW(),2)=0</formula>
    </cfRule>
  </conditionalFormatting>
  <conditionalFormatting sqref="I233">
    <cfRule type="expression" dxfId="2321" priority="2921" stopIfTrue="1">
      <formula>MOD(ROW(),2)=1</formula>
    </cfRule>
  </conditionalFormatting>
  <conditionalFormatting sqref="I233">
    <cfRule type="expression" dxfId="2320" priority="2922" stopIfTrue="1">
      <formula>MOD(ROW(),2)=0</formula>
    </cfRule>
  </conditionalFormatting>
  <conditionalFormatting sqref="X233 Z233:AC233 BS233:BY233 CA233:CD233">
    <cfRule type="expression" dxfId="2319" priority="2915" stopIfTrue="1">
      <formula>MOD(ROW(),2)=1</formula>
    </cfRule>
  </conditionalFormatting>
  <conditionalFormatting sqref="X233 Z233:AC233 BS233:BY233 CA233:CD233">
    <cfRule type="expression" dxfId="2318" priority="2916" stopIfTrue="1">
      <formula>MOD(ROW(),2)=0</formula>
    </cfRule>
  </conditionalFormatting>
  <conditionalFormatting sqref="V233">
    <cfRule type="expression" dxfId="2317" priority="2909" stopIfTrue="1">
      <formula>MOD(ROW(),2)=1</formula>
    </cfRule>
  </conditionalFormatting>
  <conditionalFormatting sqref="V233">
    <cfRule type="expression" dxfId="2316" priority="2910" stopIfTrue="1">
      <formula>MOD(ROW(),2)=0</formula>
    </cfRule>
  </conditionalFormatting>
  <conditionalFormatting sqref="H232:I232">
    <cfRule type="expression" dxfId="2315" priority="2903" stopIfTrue="1">
      <formula>MOD(ROW(),2)=1</formula>
    </cfRule>
  </conditionalFormatting>
  <conditionalFormatting sqref="H232:I232">
    <cfRule type="expression" dxfId="2314" priority="2904" stopIfTrue="1">
      <formula>MOD(ROW(),2)=0</formula>
    </cfRule>
  </conditionalFormatting>
  <conditionalFormatting sqref="N233">
    <cfRule type="expression" dxfId="2313" priority="2899" stopIfTrue="1">
      <formula>MOD(ROW(),2)=1</formula>
    </cfRule>
  </conditionalFormatting>
  <conditionalFormatting sqref="N233">
    <cfRule type="expression" dxfId="2312" priority="2900" stopIfTrue="1">
      <formula>MOD(ROW(),2)=0</formula>
    </cfRule>
  </conditionalFormatting>
  <conditionalFormatting sqref="K206">
    <cfRule type="expression" dxfId="2311" priority="2893" stopIfTrue="1">
      <formula>MOD(ROW(),2)=1</formula>
    </cfRule>
  </conditionalFormatting>
  <conditionalFormatting sqref="K206">
    <cfRule type="expression" dxfId="2310" priority="2894" stopIfTrue="1">
      <formula>MOD(ROW(),2)=0</formula>
    </cfRule>
  </conditionalFormatting>
  <conditionalFormatting sqref="O206">
    <cfRule type="expression" dxfId="2309" priority="2891" stopIfTrue="1">
      <formula>MOD(ROW(),2)=1</formula>
    </cfRule>
  </conditionalFormatting>
  <conditionalFormatting sqref="O206">
    <cfRule type="expression" dxfId="2308" priority="2892" stopIfTrue="1">
      <formula>MOD(ROW(),2)=0</formula>
    </cfRule>
  </conditionalFormatting>
  <conditionalFormatting sqref="N206">
    <cfRule type="expression" dxfId="2307" priority="2889" stopIfTrue="1">
      <formula>MOD(ROW(),2)=1</formula>
    </cfRule>
  </conditionalFormatting>
  <conditionalFormatting sqref="N206">
    <cfRule type="expression" dxfId="2306" priority="2890" stopIfTrue="1">
      <formula>MOD(ROW(),2)=0</formula>
    </cfRule>
  </conditionalFormatting>
  <conditionalFormatting sqref="B234:F234 N234:R234 X234 C235:F235 Z234:AC234 U234 CA234:CB234 BW234:BY234 BT234:BU234 CD234 H234:L235">
    <cfRule type="expression" dxfId="2305" priority="2887" stopIfTrue="1">
      <formula>MOD(ROW(),2)=1</formula>
    </cfRule>
  </conditionalFormatting>
  <conditionalFormatting sqref="B234:F234 N234:R234 X234 C235:F235 Z234:AC234 U234 CA234:CB234 BW234:BY234 BT234:BU234 CD234 H234:L235">
    <cfRule type="expression" dxfId="2304" priority="2888" stopIfTrue="1">
      <formula>MOD(ROW(),2)=0</formula>
    </cfRule>
  </conditionalFormatting>
  <conditionalFormatting sqref="V235">
    <cfRule type="expression" dxfId="2303" priority="2881" stopIfTrue="1">
      <formula>MOD(ROW(),2)=1</formula>
    </cfRule>
  </conditionalFormatting>
  <conditionalFormatting sqref="V235">
    <cfRule type="expression" dxfId="2302" priority="2882" stopIfTrue="1">
      <formula>MOD(ROW(),2)=0</formula>
    </cfRule>
  </conditionalFormatting>
  <conditionalFormatting sqref="V234">
    <cfRule type="expression" dxfId="2301" priority="2883" stopIfTrue="1">
      <formula>MOD(ROW(),2)=1</formula>
    </cfRule>
  </conditionalFormatting>
  <conditionalFormatting sqref="V234">
    <cfRule type="expression" dxfId="2300" priority="2884" stopIfTrue="1">
      <formula>MOD(ROW(),2)=0</formula>
    </cfRule>
  </conditionalFormatting>
  <conditionalFormatting sqref="R235">
    <cfRule type="expression" dxfId="2299" priority="2879" stopIfTrue="1">
      <formula>MOD(ROW(),2)=1</formula>
    </cfRule>
  </conditionalFormatting>
  <conditionalFormatting sqref="R235">
    <cfRule type="expression" dxfId="2298" priority="2880" stopIfTrue="1">
      <formula>MOD(ROW(),2)=0</formula>
    </cfRule>
  </conditionalFormatting>
  <conditionalFormatting sqref="N235:Q235 U235 X235 Z235:AC235 CA235:CB235 BW235:BY235 BT235:BU235 CD235">
    <cfRule type="expression" dxfId="2297" priority="2885" stopIfTrue="1">
      <formula>MOD(ROW(),2)=1</formula>
    </cfRule>
  </conditionalFormatting>
  <conditionalFormatting sqref="N235:Q235 U235 X235 Z235:AC235 CA235:CB235 BW235:BY235 BT235:BU235 CD235">
    <cfRule type="expression" dxfId="2296" priority="2886" stopIfTrue="1">
      <formula>MOD(ROW(),2)=0</formula>
    </cfRule>
  </conditionalFormatting>
  <conditionalFormatting sqref="B235">
    <cfRule type="expression" dxfId="2295" priority="2875" stopIfTrue="1">
      <formula>MOD(ROW(),2)=1</formula>
    </cfRule>
  </conditionalFormatting>
  <conditionalFormatting sqref="B235">
    <cfRule type="expression" dxfId="2294" priority="2876" stopIfTrue="1">
      <formula>MOD(ROW(),2)=0</formula>
    </cfRule>
  </conditionalFormatting>
  <conditionalFormatting sqref="U46">
    <cfRule type="expression" dxfId="2293" priority="2873" stopIfTrue="1">
      <formula>MOD(ROW(),2)=1</formula>
    </cfRule>
  </conditionalFormatting>
  <conditionalFormatting sqref="U46">
    <cfRule type="expression" dxfId="2292" priority="2874" stopIfTrue="1">
      <formula>MOD(ROW(),2)=0</formula>
    </cfRule>
  </conditionalFormatting>
  <conditionalFormatting sqref="B236 D236:H236 L236 N236:U236">
    <cfRule type="expression" dxfId="2291" priority="2871" stopIfTrue="1">
      <formula>MOD(ROW(),2)=1</formula>
    </cfRule>
  </conditionalFormatting>
  <conditionalFormatting sqref="B236 D236:H236 L236 N236:U236">
    <cfRule type="expression" dxfId="2290" priority="2872" stopIfTrue="1">
      <formula>MOD(ROW(),2)=0</formula>
    </cfRule>
  </conditionalFormatting>
  <conditionalFormatting sqref="U139">
    <cfRule type="expression" dxfId="2289" priority="2847" stopIfTrue="1">
      <formula>MOD(ROW(),2)=1</formula>
    </cfRule>
  </conditionalFormatting>
  <conditionalFormatting sqref="U139">
    <cfRule type="expression" dxfId="2288" priority="2848" stopIfTrue="1">
      <formula>MOD(ROW(),2)=0</formula>
    </cfRule>
  </conditionalFormatting>
  <conditionalFormatting sqref="W236:X236 Z236:AD236 BR236:CF236">
    <cfRule type="expression" dxfId="2287" priority="2865" stopIfTrue="1">
      <formula>MOD(ROW(),2)=1</formula>
    </cfRule>
  </conditionalFormatting>
  <conditionalFormatting sqref="W236:X236 Z236:AD236 BR236:CF236">
    <cfRule type="expression" dxfId="2286" priority="2866" stopIfTrue="1">
      <formula>MOD(ROW(),2)=0</formula>
    </cfRule>
  </conditionalFormatting>
  <conditionalFormatting sqref="V236">
    <cfRule type="expression" dxfId="2285" priority="2863" stopIfTrue="1">
      <formula>MOD(ROW(),2)=1</formula>
    </cfRule>
  </conditionalFormatting>
  <conditionalFormatting sqref="V236">
    <cfRule type="expression" dxfId="2284" priority="2864" stopIfTrue="1">
      <formula>MOD(ROW(),2)=0</formula>
    </cfRule>
  </conditionalFormatting>
  <conditionalFormatting sqref="U188">
    <cfRule type="expression" dxfId="2283" priority="2845" stopIfTrue="1">
      <formula>MOD(ROW(),2)=1</formula>
    </cfRule>
  </conditionalFormatting>
  <conditionalFormatting sqref="U188">
    <cfRule type="expression" dxfId="2282" priority="2846" stopIfTrue="1">
      <formula>MOD(ROW(),2)=0</formula>
    </cfRule>
  </conditionalFormatting>
  <conditionalFormatting sqref="H83">
    <cfRule type="expression" dxfId="2281" priority="2857" stopIfTrue="1">
      <formula>MOD(ROW(),2)=1</formula>
    </cfRule>
  </conditionalFormatting>
  <conditionalFormatting sqref="H83">
    <cfRule type="expression" dxfId="2280" priority="2858" stopIfTrue="1">
      <formula>MOD(ROW(),2)=0</formula>
    </cfRule>
  </conditionalFormatting>
  <conditionalFormatting sqref="H84">
    <cfRule type="expression" dxfId="2279" priority="2855" stopIfTrue="1">
      <formula>MOD(ROW(),2)=1</formula>
    </cfRule>
  </conditionalFormatting>
  <conditionalFormatting sqref="H84">
    <cfRule type="expression" dxfId="2278" priority="2856" stopIfTrue="1">
      <formula>MOD(ROW(),2)=0</formula>
    </cfRule>
  </conditionalFormatting>
  <conditionalFormatting sqref="U86">
    <cfRule type="expression" dxfId="2277" priority="2853" stopIfTrue="1">
      <formula>MOD(ROW(),2)=1</formula>
    </cfRule>
  </conditionalFormatting>
  <conditionalFormatting sqref="U86">
    <cfRule type="expression" dxfId="2276" priority="2854" stopIfTrue="1">
      <formula>MOD(ROW(),2)=0</formula>
    </cfRule>
  </conditionalFormatting>
  <conditionalFormatting sqref="U87">
    <cfRule type="expression" dxfId="2275" priority="2851" stopIfTrue="1">
      <formula>MOD(ROW(),2)=1</formula>
    </cfRule>
  </conditionalFormatting>
  <conditionalFormatting sqref="U87">
    <cfRule type="expression" dxfId="2274" priority="2852" stopIfTrue="1">
      <formula>MOD(ROW(),2)=0</formula>
    </cfRule>
  </conditionalFormatting>
  <conditionalFormatting sqref="H136:H137">
    <cfRule type="expression" dxfId="2273" priority="2849" stopIfTrue="1">
      <formula>MOD(ROW(),2)=1</formula>
    </cfRule>
  </conditionalFormatting>
  <conditionalFormatting sqref="H136:H137">
    <cfRule type="expression" dxfId="2272" priority="2850" stopIfTrue="1">
      <formula>MOD(ROW(),2)=0</formula>
    </cfRule>
  </conditionalFormatting>
  <conditionalFormatting sqref="C224">
    <cfRule type="expression" dxfId="2271" priority="2835" stopIfTrue="1">
      <formula>MOD(ROW(),2)=1</formula>
    </cfRule>
  </conditionalFormatting>
  <conditionalFormatting sqref="C224">
    <cfRule type="expression" dxfId="2270" priority="2836" stopIfTrue="1">
      <formula>MOD(ROW(),2)=0</formula>
    </cfRule>
  </conditionalFormatting>
  <conditionalFormatting sqref="U189">
    <cfRule type="expression" dxfId="2269" priority="2843" stopIfTrue="1">
      <formula>MOD(ROW(),2)=1</formula>
    </cfRule>
  </conditionalFormatting>
  <conditionalFormatting sqref="U189">
    <cfRule type="expression" dxfId="2268" priority="2844" stopIfTrue="1">
      <formula>MOD(ROW(),2)=0</formula>
    </cfRule>
  </conditionalFormatting>
  <conditionalFormatting sqref="U216">
    <cfRule type="expression" dxfId="2267" priority="2841" stopIfTrue="1">
      <formula>MOD(ROW(),2)=1</formula>
    </cfRule>
  </conditionalFormatting>
  <conditionalFormatting sqref="U216">
    <cfRule type="expression" dxfId="2266" priority="2842" stopIfTrue="1">
      <formula>MOD(ROW(),2)=0</formula>
    </cfRule>
  </conditionalFormatting>
  <conditionalFormatting sqref="M222">
    <cfRule type="expression" dxfId="2265" priority="2821" stopIfTrue="1">
      <formula>MOD(ROW(),2)=1</formula>
    </cfRule>
  </conditionalFormatting>
  <conditionalFormatting sqref="B221">
    <cfRule type="expression" dxfId="2264" priority="2829" stopIfTrue="1">
      <formula>MOD(ROW(),2)=1</formula>
    </cfRule>
  </conditionalFormatting>
  <conditionalFormatting sqref="B221">
    <cfRule type="expression" dxfId="2263" priority="2830" stopIfTrue="1">
      <formula>MOD(ROW(),2)=0</formula>
    </cfRule>
  </conditionalFormatting>
  <conditionalFormatting sqref="K224">
    <cfRule type="expression" dxfId="2262" priority="2831" stopIfTrue="1">
      <formula>MOD(ROW(),2)=1</formula>
    </cfRule>
  </conditionalFormatting>
  <conditionalFormatting sqref="K224">
    <cfRule type="expression" dxfId="2261" priority="2832" stopIfTrue="1">
      <formula>MOD(ROW(),2)=0</formula>
    </cfRule>
  </conditionalFormatting>
  <conditionalFormatting sqref="B238 M238:O238 Q238:U238">
    <cfRule type="expression" dxfId="2260" priority="2793" stopIfTrue="1">
      <formula>MOD(ROW(),2)=1</formula>
    </cfRule>
  </conditionalFormatting>
  <conditionalFormatting sqref="B238 M238:O238 Q238:U238">
    <cfRule type="expression" dxfId="2259" priority="2794" stopIfTrue="1">
      <formula>MOD(ROW(),2)=0</formula>
    </cfRule>
  </conditionalFormatting>
  <conditionalFormatting sqref="B225">
    <cfRule type="expression" dxfId="2258" priority="2827" stopIfTrue="1">
      <formula>MOD(ROW(),2)=1</formula>
    </cfRule>
  </conditionalFormatting>
  <conditionalFormatting sqref="B225">
    <cfRule type="expression" dxfId="2257" priority="2828" stopIfTrue="1">
      <formula>MOD(ROW(),2)=0</formula>
    </cfRule>
  </conditionalFormatting>
  <conditionalFormatting sqref="C221">
    <cfRule type="expression" dxfId="2256" priority="2825" stopIfTrue="1">
      <formula>MOD(ROW(),2)=1</formula>
    </cfRule>
  </conditionalFormatting>
  <conditionalFormatting sqref="C221">
    <cfRule type="expression" dxfId="2255" priority="2826" stopIfTrue="1">
      <formula>MOD(ROW(),2)=0</formula>
    </cfRule>
  </conditionalFormatting>
  <conditionalFormatting sqref="L221">
    <cfRule type="expression" dxfId="2254" priority="2823" stopIfTrue="1">
      <formula>MOD(ROW(),2)=1</formula>
    </cfRule>
  </conditionalFormatting>
  <conditionalFormatting sqref="L221">
    <cfRule type="expression" dxfId="2253" priority="2824" stopIfTrue="1">
      <formula>MOD(ROW(),2)=0</formula>
    </cfRule>
  </conditionalFormatting>
  <conditionalFormatting sqref="M222">
    <cfRule type="expression" dxfId="2252" priority="2822" stopIfTrue="1">
      <formula>MOD(ROW(),2)=0</formula>
    </cfRule>
  </conditionalFormatting>
  <conditionalFormatting sqref="V187">
    <cfRule type="expression" dxfId="2251" priority="2819" stopIfTrue="1">
      <formula>MOD(ROW(),2)=1</formula>
    </cfRule>
  </conditionalFormatting>
  <conditionalFormatting sqref="V187">
    <cfRule type="expression" dxfId="2250" priority="2820" stopIfTrue="1">
      <formula>MOD(ROW(),2)=0</formula>
    </cfRule>
  </conditionalFormatting>
  <conditionalFormatting sqref="V196">
    <cfRule type="expression" dxfId="2249" priority="2817" stopIfTrue="1">
      <formula>MOD(ROW(),2)=1</formula>
    </cfRule>
  </conditionalFormatting>
  <conditionalFormatting sqref="V196">
    <cfRule type="expression" dxfId="2248" priority="2818" stopIfTrue="1">
      <formula>MOD(ROW(),2)=0</formula>
    </cfRule>
  </conditionalFormatting>
  <conditionalFormatting sqref="H239">
    <cfRule type="expression" dxfId="2247" priority="2777" stopIfTrue="1">
      <formula>MOD(ROW(),2)=1</formula>
    </cfRule>
  </conditionalFormatting>
  <conditionalFormatting sqref="H239">
    <cfRule type="expression" dxfId="2246" priority="2778" stopIfTrue="1">
      <formula>MOD(ROW(),2)=0</formula>
    </cfRule>
  </conditionalFormatting>
  <conditionalFormatting sqref="K239">
    <cfRule type="expression" dxfId="2245" priority="2771" stopIfTrue="1">
      <formula>MOD(ROW(),2)=1</formula>
    </cfRule>
  </conditionalFormatting>
  <conditionalFormatting sqref="K239">
    <cfRule type="expression" dxfId="2244" priority="2772" stopIfTrue="1">
      <formula>MOD(ROW(),2)=0</formula>
    </cfRule>
  </conditionalFormatting>
  <conditionalFormatting sqref="B239 L239:M239 I239 D239:F239 Q239:T239 AC239 W239:X239 AE239:AI239 O239 BR239:CE239 AK239:AO239">
    <cfRule type="expression" dxfId="2243" priority="2783" stopIfTrue="1">
      <formula>MOD(ROW(),2)=1</formula>
    </cfRule>
  </conditionalFormatting>
  <conditionalFormatting sqref="B239 L239:M239 I239 D239:F239 Q239:T239 AC239 W239:X239 AE239:AI239 O239 BR239:CE239 AK239:AO239">
    <cfRule type="expression" dxfId="2242" priority="2784" stopIfTrue="1">
      <formula>MOD(ROW(),2)=0</formula>
    </cfRule>
  </conditionalFormatting>
  <conditionalFormatting sqref="C229">
    <cfRule type="expression" dxfId="2241" priority="2761" stopIfTrue="1">
      <formula>MOD(ROW(),2)=1</formula>
    </cfRule>
  </conditionalFormatting>
  <conditionalFormatting sqref="C229">
    <cfRule type="expression" dxfId="2240" priority="2762" stopIfTrue="1">
      <formula>MOD(ROW(),2)=0</formula>
    </cfRule>
  </conditionalFormatting>
  <conditionalFormatting sqref="Z239:AB239">
    <cfRule type="expression" dxfId="2239" priority="2781" stopIfTrue="1">
      <formula>MOD(ROW(),2)=1</formula>
    </cfRule>
  </conditionalFormatting>
  <conditionalFormatting sqref="Z239:AB239">
    <cfRule type="expression" dxfId="2238" priority="2782" stopIfTrue="1">
      <formula>MOD(ROW(),2)=0</formula>
    </cfRule>
  </conditionalFormatting>
  <conditionalFormatting sqref="J168">
    <cfRule type="expression" dxfId="2237" priority="2759" stopIfTrue="1">
      <formula>MOD(ROW(),2)=1</formula>
    </cfRule>
  </conditionalFormatting>
  <conditionalFormatting sqref="J168">
    <cfRule type="expression" dxfId="2236" priority="2760" stopIfTrue="1">
      <formula>MOD(ROW(),2)=0</formula>
    </cfRule>
  </conditionalFormatting>
  <conditionalFormatting sqref="C239">
    <cfRule type="expression" dxfId="2235" priority="2773" stopIfTrue="1">
      <formula>MOD(ROW(),2)=1</formula>
    </cfRule>
  </conditionalFormatting>
  <conditionalFormatting sqref="C239">
    <cfRule type="expression" dxfId="2234" priority="2774" stopIfTrue="1">
      <formula>MOD(ROW(),2)=0</formula>
    </cfRule>
  </conditionalFormatting>
  <conditionalFormatting sqref="I228">
    <cfRule type="expression" dxfId="2233" priority="2751" stopIfTrue="1">
      <formula>MOD(ROW(),2)=1</formula>
    </cfRule>
  </conditionalFormatting>
  <conditionalFormatting sqref="I228">
    <cfRule type="expression" dxfId="2232" priority="2752" stopIfTrue="1">
      <formula>MOD(ROW(),2)=0</formula>
    </cfRule>
  </conditionalFormatting>
  <conditionalFormatting sqref="P238">
    <cfRule type="expression" dxfId="2231" priority="2765" stopIfTrue="1">
      <formula>MOD(ROW(),2)=1</formula>
    </cfRule>
  </conditionalFormatting>
  <conditionalFormatting sqref="P238">
    <cfRule type="expression" dxfId="2230" priority="2766" stopIfTrue="1">
      <formula>MOD(ROW(),2)=0</formula>
    </cfRule>
  </conditionalFormatting>
  <conditionalFormatting sqref="K168">
    <cfRule type="expression" dxfId="2229" priority="2757" stopIfTrue="1">
      <formula>MOD(ROW(),2)=1</formula>
    </cfRule>
  </conditionalFormatting>
  <conditionalFormatting sqref="K168">
    <cfRule type="expression" dxfId="2228" priority="2758" stopIfTrue="1">
      <formula>MOD(ROW(),2)=0</formula>
    </cfRule>
  </conditionalFormatting>
  <conditionalFormatting sqref="O225">
    <cfRule type="expression" dxfId="2227" priority="2745" stopIfTrue="1">
      <formula>MOD(ROW(),2)=1</formula>
    </cfRule>
  </conditionalFormatting>
  <conditionalFormatting sqref="O225">
    <cfRule type="expression" dxfId="2226" priority="2746" stopIfTrue="1">
      <formula>MOD(ROW(),2)=0</formula>
    </cfRule>
  </conditionalFormatting>
  <conditionalFormatting sqref="P221">
    <cfRule type="expression" dxfId="2225" priority="2717" stopIfTrue="1">
      <formula>MOD(ROW(),2)=1</formula>
    </cfRule>
  </conditionalFormatting>
  <conditionalFormatting sqref="I166">
    <cfRule type="expression" dxfId="2224" priority="2755" stopIfTrue="1">
      <formula>MOD(ROW(),2)=1</formula>
    </cfRule>
  </conditionalFormatting>
  <conditionalFormatting sqref="I166">
    <cfRule type="expression" dxfId="2223" priority="2756" stopIfTrue="1">
      <formula>MOD(ROW(),2)=0</formula>
    </cfRule>
  </conditionalFormatting>
  <conditionalFormatting sqref="S32">
    <cfRule type="expression" dxfId="2222" priority="2715" stopIfTrue="1">
      <formula>MOD(ROW(),2)=1</formula>
    </cfRule>
  </conditionalFormatting>
  <conditionalFormatting sqref="BR238">
    <cfRule type="expression" dxfId="2221" priority="2709" stopIfTrue="1">
      <formula>MOD(ROW(),2)=1</formula>
    </cfRule>
  </conditionalFormatting>
  <conditionalFormatting sqref="I229">
    <cfRule type="expression" dxfId="2220" priority="2749" stopIfTrue="1">
      <formula>MOD(ROW(),2)=1</formula>
    </cfRule>
  </conditionalFormatting>
  <conditionalFormatting sqref="I229">
    <cfRule type="expression" dxfId="2219" priority="2750" stopIfTrue="1">
      <formula>MOD(ROW(),2)=0</formula>
    </cfRule>
  </conditionalFormatting>
  <conditionalFormatting sqref="I224">
    <cfRule type="expression" dxfId="2218" priority="2753" stopIfTrue="1">
      <formula>MOD(ROW(),2)=1</formula>
    </cfRule>
  </conditionalFormatting>
  <conditionalFormatting sqref="I224">
    <cfRule type="expression" dxfId="2217" priority="2754" stopIfTrue="1">
      <formula>MOD(ROW(),2)=0</formula>
    </cfRule>
  </conditionalFormatting>
  <conditionalFormatting sqref="C238:G238">
    <cfRule type="expression" dxfId="2216" priority="2733" stopIfTrue="1">
      <formula>MOD(ROW(),2)=1</formula>
    </cfRule>
  </conditionalFormatting>
  <conditionalFormatting sqref="C238:G238">
    <cfRule type="expression" dxfId="2215" priority="2734" stopIfTrue="1">
      <formula>MOD(ROW(),2)=0</formula>
    </cfRule>
  </conditionalFormatting>
  <conditionalFormatting sqref="H225">
    <cfRule type="expression" dxfId="2214" priority="2747" stopIfTrue="1">
      <formula>MOD(ROW(),2)=1</formula>
    </cfRule>
  </conditionalFormatting>
  <conditionalFormatting sqref="H225">
    <cfRule type="expression" dxfId="2213" priority="2748" stopIfTrue="1">
      <formula>MOD(ROW(),2)=0</formula>
    </cfRule>
  </conditionalFormatting>
  <conditionalFormatting sqref="P240">
    <cfRule type="expression" dxfId="2212" priority="2693" stopIfTrue="1">
      <formula>MOD(ROW(),2)=1</formula>
    </cfRule>
  </conditionalFormatting>
  <conditionalFormatting sqref="H221">
    <cfRule type="expression" dxfId="2211" priority="2743" stopIfTrue="1">
      <formula>MOD(ROW(),2)=1</formula>
    </cfRule>
  </conditionalFormatting>
  <conditionalFormatting sqref="H221">
    <cfRule type="expression" dxfId="2210" priority="2744" stopIfTrue="1">
      <formula>MOD(ROW(),2)=0</formula>
    </cfRule>
  </conditionalFormatting>
  <conditionalFormatting sqref="W221:X221 Z221:AB221 AD221:AI221 CA221:CE221 BR221:BY221 AK221:AO221">
    <cfRule type="expression" dxfId="2209" priority="2741" stopIfTrue="1">
      <formula>MOD(ROW(),2)=1</formula>
    </cfRule>
  </conditionalFormatting>
  <conditionalFormatting sqref="W221:X221 Z221:AB221 AD221:AI221 CA221:CE221 BR221:BY221 AK221:AO221">
    <cfRule type="expression" dxfId="2208" priority="2742" stopIfTrue="1">
      <formula>MOD(ROW(),2)=0</formula>
    </cfRule>
  </conditionalFormatting>
  <conditionalFormatting sqref="K238">
    <cfRule type="expression" dxfId="2207" priority="2723" stopIfTrue="1">
      <formula>MOD(ROW(),2)=1</formula>
    </cfRule>
  </conditionalFormatting>
  <conditionalFormatting sqref="K238">
    <cfRule type="expression" dxfId="2206" priority="2724" stopIfTrue="1">
      <formula>MOD(ROW(),2)=0</formula>
    </cfRule>
  </conditionalFormatting>
  <conditionalFormatting sqref="Z225:AB225 AD225 CA225:CE225 BR225:BY225">
    <cfRule type="expression" dxfId="2205" priority="2737" stopIfTrue="1">
      <formula>MOD(ROW(),2)=1</formula>
    </cfRule>
  </conditionalFormatting>
  <conditionalFormatting sqref="Z225:AB225 AD225 CA225:CE225 BR225:BY225">
    <cfRule type="expression" dxfId="2204" priority="2738" stopIfTrue="1">
      <formula>MOD(ROW(),2)=0</formula>
    </cfRule>
  </conditionalFormatting>
  <conditionalFormatting sqref="H238">
    <cfRule type="expression" dxfId="2203" priority="2731" stopIfTrue="1">
      <formula>MOD(ROW(),2)=1</formula>
    </cfRule>
  </conditionalFormatting>
  <conditionalFormatting sqref="H238">
    <cfRule type="expression" dxfId="2202" priority="2732" stopIfTrue="1">
      <formula>MOD(ROW(),2)=0</formula>
    </cfRule>
  </conditionalFormatting>
  <conditionalFormatting sqref="V238">
    <cfRule type="expression" dxfId="2201" priority="2729" stopIfTrue="1">
      <formula>MOD(ROW(),2)=1</formula>
    </cfRule>
  </conditionalFormatting>
  <conditionalFormatting sqref="V238">
    <cfRule type="expression" dxfId="2200" priority="2730" stopIfTrue="1">
      <formula>MOD(ROW(),2)=0</formula>
    </cfRule>
  </conditionalFormatting>
  <conditionalFormatting sqref="P225">
    <cfRule type="expression" dxfId="2199" priority="2727" stopIfTrue="1">
      <formula>MOD(ROW(),2)=1</formula>
    </cfRule>
  </conditionalFormatting>
  <conditionalFormatting sqref="P225">
    <cfRule type="expression" dxfId="2198" priority="2728" stopIfTrue="1">
      <formula>MOD(ROW(),2)=0</formula>
    </cfRule>
  </conditionalFormatting>
  <conditionalFormatting sqref="L238 J238">
    <cfRule type="expression" dxfId="2197" priority="2725" stopIfTrue="1">
      <formula>MOD(ROW(),2)=1</formula>
    </cfRule>
  </conditionalFormatting>
  <conditionalFormatting sqref="L238 J238">
    <cfRule type="expression" dxfId="2196" priority="2726" stopIfTrue="1">
      <formula>MOD(ROW(),2)=0</formula>
    </cfRule>
  </conditionalFormatting>
  <conditionalFormatting sqref="Z238:AB238 BS238:BY238 CA238:CE238">
    <cfRule type="expression" dxfId="2195" priority="2721" stopIfTrue="1">
      <formula>MOD(ROW(),2)=1</formula>
    </cfRule>
  </conditionalFormatting>
  <conditionalFormatting sqref="Z238:AB238 BS238:BY238 CA238:CE238">
    <cfRule type="expression" dxfId="2194" priority="2722" stopIfTrue="1">
      <formula>MOD(ROW(),2)=0</formula>
    </cfRule>
  </conditionalFormatting>
  <conditionalFormatting sqref="G135">
    <cfRule type="expression" dxfId="2193" priority="2703" stopIfTrue="1">
      <formula>MOD(ROW(),2)=1</formula>
    </cfRule>
  </conditionalFormatting>
  <conditionalFormatting sqref="G135">
    <cfRule type="expression" dxfId="2192" priority="2704" stopIfTrue="1">
      <formula>MOD(ROW(),2)=0</formula>
    </cfRule>
  </conditionalFormatting>
  <conditionalFormatting sqref="P221">
    <cfRule type="expression" dxfId="2191" priority="2718" stopIfTrue="1">
      <formula>MOD(ROW(),2)=0</formula>
    </cfRule>
  </conditionalFormatting>
  <conditionalFormatting sqref="S32">
    <cfRule type="expression" dxfId="2190" priority="2716" stopIfTrue="1">
      <formula>MOD(ROW(),2)=0</formula>
    </cfRule>
  </conditionalFormatting>
  <conditionalFormatting sqref="I238">
    <cfRule type="expression" dxfId="2189" priority="2713" stopIfTrue="1">
      <formula>MOD(ROW(),2)=1</formula>
    </cfRule>
  </conditionalFormatting>
  <conditionalFormatting sqref="I238">
    <cfRule type="expression" dxfId="2188" priority="2714" stopIfTrue="1">
      <formula>MOD(ROW(),2)=0</formula>
    </cfRule>
  </conditionalFormatting>
  <conditionalFormatting sqref="AD238">
    <cfRule type="expression" dxfId="2187" priority="2711" stopIfTrue="1">
      <formula>MOD(ROW(),2)=1</formula>
    </cfRule>
  </conditionalFormatting>
  <conditionalFormatting sqref="AD238">
    <cfRule type="expression" dxfId="2186" priority="2712" stopIfTrue="1">
      <formula>MOD(ROW(),2)=0</formula>
    </cfRule>
  </conditionalFormatting>
  <conditionalFormatting sqref="BR238">
    <cfRule type="expression" dxfId="2185" priority="2710" stopIfTrue="1">
      <formula>MOD(ROW(),2)=0</formula>
    </cfRule>
  </conditionalFormatting>
  <conditionalFormatting sqref="F240">
    <cfRule type="expression" dxfId="2184" priority="2707" stopIfTrue="1">
      <formula>MOD(ROW(),2)=1</formula>
    </cfRule>
  </conditionalFormatting>
  <conditionalFormatting sqref="F240">
    <cfRule type="expression" dxfId="2183" priority="2708" stopIfTrue="1">
      <formula>MOD(ROW(),2)=0</formula>
    </cfRule>
  </conditionalFormatting>
  <conditionalFormatting sqref="G239">
    <cfRule type="expression" dxfId="2182" priority="2705" stopIfTrue="1">
      <formula>MOD(ROW(),2)=1</formula>
    </cfRule>
  </conditionalFormatting>
  <conditionalFormatting sqref="G239">
    <cfRule type="expression" dxfId="2181" priority="2706" stopIfTrue="1">
      <formula>MOD(ROW(),2)=0</formula>
    </cfRule>
  </conditionalFormatting>
  <conditionalFormatting sqref="G136">
    <cfRule type="expression" dxfId="2180" priority="2701" stopIfTrue="1">
      <formula>MOD(ROW(),2)=1</formula>
    </cfRule>
  </conditionalFormatting>
  <conditionalFormatting sqref="G136">
    <cfRule type="expression" dxfId="2179" priority="2702" stopIfTrue="1">
      <formula>MOD(ROW(),2)=0</formula>
    </cfRule>
  </conditionalFormatting>
  <conditionalFormatting sqref="B240 D240">
    <cfRule type="expression" dxfId="2178" priority="2699" stopIfTrue="1">
      <formula>MOD(ROW(),2)=1</formula>
    </cfRule>
  </conditionalFormatting>
  <conditionalFormatting sqref="B240 D240">
    <cfRule type="expression" dxfId="2177" priority="2700" stopIfTrue="1">
      <formula>MOD(ROW(),2)=0</formula>
    </cfRule>
  </conditionalFormatting>
  <conditionalFormatting sqref="C240">
    <cfRule type="expression" dxfId="2176" priority="2697" stopIfTrue="1">
      <formula>MOD(ROW(),2)=1</formula>
    </cfRule>
  </conditionalFormatting>
  <conditionalFormatting sqref="C240">
    <cfRule type="expression" dxfId="2175" priority="2698" stopIfTrue="1">
      <formula>MOD(ROW(),2)=0</formula>
    </cfRule>
  </conditionalFormatting>
  <conditionalFormatting sqref="P239">
    <cfRule type="expression" dxfId="2174" priority="2695" stopIfTrue="1">
      <formula>MOD(ROW(),2)=1</formula>
    </cfRule>
  </conditionalFormatting>
  <conditionalFormatting sqref="P239">
    <cfRule type="expression" dxfId="2173" priority="2696" stopIfTrue="1">
      <formula>MOD(ROW(),2)=0</formula>
    </cfRule>
  </conditionalFormatting>
  <conditionalFormatting sqref="P240">
    <cfRule type="expression" dxfId="2172" priority="2694" stopIfTrue="1">
      <formula>MOD(ROW(),2)=0</formula>
    </cfRule>
  </conditionalFormatting>
  <conditionalFormatting sqref="U239">
    <cfRule type="expression" dxfId="2171" priority="2691" stopIfTrue="1">
      <formula>MOD(ROW(),2)=1</formula>
    </cfRule>
  </conditionalFormatting>
  <conditionalFormatting sqref="U239">
    <cfRule type="expression" dxfId="2170" priority="2692" stopIfTrue="1">
      <formula>MOD(ROW(),2)=0</formula>
    </cfRule>
  </conditionalFormatting>
  <conditionalFormatting sqref="U240">
    <cfRule type="expression" dxfId="2169" priority="2689" stopIfTrue="1">
      <formula>MOD(ROW(),2)=1</formula>
    </cfRule>
  </conditionalFormatting>
  <conditionalFormatting sqref="U240">
    <cfRule type="expression" dxfId="2168" priority="2690" stopIfTrue="1">
      <formula>MOD(ROW(),2)=0</formula>
    </cfRule>
  </conditionalFormatting>
  <conditionalFormatting sqref="AD239">
    <cfRule type="expression" dxfId="2167" priority="2687" stopIfTrue="1">
      <formula>MOD(ROW(),2)=1</formula>
    </cfRule>
  </conditionalFormatting>
  <conditionalFormatting sqref="AD239">
    <cfRule type="expression" dxfId="2166" priority="2688" stopIfTrue="1">
      <formula>MOD(ROW(),2)=0</formula>
    </cfRule>
  </conditionalFormatting>
  <conditionalFormatting sqref="AD240">
    <cfRule type="expression" dxfId="2165" priority="2685" stopIfTrue="1">
      <formula>MOD(ROW(),2)=1</formula>
    </cfRule>
  </conditionalFormatting>
  <conditionalFormatting sqref="AD240">
    <cfRule type="expression" dxfId="2164" priority="2686" stopIfTrue="1">
      <formula>MOD(ROW(),2)=0</formula>
    </cfRule>
  </conditionalFormatting>
  <conditionalFormatting sqref="V239">
    <cfRule type="expression" dxfId="2163" priority="2683" stopIfTrue="1">
      <formula>MOD(ROW(),2)=1</formula>
    </cfRule>
  </conditionalFormatting>
  <conditionalFormatting sqref="V239">
    <cfRule type="expression" dxfId="2162" priority="2684" stopIfTrue="1">
      <formula>MOD(ROW(),2)=0</formula>
    </cfRule>
  </conditionalFormatting>
  <conditionalFormatting sqref="V240">
    <cfRule type="expression" dxfId="2161" priority="2681" stopIfTrue="1">
      <formula>MOD(ROW(),2)=1</formula>
    </cfRule>
  </conditionalFormatting>
  <conditionalFormatting sqref="V240">
    <cfRule type="expression" dxfId="2160" priority="2682" stopIfTrue="1">
      <formula>MOD(ROW(),2)=0</formula>
    </cfRule>
  </conditionalFormatting>
  <conditionalFormatting sqref="K240">
    <cfRule type="expression" dxfId="2159" priority="2679" stopIfTrue="1">
      <formula>MOD(ROW(),2)=1</formula>
    </cfRule>
  </conditionalFormatting>
  <conditionalFormatting sqref="K240">
    <cfRule type="expression" dxfId="2158" priority="2680" stopIfTrue="1">
      <formula>MOD(ROW(),2)=0</formula>
    </cfRule>
  </conditionalFormatting>
  <conditionalFormatting sqref="J239">
    <cfRule type="expression" dxfId="2157" priority="2677" stopIfTrue="1">
      <formula>MOD(ROW(),2)=1</formula>
    </cfRule>
  </conditionalFormatting>
  <conditionalFormatting sqref="J239">
    <cfRule type="expression" dxfId="2156" priority="2678" stopIfTrue="1">
      <formula>MOD(ROW(),2)=0</formula>
    </cfRule>
  </conditionalFormatting>
  <conditionalFormatting sqref="X154">
    <cfRule type="expression" dxfId="2155" priority="2675" stopIfTrue="1">
      <formula>MOD(ROW(),2)=1</formula>
    </cfRule>
  </conditionalFormatting>
  <conditionalFormatting sqref="X154">
    <cfRule type="expression" dxfId="2154" priority="2676" stopIfTrue="1">
      <formula>MOD(ROW(),2)=0</formula>
    </cfRule>
  </conditionalFormatting>
  <conditionalFormatting sqref="W225">
    <cfRule type="expression" dxfId="2153" priority="2673" stopIfTrue="1">
      <formula>MOD(ROW(),2)=1</formula>
    </cfRule>
  </conditionalFormatting>
  <conditionalFormatting sqref="W225">
    <cfRule type="expression" dxfId="2152" priority="2674" stopIfTrue="1">
      <formula>MOD(ROW(),2)=0</formula>
    </cfRule>
  </conditionalFormatting>
  <conditionalFormatting sqref="X225">
    <cfRule type="expression" dxfId="2151" priority="2671" stopIfTrue="1">
      <formula>MOD(ROW(),2)=1</formula>
    </cfRule>
  </conditionalFormatting>
  <conditionalFormatting sqref="X225">
    <cfRule type="expression" dxfId="2150" priority="2672" stopIfTrue="1">
      <formula>MOD(ROW(),2)=0</formula>
    </cfRule>
  </conditionalFormatting>
  <conditionalFormatting sqref="W238">
    <cfRule type="expression" dxfId="2149" priority="2669" stopIfTrue="1">
      <formula>MOD(ROW(),2)=1</formula>
    </cfRule>
  </conditionalFormatting>
  <conditionalFormatting sqref="W238">
    <cfRule type="expression" dxfId="2148" priority="2670" stopIfTrue="1">
      <formula>MOD(ROW(),2)=0</formula>
    </cfRule>
  </conditionalFormatting>
  <conditionalFormatting sqref="X238">
    <cfRule type="expression" dxfId="2147" priority="2667" stopIfTrue="1">
      <formula>MOD(ROW(),2)=1</formula>
    </cfRule>
  </conditionalFormatting>
  <conditionalFormatting sqref="X238">
    <cfRule type="expression" dxfId="2146" priority="2668" stopIfTrue="1">
      <formula>MOD(ROW(),2)=0</formula>
    </cfRule>
  </conditionalFormatting>
  <conditionalFormatting sqref="Z230:AC230">
    <cfRule type="expression" dxfId="2145" priority="2655" stopIfTrue="1">
      <formula>MOD(ROW(),2)=1</formula>
    </cfRule>
  </conditionalFormatting>
  <conditionalFormatting sqref="Z230:AC230">
    <cfRule type="expression" dxfId="2144" priority="2656" stopIfTrue="1">
      <formula>MOD(ROW(),2)=0</formula>
    </cfRule>
  </conditionalFormatting>
  <conditionalFormatting sqref="CF226">
    <cfRule type="expression" dxfId="2143" priority="2635" stopIfTrue="1">
      <formula>MOD(ROW(),2)=1</formula>
    </cfRule>
  </conditionalFormatting>
  <conditionalFormatting sqref="CF226">
    <cfRule type="expression" dxfId="2142" priority="2636" stopIfTrue="1">
      <formula>MOD(ROW(),2)=0</formula>
    </cfRule>
  </conditionalFormatting>
  <conditionalFormatting sqref="Z183:AC183">
    <cfRule type="expression" dxfId="2141" priority="2661" stopIfTrue="1">
      <formula>MOD(ROW(),2)=1</formula>
    </cfRule>
  </conditionalFormatting>
  <conditionalFormatting sqref="Z183:AC183">
    <cfRule type="expression" dxfId="2140" priority="2662" stopIfTrue="1">
      <formula>MOD(ROW(),2)=0</formula>
    </cfRule>
  </conditionalFormatting>
  <conditionalFormatting sqref="Z184:AC184">
    <cfRule type="expression" dxfId="2139" priority="2659" stopIfTrue="1">
      <formula>MOD(ROW(),2)=1</formula>
    </cfRule>
  </conditionalFormatting>
  <conditionalFormatting sqref="Z184:AC184">
    <cfRule type="expression" dxfId="2138" priority="2660" stopIfTrue="1">
      <formula>MOD(ROW(),2)=0</formula>
    </cfRule>
  </conditionalFormatting>
  <conditionalFormatting sqref="Z223:AC223">
    <cfRule type="expression" dxfId="2137" priority="2657" stopIfTrue="1">
      <formula>MOD(ROW(),2)=1</formula>
    </cfRule>
  </conditionalFormatting>
  <conditionalFormatting sqref="Z223:AC223">
    <cfRule type="expression" dxfId="2136" priority="2658" stopIfTrue="1">
      <formula>MOD(ROW(),2)=0</formula>
    </cfRule>
  </conditionalFormatting>
  <conditionalFormatting sqref="Z231:AC231">
    <cfRule type="expression" dxfId="2135" priority="2653" stopIfTrue="1">
      <formula>MOD(ROW(),2)=1</formula>
    </cfRule>
  </conditionalFormatting>
  <conditionalFormatting sqref="Z231:AC231">
    <cfRule type="expression" dxfId="2134" priority="2654" stopIfTrue="1">
      <formula>MOD(ROW(),2)=0</formula>
    </cfRule>
  </conditionalFormatting>
  <conditionalFormatting sqref="CF180">
    <cfRule type="expression" dxfId="2133" priority="2651" stopIfTrue="1">
      <formula>MOD(ROW(),2)=1</formula>
    </cfRule>
  </conditionalFormatting>
  <conditionalFormatting sqref="CF180">
    <cfRule type="expression" dxfId="2132" priority="2652" stopIfTrue="1">
      <formula>MOD(ROW(),2)=0</formula>
    </cfRule>
  </conditionalFormatting>
  <conditionalFormatting sqref="CF228">
    <cfRule type="expression" dxfId="2131" priority="2649" stopIfTrue="1">
      <formula>MOD(ROW(),2)=1</formula>
    </cfRule>
  </conditionalFormatting>
  <conditionalFormatting sqref="CF228">
    <cfRule type="expression" dxfId="2130" priority="2650" stopIfTrue="1">
      <formula>MOD(ROW(),2)=0</formula>
    </cfRule>
  </conditionalFormatting>
  <conditionalFormatting sqref="CF229">
    <cfRule type="expression" dxfId="2129" priority="2647" stopIfTrue="1">
      <formula>MOD(ROW(),2)=1</formula>
    </cfRule>
  </conditionalFormatting>
  <conditionalFormatting sqref="CF229">
    <cfRule type="expression" dxfId="2128" priority="2648" stopIfTrue="1">
      <formula>MOD(ROW(),2)=0</formula>
    </cfRule>
  </conditionalFormatting>
  <conditionalFormatting sqref="AD224">
    <cfRule type="expression" dxfId="2127" priority="2645" stopIfTrue="1">
      <formula>MOD(ROW(),2)=1</formula>
    </cfRule>
  </conditionalFormatting>
  <conditionalFormatting sqref="AD224">
    <cfRule type="expression" dxfId="2126" priority="2646" stopIfTrue="1">
      <formula>MOD(ROW(),2)=0</formula>
    </cfRule>
  </conditionalFormatting>
  <conditionalFormatting sqref="CF224">
    <cfRule type="expression" dxfId="2125" priority="2643" stopIfTrue="1">
      <formula>MOD(ROW(),2)=1</formula>
    </cfRule>
  </conditionalFormatting>
  <conditionalFormatting sqref="CF224">
    <cfRule type="expression" dxfId="2124" priority="2644" stopIfTrue="1">
      <formula>MOD(ROW(),2)=0</formula>
    </cfRule>
  </conditionalFormatting>
  <conditionalFormatting sqref="B220">
    <cfRule type="expression" dxfId="2123" priority="2641" stopIfTrue="1">
      <formula>MOD(ROW(),2)=1</formula>
    </cfRule>
  </conditionalFormatting>
  <conditionalFormatting sqref="B220">
    <cfRule type="expression" dxfId="2122" priority="2642" stopIfTrue="1">
      <formula>MOD(ROW(),2)=0</formula>
    </cfRule>
  </conditionalFormatting>
  <conditionalFormatting sqref="CF227">
    <cfRule type="expression" dxfId="2121" priority="2633" stopIfTrue="1">
      <formula>MOD(ROW(),2)=1</formula>
    </cfRule>
  </conditionalFormatting>
  <conditionalFormatting sqref="CF227">
    <cfRule type="expression" dxfId="2120" priority="2634" stopIfTrue="1">
      <formula>MOD(ROW(),2)=0</formula>
    </cfRule>
  </conditionalFormatting>
  <conditionalFormatting sqref="CF220">
    <cfRule type="expression" dxfId="2119" priority="2637" stopIfTrue="1">
      <formula>MOD(ROW(),2)=1</formula>
    </cfRule>
  </conditionalFormatting>
  <conditionalFormatting sqref="CF220">
    <cfRule type="expression" dxfId="2118" priority="2638" stopIfTrue="1">
      <formula>MOD(ROW(),2)=0</formula>
    </cfRule>
  </conditionalFormatting>
  <conditionalFormatting sqref="CF221">
    <cfRule type="expression" dxfId="2117" priority="2631" stopIfTrue="1">
      <formula>MOD(ROW(),2)=1</formula>
    </cfRule>
  </conditionalFormatting>
  <conditionalFormatting sqref="CF221">
    <cfRule type="expression" dxfId="2116" priority="2632" stopIfTrue="1">
      <formula>MOD(ROW(),2)=0</formula>
    </cfRule>
  </conditionalFormatting>
  <conditionalFormatting sqref="CF225">
    <cfRule type="expression" dxfId="2115" priority="2629" stopIfTrue="1">
      <formula>MOD(ROW(),2)=1</formula>
    </cfRule>
  </conditionalFormatting>
  <conditionalFormatting sqref="CF225">
    <cfRule type="expression" dxfId="2114" priority="2630" stopIfTrue="1">
      <formula>MOD(ROW(),2)=0</formula>
    </cfRule>
  </conditionalFormatting>
  <conditionalFormatting sqref="CF238">
    <cfRule type="expression" dxfId="2113" priority="2627" stopIfTrue="1">
      <formula>MOD(ROW(),2)=1</formula>
    </cfRule>
  </conditionalFormatting>
  <conditionalFormatting sqref="CF238">
    <cfRule type="expression" dxfId="2112" priority="2628" stopIfTrue="1">
      <formula>MOD(ROW(),2)=0</formula>
    </cfRule>
  </conditionalFormatting>
  <conditionalFormatting sqref="AC221">
    <cfRule type="expression" dxfId="2111" priority="2625" stopIfTrue="1">
      <formula>MOD(ROW(),2)=1</formula>
    </cfRule>
  </conditionalFormatting>
  <conditionalFormatting sqref="AC221">
    <cfRule type="expression" dxfId="2110" priority="2626" stopIfTrue="1">
      <formula>MOD(ROW(),2)=0</formula>
    </cfRule>
  </conditionalFormatting>
  <conditionalFormatting sqref="AC225">
    <cfRule type="expression" dxfId="2109" priority="2621" stopIfTrue="1">
      <formula>MOD(ROW(),2)=1</formula>
    </cfRule>
  </conditionalFormatting>
  <conditionalFormatting sqref="AC225">
    <cfRule type="expression" dxfId="2108" priority="2622" stopIfTrue="1">
      <formula>MOD(ROW(),2)=0</formula>
    </cfRule>
  </conditionalFormatting>
  <conditionalFormatting sqref="AC238">
    <cfRule type="expression" dxfId="2107" priority="2619" stopIfTrue="1">
      <formula>MOD(ROW(),2)=1</formula>
    </cfRule>
  </conditionalFormatting>
  <conditionalFormatting sqref="AC238">
    <cfRule type="expression" dxfId="2106" priority="2620" stopIfTrue="1">
      <formula>MOD(ROW(),2)=0</formula>
    </cfRule>
  </conditionalFormatting>
  <conditionalFormatting sqref="CF155">
    <cfRule type="expression" dxfId="2105" priority="2613" stopIfTrue="1">
      <formula>MOD(ROW(),2)=1</formula>
    </cfRule>
  </conditionalFormatting>
  <conditionalFormatting sqref="CF155">
    <cfRule type="expression" dxfId="2104" priority="2614" stopIfTrue="1">
      <formula>MOD(ROW(),2)=0</formula>
    </cfRule>
  </conditionalFormatting>
  <conditionalFormatting sqref="CF24">
    <cfRule type="expression" dxfId="2103" priority="2611" stopIfTrue="1">
      <formula>MOD(ROW(),2)=1</formula>
    </cfRule>
  </conditionalFormatting>
  <conditionalFormatting sqref="CF24">
    <cfRule type="expression" dxfId="2102" priority="2612" stopIfTrue="1">
      <formula>MOD(ROW(),2)=0</formula>
    </cfRule>
  </conditionalFormatting>
  <conditionalFormatting sqref="CF25">
    <cfRule type="expression" dxfId="2101" priority="2609" stopIfTrue="1">
      <formula>MOD(ROW(),2)=1</formula>
    </cfRule>
  </conditionalFormatting>
  <conditionalFormatting sqref="CF25">
    <cfRule type="expression" dxfId="2100" priority="2610" stopIfTrue="1">
      <formula>MOD(ROW(),2)=0</formula>
    </cfRule>
  </conditionalFormatting>
  <conditionalFormatting sqref="CF191">
    <cfRule type="expression" dxfId="2099" priority="2607" stopIfTrue="1">
      <formula>MOD(ROW(),2)=1</formula>
    </cfRule>
  </conditionalFormatting>
  <conditionalFormatting sqref="CF191">
    <cfRule type="expression" dxfId="2098" priority="2608" stopIfTrue="1">
      <formula>MOD(ROW(),2)=0</formula>
    </cfRule>
  </conditionalFormatting>
  <conditionalFormatting sqref="C236">
    <cfRule type="expression" dxfId="2097" priority="2605" stopIfTrue="1">
      <formula>MOD(ROW(),2)=1</formula>
    </cfRule>
  </conditionalFormatting>
  <conditionalFormatting sqref="C236">
    <cfRule type="expression" dxfId="2096" priority="2606" stopIfTrue="1">
      <formula>MOD(ROW(),2)=0</formula>
    </cfRule>
  </conditionalFormatting>
  <conditionalFormatting sqref="I236">
    <cfRule type="expression" dxfId="2095" priority="2603" stopIfTrue="1">
      <formula>MOD(ROW(),2)=1</formula>
    </cfRule>
  </conditionalFormatting>
  <conditionalFormatting sqref="I236">
    <cfRule type="expression" dxfId="2094" priority="2604" stopIfTrue="1">
      <formula>MOD(ROW(),2)=0</formula>
    </cfRule>
  </conditionalFormatting>
  <conditionalFormatting sqref="J236">
    <cfRule type="expression" dxfId="2093" priority="2601" stopIfTrue="1">
      <formula>MOD(ROW(),2)=1</formula>
    </cfRule>
  </conditionalFormatting>
  <conditionalFormatting sqref="J236">
    <cfRule type="expression" dxfId="2092" priority="2602" stopIfTrue="1">
      <formula>MOD(ROW(),2)=0</formula>
    </cfRule>
  </conditionalFormatting>
  <conditionalFormatting sqref="K236">
    <cfRule type="expression" dxfId="2091" priority="2599" stopIfTrue="1">
      <formula>MOD(ROW(),2)=1</formula>
    </cfRule>
  </conditionalFormatting>
  <conditionalFormatting sqref="K236">
    <cfRule type="expression" dxfId="2090" priority="2600" stopIfTrue="1">
      <formula>MOD(ROW(),2)=0</formula>
    </cfRule>
  </conditionalFormatting>
  <conditionalFormatting sqref="CF50">
    <cfRule type="expression" dxfId="2089" priority="2597" stopIfTrue="1">
      <formula>MOD(ROW(),2)=1</formula>
    </cfRule>
  </conditionalFormatting>
  <conditionalFormatting sqref="CF50">
    <cfRule type="expression" dxfId="2088" priority="2598" stopIfTrue="1">
      <formula>MOD(ROW(),2)=0</formula>
    </cfRule>
  </conditionalFormatting>
  <conditionalFormatting sqref="CF52">
    <cfRule type="expression" dxfId="2087" priority="2595" stopIfTrue="1">
      <formula>MOD(ROW(),2)=1</formula>
    </cfRule>
  </conditionalFormatting>
  <conditionalFormatting sqref="CF52">
    <cfRule type="expression" dxfId="2086" priority="2596" stopIfTrue="1">
      <formula>MOD(ROW(),2)=0</formula>
    </cfRule>
  </conditionalFormatting>
  <conditionalFormatting sqref="CF131">
    <cfRule type="expression" dxfId="2085" priority="2585" stopIfTrue="1">
      <formula>MOD(ROW(),2)=1</formula>
    </cfRule>
  </conditionalFormatting>
  <conditionalFormatting sqref="B67">
    <cfRule type="expression" dxfId="2084" priority="2593" stopIfTrue="1">
      <formula>MOD(ROW(),2)=1</formula>
    </cfRule>
  </conditionalFormatting>
  <conditionalFormatting sqref="B67">
    <cfRule type="expression" dxfId="2083" priority="2594" stopIfTrue="1">
      <formula>MOD(ROW(),2)=0</formula>
    </cfRule>
  </conditionalFormatting>
  <conditionalFormatting sqref="CF87">
    <cfRule type="expression" dxfId="2082" priority="2575" stopIfTrue="1">
      <formula>MOD(ROW(),2)=1</formula>
    </cfRule>
  </conditionalFormatting>
  <conditionalFormatting sqref="CF87">
    <cfRule type="expression" dxfId="2081" priority="2576" stopIfTrue="1">
      <formula>MOD(ROW(),2)=0</formula>
    </cfRule>
  </conditionalFormatting>
  <conditionalFormatting sqref="CF19">
    <cfRule type="expression" dxfId="2080" priority="2589" stopIfTrue="1">
      <formula>MOD(ROW(),2)=1</formula>
    </cfRule>
  </conditionalFormatting>
  <conditionalFormatting sqref="CF19">
    <cfRule type="expression" dxfId="2079" priority="2590" stopIfTrue="1">
      <formula>MOD(ROW(),2)=0</formula>
    </cfRule>
  </conditionalFormatting>
  <conditionalFormatting sqref="CF18">
    <cfRule type="expression" dxfId="2078" priority="2587" stopIfTrue="1">
      <formula>MOD(ROW(),2)=1</formula>
    </cfRule>
  </conditionalFormatting>
  <conditionalFormatting sqref="CF18">
    <cfRule type="expression" dxfId="2077" priority="2588" stopIfTrue="1">
      <formula>MOD(ROW(),2)=0</formula>
    </cfRule>
  </conditionalFormatting>
  <conditionalFormatting sqref="CF131">
    <cfRule type="expression" dxfId="2076" priority="2586" stopIfTrue="1">
      <formula>MOD(ROW(),2)=0</formula>
    </cfRule>
  </conditionalFormatting>
  <conditionalFormatting sqref="CF67">
    <cfRule type="expression" dxfId="2075" priority="2583" stopIfTrue="1">
      <formula>MOD(ROW(),2)=1</formula>
    </cfRule>
  </conditionalFormatting>
  <conditionalFormatting sqref="CF67">
    <cfRule type="expression" dxfId="2074" priority="2584" stopIfTrue="1">
      <formula>MOD(ROW(),2)=0</formula>
    </cfRule>
  </conditionalFormatting>
  <conditionalFormatting sqref="CF125">
    <cfRule type="expression" dxfId="2073" priority="2581" stopIfTrue="1">
      <formula>MOD(ROW(),2)=1</formula>
    </cfRule>
  </conditionalFormatting>
  <conditionalFormatting sqref="CF125">
    <cfRule type="expression" dxfId="2072" priority="2582" stopIfTrue="1">
      <formula>MOD(ROW(),2)=0</formula>
    </cfRule>
  </conditionalFormatting>
  <conditionalFormatting sqref="CF48">
    <cfRule type="expression" dxfId="2071" priority="2579" stopIfTrue="1">
      <formula>MOD(ROW(),2)=1</formula>
    </cfRule>
  </conditionalFormatting>
  <conditionalFormatting sqref="CF48">
    <cfRule type="expression" dxfId="2070" priority="2580" stopIfTrue="1">
      <formula>MOD(ROW(),2)=0</formula>
    </cfRule>
  </conditionalFormatting>
  <conditionalFormatting sqref="CF86">
    <cfRule type="expression" dxfId="2069" priority="2577" stopIfTrue="1">
      <formula>MOD(ROW(),2)=1</formula>
    </cfRule>
  </conditionalFormatting>
  <conditionalFormatting sqref="CF86">
    <cfRule type="expression" dxfId="2068" priority="2578" stopIfTrue="1">
      <formula>MOD(ROW(),2)=0</formula>
    </cfRule>
  </conditionalFormatting>
  <conditionalFormatting sqref="CF198">
    <cfRule type="expression" dxfId="2067" priority="2571" stopIfTrue="1">
      <formula>MOD(ROW(),2)=1</formula>
    </cfRule>
  </conditionalFormatting>
  <conditionalFormatting sqref="CF198">
    <cfRule type="expression" dxfId="2066" priority="2572" stopIfTrue="1">
      <formula>MOD(ROW(),2)=0</formula>
    </cfRule>
  </conditionalFormatting>
  <conditionalFormatting sqref="CF41">
    <cfRule type="expression" dxfId="2065" priority="2569" stopIfTrue="1">
      <formula>MOD(ROW(),2)=1</formula>
    </cfRule>
  </conditionalFormatting>
  <conditionalFormatting sqref="CF41">
    <cfRule type="expression" dxfId="2064" priority="2570" stopIfTrue="1">
      <formula>MOD(ROW(),2)=0</formula>
    </cfRule>
  </conditionalFormatting>
  <conditionalFormatting sqref="CF241">
    <cfRule type="expression" dxfId="2063" priority="2565" stopIfTrue="1">
      <formula>MOD(ROW(),2)=1</formula>
    </cfRule>
  </conditionalFormatting>
  <conditionalFormatting sqref="CF241">
    <cfRule type="expression" dxfId="2062" priority="2566" stopIfTrue="1">
      <formula>MOD(ROW(),2)=0</formula>
    </cfRule>
  </conditionalFormatting>
  <conditionalFormatting sqref="CF81">
    <cfRule type="expression" dxfId="2061" priority="2563" stopIfTrue="1">
      <formula>MOD(ROW(),2)=1</formula>
    </cfRule>
  </conditionalFormatting>
  <conditionalFormatting sqref="CF81">
    <cfRule type="expression" dxfId="2060" priority="2564" stopIfTrue="1">
      <formula>MOD(ROW(),2)=0</formula>
    </cfRule>
  </conditionalFormatting>
  <conditionalFormatting sqref="CF82">
    <cfRule type="expression" dxfId="2059" priority="2561" stopIfTrue="1">
      <formula>MOD(ROW(),2)=1</formula>
    </cfRule>
  </conditionalFormatting>
  <conditionalFormatting sqref="CF82">
    <cfRule type="expression" dxfId="2058" priority="2562" stopIfTrue="1">
      <formula>MOD(ROW(),2)=0</formula>
    </cfRule>
  </conditionalFormatting>
  <conditionalFormatting sqref="AD150">
    <cfRule type="expression" dxfId="2057" priority="2559" stopIfTrue="1">
      <formula>MOD(ROW(),2)=1</formula>
    </cfRule>
  </conditionalFormatting>
  <conditionalFormatting sqref="AD150">
    <cfRule type="expression" dxfId="2056" priority="2560" stopIfTrue="1">
      <formula>MOD(ROW(),2)=0</formula>
    </cfRule>
  </conditionalFormatting>
  <conditionalFormatting sqref="CF46">
    <cfRule type="expression" dxfId="2055" priority="2557" stopIfTrue="1">
      <formula>MOD(ROW(),2)=1</formula>
    </cfRule>
  </conditionalFormatting>
  <conditionalFormatting sqref="CF46">
    <cfRule type="expression" dxfId="2054" priority="2558" stopIfTrue="1">
      <formula>MOD(ROW(),2)=0</formula>
    </cfRule>
  </conditionalFormatting>
  <conditionalFormatting sqref="CF235">
    <cfRule type="expression" dxfId="2053" priority="2555" stopIfTrue="1">
      <formula>MOD(ROW(),2)=1</formula>
    </cfRule>
  </conditionalFormatting>
  <conditionalFormatting sqref="CF235">
    <cfRule type="expression" dxfId="2052" priority="2556" stopIfTrue="1">
      <formula>MOD(ROW(),2)=0</formula>
    </cfRule>
  </conditionalFormatting>
  <conditionalFormatting sqref="CF192">
    <cfRule type="expression" dxfId="2051" priority="2551" stopIfTrue="1">
      <formula>MOD(ROW(),2)=1</formula>
    </cfRule>
  </conditionalFormatting>
  <conditionalFormatting sqref="CF192">
    <cfRule type="expression" dxfId="2050" priority="2552" stopIfTrue="1">
      <formula>MOD(ROW(),2)=0</formula>
    </cfRule>
  </conditionalFormatting>
  <conditionalFormatting sqref="CF193">
    <cfRule type="expression" dxfId="2049" priority="2549" stopIfTrue="1">
      <formula>MOD(ROW(),2)=1</formula>
    </cfRule>
  </conditionalFormatting>
  <conditionalFormatting sqref="CF193">
    <cfRule type="expression" dxfId="2048" priority="2550" stopIfTrue="1">
      <formula>MOD(ROW(),2)=0</formula>
    </cfRule>
  </conditionalFormatting>
  <conditionalFormatting sqref="CF194">
    <cfRule type="expression" dxfId="2047" priority="2547" stopIfTrue="1">
      <formula>MOD(ROW(),2)=1</formula>
    </cfRule>
  </conditionalFormatting>
  <conditionalFormatting sqref="CF194">
    <cfRule type="expression" dxfId="2046" priority="2548" stopIfTrue="1">
      <formula>MOD(ROW(),2)=0</formula>
    </cfRule>
  </conditionalFormatting>
  <conditionalFormatting sqref="CF207">
    <cfRule type="expression" dxfId="2045" priority="2545" stopIfTrue="1">
      <formula>MOD(ROW(),2)=1</formula>
    </cfRule>
  </conditionalFormatting>
  <conditionalFormatting sqref="CF207">
    <cfRule type="expression" dxfId="2044" priority="2546" stopIfTrue="1">
      <formula>MOD(ROW(),2)=0</formula>
    </cfRule>
  </conditionalFormatting>
  <conditionalFormatting sqref="CF277">
    <cfRule type="expression" dxfId="2043" priority="2543" stopIfTrue="1">
      <formula>MOD(ROW(),2)=1</formula>
    </cfRule>
  </conditionalFormatting>
  <conditionalFormatting sqref="CF277">
    <cfRule type="expression" dxfId="2042" priority="2544" stopIfTrue="1">
      <formula>MOD(ROW(),2)=0</formula>
    </cfRule>
  </conditionalFormatting>
  <conditionalFormatting sqref="CF195">
    <cfRule type="expression" dxfId="2041" priority="2541" stopIfTrue="1">
      <formula>MOD(ROW(),2)=1</formula>
    </cfRule>
  </conditionalFormatting>
  <conditionalFormatting sqref="CF195">
    <cfRule type="expression" dxfId="2040" priority="2542" stopIfTrue="1">
      <formula>MOD(ROW(),2)=0</formula>
    </cfRule>
  </conditionalFormatting>
  <conditionalFormatting sqref="CF208">
    <cfRule type="expression" dxfId="2039" priority="2539" stopIfTrue="1">
      <formula>MOD(ROW(),2)=1</formula>
    </cfRule>
  </conditionalFormatting>
  <conditionalFormatting sqref="CF208">
    <cfRule type="expression" dxfId="2038" priority="2540" stopIfTrue="1">
      <formula>MOD(ROW(),2)=0</formula>
    </cfRule>
  </conditionalFormatting>
  <conditionalFormatting sqref="CF240">
    <cfRule type="expression" dxfId="2037" priority="2537" stopIfTrue="1">
      <formula>MOD(ROW(),2)=1</formula>
    </cfRule>
  </conditionalFormatting>
  <conditionalFormatting sqref="CF240">
    <cfRule type="expression" dxfId="2036" priority="2538" stopIfTrue="1">
      <formula>MOD(ROW(),2)=0</formula>
    </cfRule>
  </conditionalFormatting>
  <conditionalFormatting sqref="CF239">
    <cfRule type="expression" dxfId="2035" priority="2535" stopIfTrue="1">
      <formula>MOD(ROW(),2)=1</formula>
    </cfRule>
  </conditionalFormatting>
  <conditionalFormatting sqref="CF239">
    <cfRule type="expression" dxfId="2034" priority="2536" stopIfTrue="1">
      <formula>MOD(ROW(),2)=0</formula>
    </cfRule>
  </conditionalFormatting>
  <conditionalFormatting sqref="CF89">
    <cfRule type="expression" dxfId="2033" priority="2533" stopIfTrue="1">
      <formula>MOD(ROW(),2)=1</formula>
    </cfRule>
  </conditionalFormatting>
  <conditionalFormatting sqref="CF89">
    <cfRule type="expression" dxfId="2032" priority="2534" stopIfTrue="1">
      <formula>MOD(ROW(),2)=0</formula>
    </cfRule>
  </conditionalFormatting>
  <conditionalFormatting sqref="CF90">
    <cfRule type="expression" dxfId="2031" priority="2531" stopIfTrue="1">
      <formula>MOD(ROW(),2)=1</formula>
    </cfRule>
  </conditionalFormatting>
  <conditionalFormatting sqref="CF90">
    <cfRule type="expression" dxfId="2030" priority="2532" stopIfTrue="1">
      <formula>MOD(ROW(),2)=0</formula>
    </cfRule>
  </conditionalFormatting>
  <conditionalFormatting sqref="CF91">
    <cfRule type="expression" dxfId="2029" priority="2529" stopIfTrue="1">
      <formula>MOD(ROW(),2)=1</formula>
    </cfRule>
  </conditionalFormatting>
  <conditionalFormatting sqref="CF91">
    <cfRule type="expression" dxfId="2028" priority="2530" stopIfTrue="1">
      <formula>MOD(ROW(),2)=0</formula>
    </cfRule>
  </conditionalFormatting>
  <conditionalFormatting sqref="CF190">
    <cfRule type="expression" dxfId="2027" priority="2527" stopIfTrue="1">
      <formula>MOD(ROW(),2)=1</formula>
    </cfRule>
  </conditionalFormatting>
  <conditionalFormatting sqref="CF190">
    <cfRule type="expression" dxfId="2026" priority="2528" stopIfTrue="1">
      <formula>MOD(ROW(),2)=0</formula>
    </cfRule>
  </conditionalFormatting>
  <conditionalFormatting sqref="CF206">
    <cfRule type="expression" dxfId="2025" priority="2525" stopIfTrue="1">
      <formula>MOD(ROW(),2)=1</formula>
    </cfRule>
  </conditionalFormatting>
  <conditionalFormatting sqref="CF206">
    <cfRule type="expression" dxfId="2024" priority="2526" stopIfTrue="1">
      <formula>MOD(ROW(),2)=0</formula>
    </cfRule>
  </conditionalFormatting>
  <conditionalFormatting sqref="CF233">
    <cfRule type="expression" dxfId="2023" priority="2523" stopIfTrue="1">
      <formula>MOD(ROW(),2)=1</formula>
    </cfRule>
  </conditionalFormatting>
  <conditionalFormatting sqref="CF233">
    <cfRule type="expression" dxfId="2022" priority="2524" stopIfTrue="1">
      <formula>MOD(ROW(),2)=0</formula>
    </cfRule>
  </conditionalFormatting>
  <conditionalFormatting sqref="CF232">
    <cfRule type="expression" dxfId="2021" priority="2521" stopIfTrue="1">
      <formula>MOD(ROW(),2)=1</formula>
    </cfRule>
  </conditionalFormatting>
  <conditionalFormatting sqref="CF232">
    <cfRule type="expression" dxfId="2020" priority="2522" stopIfTrue="1">
      <formula>MOD(ROW(),2)=0</formula>
    </cfRule>
  </conditionalFormatting>
  <conditionalFormatting sqref="CF146">
    <cfRule type="expression" dxfId="2019" priority="2515" stopIfTrue="1">
      <formula>MOD(ROW(),2)=1</formula>
    </cfRule>
  </conditionalFormatting>
  <conditionalFormatting sqref="CF146">
    <cfRule type="expression" dxfId="2018" priority="2516" stopIfTrue="1">
      <formula>MOD(ROW(),2)=0</formula>
    </cfRule>
  </conditionalFormatting>
  <conditionalFormatting sqref="CF145">
    <cfRule type="expression" dxfId="2017" priority="2517" stopIfTrue="1">
      <formula>MOD(ROW(),2)=1</formula>
    </cfRule>
  </conditionalFormatting>
  <conditionalFormatting sqref="CF145">
    <cfRule type="expression" dxfId="2016" priority="2518" stopIfTrue="1">
      <formula>MOD(ROW(),2)=0</formula>
    </cfRule>
  </conditionalFormatting>
  <conditionalFormatting sqref="CF147">
    <cfRule type="expression" dxfId="2015" priority="2513" stopIfTrue="1">
      <formula>MOD(ROW(),2)=1</formula>
    </cfRule>
  </conditionalFormatting>
  <conditionalFormatting sqref="CF147">
    <cfRule type="expression" dxfId="2014" priority="2514" stopIfTrue="1">
      <formula>MOD(ROW(),2)=0</formula>
    </cfRule>
  </conditionalFormatting>
  <conditionalFormatting sqref="CF218">
    <cfRule type="expression" dxfId="2013" priority="2511" stopIfTrue="1">
      <formula>MOD(ROW(),2)=1</formula>
    </cfRule>
  </conditionalFormatting>
  <conditionalFormatting sqref="CF218">
    <cfRule type="expression" dxfId="2012" priority="2512" stopIfTrue="1">
      <formula>MOD(ROW(),2)=0</formula>
    </cfRule>
  </conditionalFormatting>
  <conditionalFormatting sqref="CF219">
    <cfRule type="expression" dxfId="2011" priority="2509" stopIfTrue="1">
      <formula>MOD(ROW(),2)=1</formula>
    </cfRule>
  </conditionalFormatting>
  <conditionalFormatting sqref="CF219">
    <cfRule type="expression" dxfId="2010" priority="2510" stopIfTrue="1">
      <formula>MOD(ROW(),2)=0</formula>
    </cfRule>
  </conditionalFormatting>
  <conditionalFormatting sqref="CF142">
    <cfRule type="expression" dxfId="2009" priority="2507" stopIfTrue="1">
      <formula>MOD(ROW(),2)=1</formula>
    </cfRule>
  </conditionalFormatting>
  <conditionalFormatting sqref="CF142">
    <cfRule type="expression" dxfId="2008" priority="2508" stopIfTrue="1">
      <formula>MOD(ROW(),2)=0</formula>
    </cfRule>
  </conditionalFormatting>
  <conditionalFormatting sqref="CF143">
    <cfRule type="expression" dxfId="2007" priority="2505" stopIfTrue="1">
      <formula>MOD(ROW(),2)=1</formula>
    </cfRule>
  </conditionalFormatting>
  <conditionalFormatting sqref="CF143">
    <cfRule type="expression" dxfId="2006" priority="2506" stopIfTrue="1">
      <formula>MOD(ROW(),2)=0</formula>
    </cfRule>
  </conditionalFormatting>
  <conditionalFormatting sqref="CF94">
    <cfRule type="expression" dxfId="2005" priority="2503" stopIfTrue="1">
      <formula>MOD(ROW(),2)=1</formula>
    </cfRule>
  </conditionalFormatting>
  <conditionalFormatting sqref="CF94">
    <cfRule type="expression" dxfId="2004" priority="2504" stopIfTrue="1">
      <formula>MOD(ROW(),2)=0</formula>
    </cfRule>
  </conditionalFormatting>
  <conditionalFormatting sqref="CF95">
    <cfRule type="expression" dxfId="2003" priority="2501" stopIfTrue="1">
      <formula>MOD(ROW(),2)=1</formula>
    </cfRule>
  </conditionalFormatting>
  <conditionalFormatting sqref="CF95">
    <cfRule type="expression" dxfId="2002" priority="2502" stopIfTrue="1">
      <formula>MOD(ROW(),2)=0</formula>
    </cfRule>
  </conditionalFormatting>
  <conditionalFormatting sqref="CF65">
    <cfRule type="expression" dxfId="2001" priority="2499" stopIfTrue="1">
      <formula>MOD(ROW(),2)=1</formula>
    </cfRule>
  </conditionalFormatting>
  <conditionalFormatting sqref="CF65">
    <cfRule type="expression" dxfId="2000" priority="2500" stopIfTrue="1">
      <formula>MOD(ROW(),2)=0</formula>
    </cfRule>
  </conditionalFormatting>
  <conditionalFormatting sqref="C242:J242 N242:P242 L242 BR242:CE242">
    <cfRule type="expression" dxfId="1999" priority="2493" stopIfTrue="1">
      <formula>MOD(ROW(),2)=1</formula>
    </cfRule>
  </conditionalFormatting>
  <conditionalFormatting sqref="C242:J242 N242:P242 L242 BR242:CE242">
    <cfRule type="expression" dxfId="1998" priority="2494" stopIfTrue="1">
      <formula>MOD(ROW(),2)=0</formula>
    </cfRule>
  </conditionalFormatting>
  <conditionalFormatting sqref="B242">
    <cfRule type="expression" dxfId="1997" priority="2489" stopIfTrue="1">
      <formula>MOD(ROW(),2)=1</formula>
    </cfRule>
  </conditionalFormatting>
  <conditionalFormatting sqref="B242">
    <cfRule type="expression" dxfId="1996" priority="2490" stopIfTrue="1">
      <formula>MOD(ROW(),2)=0</formula>
    </cfRule>
  </conditionalFormatting>
  <conditionalFormatting sqref="CF242">
    <cfRule type="expression" dxfId="1995" priority="2487" stopIfTrue="1">
      <formula>MOD(ROW(),2)=1</formula>
    </cfRule>
  </conditionalFormatting>
  <conditionalFormatting sqref="CF242">
    <cfRule type="expression" dxfId="1994" priority="2488" stopIfTrue="1">
      <formula>MOD(ROW(),2)=0</formula>
    </cfRule>
  </conditionalFormatting>
  <conditionalFormatting sqref="Q242:T242 W242:X242 Z242:AC242">
    <cfRule type="expression" dxfId="1993" priority="2485" stopIfTrue="1">
      <formula>MOD(ROW(),2)=1</formula>
    </cfRule>
  </conditionalFormatting>
  <conditionalFormatting sqref="Q242:T242 W242:X242 Z242:AC242">
    <cfRule type="expression" dxfId="1992" priority="2486" stopIfTrue="1">
      <formula>MOD(ROW(),2)=0</formula>
    </cfRule>
  </conditionalFormatting>
  <conditionalFormatting sqref="Y242">
    <cfRule type="expression" dxfId="1991" priority="2483" stopIfTrue="1">
      <formula>MOD(ROW(),2)=1</formula>
    </cfRule>
  </conditionalFormatting>
  <conditionalFormatting sqref="Y242">
    <cfRule type="expression" dxfId="1990" priority="2484" stopIfTrue="1">
      <formula>MOD(ROW(),2)=0</formula>
    </cfRule>
  </conditionalFormatting>
  <conditionalFormatting sqref="M236">
    <cfRule type="expression" dxfId="1989" priority="2455" stopIfTrue="1">
      <formula>MOD(ROW(),2)=1</formula>
    </cfRule>
  </conditionalFormatting>
  <conditionalFormatting sqref="M236">
    <cfRule type="expression" dxfId="1988" priority="2456" stopIfTrue="1">
      <formula>MOD(ROW(),2)=0</formula>
    </cfRule>
  </conditionalFormatting>
  <conditionalFormatting sqref="M241">
    <cfRule type="expression" dxfId="1987" priority="2453" stopIfTrue="1">
      <formula>MOD(ROW(),2)=1</formula>
    </cfRule>
  </conditionalFormatting>
  <conditionalFormatting sqref="M241">
    <cfRule type="expression" dxfId="1986" priority="2454" stopIfTrue="1">
      <formula>MOD(ROW(),2)=0</formula>
    </cfRule>
  </conditionalFormatting>
  <conditionalFormatting sqref="M242">
    <cfRule type="expression" dxfId="1985" priority="2451" stopIfTrue="1">
      <formula>MOD(ROW(),2)=1</formula>
    </cfRule>
  </conditionalFormatting>
  <conditionalFormatting sqref="M242">
    <cfRule type="expression" dxfId="1984" priority="2452" stopIfTrue="1">
      <formula>MOD(ROW(),2)=0</formula>
    </cfRule>
  </conditionalFormatting>
  <conditionalFormatting sqref="M234">
    <cfRule type="expression" dxfId="1983" priority="2449" stopIfTrue="1">
      <formula>MOD(ROW(),2)=1</formula>
    </cfRule>
  </conditionalFormatting>
  <conditionalFormatting sqref="M234">
    <cfRule type="expression" dxfId="1982" priority="2450" stopIfTrue="1">
      <formula>MOD(ROW(),2)=0</formula>
    </cfRule>
  </conditionalFormatting>
  <conditionalFormatting sqref="M235">
    <cfRule type="expression" dxfId="1981" priority="2447" stopIfTrue="1">
      <formula>MOD(ROW(),2)=1</formula>
    </cfRule>
  </conditionalFormatting>
  <conditionalFormatting sqref="M235">
    <cfRule type="expression" dxfId="1980" priority="2448" stopIfTrue="1">
      <formula>MOD(ROW(),2)=0</formula>
    </cfRule>
  </conditionalFormatting>
  <conditionalFormatting sqref="M215">
    <cfRule type="expression" dxfId="1979" priority="2445" stopIfTrue="1">
      <formula>MOD(ROW(),2)=1</formula>
    </cfRule>
  </conditionalFormatting>
  <conditionalFormatting sqref="M215">
    <cfRule type="expression" dxfId="1978" priority="2446" stopIfTrue="1">
      <formula>MOD(ROW(),2)=0</formula>
    </cfRule>
  </conditionalFormatting>
  <conditionalFormatting sqref="M214">
    <cfRule type="expression" dxfId="1977" priority="2443" stopIfTrue="1">
      <formula>MOD(ROW(),2)=1</formula>
    </cfRule>
  </conditionalFormatting>
  <conditionalFormatting sqref="M214">
    <cfRule type="expression" dxfId="1976" priority="2444" stopIfTrue="1">
      <formula>MOD(ROW(),2)=0</formula>
    </cfRule>
  </conditionalFormatting>
  <conditionalFormatting sqref="M213">
    <cfRule type="expression" dxfId="1975" priority="2441" stopIfTrue="1">
      <formula>MOD(ROW(),2)=1</formula>
    </cfRule>
  </conditionalFormatting>
  <conditionalFormatting sqref="M213">
    <cfRule type="expression" dxfId="1974" priority="2442" stopIfTrue="1">
      <formula>MOD(ROW(),2)=0</formula>
    </cfRule>
  </conditionalFormatting>
  <conditionalFormatting sqref="M211">
    <cfRule type="expression" dxfId="1973" priority="2439" stopIfTrue="1">
      <formula>MOD(ROW(),2)=1</formula>
    </cfRule>
  </conditionalFormatting>
  <conditionalFormatting sqref="M211">
    <cfRule type="expression" dxfId="1972" priority="2440" stopIfTrue="1">
      <formula>MOD(ROW(),2)=0</formula>
    </cfRule>
  </conditionalFormatting>
  <conditionalFormatting sqref="M203">
    <cfRule type="expression" dxfId="1971" priority="2437" stopIfTrue="1">
      <formula>MOD(ROW(),2)=1</formula>
    </cfRule>
  </conditionalFormatting>
  <conditionalFormatting sqref="M203">
    <cfRule type="expression" dxfId="1970" priority="2438" stopIfTrue="1">
      <formula>MOD(ROW(),2)=0</formula>
    </cfRule>
  </conditionalFormatting>
  <conditionalFormatting sqref="M201">
    <cfRule type="expression" dxfId="1969" priority="2435" stopIfTrue="1">
      <formula>MOD(ROW(),2)=1</formula>
    </cfRule>
  </conditionalFormatting>
  <conditionalFormatting sqref="M201">
    <cfRule type="expression" dxfId="1968" priority="2436" stopIfTrue="1">
      <formula>MOD(ROW(),2)=0</formula>
    </cfRule>
  </conditionalFormatting>
  <conditionalFormatting sqref="M191">
    <cfRule type="expression" dxfId="1967" priority="2433" stopIfTrue="1">
      <formula>MOD(ROW(),2)=1</formula>
    </cfRule>
  </conditionalFormatting>
  <conditionalFormatting sqref="M191">
    <cfRule type="expression" dxfId="1966" priority="2434" stopIfTrue="1">
      <formula>MOD(ROW(),2)=0</formula>
    </cfRule>
  </conditionalFormatting>
  <conditionalFormatting sqref="M187">
    <cfRule type="expression" dxfId="1965" priority="2431" stopIfTrue="1">
      <formula>MOD(ROW(),2)=1</formula>
    </cfRule>
  </conditionalFormatting>
  <conditionalFormatting sqref="M187">
    <cfRule type="expression" dxfId="1964" priority="2432" stopIfTrue="1">
      <formula>MOD(ROW(),2)=0</formula>
    </cfRule>
  </conditionalFormatting>
  <conditionalFormatting sqref="M182">
    <cfRule type="expression" dxfId="1963" priority="2429" stopIfTrue="1">
      <formula>MOD(ROW(),2)=1</formula>
    </cfRule>
  </conditionalFormatting>
  <conditionalFormatting sqref="M182">
    <cfRule type="expression" dxfId="1962" priority="2430" stopIfTrue="1">
      <formula>MOD(ROW(),2)=0</formula>
    </cfRule>
  </conditionalFormatting>
  <conditionalFormatting sqref="M133">
    <cfRule type="expression" dxfId="1961" priority="2427" stopIfTrue="1">
      <formula>MOD(ROW(),2)=1</formula>
    </cfRule>
  </conditionalFormatting>
  <conditionalFormatting sqref="M133">
    <cfRule type="expression" dxfId="1960" priority="2428" stopIfTrue="1">
      <formula>MOD(ROW(),2)=0</formula>
    </cfRule>
  </conditionalFormatting>
  <conditionalFormatting sqref="M132">
    <cfRule type="expression" dxfId="1959" priority="2425" stopIfTrue="1">
      <formula>MOD(ROW(),2)=1</formula>
    </cfRule>
  </conditionalFormatting>
  <conditionalFormatting sqref="M132">
    <cfRule type="expression" dxfId="1958" priority="2426" stopIfTrue="1">
      <formula>MOD(ROW(),2)=0</formula>
    </cfRule>
  </conditionalFormatting>
  <conditionalFormatting sqref="M46">
    <cfRule type="expression" dxfId="1957" priority="2423" stopIfTrue="1">
      <formula>MOD(ROW(),2)=1</formula>
    </cfRule>
  </conditionalFormatting>
  <conditionalFormatting sqref="M46">
    <cfRule type="expression" dxfId="1956" priority="2424" stopIfTrue="1">
      <formula>MOD(ROW(),2)=0</formula>
    </cfRule>
  </conditionalFormatting>
  <conditionalFormatting sqref="C237:L237 N237:P237 BR237:CE237">
    <cfRule type="expression" dxfId="1955" priority="2421" stopIfTrue="1">
      <formula>MOD(ROW(),2)=1</formula>
    </cfRule>
  </conditionalFormatting>
  <conditionalFormatting sqref="C237:L237 N237:P237 BR237:CE237">
    <cfRule type="expression" dxfId="1954" priority="2422" stopIfTrue="1">
      <formula>MOD(ROW(),2)=0</formula>
    </cfRule>
  </conditionalFormatting>
  <conditionalFormatting sqref="B237">
    <cfRule type="expression" dxfId="1953" priority="2419" stopIfTrue="1">
      <formula>MOD(ROW(),2)=1</formula>
    </cfRule>
  </conditionalFormatting>
  <conditionalFormatting sqref="B237">
    <cfRule type="expression" dxfId="1952" priority="2420" stopIfTrue="1">
      <formula>MOD(ROW(),2)=0</formula>
    </cfRule>
  </conditionalFormatting>
  <conditionalFormatting sqref="CF237">
    <cfRule type="expression" dxfId="1951" priority="2417" stopIfTrue="1">
      <formula>MOD(ROW(),2)=1</formula>
    </cfRule>
  </conditionalFormatting>
  <conditionalFormatting sqref="CF237">
    <cfRule type="expression" dxfId="1950" priority="2418" stopIfTrue="1">
      <formula>MOD(ROW(),2)=0</formula>
    </cfRule>
  </conditionalFormatting>
  <conditionalFormatting sqref="Q237:T237 W237:X237 Z237:AC237">
    <cfRule type="expression" dxfId="1949" priority="2415" stopIfTrue="1">
      <formula>MOD(ROW(),2)=1</formula>
    </cfRule>
  </conditionalFormatting>
  <conditionalFormatting sqref="Q237:T237 W237:X237 Z237:AC237">
    <cfRule type="expression" dxfId="1948" priority="2416" stopIfTrue="1">
      <formula>MOD(ROW(),2)=0</formula>
    </cfRule>
  </conditionalFormatting>
  <conditionalFormatting sqref="Y237">
    <cfRule type="expression" dxfId="1947" priority="2413" stopIfTrue="1">
      <formula>MOD(ROW(),2)=1</formula>
    </cfRule>
  </conditionalFormatting>
  <conditionalFormatting sqref="Y237">
    <cfRule type="expression" dxfId="1946" priority="2414" stopIfTrue="1">
      <formula>MOD(ROW(),2)=0</formula>
    </cfRule>
  </conditionalFormatting>
  <conditionalFormatting sqref="U237">
    <cfRule type="expression" dxfId="1945" priority="2411" stopIfTrue="1">
      <formula>MOD(ROW(),2)=1</formula>
    </cfRule>
  </conditionalFormatting>
  <conditionalFormatting sqref="U237">
    <cfRule type="expression" dxfId="1944" priority="2412" stopIfTrue="1">
      <formula>MOD(ROW(),2)=0</formula>
    </cfRule>
  </conditionalFormatting>
  <conditionalFormatting sqref="V237">
    <cfRule type="expression" dxfId="1943" priority="2409" stopIfTrue="1">
      <formula>MOD(ROW(),2)=1</formula>
    </cfRule>
  </conditionalFormatting>
  <conditionalFormatting sqref="V237">
    <cfRule type="expression" dxfId="1942" priority="2410" stopIfTrue="1">
      <formula>MOD(ROW(),2)=0</formula>
    </cfRule>
  </conditionalFormatting>
  <conditionalFormatting sqref="M237">
    <cfRule type="expression" dxfId="1941" priority="2407" stopIfTrue="1">
      <formula>MOD(ROW(),2)=1</formula>
    </cfRule>
  </conditionalFormatting>
  <conditionalFormatting sqref="M237">
    <cfRule type="expression" dxfId="1940" priority="2408" stopIfTrue="1">
      <formula>MOD(ROW(),2)=0</formula>
    </cfRule>
  </conditionalFormatting>
  <conditionalFormatting sqref="CF197">
    <cfRule type="expression" dxfId="1939" priority="2405" stopIfTrue="1">
      <formula>MOD(ROW(),2)=1</formula>
    </cfRule>
  </conditionalFormatting>
  <conditionalFormatting sqref="CF197">
    <cfRule type="expression" dxfId="1938" priority="2406" stopIfTrue="1">
      <formula>MOD(ROW(),2)=0</formula>
    </cfRule>
  </conditionalFormatting>
  <conditionalFormatting sqref="K242">
    <cfRule type="expression" dxfId="1937" priority="2403" stopIfTrue="1">
      <formula>MOD(ROW(),2)=1</formula>
    </cfRule>
  </conditionalFormatting>
  <conditionalFormatting sqref="K242">
    <cfRule type="expression" dxfId="1936" priority="2404" stopIfTrue="1">
      <formula>MOD(ROW(),2)=0</formula>
    </cfRule>
  </conditionalFormatting>
  <conditionalFormatting sqref="U242">
    <cfRule type="expression" dxfId="1935" priority="2401" stopIfTrue="1">
      <formula>MOD(ROW(),2)=1</formula>
    </cfRule>
  </conditionalFormatting>
  <conditionalFormatting sqref="U242">
    <cfRule type="expression" dxfId="1934" priority="2402" stopIfTrue="1">
      <formula>MOD(ROW(),2)=0</formula>
    </cfRule>
  </conditionalFormatting>
  <conditionalFormatting sqref="V242">
    <cfRule type="expression" dxfId="1933" priority="2399" stopIfTrue="1">
      <formula>MOD(ROW(),2)=1</formula>
    </cfRule>
  </conditionalFormatting>
  <conditionalFormatting sqref="V242">
    <cfRule type="expression" dxfId="1932" priority="2400" stopIfTrue="1">
      <formula>MOD(ROW(),2)=0</formula>
    </cfRule>
  </conditionalFormatting>
  <conditionalFormatting sqref="H207">
    <cfRule type="expression" dxfId="1931" priority="2397" stopIfTrue="1">
      <formula>MOD(ROW(),2)=1</formula>
    </cfRule>
  </conditionalFormatting>
  <conditionalFormatting sqref="H207">
    <cfRule type="expression" dxfId="1930" priority="2398" stopIfTrue="1">
      <formula>MOD(ROW(),2)=0</formula>
    </cfRule>
  </conditionalFormatting>
  <conditionalFormatting sqref="J207">
    <cfRule type="expression" dxfId="1929" priority="2395" stopIfTrue="1">
      <formula>MOD(ROW(),2)=1</formula>
    </cfRule>
  </conditionalFormatting>
  <conditionalFormatting sqref="J207">
    <cfRule type="expression" dxfId="1928" priority="2396" stopIfTrue="1">
      <formula>MOD(ROW(),2)=0</formula>
    </cfRule>
  </conditionalFormatting>
  <conditionalFormatting sqref="K207">
    <cfRule type="expression" dxfId="1927" priority="2393" stopIfTrue="1">
      <formula>MOD(ROW(),2)=1</formula>
    </cfRule>
  </conditionalFormatting>
  <conditionalFormatting sqref="K207">
    <cfRule type="expression" dxfId="1926" priority="2394" stopIfTrue="1">
      <formula>MOD(ROW(),2)=0</formula>
    </cfRule>
  </conditionalFormatting>
  <conditionalFormatting sqref="B244:C244">
    <cfRule type="expression" dxfId="1925" priority="2391" stopIfTrue="1">
      <formula>MOD(ROW(),2)=1</formula>
    </cfRule>
  </conditionalFormatting>
  <conditionalFormatting sqref="B244:C244">
    <cfRule type="expression" dxfId="1924" priority="2392" stopIfTrue="1">
      <formula>MOD(ROW(),2)=0</formula>
    </cfRule>
  </conditionalFormatting>
  <conditionalFormatting sqref="D244">
    <cfRule type="expression" dxfId="1923" priority="2389" stopIfTrue="1">
      <formula>MOD(ROW(),2)=1</formula>
    </cfRule>
  </conditionalFormatting>
  <conditionalFormatting sqref="D244">
    <cfRule type="expression" dxfId="1922" priority="2390" stopIfTrue="1">
      <formula>MOD(ROW(),2)=0</formula>
    </cfRule>
  </conditionalFormatting>
  <conditionalFormatting sqref="I243">
    <cfRule type="expression" dxfId="1921" priority="2387" stopIfTrue="1">
      <formula>MOD(ROW(),2)=1</formula>
    </cfRule>
  </conditionalFormatting>
  <conditionalFormatting sqref="I243">
    <cfRule type="expression" dxfId="1920" priority="2388" stopIfTrue="1">
      <formula>MOD(ROW(),2)=0</formula>
    </cfRule>
  </conditionalFormatting>
  <conditionalFormatting sqref="K243:L243">
    <cfRule type="expression" dxfId="1919" priority="2385" stopIfTrue="1">
      <formula>MOD(ROW(),2)=1</formula>
    </cfRule>
  </conditionalFormatting>
  <conditionalFormatting sqref="K243:L243">
    <cfRule type="expression" dxfId="1918" priority="2386" stopIfTrue="1">
      <formula>MOD(ROW(),2)=0</formula>
    </cfRule>
  </conditionalFormatting>
  <conditionalFormatting sqref="K244">
    <cfRule type="expression" dxfId="1917" priority="2383" stopIfTrue="1">
      <formula>MOD(ROW(),2)=1</formula>
    </cfRule>
  </conditionalFormatting>
  <conditionalFormatting sqref="K244">
    <cfRule type="expression" dxfId="1916" priority="2384" stopIfTrue="1">
      <formula>MOD(ROW(),2)=0</formula>
    </cfRule>
  </conditionalFormatting>
  <conditionalFormatting sqref="N243:O244">
    <cfRule type="expression" dxfId="1915" priority="2381" stopIfTrue="1">
      <formula>MOD(ROW(),2)=1</formula>
    </cfRule>
  </conditionalFormatting>
  <conditionalFormatting sqref="N243:O244">
    <cfRule type="expression" dxfId="1914" priority="2382" stopIfTrue="1">
      <formula>MOD(ROW(),2)=0</formula>
    </cfRule>
  </conditionalFormatting>
  <conditionalFormatting sqref="Q243:R243">
    <cfRule type="expression" dxfId="1913" priority="2379" stopIfTrue="1">
      <formula>MOD(ROW(),2)=1</formula>
    </cfRule>
  </conditionalFormatting>
  <conditionalFormatting sqref="Q243:R243">
    <cfRule type="expression" dxfId="1912" priority="2380" stopIfTrue="1">
      <formula>MOD(ROW(),2)=0</formula>
    </cfRule>
  </conditionalFormatting>
  <conditionalFormatting sqref="Q244:R244">
    <cfRule type="expression" dxfId="1911" priority="2377" stopIfTrue="1">
      <formula>MOD(ROW(),2)=1</formula>
    </cfRule>
  </conditionalFormatting>
  <conditionalFormatting sqref="Q244:R244">
    <cfRule type="expression" dxfId="1910" priority="2378" stopIfTrue="1">
      <formula>MOD(ROW(),2)=0</formula>
    </cfRule>
  </conditionalFormatting>
  <conditionalFormatting sqref="W243:W244">
    <cfRule type="expression" dxfId="1909" priority="2375" stopIfTrue="1">
      <formula>MOD(ROW(),2)=1</formula>
    </cfRule>
  </conditionalFormatting>
  <conditionalFormatting sqref="W243:W244">
    <cfRule type="expression" dxfId="1908" priority="2376" stopIfTrue="1">
      <formula>MOD(ROW(),2)=0</formula>
    </cfRule>
  </conditionalFormatting>
  <conditionalFormatting sqref="Z243:AC243">
    <cfRule type="expression" dxfId="1907" priority="2373" stopIfTrue="1">
      <formula>MOD(ROW(),2)=1</formula>
    </cfRule>
  </conditionalFormatting>
  <conditionalFormatting sqref="Z243:AC243">
    <cfRule type="expression" dxfId="1906" priority="2374" stopIfTrue="1">
      <formula>MOD(ROW(),2)=0</formula>
    </cfRule>
  </conditionalFormatting>
  <conditionalFormatting sqref="Z244:AC244">
    <cfRule type="expression" dxfId="1905" priority="2371" stopIfTrue="1">
      <formula>MOD(ROW(),2)=1</formula>
    </cfRule>
  </conditionalFormatting>
  <conditionalFormatting sqref="Z244:AC244">
    <cfRule type="expression" dxfId="1904" priority="2372" stopIfTrue="1">
      <formula>MOD(ROW(),2)=0</formula>
    </cfRule>
  </conditionalFormatting>
  <conditionalFormatting sqref="AE243:AI243">
    <cfRule type="expression" dxfId="1903" priority="2369" stopIfTrue="1">
      <formula>MOD(ROW(),2)=1</formula>
    </cfRule>
  </conditionalFormatting>
  <conditionalFormatting sqref="AE243:AI243">
    <cfRule type="expression" dxfId="1902" priority="2370" stopIfTrue="1">
      <formula>MOD(ROW(),2)=0</formula>
    </cfRule>
  </conditionalFormatting>
  <conditionalFormatting sqref="CF243">
    <cfRule type="expression" dxfId="1901" priority="2367" stopIfTrue="1">
      <formula>MOD(ROW(),2)=1</formula>
    </cfRule>
  </conditionalFormatting>
  <conditionalFormatting sqref="CF243">
    <cfRule type="expression" dxfId="1900" priority="2368" stopIfTrue="1">
      <formula>MOD(ROW(),2)=0</formula>
    </cfRule>
  </conditionalFormatting>
  <conditionalFormatting sqref="CF244">
    <cfRule type="expression" dxfId="1899" priority="2365" stopIfTrue="1">
      <formula>MOD(ROW(),2)=1</formula>
    </cfRule>
  </conditionalFormatting>
  <conditionalFormatting sqref="CF244">
    <cfRule type="expression" dxfId="1898" priority="2366" stopIfTrue="1">
      <formula>MOD(ROW(),2)=0</formula>
    </cfRule>
  </conditionalFormatting>
  <conditionalFormatting sqref="I183">
    <cfRule type="expression" dxfId="1897" priority="2363" stopIfTrue="1">
      <formula>MOD(ROW(),2)=1</formula>
    </cfRule>
  </conditionalFormatting>
  <conditionalFormatting sqref="I183">
    <cfRule type="expression" dxfId="1896" priority="2364" stopIfTrue="1">
      <formula>MOD(ROW(),2)=0</formula>
    </cfRule>
  </conditionalFormatting>
  <conditionalFormatting sqref="I184">
    <cfRule type="expression" dxfId="1895" priority="2361" stopIfTrue="1">
      <formula>MOD(ROW(),2)=1</formula>
    </cfRule>
  </conditionalFormatting>
  <conditionalFormatting sqref="I184">
    <cfRule type="expression" dxfId="1894" priority="2362" stopIfTrue="1">
      <formula>MOD(ROW(),2)=0</formula>
    </cfRule>
  </conditionalFormatting>
  <conditionalFormatting sqref="B248:C248">
    <cfRule type="expression" dxfId="1893" priority="2359" stopIfTrue="1">
      <formula>MOD(ROW(),2)=1</formula>
    </cfRule>
  </conditionalFormatting>
  <conditionalFormatting sqref="B248:C248">
    <cfRule type="expression" dxfId="1892" priority="2360" stopIfTrue="1">
      <formula>MOD(ROW(),2)=0</formula>
    </cfRule>
  </conditionalFormatting>
  <conditionalFormatting sqref="D248">
    <cfRule type="expression" dxfId="1891" priority="2357" stopIfTrue="1">
      <formula>MOD(ROW(),2)=1</formula>
    </cfRule>
  </conditionalFormatting>
  <conditionalFormatting sqref="D248">
    <cfRule type="expression" dxfId="1890" priority="2358" stopIfTrue="1">
      <formula>MOD(ROW(),2)=0</formula>
    </cfRule>
  </conditionalFormatting>
  <conditionalFormatting sqref="U248">
    <cfRule type="expression" dxfId="1889" priority="2353" stopIfTrue="1">
      <formula>MOD(ROW(),2)=1</formula>
    </cfRule>
  </conditionalFormatting>
  <conditionalFormatting sqref="U248">
    <cfRule type="expression" dxfId="1888" priority="2354" stopIfTrue="1">
      <formula>MOD(ROW(),2)=0</formula>
    </cfRule>
  </conditionalFormatting>
  <conditionalFormatting sqref="T248">
    <cfRule type="expression" dxfId="1887" priority="2355" stopIfTrue="1">
      <formula>MOD(ROW(),2)=1</formula>
    </cfRule>
  </conditionalFormatting>
  <conditionalFormatting sqref="T248">
    <cfRule type="expression" dxfId="1886" priority="2356" stopIfTrue="1">
      <formula>MOD(ROW(),2)=0</formula>
    </cfRule>
  </conditionalFormatting>
  <conditionalFormatting sqref="K247">
    <cfRule type="expression" dxfId="1885" priority="2351" stopIfTrue="1">
      <formula>MOD(ROW(),2)=1</formula>
    </cfRule>
  </conditionalFormatting>
  <conditionalFormatting sqref="K247">
    <cfRule type="expression" dxfId="1884" priority="2352" stopIfTrue="1">
      <formula>MOD(ROW(),2)=0</formula>
    </cfRule>
  </conditionalFormatting>
  <conditionalFormatting sqref="K248">
    <cfRule type="expression" dxfId="1883" priority="2349" stopIfTrue="1">
      <formula>MOD(ROW(),2)=1</formula>
    </cfRule>
  </conditionalFormatting>
  <conditionalFormatting sqref="K248">
    <cfRule type="expression" dxfId="1882" priority="2350" stopIfTrue="1">
      <formula>MOD(ROW(),2)=0</formula>
    </cfRule>
  </conditionalFormatting>
  <conditionalFormatting sqref="CF69">
    <cfRule type="expression" dxfId="1881" priority="2347" stopIfTrue="1">
      <formula>MOD(ROW(),2)=1</formula>
    </cfRule>
  </conditionalFormatting>
  <conditionalFormatting sqref="CF69">
    <cfRule type="expression" dxfId="1880" priority="2348" stopIfTrue="1">
      <formula>MOD(ROW(),2)=0</formula>
    </cfRule>
  </conditionalFormatting>
  <conditionalFormatting sqref="CF209">
    <cfRule type="expression" dxfId="1879" priority="2345" stopIfTrue="1">
      <formula>MOD(ROW(),2)=1</formula>
    </cfRule>
  </conditionalFormatting>
  <conditionalFormatting sqref="CF209">
    <cfRule type="expression" dxfId="1878" priority="2346" stopIfTrue="1">
      <formula>MOD(ROW(),2)=0</formula>
    </cfRule>
  </conditionalFormatting>
  <conditionalFormatting sqref="CF210">
    <cfRule type="expression" dxfId="1877" priority="2343" stopIfTrue="1">
      <formula>MOD(ROW(),2)=1</formula>
    </cfRule>
  </conditionalFormatting>
  <conditionalFormatting sqref="CF210">
    <cfRule type="expression" dxfId="1876" priority="2344" stopIfTrue="1">
      <formula>MOD(ROW(),2)=0</formula>
    </cfRule>
  </conditionalFormatting>
  <conditionalFormatting sqref="CF250">
    <cfRule type="expression" dxfId="1875" priority="2341" stopIfTrue="1">
      <formula>MOD(ROW(),2)=1</formula>
    </cfRule>
  </conditionalFormatting>
  <conditionalFormatting sqref="CF250">
    <cfRule type="expression" dxfId="1874" priority="2342" stopIfTrue="1">
      <formula>MOD(ROW(),2)=0</formula>
    </cfRule>
  </conditionalFormatting>
  <conditionalFormatting sqref="B213">
    <cfRule type="expression" dxfId="1873" priority="2309" stopIfTrue="1">
      <formula>MOD(ROW(),2)=1</formula>
    </cfRule>
  </conditionalFormatting>
  <conditionalFormatting sqref="B213">
    <cfRule type="expression" dxfId="1872" priority="2310" stopIfTrue="1">
      <formula>MOD(ROW(),2)=0</formula>
    </cfRule>
  </conditionalFormatting>
  <conditionalFormatting sqref="CF78">
    <cfRule type="expression" dxfId="1871" priority="2305" stopIfTrue="1">
      <formula>MOD(ROW(),2)=1</formula>
    </cfRule>
  </conditionalFormatting>
  <conditionalFormatting sqref="CF78">
    <cfRule type="expression" dxfId="1870" priority="2306" stopIfTrue="1">
      <formula>MOD(ROW(),2)=0</formula>
    </cfRule>
  </conditionalFormatting>
  <conditionalFormatting sqref="B37">
    <cfRule type="expression" dxfId="1869" priority="2331" stopIfTrue="1">
      <formula>MOD(ROW(),2)=1</formula>
    </cfRule>
  </conditionalFormatting>
  <conditionalFormatting sqref="B37">
    <cfRule type="expression" dxfId="1868" priority="2332" stopIfTrue="1">
      <formula>MOD(ROW(),2)=0</formula>
    </cfRule>
  </conditionalFormatting>
  <conditionalFormatting sqref="B252:C252">
    <cfRule type="expression" dxfId="1867" priority="2329" stopIfTrue="1">
      <formula>MOD(ROW(),2)=1</formula>
    </cfRule>
  </conditionalFormatting>
  <conditionalFormatting sqref="B252:C252">
    <cfRule type="expression" dxfId="1866" priority="2330" stopIfTrue="1">
      <formula>MOD(ROW(),2)=0</formula>
    </cfRule>
  </conditionalFormatting>
  <conditionalFormatting sqref="D252:E252">
    <cfRule type="expression" dxfId="1865" priority="2327" stopIfTrue="1">
      <formula>MOD(ROW(),2)=1</formula>
    </cfRule>
  </conditionalFormatting>
  <conditionalFormatting sqref="D252:E252">
    <cfRule type="expression" dxfId="1864" priority="2328" stopIfTrue="1">
      <formula>MOD(ROW(),2)=0</formula>
    </cfRule>
  </conditionalFormatting>
  <conditionalFormatting sqref="B119">
    <cfRule type="expression" dxfId="1863" priority="2325" stopIfTrue="1">
      <formula>MOD(ROW(),2)=1</formula>
    </cfRule>
  </conditionalFormatting>
  <conditionalFormatting sqref="B119">
    <cfRule type="expression" dxfId="1862" priority="2326" stopIfTrue="1">
      <formula>MOD(ROW(),2)=0</formula>
    </cfRule>
  </conditionalFormatting>
  <conditionalFormatting sqref="B188">
    <cfRule type="expression" dxfId="1861" priority="2323" stopIfTrue="1">
      <formula>MOD(ROW(),2)=1</formula>
    </cfRule>
  </conditionalFormatting>
  <conditionalFormatting sqref="B188">
    <cfRule type="expression" dxfId="1860" priority="2324" stopIfTrue="1">
      <formula>MOD(ROW(),2)=0</formula>
    </cfRule>
  </conditionalFormatting>
  <conditionalFormatting sqref="B189">
    <cfRule type="expression" dxfId="1859" priority="2321" stopIfTrue="1">
      <formula>MOD(ROW(),2)=1</formula>
    </cfRule>
  </conditionalFormatting>
  <conditionalFormatting sqref="B189">
    <cfRule type="expression" dxfId="1858" priority="2322" stopIfTrue="1">
      <formula>MOD(ROW(),2)=0</formula>
    </cfRule>
  </conditionalFormatting>
  <conditionalFormatting sqref="B203">
    <cfRule type="expression" dxfId="1857" priority="2319" stopIfTrue="1">
      <formula>MOD(ROW(),2)=1</formula>
    </cfRule>
  </conditionalFormatting>
  <conditionalFormatting sqref="B203">
    <cfRule type="expression" dxfId="1856" priority="2320" stopIfTrue="1">
      <formula>MOD(ROW(),2)=0</formula>
    </cfRule>
  </conditionalFormatting>
  <conditionalFormatting sqref="CF188">
    <cfRule type="expression" dxfId="1855" priority="2317" stopIfTrue="1">
      <formula>MOD(ROW(),2)=1</formula>
    </cfRule>
  </conditionalFormatting>
  <conditionalFormatting sqref="CF188">
    <cfRule type="expression" dxfId="1854" priority="2318" stopIfTrue="1">
      <formula>MOD(ROW(),2)=0</formula>
    </cfRule>
  </conditionalFormatting>
  <conditionalFormatting sqref="CF189">
    <cfRule type="expression" dxfId="1853" priority="2315" stopIfTrue="1">
      <formula>MOD(ROW(),2)=1</formula>
    </cfRule>
  </conditionalFormatting>
  <conditionalFormatting sqref="CF189">
    <cfRule type="expression" dxfId="1852" priority="2316" stopIfTrue="1">
      <formula>MOD(ROW(),2)=0</formula>
    </cfRule>
  </conditionalFormatting>
  <conditionalFormatting sqref="CF202">
    <cfRule type="expression" dxfId="1851" priority="2313" stopIfTrue="1">
      <formula>MOD(ROW(),2)=1</formula>
    </cfRule>
  </conditionalFormatting>
  <conditionalFormatting sqref="CF202">
    <cfRule type="expression" dxfId="1850" priority="2314" stopIfTrue="1">
      <formula>MOD(ROW(),2)=0</formula>
    </cfRule>
  </conditionalFormatting>
  <conditionalFormatting sqref="CF203">
    <cfRule type="expression" dxfId="1849" priority="2311" stopIfTrue="1">
      <formula>MOD(ROW(),2)=1</formula>
    </cfRule>
  </conditionalFormatting>
  <conditionalFormatting sqref="CF203">
    <cfRule type="expression" dxfId="1848" priority="2312" stopIfTrue="1">
      <formula>MOD(ROW(),2)=0</formula>
    </cfRule>
  </conditionalFormatting>
  <conditionalFormatting sqref="CF77">
    <cfRule type="expression" dxfId="1847" priority="2307" stopIfTrue="1">
      <formula>MOD(ROW(),2)=1</formula>
    </cfRule>
  </conditionalFormatting>
  <conditionalFormatting sqref="CF77">
    <cfRule type="expression" dxfId="1846" priority="2308" stopIfTrue="1">
      <formula>MOD(ROW(),2)=0</formula>
    </cfRule>
  </conditionalFormatting>
  <conditionalFormatting sqref="CF79">
    <cfRule type="expression" dxfId="1845" priority="2303" stopIfTrue="1">
      <formula>MOD(ROW(),2)=1</formula>
    </cfRule>
  </conditionalFormatting>
  <conditionalFormatting sqref="CF79">
    <cfRule type="expression" dxfId="1844" priority="2304" stopIfTrue="1">
      <formula>MOD(ROW(),2)=0</formula>
    </cfRule>
  </conditionalFormatting>
  <conditionalFormatting sqref="CE244">
    <cfRule type="expression" dxfId="1843" priority="2299" stopIfTrue="1">
      <formula>MOD(ROW(),2)=1</formula>
    </cfRule>
  </conditionalFormatting>
  <conditionalFormatting sqref="CE244">
    <cfRule type="expression" dxfId="1842" priority="2300" stopIfTrue="1">
      <formula>MOD(ROW(),2)=0</formula>
    </cfRule>
  </conditionalFormatting>
  <conditionalFormatting sqref="G73">
    <cfRule type="expression" dxfId="1841" priority="2297" stopIfTrue="1">
      <formula>MOD(ROW(),2)=1</formula>
    </cfRule>
  </conditionalFormatting>
  <conditionalFormatting sqref="G73">
    <cfRule type="expression" dxfId="1840" priority="2298" stopIfTrue="1">
      <formula>MOD(ROW(),2)=0</formula>
    </cfRule>
  </conditionalFormatting>
  <conditionalFormatting sqref="G72">
    <cfRule type="expression" dxfId="1839" priority="2295" stopIfTrue="1">
      <formula>MOD(ROW(),2)=1</formula>
    </cfRule>
  </conditionalFormatting>
  <conditionalFormatting sqref="G72">
    <cfRule type="expression" dxfId="1838" priority="2296" stopIfTrue="1">
      <formula>MOD(ROW(),2)=0</formula>
    </cfRule>
  </conditionalFormatting>
  <conditionalFormatting sqref="W253:X253 L253:T253 Z253:AD253 B253:J253 CA253:CF253 BR253:BY253">
    <cfRule type="expression" dxfId="1837" priority="2291" stopIfTrue="1">
      <formula>MOD(ROW(),2)=1</formula>
    </cfRule>
  </conditionalFormatting>
  <conditionalFormatting sqref="W253:X253 L253:T253 Z253:AD253 B253:J253 CA253:CF253 BR253:BY253">
    <cfRule type="expression" dxfId="1836" priority="2292" stopIfTrue="1">
      <formula>MOD(ROW(),2)=0</formula>
    </cfRule>
  </conditionalFormatting>
  <conditionalFormatting sqref="U253">
    <cfRule type="expression" dxfId="1835" priority="2289" stopIfTrue="1">
      <formula>MOD(ROW(),2)=1</formula>
    </cfRule>
  </conditionalFormatting>
  <conditionalFormatting sqref="U253">
    <cfRule type="expression" dxfId="1834" priority="2290" stopIfTrue="1">
      <formula>MOD(ROW(),2)=0</formula>
    </cfRule>
  </conditionalFormatting>
  <conditionalFormatting sqref="V253">
    <cfRule type="expression" dxfId="1833" priority="2287" stopIfTrue="1">
      <formula>MOD(ROW(),2)=1</formula>
    </cfRule>
  </conditionalFormatting>
  <conditionalFormatting sqref="V253">
    <cfRule type="expression" dxfId="1832" priority="2288" stopIfTrue="1">
      <formula>MOD(ROW(),2)=0</formula>
    </cfRule>
  </conditionalFormatting>
  <conditionalFormatting sqref="Y253">
    <cfRule type="expression" dxfId="1831" priority="2285" stopIfTrue="1">
      <formula>MOD(ROW(),2)=1</formula>
    </cfRule>
  </conditionalFormatting>
  <conditionalFormatting sqref="Y253">
    <cfRule type="expression" dxfId="1830" priority="2286" stopIfTrue="1">
      <formula>MOD(ROW(),2)=0</formula>
    </cfRule>
  </conditionalFormatting>
  <conditionalFormatting sqref="K253">
    <cfRule type="expression" dxfId="1829" priority="2283" stopIfTrue="1">
      <formula>MOD(ROW(),2)=1</formula>
    </cfRule>
  </conditionalFormatting>
  <conditionalFormatting sqref="K253">
    <cfRule type="expression" dxfId="1828" priority="2284" stopIfTrue="1">
      <formula>MOD(ROW(),2)=0</formula>
    </cfRule>
  </conditionalFormatting>
  <conditionalFormatting sqref="CF254">
    <cfRule type="expression" dxfId="1827" priority="2281" stopIfTrue="1">
      <formula>MOD(ROW(),2)=1</formula>
    </cfRule>
  </conditionalFormatting>
  <conditionalFormatting sqref="CF254">
    <cfRule type="expression" dxfId="1826" priority="2282" stopIfTrue="1">
      <formula>MOD(ROW(),2)=0</formula>
    </cfRule>
  </conditionalFormatting>
  <conditionalFormatting sqref="K241">
    <cfRule type="expression" dxfId="1825" priority="2279" stopIfTrue="1">
      <formula>MOD(ROW(),2)=1</formula>
    </cfRule>
  </conditionalFormatting>
  <conditionalFormatting sqref="K241">
    <cfRule type="expression" dxfId="1824" priority="2280" stopIfTrue="1">
      <formula>MOD(ROW(),2)=0</formula>
    </cfRule>
  </conditionalFormatting>
  <conditionalFormatting sqref="V241">
    <cfRule type="expression" dxfId="1823" priority="2277" stopIfTrue="1">
      <formula>MOD(ROW(),2)=1</formula>
    </cfRule>
  </conditionalFormatting>
  <conditionalFormatting sqref="V241">
    <cfRule type="expression" dxfId="1822" priority="2278" stopIfTrue="1">
      <formula>MOD(ROW(),2)=0</formula>
    </cfRule>
  </conditionalFormatting>
  <conditionalFormatting sqref="V254">
    <cfRule type="expression" dxfId="1821" priority="2275" stopIfTrue="1">
      <formula>MOD(ROW(),2)=1</formula>
    </cfRule>
  </conditionalFormatting>
  <conditionalFormatting sqref="V254">
    <cfRule type="expression" dxfId="1820" priority="2276" stopIfTrue="1">
      <formula>MOD(ROW(),2)=0</formula>
    </cfRule>
  </conditionalFormatting>
  <conditionalFormatting sqref="CE81">
    <cfRule type="expression" dxfId="1819" priority="2273" stopIfTrue="1">
      <formula>MOD(ROW(),2)=1</formula>
    </cfRule>
  </conditionalFormatting>
  <conditionalFormatting sqref="CE81">
    <cfRule type="expression" dxfId="1818" priority="2274" stopIfTrue="1">
      <formula>MOD(ROW(),2)=0</formula>
    </cfRule>
  </conditionalFormatting>
  <conditionalFormatting sqref="BZ81">
    <cfRule type="expression" dxfId="1817" priority="2269" stopIfTrue="1">
      <formula>MOD(ROW(),2)=1</formula>
    </cfRule>
  </conditionalFormatting>
  <conditionalFormatting sqref="BZ81">
    <cfRule type="expression" dxfId="1816" priority="2270" stopIfTrue="1">
      <formula>MOD(ROW(),2)=0</formula>
    </cfRule>
  </conditionalFormatting>
  <conditionalFormatting sqref="BY64:BZ64 CE64 CB64:CC64">
    <cfRule type="expression" dxfId="1815" priority="2263" stopIfTrue="1">
      <formula>MOD(ROW(),2)=1</formula>
    </cfRule>
  </conditionalFormatting>
  <conditionalFormatting sqref="BY64:BZ64 CE64 CB64:CC64">
    <cfRule type="expression" dxfId="1814" priority="2264" stopIfTrue="1">
      <formula>MOD(ROW(),2)=0</formula>
    </cfRule>
  </conditionalFormatting>
  <conditionalFormatting sqref="BZ217">
    <cfRule type="expression" dxfId="1813" priority="2261" stopIfTrue="1">
      <formula>MOD(ROW(),2)=1</formula>
    </cfRule>
  </conditionalFormatting>
  <conditionalFormatting sqref="BZ217">
    <cfRule type="expression" dxfId="1812" priority="2262" stopIfTrue="1">
      <formula>MOD(ROW(),2)=0</formula>
    </cfRule>
  </conditionalFormatting>
  <conditionalFormatting sqref="BZ44">
    <cfRule type="expression" dxfId="1811" priority="2259" stopIfTrue="1">
      <formula>MOD(ROW(),2)=1</formula>
    </cfRule>
  </conditionalFormatting>
  <conditionalFormatting sqref="BZ44">
    <cfRule type="expression" dxfId="1810" priority="2260" stopIfTrue="1">
      <formula>MOD(ROW(),2)=0</formula>
    </cfRule>
  </conditionalFormatting>
  <conditionalFormatting sqref="CE44">
    <cfRule type="expression" dxfId="1809" priority="2257" stopIfTrue="1">
      <formula>MOD(ROW(),2)=1</formula>
    </cfRule>
  </conditionalFormatting>
  <conditionalFormatting sqref="CE44">
    <cfRule type="expression" dxfId="1808" priority="2258" stopIfTrue="1">
      <formula>MOD(ROW(),2)=0</formula>
    </cfRule>
  </conditionalFormatting>
  <conditionalFormatting sqref="CB44">
    <cfRule type="expression" dxfId="1807" priority="2255" stopIfTrue="1">
      <formula>MOD(ROW(),2)=1</formula>
    </cfRule>
  </conditionalFormatting>
  <conditionalFormatting sqref="CB44">
    <cfRule type="expression" dxfId="1806" priority="2256" stopIfTrue="1">
      <formula>MOD(ROW(),2)=0</formula>
    </cfRule>
  </conditionalFormatting>
  <conditionalFormatting sqref="BU44">
    <cfRule type="expression" dxfId="1805" priority="2253" stopIfTrue="1">
      <formula>MOD(ROW(),2)=1</formula>
    </cfRule>
  </conditionalFormatting>
  <conditionalFormatting sqref="BU44">
    <cfRule type="expression" dxfId="1804" priority="2254" stopIfTrue="1">
      <formula>MOD(ROW(),2)=0</formula>
    </cfRule>
  </conditionalFormatting>
  <conditionalFormatting sqref="BS44">
    <cfRule type="expression" dxfId="1803" priority="2243" stopIfTrue="1">
      <formula>MOD(ROW(),2)=1</formula>
    </cfRule>
  </conditionalFormatting>
  <conditionalFormatting sqref="BS44">
    <cfRule type="expression" dxfId="1802" priority="2244" stopIfTrue="1">
      <formula>MOD(ROW(),2)=0</formula>
    </cfRule>
  </conditionalFormatting>
  <conditionalFormatting sqref="T44">
    <cfRule type="expression" dxfId="1801" priority="2237" stopIfTrue="1">
      <formula>MOD(ROW(),2)=1</formula>
    </cfRule>
  </conditionalFormatting>
  <conditionalFormatting sqref="S44">
    <cfRule type="expression" dxfId="1800" priority="2249" stopIfTrue="1">
      <formula>MOD(ROW(),2)=1</formula>
    </cfRule>
  </conditionalFormatting>
  <conditionalFormatting sqref="S44">
    <cfRule type="expression" dxfId="1799" priority="2250" stopIfTrue="1">
      <formula>MOD(ROW(),2)=0</formula>
    </cfRule>
  </conditionalFormatting>
  <conditionalFormatting sqref="T43">
    <cfRule type="expression" dxfId="1798" priority="2247" stopIfTrue="1">
      <formula>MOD(ROW(),2)=1</formula>
    </cfRule>
  </conditionalFormatting>
  <conditionalFormatting sqref="T43">
    <cfRule type="expression" dxfId="1797" priority="2248" stopIfTrue="1">
      <formula>MOD(ROW(),2)=0</formula>
    </cfRule>
  </conditionalFormatting>
  <conditionalFormatting sqref="CC44:CD44">
    <cfRule type="expression" dxfId="1796" priority="2239" stopIfTrue="1">
      <formula>MOD(ROW(),2)=1</formula>
    </cfRule>
  </conditionalFormatting>
  <conditionalFormatting sqref="CC44:CD44">
    <cfRule type="expression" dxfId="1795" priority="2240" stopIfTrue="1">
      <formula>MOD(ROW(),2)=0</formula>
    </cfRule>
  </conditionalFormatting>
  <conditionalFormatting sqref="BT44">
    <cfRule type="expression" dxfId="1794" priority="2241" stopIfTrue="1">
      <formula>MOD(ROW(),2)=1</formula>
    </cfRule>
  </conditionalFormatting>
  <conditionalFormatting sqref="BT44">
    <cfRule type="expression" dxfId="1793" priority="2242" stopIfTrue="1">
      <formula>MOD(ROW(),2)=0</formula>
    </cfRule>
  </conditionalFormatting>
  <conditionalFormatting sqref="T44">
    <cfRule type="expression" dxfId="1792" priority="2238" stopIfTrue="1">
      <formula>MOD(ROW(),2)=0</formula>
    </cfRule>
  </conditionalFormatting>
  <conditionalFormatting sqref="CF44">
    <cfRule type="expression" dxfId="1791" priority="2235" stopIfTrue="1">
      <formula>MOD(ROW(),2)=1</formula>
    </cfRule>
  </conditionalFormatting>
  <conditionalFormatting sqref="CF44">
    <cfRule type="expression" dxfId="1790" priority="2236" stopIfTrue="1">
      <formula>MOD(ROW(),2)=0</formula>
    </cfRule>
  </conditionalFormatting>
  <conditionalFormatting sqref="B44">
    <cfRule type="expression" dxfId="1789" priority="2233" stopIfTrue="1">
      <formula>MOD(ROW(),2)=1</formula>
    </cfRule>
  </conditionalFormatting>
  <conditionalFormatting sqref="B44">
    <cfRule type="expression" dxfId="1788" priority="2234" stopIfTrue="1">
      <formula>MOD(ROW(),2)=0</formula>
    </cfRule>
  </conditionalFormatting>
  <conditionalFormatting sqref="C206">
    <cfRule type="expression" dxfId="1787" priority="2231" stopIfTrue="1">
      <formula>MOD(ROW(),2)=1</formula>
    </cfRule>
  </conditionalFormatting>
  <conditionalFormatting sqref="C206">
    <cfRule type="expression" dxfId="1786" priority="2232" stopIfTrue="1">
      <formula>MOD(ROW(),2)=0</formula>
    </cfRule>
  </conditionalFormatting>
  <conditionalFormatting sqref="C233">
    <cfRule type="expression" dxfId="1785" priority="2229" stopIfTrue="1">
      <formula>MOD(ROW(),2)=1</formula>
    </cfRule>
  </conditionalFormatting>
  <conditionalFormatting sqref="C233">
    <cfRule type="expression" dxfId="1784" priority="2230" stopIfTrue="1">
      <formula>MOD(ROW(),2)=0</formula>
    </cfRule>
  </conditionalFormatting>
  <conditionalFormatting sqref="BR190">
    <cfRule type="expression" dxfId="1783" priority="2207" stopIfTrue="1">
      <formula>MOD(ROW(),2)=1</formula>
    </cfRule>
  </conditionalFormatting>
  <conditionalFormatting sqref="BR190">
    <cfRule type="expression" dxfId="1782" priority="2208" stopIfTrue="1">
      <formula>MOD(ROW(),2)=0</formula>
    </cfRule>
  </conditionalFormatting>
  <conditionalFormatting sqref="BR88">
    <cfRule type="expression" dxfId="1781" priority="2199" stopIfTrue="1">
      <formula>MOD(ROW(),2)=1</formula>
    </cfRule>
  </conditionalFormatting>
  <conditionalFormatting sqref="BR88">
    <cfRule type="expression" dxfId="1780" priority="2200" stopIfTrue="1">
      <formula>MOD(ROW(),2)=0</formula>
    </cfRule>
  </conditionalFormatting>
  <conditionalFormatting sqref="BT89">
    <cfRule type="expression" dxfId="1779" priority="2193" stopIfTrue="1">
      <formula>MOD(ROW(),2)=1</formula>
    </cfRule>
  </conditionalFormatting>
  <conditionalFormatting sqref="BT89">
    <cfRule type="expression" dxfId="1778" priority="2194" stopIfTrue="1">
      <formula>MOD(ROW(),2)=0</formula>
    </cfRule>
  </conditionalFormatting>
  <conditionalFormatting sqref="S89">
    <cfRule type="expression" dxfId="1777" priority="2191" stopIfTrue="1">
      <formula>MOD(ROW(),2)=1</formula>
    </cfRule>
  </conditionalFormatting>
  <conditionalFormatting sqref="S89">
    <cfRule type="expression" dxfId="1776" priority="2192" stopIfTrue="1">
      <formula>MOD(ROW(),2)=0</formula>
    </cfRule>
  </conditionalFormatting>
  <conditionalFormatting sqref="AE89:AI89">
    <cfRule type="expression" dxfId="1775" priority="2189" stopIfTrue="1">
      <formula>MOD(ROW(),2)=1</formula>
    </cfRule>
  </conditionalFormatting>
  <conditionalFormatting sqref="AE89:AI89">
    <cfRule type="expression" dxfId="1774" priority="2190" stopIfTrue="1">
      <formula>MOD(ROW(),2)=0</formula>
    </cfRule>
  </conditionalFormatting>
  <conditionalFormatting sqref="BR206">
    <cfRule type="expression" dxfId="1773" priority="2179" stopIfTrue="1">
      <formula>MOD(ROW(),2)=1</formula>
    </cfRule>
  </conditionalFormatting>
  <conditionalFormatting sqref="BR206">
    <cfRule type="expression" dxfId="1772" priority="2180" stopIfTrue="1">
      <formula>MOD(ROW(),2)=0</formula>
    </cfRule>
  </conditionalFormatting>
  <conditionalFormatting sqref="BR232">
    <cfRule type="expression" dxfId="1771" priority="2177" stopIfTrue="1">
      <formula>MOD(ROW(),2)=1</formula>
    </cfRule>
  </conditionalFormatting>
  <conditionalFormatting sqref="BR232">
    <cfRule type="expression" dxfId="1770" priority="2178" stopIfTrue="1">
      <formula>MOD(ROW(),2)=0</formula>
    </cfRule>
  </conditionalFormatting>
  <conditionalFormatting sqref="BR233">
    <cfRule type="expression" dxfId="1769" priority="2175" stopIfTrue="1">
      <formula>MOD(ROW(),2)=1</formula>
    </cfRule>
  </conditionalFormatting>
  <conditionalFormatting sqref="BR233">
    <cfRule type="expression" dxfId="1768" priority="2176" stopIfTrue="1">
      <formula>MOD(ROW(),2)=0</formula>
    </cfRule>
  </conditionalFormatting>
  <conditionalFormatting sqref="BR89">
    <cfRule type="expression" dxfId="1767" priority="2173" stopIfTrue="1">
      <formula>MOD(ROW(),2)=1</formula>
    </cfRule>
  </conditionalFormatting>
  <conditionalFormatting sqref="BR89">
    <cfRule type="expression" dxfId="1766" priority="2174" stopIfTrue="1">
      <formula>MOD(ROW(),2)=0</formula>
    </cfRule>
  </conditionalFormatting>
  <conditionalFormatting sqref="BR90">
    <cfRule type="expression" dxfId="1765" priority="2171" stopIfTrue="1">
      <formula>MOD(ROW(),2)=1</formula>
    </cfRule>
  </conditionalFormatting>
  <conditionalFormatting sqref="BR90">
    <cfRule type="expression" dxfId="1764" priority="2172" stopIfTrue="1">
      <formula>MOD(ROW(),2)=0</formula>
    </cfRule>
  </conditionalFormatting>
  <conditionalFormatting sqref="BR91">
    <cfRule type="expression" dxfId="1763" priority="2169" stopIfTrue="1">
      <formula>MOD(ROW(),2)=1</formula>
    </cfRule>
  </conditionalFormatting>
  <conditionalFormatting sqref="BR91">
    <cfRule type="expression" dxfId="1762" priority="2170" stopIfTrue="1">
      <formula>MOD(ROW(),2)=0</formula>
    </cfRule>
  </conditionalFormatting>
  <conditionalFormatting sqref="CE206">
    <cfRule type="expression" dxfId="1761" priority="2165" stopIfTrue="1">
      <formula>MOD(ROW(),2)=1</formula>
    </cfRule>
  </conditionalFormatting>
  <conditionalFormatting sqref="CE206">
    <cfRule type="expression" dxfId="1760" priority="2166" stopIfTrue="1">
      <formula>MOD(ROW(),2)=0</formula>
    </cfRule>
  </conditionalFormatting>
  <conditionalFormatting sqref="CE91">
    <cfRule type="expression" dxfId="1759" priority="2163" stopIfTrue="1">
      <formula>MOD(ROW(),2)=1</formula>
    </cfRule>
  </conditionalFormatting>
  <conditionalFormatting sqref="CE91">
    <cfRule type="expression" dxfId="1758" priority="2164" stopIfTrue="1">
      <formula>MOD(ROW(),2)=0</formula>
    </cfRule>
  </conditionalFormatting>
  <conditionalFormatting sqref="CE190">
    <cfRule type="expression" dxfId="1757" priority="2157" stopIfTrue="1">
      <formula>MOD(ROW(),2)=1</formula>
    </cfRule>
  </conditionalFormatting>
  <conditionalFormatting sqref="CE190">
    <cfRule type="expression" dxfId="1756" priority="2158" stopIfTrue="1">
      <formula>MOD(ROW(),2)=0</formula>
    </cfRule>
  </conditionalFormatting>
  <conditionalFormatting sqref="CE233">
    <cfRule type="expression" dxfId="1755" priority="2149" stopIfTrue="1">
      <formula>MOD(ROW(),2)=1</formula>
    </cfRule>
  </conditionalFormatting>
  <conditionalFormatting sqref="CE233">
    <cfRule type="expression" dxfId="1754" priority="2150" stopIfTrue="1">
      <formula>MOD(ROW(),2)=0</formula>
    </cfRule>
  </conditionalFormatting>
  <conditionalFormatting sqref="CE232">
    <cfRule type="expression" dxfId="1753" priority="2147" stopIfTrue="1">
      <formula>MOD(ROW(),2)=1</formula>
    </cfRule>
  </conditionalFormatting>
  <conditionalFormatting sqref="CE232">
    <cfRule type="expression" dxfId="1752" priority="2148" stopIfTrue="1">
      <formula>MOD(ROW(),2)=0</formula>
    </cfRule>
  </conditionalFormatting>
  <conditionalFormatting sqref="BZ206">
    <cfRule type="expression" dxfId="1751" priority="2145" stopIfTrue="1">
      <formula>MOD(ROW(),2)=1</formula>
    </cfRule>
  </conditionalFormatting>
  <conditionalFormatting sqref="BZ206">
    <cfRule type="expression" dxfId="1750" priority="2146" stopIfTrue="1">
      <formula>MOD(ROW(),2)=0</formula>
    </cfRule>
  </conditionalFormatting>
  <conditionalFormatting sqref="BZ232">
    <cfRule type="expression" dxfId="1749" priority="2143" stopIfTrue="1">
      <formula>MOD(ROW(),2)=1</formula>
    </cfRule>
  </conditionalFormatting>
  <conditionalFormatting sqref="BZ232">
    <cfRule type="expression" dxfId="1748" priority="2144" stopIfTrue="1">
      <formula>MOD(ROW(),2)=0</formula>
    </cfRule>
  </conditionalFormatting>
  <conditionalFormatting sqref="BZ233">
    <cfRule type="expression" dxfId="1747" priority="2141" stopIfTrue="1">
      <formula>MOD(ROW(),2)=1</formula>
    </cfRule>
  </conditionalFormatting>
  <conditionalFormatting sqref="BZ233">
    <cfRule type="expression" dxfId="1746" priority="2142" stopIfTrue="1">
      <formula>MOD(ROW(),2)=0</formula>
    </cfRule>
  </conditionalFormatting>
  <conditionalFormatting sqref="T65">
    <cfRule type="expression" dxfId="1745" priority="2139" stopIfTrue="1">
      <formula>MOD(ROW(),2)=1</formula>
    </cfRule>
  </conditionalFormatting>
  <conditionalFormatting sqref="T65">
    <cfRule type="expression" dxfId="1744" priority="2140" stopIfTrue="1">
      <formula>MOD(ROW(),2)=0</formula>
    </cfRule>
  </conditionalFormatting>
  <conditionalFormatting sqref="T217">
    <cfRule type="expression" dxfId="1743" priority="2137" stopIfTrue="1">
      <formula>MOD(ROW(),2)=1</formula>
    </cfRule>
  </conditionalFormatting>
  <conditionalFormatting sqref="T217">
    <cfRule type="expression" dxfId="1742" priority="2138" stopIfTrue="1">
      <formula>MOD(ROW(),2)=0</formula>
    </cfRule>
  </conditionalFormatting>
  <conditionalFormatting sqref="S65">
    <cfRule type="expression" dxfId="1741" priority="2135" stopIfTrue="1">
      <formula>MOD(ROW(),2)=1</formula>
    </cfRule>
  </conditionalFormatting>
  <conditionalFormatting sqref="S65">
    <cfRule type="expression" dxfId="1740" priority="2136" stopIfTrue="1">
      <formula>MOD(ROW(),2)=0</formula>
    </cfRule>
  </conditionalFormatting>
  <conditionalFormatting sqref="S217">
    <cfRule type="expression" dxfId="1739" priority="2133" stopIfTrue="1">
      <formula>MOD(ROW(),2)=1</formula>
    </cfRule>
  </conditionalFormatting>
  <conditionalFormatting sqref="S217">
    <cfRule type="expression" dxfId="1738" priority="2134" stopIfTrue="1">
      <formula>MOD(ROW(),2)=0</formula>
    </cfRule>
  </conditionalFormatting>
  <conditionalFormatting sqref="BT217">
    <cfRule type="expression" dxfId="1737" priority="2131" stopIfTrue="1">
      <formula>MOD(ROW(),2)=1</formula>
    </cfRule>
  </conditionalFormatting>
  <conditionalFormatting sqref="BT217">
    <cfRule type="expression" dxfId="1736" priority="2132" stopIfTrue="1">
      <formula>MOD(ROW(),2)=0</formula>
    </cfRule>
  </conditionalFormatting>
  <conditionalFormatting sqref="W217">
    <cfRule type="expression" dxfId="1735" priority="2127" stopIfTrue="1">
      <formula>MOD(ROW(),2)=1</formula>
    </cfRule>
  </conditionalFormatting>
  <conditionalFormatting sqref="W217">
    <cfRule type="expression" dxfId="1734" priority="2128" stopIfTrue="1">
      <formula>MOD(ROW(),2)=0</formula>
    </cfRule>
  </conditionalFormatting>
  <conditionalFormatting sqref="BW217">
    <cfRule type="expression" dxfId="1733" priority="2125" stopIfTrue="1">
      <formula>MOD(ROW(),2)=1</formula>
    </cfRule>
  </conditionalFormatting>
  <conditionalFormatting sqref="BW217">
    <cfRule type="expression" dxfId="1732" priority="2126" stopIfTrue="1">
      <formula>MOD(ROW(),2)=0</formula>
    </cfRule>
  </conditionalFormatting>
  <conditionalFormatting sqref="CD64">
    <cfRule type="expression" dxfId="1731" priority="2119" stopIfTrue="1">
      <formula>MOD(ROW(),2)=1</formula>
    </cfRule>
  </conditionalFormatting>
  <conditionalFormatting sqref="CD64">
    <cfRule type="expression" dxfId="1730" priority="2120" stopIfTrue="1">
      <formula>MOD(ROW(),2)=0</formula>
    </cfRule>
  </conditionalFormatting>
  <conditionalFormatting sqref="CE65">
    <cfRule type="expression" dxfId="1729" priority="2113" stopIfTrue="1">
      <formula>MOD(ROW(),2)=1</formula>
    </cfRule>
  </conditionalFormatting>
  <conditionalFormatting sqref="CE65">
    <cfRule type="expression" dxfId="1728" priority="2114" stopIfTrue="1">
      <formula>MOD(ROW(),2)=0</formula>
    </cfRule>
  </conditionalFormatting>
  <conditionalFormatting sqref="CA64">
    <cfRule type="expression" dxfId="1727" priority="2111" stopIfTrue="1">
      <formula>MOD(ROW(),2)=1</formula>
    </cfRule>
  </conditionalFormatting>
  <conditionalFormatting sqref="CA64">
    <cfRule type="expression" dxfId="1726" priority="2112" stopIfTrue="1">
      <formula>MOD(ROW(),2)=0</formula>
    </cfRule>
  </conditionalFormatting>
  <conditionalFormatting sqref="CB217 CD217">
    <cfRule type="expression" dxfId="1725" priority="2109" stopIfTrue="1">
      <formula>MOD(ROW(),2)=1</formula>
    </cfRule>
  </conditionalFormatting>
  <conditionalFormatting sqref="CB217 CD217">
    <cfRule type="expression" dxfId="1724" priority="2110" stopIfTrue="1">
      <formula>MOD(ROW(),2)=0</formula>
    </cfRule>
  </conditionalFormatting>
  <conditionalFormatting sqref="CC217">
    <cfRule type="expression" dxfId="1723" priority="2105" stopIfTrue="1">
      <formula>MOD(ROW(),2)=1</formula>
    </cfRule>
  </conditionalFormatting>
  <conditionalFormatting sqref="CC217">
    <cfRule type="expression" dxfId="1722" priority="2106" stopIfTrue="1">
      <formula>MOD(ROW(),2)=0</formula>
    </cfRule>
  </conditionalFormatting>
  <conditionalFormatting sqref="X65">
    <cfRule type="expression" dxfId="1721" priority="2103" stopIfTrue="1">
      <formula>MOD(ROW(),2)=1</formula>
    </cfRule>
  </conditionalFormatting>
  <conditionalFormatting sqref="X65">
    <cfRule type="expression" dxfId="1720" priority="2104" stopIfTrue="1">
      <formula>MOD(ROW(),2)=0</formula>
    </cfRule>
  </conditionalFormatting>
  <conditionalFormatting sqref="X217">
    <cfRule type="expression" dxfId="1719" priority="2101" stopIfTrue="1">
      <formula>MOD(ROW(),2)=1</formula>
    </cfRule>
  </conditionalFormatting>
  <conditionalFormatting sqref="X217">
    <cfRule type="expression" dxfId="1718" priority="2102" stopIfTrue="1">
      <formula>MOD(ROW(),2)=0</formula>
    </cfRule>
  </conditionalFormatting>
  <conditionalFormatting sqref="CE217">
    <cfRule type="expression" dxfId="1717" priority="2095" stopIfTrue="1">
      <formula>MOD(ROW(),2)=1</formula>
    </cfRule>
  </conditionalFormatting>
  <conditionalFormatting sqref="CE217">
    <cfRule type="expression" dxfId="1716" priority="2096" stopIfTrue="1">
      <formula>MOD(ROW(),2)=0</formula>
    </cfRule>
  </conditionalFormatting>
  <conditionalFormatting sqref="CA65">
    <cfRule type="expression" dxfId="1715" priority="2093" stopIfTrue="1">
      <formula>MOD(ROW(),2)=1</formula>
    </cfRule>
  </conditionalFormatting>
  <conditionalFormatting sqref="CA65">
    <cfRule type="expression" dxfId="1714" priority="2094" stopIfTrue="1">
      <formula>MOD(ROW(),2)=0</formula>
    </cfRule>
  </conditionalFormatting>
  <conditionalFormatting sqref="CA217">
    <cfRule type="expression" dxfId="1713" priority="2091" stopIfTrue="1">
      <formula>MOD(ROW(),2)=1</formula>
    </cfRule>
  </conditionalFormatting>
  <conditionalFormatting sqref="CA217">
    <cfRule type="expression" dxfId="1712" priority="2092" stopIfTrue="1">
      <formula>MOD(ROW(),2)=0</formula>
    </cfRule>
  </conditionalFormatting>
  <conditionalFormatting sqref="Z255:AC255">
    <cfRule type="expression" dxfId="1711" priority="2089" stopIfTrue="1">
      <formula>MOD(ROW(),2)=1</formula>
    </cfRule>
  </conditionalFormatting>
  <conditionalFormatting sqref="Z255:AC255">
    <cfRule type="expression" dxfId="1710" priority="2090" stopIfTrue="1">
      <formula>MOD(ROW(),2)=0</formula>
    </cfRule>
  </conditionalFormatting>
  <conditionalFormatting sqref="Z256:AC256">
    <cfRule type="expression" dxfId="1709" priority="2087" stopIfTrue="1">
      <formula>MOD(ROW(),2)=1</formula>
    </cfRule>
  </conditionalFormatting>
  <conditionalFormatting sqref="Z256:AC256">
    <cfRule type="expression" dxfId="1708" priority="2088" stopIfTrue="1">
      <formula>MOD(ROW(),2)=0</formula>
    </cfRule>
  </conditionalFormatting>
  <conditionalFormatting sqref="S48">
    <cfRule type="expression" dxfId="1707" priority="2081" stopIfTrue="1">
      <formula>MOD(ROW(),2)=1</formula>
    </cfRule>
  </conditionalFormatting>
  <conditionalFormatting sqref="S48">
    <cfRule type="expression" dxfId="1706" priority="2082" stopIfTrue="1">
      <formula>MOD(ROW(),2)=0</formula>
    </cfRule>
  </conditionalFormatting>
  <conditionalFormatting sqref="T48">
    <cfRule type="expression" dxfId="1705" priority="2079" stopIfTrue="1">
      <formula>MOD(ROW(),2)=1</formula>
    </cfRule>
  </conditionalFormatting>
  <conditionalFormatting sqref="T48">
    <cfRule type="expression" dxfId="1704" priority="2080" stopIfTrue="1">
      <formula>MOD(ROW(),2)=0</formula>
    </cfRule>
  </conditionalFormatting>
  <conditionalFormatting sqref="Q255:T255 Q256">
    <cfRule type="expression" dxfId="1703" priority="2077" stopIfTrue="1">
      <formula>MOD(ROW(),2)=1</formula>
    </cfRule>
  </conditionalFormatting>
  <conditionalFormatting sqref="Q255:T255 Q256">
    <cfRule type="expression" dxfId="1702" priority="2078" stopIfTrue="1">
      <formula>MOD(ROW(),2)=0</formula>
    </cfRule>
  </conditionalFormatting>
  <conditionalFormatting sqref="R256">
    <cfRule type="expression" dxfId="1701" priority="2075" stopIfTrue="1">
      <formula>MOD(ROW(),2)=1</formula>
    </cfRule>
  </conditionalFormatting>
  <conditionalFormatting sqref="R256">
    <cfRule type="expression" dxfId="1700" priority="2076" stopIfTrue="1">
      <formula>MOD(ROW(),2)=0</formula>
    </cfRule>
  </conditionalFormatting>
  <conditionalFormatting sqref="S256">
    <cfRule type="expression" dxfId="1699" priority="2073" stopIfTrue="1">
      <formula>MOD(ROW(),2)=1</formula>
    </cfRule>
  </conditionalFormatting>
  <conditionalFormatting sqref="S256">
    <cfRule type="expression" dxfId="1698" priority="2074" stopIfTrue="1">
      <formula>MOD(ROW(),2)=0</formula>
    </cfRule>
  </conditionalFormatting>
  <conditionalFormatting sqref="T256">
    <cfRule type="expression" dxfId="1697" priority="2071" stopIfTrue="1">
      <formula>MOD(ROW(),2)=1</formula>
    </cfRule>
  </conditionalFormatting>
  <conditionalFormatting sqref="T256">
    <cfRule type="expression" dxfId="1696" priority="2072" stopIfTrue="1">
      <formula>MOD(ROW(),2)=0</formula>
    </cfRule>
  </conditionalFormatting>
  <conditionalFormatting sqref="W46">
    <cfRule type="expression" dxfId="1695" priority="1997" stopIfTrue="1">
      <formula>MOD(ROW(),2)=1</formula>
    </cfRule>
  </conditionalFormatting>
  <conditionalFormatting sqref="W46">
    <cfRule type="expression" dxfId="1694" priority="1998" stopIfTrue="1">
      <formula>MOD(ROW(),2)=0</formula>
    </cfRule>
  </conditionalFormatting>
  <conditionalFormatting sqref="CF255">
    <cfRule type="expression" dxfId="1693" priority="2051" stopIfTrue="1">
      <formula>MOD(ROW(),2)=1</formula>
    </cfRule>
  </conditionalFormatting>
  <conditionalFormatting sqref="CF255">
    <cfRule type="expression" dxfId="1692" priority="2052" stopIfTrue="1">
      <formula>MOD(ROW(),2)=0</formula>
    </cfRule>
  </conditionalFormatting>
  <conditionalFormatting sqref="CF256">
    <cfRule type="expression" dxfId="1691" priority="2049" stopIfTrue="1">
      <formula>MOD(ROW(),2)=1</formula>
    </cfRule>
  </conditionalFormatting>
  <conditionalFormatting sqref="CF256">
    <cfRule type="expression" dxfId="1690" priority="2050" stopIfTrue="1">
      <formula>MOD(ROW(),2)=0</formula>
    </cfRule>
  </conditionalFormatting>
  <conditionalFormatting sqref="BR48">
    <cfRule type="expression" dxfId="1689" priority="2047" stopIfTrue="1">
      <formula>MOD(ROW(),2)=1</formula>
    </cfRule>
  </conditionalFormatting>
  <conditionalFormatting sqref="BR48">
    <cfRule type="expression" dxfId="1688" priority="2048" stopIfTrue="1">
      <formula>MOD(ROW(),2)=0</formula>
    </cfRule>
  </conditionalFormatting>
  <conditionalFormatting sqref="BR255">
    <cfRule type="expression" dxfId="1687" priority="2045" stopIfTrue="1">
      <formula>MOD(ROW(),2)=1</formula>
    </cfRule>
  </conditionalFormatting>
  <conditionalFormatting sqref="BR255">
    <cfRule type="expression" dxfId="1686" priority="2046" stopIfTrue="1">
      <formula>MOD(ROW(),2)=0</formula>
    </cfRule>
  </conditionalFormatting>
  <conditionalFormatting sqref="BR256">
    <cfRule type="expression" dxfId="1685" priority="2043" stopIfTrue="1">
      <formula>MOD(ROW(),2)=1</formula>
    </cfRule>
  </conditionalFormatting>
  <conditionalFormatting sqref="BR256">
    <cfRule type="expression" dxfId="1684" priority="2044" stopIfTrue="1">
      <formula>MOD(ROW(),2)=0</formula>
    </cfRule>
  </conditionalFormatting>
  <conditionalFormatting sqref="CE48">
    <cfRule type="expression" dxfId="1683" priority="2041" stopIfTrue="1">
      <formula>MOD(ROW(),2)=1</formula>
    </cfRule>
  </conditionalFormatting>
  <conditionalFormatting sqref="CE48">
    <cfRule type="expression" dxfId="1682" priority="2042" stopIfTrue="1">
      <formula>MOD(ROW(),2)=0</formula>
    </cfRule>
  </conditionalFormatting>
  <conditionalFormatting sqref="CE256">
    <cfRule type="expression" dxfId="1681" priority="2039" stopIfTrue="1">
      <formula>MOD(ROW(),2)=1</formula>
    </cfRule>
  </conditionalFormatting>
  <conditionalFormatting sqref="CE256">
    <cfRule type="expression" dxfId="1680" priority="2040" stopIfTrue="1">
      <formula>MOD(ROW(),2)=0</formula>
    </cfRule>
  </conditionalFormatting>
  <conditionalFormatting sqref="BZ255">
    <cfRule type="expression" dxfId="1679" priority="2037" stopIfTrue="1">
      <formula>MOD(ROW(),2)=1</formula>
    </cfRule>
  </conditionalFormatting>
  <conditionalFormatting sqref="BZ255">
    <cfRule type="expression" dxfId="1678" priority="2038" stopIfTrue="1">
      <formula>MOD(ROW(),2)=0</formula>
    </cfRule>
  </conditionalFormatting>
  <conditionalFormatting sqref="BZ48">
    <cfRule type="expression" dxfId="1677" priority="2035" stopIfTrue="1">
      <formula>MOD(ROW(),2)=1</formula>
    </cfRule>
  </conditionalFormatting>
  <conditionalFormatting sqref="BZ48">
    <cfRule type="expression" dxfId="1676" priority="2036" stopIfTrue="1">
      <formula>MOD(ROW(),2)=0</formula>
    </cfRule>
  </conditionalFormatting>
  <conditionalFormatting sqref="CE255">
    <cfRule type="expression" dxfId="1675" priority="2033" stopIfTrue="1">
      <formula>MOD(ROW(),2)=1</formula>
    </cfRule>
  </conditionalFormatting>
  <conditionalFormatting sqref="CE255">
    <cfRule type="expression" dxfId="1674" priority="2034" stopIfTrue="1">
      <formula>MOD(ROW(),2)=0</formula>
    </cfRule>
  </conditionalFormatting>
  <conditionalFormatting sqref="BU255">
    <cfRule type="expression" dxfId="1673" priority="2031" stopIfTrue="1">
      <formula>MOD(ROW(),2)=1</formula>
    </cfRule>
  </conditionalFormatting>
  <conditionalFormatting sqref="BU255">
    <cfRule type="expression" dxfId="1672" priority="2032" stopIfTrue="1">
      <formula>MOD(ROW(),2)=0</formula>
    </cfRule>
  </conditionalFormatting>
  <conditionalFormatting sqref="BU256">
    <cfRule type="expression" dxfId="1671" priority="2029" stopIfTrue="1">
      <formula>MOD(ROW(),2)=1</formula>
    </cfRule>
  </conditionalFormatting>
  <conditionalFormatting sqref="BU256">
    <cfRule type="expression" dxfId="1670" priority="2030" stopIfTrue="1">
      <formula>MOD(ROW(),2)=0</formula>
    </cfRule>
  </conditionalFormatting>
  <conditionalFormatting sqref="CC48">
    <cfRule type="expression" dxfId="1669" priority="2027" stopIfTrue="1">
      <formula>MOD(ROW(),2)=1</formula>
    </cfRule>
  </conditionalFormatting>
  <conditionalFormatting sqref="CC48">
    <cfRule type="expression" dxfId="1668" priority="2028" stopIfTrue="1">
      <formula>MOD(ROW(),2)=0</formula>
    </cfRule>
  </conditionalFormatting>
  <conditionalFormatting sqref="CC255">
    <cfRule type="expression" dxfId="1667" priority="2021" stopIfTrue="1">
      <formula>MOD(ROW(),2)=1</formula>
    </cfRule>
  </conditionalFormatting>
  <conditionalFormatting sqref="CC255">
    <cfRule type="expression" dxfId="1666" priority="2022" stopIfTrue="1">
      <formula>MOD(ROW(),2)=0</formula>
    </cfRule>
  </conditionalFormatting>
  <conditionalFormatting sqref="CC256">
    <cfRule type="expression" dxfId="1665" priority="2019" stopIfTrue="1">
      <formula>MOD(ROW(),2)=1</formula>
    </cfRule>
  </conditionalFormatting>
  <conditionalFormatting sqref="CC256">
    <cfRule type="expression" dxfId="1664" priority="2020" stopIfTrue="1">
      <formula>MOD(ROW(),2)=0</formula>
    </cfRule>
  </conditionalFormatting>
  <conditionalFormatting sqref="W48">
    <cfRule type="expression" dxfId="1663" priority="2017" stopIfTrue="1">
      <formula>MOD(ROW(),2)=1</formula>
    </cfRule>
  </conditionalFormatting>
  <conditionalFormatting sqref="W48">
    <cfRule type="expression" dxfId="1662" priority="2018" stopIfTrue="1">
      <formula>MOD(ROW(),2)=0</formula>
    </cfRule>
  </conditionalFormatting>
  <conditionalFormatting sqref="W255">
    <cfRule type="expression" dxfId="1661" priority="2015" stopIfTrue="1">
      <formula>MOD(ROW(),2)=1</formula>
    </cfRule>
  </conditionalFormatting>
  <conditionalFormatting sqref="W255">
    <cfRule type="expression" dxfId="1660" priority="2016" stopIfTrue="1">
      <formula>MOD(ROW(),2)=0</formula>
    </cfRule>
  </conditionalFormatting>
  <conditionalFormatting sqref="S46">
    <cfRule type="expression" dxfId="1659" priority="2013" stopIfTrue="1">
      <formula>MOD(ROW(),2)=1</formula>
    </cfRule>
  </conditionalFormatting>
  <conditionalFormatting sqref="S46">
    <cfRule type="expression" dxfId="1658" priority="2014" stopIfTrue="1">
      <formula>MOD(ROW(),2)=0</formula>
    </cfRule>
  </conditionalFormatting>
  <conditionalFormatting sqref="T46">
    <cfRule type="expression" dxfId="1657" priority="2011" stopIfTrue="1">
      <formula>MOD(ROW(),2)=1</formula>
    </cfRule>
  </conditionalFormatting>
  <conditionalFormatting sqref="T46">
    <cfRule type="expression" dxfId="1656" priority="2012" stopIfTrue="1">
      <formula>MOD(ROW(),2)=0</formula>
    </cfRule>
  </conditionalFormatting>
  <conditionalFormatting sqref="S234:T234">
    <cfRule type="expression" dxfId="1655" priority="2009" stopIfTrue="1">
      <formula>MOD(ROW(),2)=1</formula>
    </cfRule>
  </conditionalFormatting>
  <conditionalFormatting sqref="S234:T234">
    <cfRule type="expression" dxfId="1654" priority="2010" stopIfTrue="1">
      <formula>MOD(ROW(),2)=0</formula>
    </cfRule>
  </conditionalFormatting>
  <conditionalFormatting sqref="S235">
    <cfRule type="expression" dxfId="1653" priority="2007" stopIfTrue="1">
      <formula>MOD(ROW(),2)=1</formula>
    </cfRule>
  </conditionalFormatting>
  <conditionalFormatting sqref="S235">
    <cfRule type="expression" dxfId="1652" priority="2008" stopIfTrue="1">
      <formula>MOD(ROW(),2)=0</formula>
    </cfRule>
  </conditionalFormatting>
  <conditionalFormatting sqref="T235">
    <cfRule type="expression" dxfId="1651" priority="2005" stopIfTrue="1">
      <formula>MOD(ROW(),2)=1</formula>
    </cfRule>
  </conditionalFormatting>
  <conditionalFormatting sqref="T235">
    <cfRule type="expression" dxfId="1650" priority="2006" stopIfTrue="1">
      <formula>MOD(ROW(),2)=0</formula>
    </cfRule>
  </conditionalFormatting>
  <conditionalFormatting sqref="CE234">
    <cfRule type="expression" dxfId="1649" priority="2003" stopIfTrue="1">
      <formula>MOD(ROW(),2)=1</formula>
    </cfRule>
  </conditionalFormatting>
  <conditionalFormatting sqref="CE234">
    <cfRule type="expression" dxfId="1648" priority="2004" stopIfTrue="1">
      <formula>MOD(ROW(),2)=0</formula>
    </cfRule>
  </conditionalFormatting>
  <conditionalFormatting sqref="CE235">
    <cfRule type="expression" dxfId="1647" priority="2001" stopIfTrue="1">
      <formula>MOD(ROW(),2)=1</formula>
    </cfRule>
  </conditionalFormatting>
  <conditionalFormatting sqref="CE235">
    <cfRule type="expression" dxfId="1646" priority="2002" stopIfTrue="1">
      <formula>MOD(ROW(),2)=0</formula>
    </cfRule>
  </conditionalFormatting>
  <conditionalFormatting sqref="BZ46">
    <cfRule type="expression" dxfId="1645" priority="1999" stopIfTrue="1">
      <formula>MOD(ROW(),2)=1</formula>
    </cfRule>
  </conditionalFormatting>
  <conditionalFormatting sqref="BZ46">
    <cfRule type="expression" dxfId="1644" priority="2000" stopIfTrue="1">
      <formula>MOD(ROW(),2)=0</formula>
    </cfRule>
  </conditionalFormatting>
  <conditionalFormatting sqref="W234">
    <cfRule type="expression" dxfId="1643" priority="1995" stopIfTrue="1">
      <formula>MOD(ROW(),2)=1</formula>
    </cfRule>
  </conditionalFormatting>
  <conditionalFormatting sqref="W234">
    <cfRule type="expression" dxfId="1642" priority="1996" stopIfTrue="1">
      <formula>MOD(ROW(),2)=0</formula>
    </cfRule>
  </conditionalFormatting>
  <conditionalFormatting sqref="W235">
    <cfRule type="expression" dxfId="1641" priority="1993" stopIfTrue="1">
      <formula>MOD(ROW(),2)=1</formula>
    </cfRule>
  </conditionalFormatting>
  <conditionalFormatting sqref="W235">
    <cfRule type="expression" dxfId="1640" priority="1994" stopIfTrue="1">
      <formula>MOD(ROW(),2)=0</formula>
    </cfRule>
  </conditionalFormatting>
  <conditionalFormatting sqref="BZ234">
    <cfRule type="expression" dxfId="1639" priority="1991" stopIfTrue="1">
      <formula>MOD(ROW(),2)=1</formula>
    </cfRule>
  </conditionalFormatting>
  <conditionalFormatting sqref="BZ234">
    <cfRule type="expression" dxfId="1638" priority="1992" stopIfTrue="1">
      <formula>MOD(ROW(),2)=0</formula>
    </cfRule>
  </conditionalFormatting>
  <conditionalFormatting sqref="BZ235">
    <cfRule type="expression" dxfId="1637" priority="1989" stopIfTrue="1">
      <formula>MOD(ROW(),2)=1</formula>
    </cfRule>
  </conditionalFormatting>
  <conditionalFormatting sqref="BZ235">
    <cfRule type="expression" dxfId="1636" priority="1990" stopIfTrue="1">
      <formula>MOD(ROW(),2)=0</formula>
    </cfRule>
  </conditionalFormatting>
  <conditionalFormatting sqref="BV46">
    <cfRule type="expression" dxfId="1635" priority="1987" stopIfTrue="1">
      <formula>MOD(ROW(),2)=1</formula>
    </cfRule>
  </conditionalFormatting>
  <conditionalFormatting sqref="BV46">
    <cfRule type="expression" dxfId="1634" priority="1988" stopIfTrue="1">
      <formula>MOD(ROW(),2)=0</formula>
    </cfRule>
  </conditionalFormatting>
  <conditionalFormatting sqref="BV47">
    <cfRule type="expression" dxfId="1633" priority="1985" stopIfTrue="1">
      <formula>MOD(ROW(),2)=1</formula>
    </cfRule>
  </conditionalFormatting>
  <conditionalFormatting sqref="BV47">
    <cfRule type="expression" dxfId="1632" priority="1986" stopIfTrue="1">
      <formula>MOD(ROW(),2)=0</formula>
    </cfRule>
  </conditionalFormatting>
  <conditionalFormatting sqref="BV48">
    <cfRule type="expression" dxfId="1631" priority="1983" stopIfTrue="1">
      <formula>MOD(ROW(),2)=1</formula>
    </cfRule>
  </conditionalFormatting>
  <conditionalFormatting sqref="BV48">
    <cfRule type="expression" dxfId="1630" priority="1984" stopIfTrue="1">
      <formula>MOD(ROW(),2)=0</formula>
    </cfRule>
  </conditionalFormatting>
  <conditionalFormatting sqref="BV234">
    <cfRule type="expression" dxfId="1629" priority="1981" stopIfTrue="1">
      <formula>MOD(ROW(),2)=1</formula>
    </cfRule>
  </conditionalFormatting>
  <conditionalFormatting sqref="BV234">
    <cfRule type="expression" dxfId="1628" priority="1982" stopIfTrue="1">
      <formula>MOD(ROW(),2)=0</formula>
    </cfRule>
  </conditionalFormatting>
  <conditionalFormatting sqref="BV235">
    <cfRule type="expression" dxfId="1627" priority="1979" stopIfTrue="1">
      <formula>MOD(ROW(),2)=1</formula>
    </cfRule>
  </conditionalFormatting>
  <conditionalFormatting sqref="BV235">
    <cfRule type="expression" dxfId="1626" priority="1980" stopIfTrue="1">
      <formula>MOD(ROW(),2)=0</formula>
    </cfRule>
  </conditionalFormatting>
  <conditionalFormatting sqref="BV255">
    <cfRule type="expression" dxfId="1625" priority="1977" stopIfTrue="1">
      <formula>MOD(ROW(),2)=1</formula>
    </cfRule>
  </conditionalFormatting>
  <conditionalFormatting sqref="BV255">
    <cfRule type="expression" dxfId="1624" priority="1978" stopIfTrue="1">
      <formula>MOD(ROW(),2)=0</formula>
    </cfRule>
  </conditionalFormatting>
  <conditionalFormatting sqref="BV256">
    <cfRule type="expression" dxfId="1623" priority="1975" stopIfTrue="1">
      <formula>MOD(ROW(),2)=1</formula>
    </cfRule>
  </conditionalFormatting>
  <conditionalFormatting sqref="BV256">
    <cfRule type="expression" dxfId="1622" priority="1976" stopIfTrue="1">
      <formula>MOD(ROW(),2)=0</formula>
    </cfRule>
  </conditionalFormatting>
  <conditionalFormatting sqref="BS46">
    <cfRule type="expression" dxfId="1621" priority="1973" stopIfTrue="1">
      <formula>MOD(ROW(),2)=1</formula>
    </cfRule>
  </conditionalFormatting>
  <conditionalFormatting sqref="BS46">
    <cfRule type="expression" dxfId="1620" priority="1974" stopIfTrue="1">
      <formula>MOD(ROW(),2)=0</formula>
    </cfRule>
  </conditionalFormatting>
  <conditionalFormatting sqref="BS234">
    <cfRule type="expression" dxfId="1619" priority="1971" stopIfTrue="1">
      <formula>MOD(ROW(),2)=1</formula>
    </cfRule>
  </conditionalFormatting>
  <conditionalFormatting sqref="BS234">
    <cfRule type="expression" dxfId="1618" priority="1972" stopIfTrue="1">
      <formula>MOD(ROW(),2)=0</formula>
    </cfRule>
  </conditionalFormatting>
  <conditionalFormatting sqref="BS235">
    <cfRule type="expression" dxfId="1617" priority="1969" stopIfTrue="1">
      <formula>MOD(ROW(),2)=1</formula>
    </cfRule>
  </conditionalFormatting>
  <conditionalFormatting sqref="BS235">
    <cfRule type="expression" dxfId="1616" priority="1970" stopIfTrue="1">
      <formula>MOD(ROW(),2)=0</formula>
    </cfRule>
  </conditionalFormatting>
  <conditionalFormatting sqref="CF234">
    <cfRule type="expression" dxfId="1615" priority="1967" stopIfTrue="1">
      <formula>MOD(ROW(),2)=1</formula>
    </cfRule>
  </conditionalFormatting>
  <conditionalFormatting sqref="CF234">
    <cfRule type="expression" dxfId="1614" priority="1968" stopIfTrue="1">
      <formula>MOD(ROW(),2)=0</formula>
    </cfRule>
  </conditionalFormatting>
  <conditionalFormatting sqref="CC46">
    <cfRule type="expression" dxfId="1613" priority="1965" stopIfTrue="1">
      <formula>MOD(ROW(),2)=1</formula>
    </cfRule>
  </conditionalFormatting>
  <conditionalFormatting sqref="CC46">
    <cfRule type="expression" dxfId="1612" priority="1966" stopIfTrue="1">
      <formula>MOD(ROW(),2)=0</formula>
    </cfRule>
  </conditionalFormatting>
  <conditionalFormatting sqref="CC234">
    <cfRule type="expression" dxfId="1611" priority="1963" stopIfTrue="1">
      <formula>MOD(ROW(),2)=1</formula>
    </cfRule>
  </conditionalFormatting>
  <conditionalFormatting sqref="CC234">
    <cfRule type="expression" dxfId="1610" priority="1964" stopIfTrue="1">
      <formula>MOD(ROW(),2)=0</formula>
    </cfRule>
  </conditionalFormatting>
  <conditionalFormatting sqref="CC235">
    <cfRule type="expression" dxfId="1609" priority="1961" stopIfTrue="1">
      <formula>MOD(ROW(),2)=1</formula>
    </cfRule>
  </conditionalFormatting>
  <conditionalFormatting sqref="CC235">
    <cfRule type="expression" dxfId="1608" priority="1962" stopIfTrue="1">
      <formula>MOD(ROW(),2)=0</formula>
    </cfRule>
  </conditionalFormatting>
  <conditionalFormatting sqref="BZ183">
    <cfRule type="expression" dxfId="1607" priority="1621" stopIfTrue="1">
      <formula>MOD(ROW(),2)=1</formula>
    </cfRule>
  </conditionalFormatting>
  <conditionalFormatting sqref="BZ183">
    <cfRule type="expression" dxfId="1606" priority="1622" stopIfTrue="1">
      <formula>MOD(ROW(),2)=0</formula>
    </cfRule>
  </conditionalFormatting>
  <conditionalFormatting sqref="BZ180">
    <cfRule type="expression" dxfId="1605" priority="1623" stopIfTrue="1">
      <formula>MOD(ROW(),2)=1</formula>
    </cfRule>
  </conditionalFormatting>
  <conditionalFormatting sqref="BZ180">
    <cfRule type="expression" dxfId="1604" priority="1624" stopIfTrue="1">
      <formula>MOD(ROW(),2)=0</formula>
    </cfRule>
  </conditionalFormatting>
  <conditionalFormatting sqref="G234">
    <cfRule type="expression" dxfId="1603" priority="1955" stopIfTrue="1">
      <formula>MOD(ROW(),2)=1</formula>
    </cfRule>
  </conditionalFormatting>
  <conditionalFormatting sqref="G234">
    <cfRule type="expression" dxfId="1602" priority="1956" stopIfTrue="1">
      <formula>MOD(ROW(),2)=0</formula>
    </cfRule>
  </conditionalFormatting>
  <conditionalFormatting sqref="G235">
    <cfRule type="expression" dxfId="1601" priority="1953" stopIfTrue="1">
      <formula>MOD(ROW(),2)=1</formula>
    </cfRule>
  </conditionalFormatting>
  <conditionalFormatting sqref="G235">
    <cfRule type="expression" dxfId="1600" priority="1954" stopIfTrue="1">
      <formula>MOD(ROW(),2)=0</formula>
    </cfRule>
  </conditionalFormatting>
  <conditionalFormatting sqref="BR46">
    <cfRule type="expression" dxfId="1599" priority="1951" stopIfTrue="1">
      <formula>MOD(ROW(),2)=1</formula>
    </cfRule>
  </conditionalFormatting>
  <conditionalFormatting sqref="BR46">
    <cfRule type="expression" dxfId="1598" priority="1952" stopIfTrue="1">
      <formula>MOD(ROW(),2)=0</formula>
    </cfRule>
  </conditionalFormatting>
  <conditionalFormatting sqref="BR234">
    <cfRule type="expression" dxfId="1597" priority="1949" stopIfTrue="1">
      <formula>MOD(ROW(),2)=1</formula>
    </cfRule>
  </conditionalFormatting>
  <conditionalFormatting sqref="BR234">
    <cfRule type="expression" dxfId="1596" priority="1950" stopIfTrue="1">
      <formula>MOD(ROW(),2)=0</formula>
    </cfRule>
  </conditionalFormatting>
  <conditionalFormatting sqref="BR235">
    <cfRule type="expression" dxfId="1595" priority="1947" stopIfTrue="1">
      <formula>MOD(ROW(),2)=1</formula>
    </cfRule>
  </conditionalFormatting>
  <conditionalFormatting sqref="BR235">
    <cfRule type="expression" dxfId="1594" priority="1948" stopIfTrue="1">
      <formula>MOD(ROW(),2)=0</formula>
    </cfRule>
  </conditionalFormatting>
  <conditionalFormatting sqref="W139">
    <cfRule type="expression" dxfId="1593" priority="1937" stopIfTrue="1">
      <formula>MOD(ROW(),2)=1</formula>
    </cfRule>
  </conditionalFormatting>
  <conditionalFormatting sqref="W139">
    <cfRule type="expression" dxfId="1592" priority="1938" stopIfTrue="1">
      <formula>MOD(ROW(),2)=0</formula>
    </cfRule>
  </conditionalFormatting>
  <conditionalFormatting sqref="W84">
    <cfRule type="expression" dxfId="1591" priority="1935" stopIfTrue="1">
      <formula>MOD(ROW(),2)=1</formula>
    </cfRule>
  </conditionalFormatting>
  <conditionalFormatting sqref="W84">
    <cfRule type="expression" dxfId="1590" priority="1936" stopIfTrue="1">
      <formula>MOD(ROW(),2)=0</formula>
    </cfRule>
  </conditionalFormatting>
  <conditionalFormatting sqref="W134">
    <cfRule type="expression" dxfId="1589" priority="1933" stopIfTrue="1">
      <formula>MOD(ROW(),2)=1</formula>
    </cfRule>
  </conditionalFormatting>
  <conditionalFormatting sqref="W134">
    <cfRule type="expression" dxfId="1588" priority="1934" stopIfTrue="1">
      <formula>MOD(ROW(),2)=0</formula>
    </cfRule>
  </conditionalFormatting>
  <conditionalFormatting sqref="W135">
    <cfRule type="expression" dxfId="1587" priority="1931" stopIfTrue="1">
      <formula>MOD(ROW(),2)=1</formula>
    </cfRule>
  </conditionalFormatting>
  <conditionalFormatting sqref="W135">
    <cfRule type="expression" dxfId="1586" priority="1932" stopIfTrue="1">
      <formula>MOD(ROW(),2)=0</formula>
    </cfRule>
  </conditionalFormatting>
  <conditionalFormatting sqref="W138">
    <cfRule type="expression" dxfId="1585" priority="1929" stopIfTrue="1">
      <formula>MOD(ROW(),2)=1</formula>
    </cfRule>
  </conditionalFormatting>
  <conditionalFormatting sqref="W138">
    <cfRule type="expression" dxfId="1584" priority="1930" stopIfTrue="1">
      <formula>MOD(ROW(),2)=0</formula>
    </cfRule>
  </conditionalFormatting>
  <conditionalFormatting sqref="BZ218">
    <cfRule type="expression" dxfId="1583" priority="1927" stopIfTrue="1">
      <formula>MOD(ROW(),2)=1</formula>
    </cfRule>
  </conditionalFormatting>
  <conditionalFormatting sqref="BZ218">
    <cfRule type="expression" dxfId="1582" priority="1928" stopIfTrue="1">
      <formula>MOD(ROW(),2)=0</formula>
    </cfRule>
  </conditionalFormatting>
  <conditionalFormatting sqref="BZ219">
    <cfRule type="expression" dxfId="1581" priority="1925" stopIfTrue="1">
      <formula>MOD(ROW(),2)=1</formula>
    </cfRule>
  </conditionalFormatting>
  <conditionalFormatting sqref="BZ219">
    <cfRule type="expression" dxfId="1580" priority="1926" stopIfTrue="1">
      <formula>MOD(ROW(),2)=0</formula>
    </cfRule>
  </conditionalFormatting>
  <conditionalFormatting sqref="W218">
    <cfRule type="expression" dxfId="1579" priority="1923" stopIfTrue="1">
      <formula>MOD(ROW(),2)=1</formula>
    </cfRule>
  </conditionalFormatting>
  <conditionalFormatting sqref="W218">
    <cfRule type="expression" dxfId="1578" priority="1924" stopIfTrue="1">
      <formula>MOD(ROW(),2)=0</formula>
    </cfRule>
  </conditionalFormatting>
  <conditionalFormatting sqref="W219">
    <cfRule type="expression" dxfId="1577" priority="1921" stopIfTrue="1">
      <formula>MOD(ROW(),2)=1</formula>
    </cfRule>
  </conditionalFormatting>
  <conditionalFormatting sqref="W219">
    <cfRule type="expression" dxfId="1576" priority="1922" stopIfTrue="1">
      <formula>MOD(ROW(),2)=0</formula>
    </cfRule>
  </conditionalFormatting>
  <conditionalFormatting sqref="W89">
    <cfRule type="expression" dxfId="1575" priority="1919" stopIfTrue="1">
      <formula>MOD(ROW(),2)=1</formula>
    </cfRule>
  </conditionalFormatting>
  <conditionalFormatting sqref="W89">
    <cfRule type="expression" dxfId="1574" priority="1920" stopIfTrue="1">
      <formula>MOD(ROW(),2)=0</formula>
    </cfRule>
  </conditionalFormatting>
  <conditionalFormatting sqref="W91">
    <cfRule type="expression" dxfId="1573" priority="1905" stopIfTrue="1">
      <formula>MOD(ROW(),2)=1</formula>
    </cfRule>
  </conditionalFormatting>
  <conditionalFormatting sqref="W91">
    <cfRule type="expression" dxfId="1572" priority="1906" stopIfTrue="1">
      <formula>MOD(ROW(),2)=0</formula>
    </cfRule>
  </conditionalFormatting>
  <conditionalFormatting sqref="D260">
    <cfRule type="expression" dxfId="1571" priority="1843" stopIfTrue="1">
      <formula>MOD(ROW(),2)=1</formula>
    </cfRule>
  </conditionalFormatting>
  <conditionalFormatting sqref="D260">
    <cfRule type="expression" dxfId="1570" priority="1844" stopIfTrue="1">
      <formula>MOD(ROW(),2)=0</formula>
    </cfRule>
  </conditionalFormatting>
  <conditionalFormatting sqref="G255">
    <cfRule type="expression" dxfId="1569" priority="1855" stopIfTrue="1">
      <formula>MOD(ROW(),2)=1</formula>
    </cfRule>
  </conditionalFormatting>
  <conditionalFormatting sqref="G255">
    <cfRule type="expression" dxfId="1568" priority="1856" stopIfTrue="1">
      <formula>MOD(ROW(),2)=0</formula>
    </cfRule>
  </conditionalFormatting>
  <conditionalFormatting sqref="G256">
    <cfRule type="expression" dxfId="1567" priority="1853" stopIfTrue="1">
      <formula>MOD(ROW(),2)=1</formula>
    </cfRule>
  </conditionalFormatting>
  <conditionalFormatting sqref="G256">
    <cfRule type="expression" dxfId="1566" priority="1854" stopIfTrue="1">
      <formula>MOD(ROW(),2)=0</formula>
    </cfRule>
  </conditionalFormatting>
  <conditionalFormatting sqref="B258">
    <cfRule type="expression" dxfId="1565" priority="1851" stopIfTrue="1">
      <formula>MOD(ROW(),2)=1</formula>
    </cfRule>
  </conditionalFormatting>
  <conditionalFormatting sqref="B258">
    <cfRule type="expression" dxfId="1564" priority="1852" stopIfTrue="1">
      <formula>MOD(ROW(),2)=0</formula>
    </cfRule>
  </conditionalFormatting>
  <conditionalFormatting sqref="B133">
    <cfRule type="expression" dxfId="1563" priority="1849" stopIfTrue="1">
      <formula>MOD(ROW(),2)=1</formula>
    </cfRule>
  </conditionalFormatting>
  <conditionalFormatting sqref="B133">
    <cfRule type="expression" dxfId="1562" priority="1850" stopIfTrue="1">
      <formula>MOD(ROW(),2)=0</formula>
    </cfRule>
  </conditionalFormatting>
  <conditionalFormatting sqref="U258">
    <cfRule type="expression" dxfId="1561" priority="1847" stopIfTrue="1">
      <formula>MOD(ROW(),2)=1</formula>
    </cfRule>
  </conditionalFormatting>
  <conditionalFormatting sqref="U258">
    <cfRule type="expression" dxfId="1560" priority="1848" stopIfTrue="1">
      <formula>MOD(ROW(),2)=0</formula>
    </cfRule>
  </conditionalFormatting>
  <conditionalFormatting sqref="B260:C260">
    <cfRule type="expression" dxfId="1559" priority="1845" stopIfTrue="1">
      <formula>MOD(ROW(),2)=1</formula>
    </cfRule>
  </conditionalFormatting>
  <conditionalFormatting sqref="B260:C260">
    <cfRule type="expression" dxfId="1558" priority="1846" stopIfTrue="1">
      <formula>MOD(ROW(),2)=0</formula>
    </cfRule>
  </conditionalFormatting>
  <conditionalFormatting sqref="K255">
    <cfRule type="expression" dxfId="1557" priority="1841" stopIfTrue="1">
      <formula>MOD(ROW(),2)=1</formula>
    </cfRule>
  </conditionalFormatting>
  <conditionalFormatting sqref="K255">
    <cfRule type="expression" dxfId="1556" priority="1842" stopIfTrue="1">
      <formula>MOD(ROW(),2)=0</formula>
    </cfRule>
  </conditionalFormatting>
  <conditionalFormatting sqref="K256">
    <cfRule type="expression" dxfId="1555" priority="1839" stopIfTrue="1">
      <formula>MOD(ROW(),2)=1</formula>
    </cfRule>
  </conditionalFormatting>
  <conditionalFormatting sqref="K256">
    <cfRule type="expression" dxfId="1554" priority="1840" stopIfTrue="1">
      <formula>MOD(ROW(),2)=0</formula>
    </cfRule>
  </conditionalFormatting>
  <conditionalFormatting sqref="K261:K264 K266 K268:K274">
    <cfRule type="expression" dxfId="1553" priority="1837" stopIfTrue="1">
      <formula>MOD(ROW(),2)=1</formula>
    </cfRule>
  </conditionalFormatting>
  <conditionalFormatting sqref="K261:K264 K266 K268:K274">
    <cfRule type="expression" dxfId="1552" priority="1838" stopIfTrue="1">
      <formula>MOD(ROW(),2)=0</formula>
    </cfRule>
  </conditionalFormatting>
  <conditionalFormatting sqref="J261:J264">
    <cfRule type="expression" dxfId="1551" priority="1835" stopIfTrue="1">
      <formula>MOD(ROW(),2)=1</formula>
    </cfRule>
  </conditionalFormatting>
  <conditionalFormatting sqref="J261:J264">
    <cfRule type="expression" dxfId="1550" priority="1836" stopIfTrue="1">
      <formula>MOD(ROW(),2)=0</formula>
    </cfRule>
  </conditionalFormatting>
  <conditionalFormatting sqref="CE18">
    <cfRule type="expression" dxfId="1549" priority="1833" stopIfTrue="1">
      <formula>MOD(ROW(),2)=1</formula>
    </cfRule>
  </conditionalFormatting>
  <conditionalFormatting sqref="CE18">
    <cfRule type="expression" dxfId="1548" priority="1834" stopIfTrue="1">
      <formula>MOD(ROW(),2)=0</formula>
    </cfRule>
  </conditionalFormatting>
  <conditionalFormatting sqref="CE19">
    <cfRule type="expression" dxfId="1547" priority="1831" stopIfTrue="1">
      <formula>MOD(ROW(),2)=1</formula>
    </cfRule>
  </conditionalFormatting>
  <conditionalFormatting sqref="CE19">
    <cfRule type="expression" dxfId="1546" priority="1832" stopIfTrue="1">
      <formula>MOD(ROW(),2)=0</formula>
    </cfRule>
  </conditionalFormatting>
  <conditionalFormatting sqref="B265:C265">
    <cfRule type="expression" dxfId="1545" priority="1829" stopIfTrue="1">
      <formula>MOD(ROW(),2)=1</formula>
    </cfRule>
  </conditionalFormatting>
  <conditionalFormatting sqref="B265:C265">
    <cfRule type="expression" dxfId="1544" priority="1830" stopIfTrue="1">
      <formula>MOD(ROW(),2)=0</formula>
    </cfRule>
  </conditionalFormatting>
  <conditionalFormatting sqref="L265:O265 D265:I265">
    <cfRule type="expression" dxfId="1543" priority="1827" stopIfTrue="1">
      <formula>MOD(ROW(),2)=1</formula>
    </cfRule>
  </conditionalFormatting>
  <conditionalFormatting sqref="L265:O265 D265:I265">
    <cfRule type="expression" dxfId="1542" priority="1828" stopIfTrue="1">
      <formula>MOD(ROW(),2)=0</formula>
    </cfRule>
  </conditionalFormatting>
  <conditionalFormatting sqref="P265">
    <cfRule type="expression" dxfId="1541" priority="1825" stopIfTrue="1">
      <formula>MOD(ROW(),2)=1</formula>
    </cfRule>
  </conditionalFormatting>
  <conditionalFormatting sqref="P265">
    <cfRule type="expression" dxfId="1540" priority="1826" stopIfTrue="1">
      <formula>MOD(ROW(),2)=0</formula>
    </cfRule>
  </conditionalFormatting>
  <conditionalFormatting sqref="K265">
    <cfRule type="expression" dxfId="1539" priority="1823" stopIfTrue="1">
      <formula>MOD(ROW(),2)=1</formula>
    </cfRule>
  </conditionalFormatting>
  <conditionalFormatting sqref="K265">
    <cfRule type="expression" dxfId="1538" priority="1824" stopIfTrue="1">
      <formula>MOD(ROW(),2)=0</formula>
    </cfRule>
  </conditionalFormatting>
  <conditionalFormatting sqref="J265">
    <cfRule type="expression" dxfId="1537" priority="1821" stopIfTrue="1">
      <formula>MOD(ROW(),2)=1</formula>
    </cfRule>
  </conditionalFormatting>
  <conditionalFormatting sqref="J265">
    <cfRule type="expression" dxfId="1536" priority="1822" stopIfTrue="1">
      <formula>MOD(ROW(),2)=0</formula>
    </cfRule>
  </conditionalFormatting>
  <conditionalFormatting sqref="V36">
    <cfRule type="expression" dxfId="1535" priority="1817" stopIfTrue="1">
      <formula>MOD(ROW(),2)=1</formula>
    </cfRule>
  </conditionalFormatting>
  <conditionalFormatting sqref="V36">
    <cfRule type="expression" dxfId="1534" priority="1818" stopIfTrue="1">
      <formula>MOD(ROW(),2)=0</formula>
    </cfRule>
  </conditionalFormatting>
  <conditionalFormatting sqref="V39">
    <cfRule type="expression" dxfId="1533" priority="1815" stopIfTrue="1">
      <formula>MOD(ROW(),2)=1</formula>
    </cfRule>
  </conditionalFormatting>
  <conditionalFormatting sqref="V39">
    <cfRule type="expression" dxfId="1532" priority="1816" stopIfTrue="1">
      <formula>MOD(ROW(),2)=0</formula>
    </cfRule>
  </conditionalFormatting>
  <conditionalFormatting sqref="V42">
    <cfRule type="expression" dxfId="1531" priority="1813" stopIfTrue="1">
      <formula>MOD(ROW(),2)=1</formula>
    </cfRule>
  </conditionalFormatting>
  <conditionalFormatting sqref="V42">
    <cfRule type="expression" dxfId="1530" priority="1814" stopIfTrue="1">
      <formula>MOD(ROW(),2)=0</formula>
    </cfRule>
  </conditionalFormatting>
  <conditionalFormatting sqref="V43">
    <cfRule type="expression" dxfId="1529" priority="1811" stopIfTrue="1">
      <formula>MOD(ROW(),2)=1</formula>
    </cfRule>
  </conditionalFormatting>
  <conditionalFormatting sqref="V43">
    <cfRule type="expression" dxfId="1528" priority="1812" stopIfTrue="1">
      <formula>MOD(ROW(),2)=0</formula>
    </cfRule>
  </conditionalFormatting>
  <conditionalFormatting sqref="V59">
    <cfRule type="expression" dxfId="1527" priority="1809" stopIfTrue="1">
      <formula>MOD(ROW(),2)=1</formula>
    </cfRule>
  </conditionalFormatting>
  <conditionalFormatting sqref="V59">
    <cfRule type="expression" dxfId="1526" priority="1810" stopIfTrue="1">
      <formula>MOD(ROW(),2)=0</formula>
    </cfRule>
  </conditionalFormatting>
  <conditionalFormatting sqref="V61">
    <cfRule type="expression" dxfId="1525" priority="1807" stopIfTrue="1">
      <formula>MOD(ROW(),2)=1</formula>
    </cfRule>
  </conditionalFormatting>
  <conditionalFormatting sqref="V61">
    <cfRule type="expression" dxfId="1524" priority="1808" stopIfTrue="1">
      <formula>MOD(ROW(),2)=0</formula>
    </cfRule>
  </conditionalFormatting>
  <conditionalFormatting sqref="V62">
    <cfRule type="expression" dxfId="1523" priority="1805" stopIfTrue="1">
      <formula>MOD(ROW(),2)=1</formula>
    </cfRule>
  </conditionalFormatting>
  <conditionalFormatting sqref="V62">
    <cfRule type="expression" dxfId="1522" priority="1806" stopIfTrue="1">
      <formula>MOD(ROW(),2)=0</formula>
    </cfRule>
  </conditionalFormatting>
  <conditionalFormatting sqref="V67">
    <cfRule type="expression" dxfId="1521" priority="1803" stopIfTrue="1">
      <formula>MOD(ROW(),2)=1</formula>
    </cfRule>
  </conditionalFormatting>
  <conditionalFormatting sqref="V67">
    <cfRule type="expression" dxfId="1520" priority="1804" stopIfTrue="1">
      <formula>MOD(ROW(),2)=0</formula>
    </cfRule>
  </conditionalFormatting>
  <conditionalFormatting sqref="V80">
    <cfRule type="expression" dxfId="1519" priority="1801" stopIfTrue="1">
      <formula>MOD(ROW(),2)=1</formula>
    </cfRule>
  </conditionalFormatting>
  <conditionalFormatting sqref="V80">
    <cfRule type="expression" dxfId="1518" priority="1802" stopIfTrue="1">
      <formula>MOD(ROW(),2)=0</formula>
    </cfRule>
  </conditionalFormatting>
  <conditionalFormatting sqref="V81">
    <cfRule type="expression" dxfId="1517" priority="1799" stopIfTrue="1">
      <formula>MOD(ROW(),2)=1</formula>
    </cfRule>
  </conditionalFormatting>
  <conditionalFormatting sqref="V81">
    <cfRule type="expression" dxfId="1516" priority="1800" stopIfTrue="1">
      <formula>MOD(ROW(),2)=0</formula>
    </cfRule>
  </conditionalFormatting>
  <conditionalFormatting sqref="V82">
    <cfRule type="expression" dxfId="1515" priority="1797" stopIfTrue="1">
      <formula>MOD(ROW(),2)=1</formula>
    </cfRule>
  </conditionalFormatting>
  <conditionalFormatting sqref="V82">
    <cfRule type="expression" dxfId="1514" priority="1798" stopIfTrue="1">
      <formula>MOD(ROW(),2)=0</formula>
    </cfRule>
  </conditionalFormatting>
  <conditionalFormatting sqref="V93">
    <cfRule type="expression" dxfId="1513" priority="1789" stopIfTrue="1">
      <formula>MOD(ROW(),2)=1</formula>
    </cfRule>
  </conditionalFormatting>
  <conditionalFormatting sqref="V93">
    <cfRule type="expression" dxfId="1512" priority="1790" stopIfTrue="1">
      <formula>MOD(ROW(),2)=0</formula>
    </cfRule>
  </conditionalFormatting>
  <conditionalFormatting sqref="V94">
    <cfRule type="expression" dxfId="1511" priority="1791" stopIfTrue="1">
      <formula>MOD(ROW(),2)=1</formula>
    </cfRule>
  </conditionalFormatting>
  <conditionalFormatting sqref="V94">
    <cfRule type="expression" dxfId="1510" priority="1792" stopIfTrue="1">
      <formula>MOD(ROW(),2)=0</formula>
    </cfRule>
  </conditionalFormatting>
  <conditionalFormatting sqref="BZ94">
    <cfRule type="expression" dxfId="1509" priority="1787" stopIfTrue="1">
      <formula>MOD(ROW(),2)=1</formula>
    </cfRule>
  </conditionalFormatting>
  <conditionalFormatting sqref="BZ94">
    <cfRule type="expression" dxfId="1508" priority="1788" stopIfTrue="1">
      <formula>MOD(ROW(),2)=0</formula>
    </cfRule>
  </conditionalFormatting>
  <conditionalFormatting sqref="BZ95">
    <cfRule type="expression" dxfId="1507" priority="1785" stopIfTrue="1">
      <formula>MOD(ROW(),2)=1</formula>
    </cfRule>
  </conditionalFormatting>
  <conditionalFormatting sqref="BZ95">
    <cfRule type="expression" dxfId="1506" priority="1786" stopIfTrue="1">
      <formula>MOD(ROW(),2)=0</formula>
    </cfRule>
  </conditionalFormatting>
  <conditionalFormatting sqref="CE198">
    <cfRule type="expression" dxfId="1505" priority="1783" stopIfTrue="1">
      <formula>MOD(ROW(),2)=1</formula>
    </cfRule>
  </conditionalFormatting>
  <conditionalFormatting sqref="CE198">
    <cfRule type="expression" dxfId="1504" priority="1784" stopIfTrue="1">
      <formula>MOD(ROW(),2)=0</formula>
    </cfRule>
  </conditionalFormatting>
  <conditionalFormatting sqref="BZ197">
    <cfRule type="expression" dxfId="1503" priority="1781" stopIfTrue="1">
      <formula>MOD(ROW(),2)=1</formula>
    </cfRule>
  </conditionalFormatting>
  <conditionalFormatting sqref="BZ197">
    <cfRule type="expression" dxfId="1502" priority="1782" stopIfTrue="1">
      <formula>MOD(ROW(),2)=0</formula>
    </cfRule>
  </conditionalFormatting>
  <conditionalFormatting sqref="V27">
    <cfRule type="expression" dxfId="1501" priority="1775" stopIfTrue="1">
      <formula>MOD(ROW(),2)=1</formula>
    </cfRule>
  </conditionalFormatting>
  <conditionalFormatting sqref="V27">
    <cfRule type="expression" dxfId="1500" priority="1776" stopIfTrue="1">
      <formula>MOD(ROW(),2)=0</formula>
    </cfRule>
  </conditionalFormatting>
  <conditionalFormatting sqref="BZ198">
    <cfRule type="expression" dxfId="1499" priority="1773" stopIfTrue="1">
      <formula>MOD(ROW(),2)=1</formula>
    </cfRule>
  </conditionalFormatting>
  <conditionalFormatting sqref="BZ198">
    <cfRule type="expression" dxfId="1498" priority="1774" stopIfTrue="1">
      <formula>MOD(ROW(),2)=0</formula>
    </cfRule>
  </conditionalFormatting>
  <conditionalFormatting sqref="CC197">
    <cfRule type="expression" dxfId="1497" priority="1771" stopIfTrue="1">
      <formula>MOD(ROW(),2)=1</formula>
    </cfRule>
  </conditionalFormatting>
  <conditionalFormatting sqref="CC197">
    <cfRule type="expression" dxfId="1496" priority="1772" stopIfTrue="1">
      <formula>MOD(ROW(),2)=0</formula>
    </cfRule>
  </conditionalFormatting>
  <conditionalFormatting sqref="CC198">
    <cfRule type="expression" dxfId="1495" priority="1769" stopIfTrue="1">
      <formula>MOD(ROW(),2)=1</formula>
    </cfRule>
  </conditionalFormatting>
  <conditionalFormatting sqref="CC198">
    <cfRule type="expression" dxfId="1494" priority="1770" stopIfTrue="1">
      <formula>MOD(ROW(),2)=0</formula>
    </cfRule>
  </conditionalFormatting>
  <conditionalFormatting sqref="W55">
    <cfRule type="expression" dxfId="1493" priority="1767" stopIfTrue="1">
      <formula>MOD(ROW(),2)=1</formula>
    </cfRule>
  </conditionalFormatting>
  <conditionalFormatting sqref="W55">
    <cfRule type="expression" dxfId="1492" priority="1768" stopIfTrue="1">
      <formula>MOD(ROW(),2)=0</formula>
    </cfRule>
  </conditionalFormatting>
  <conditionalFormatting sqref="W81">
    <cfRule type="expression" dxfId="1491" priority="1763" stopIfTrue="1">
      <formula>MOD(ROW(),2)=1</formula>
    </cfRule>
  </conditionalFormatting>
  <conditionalFormatting sqref="W81">
    <cfRule type="expression" dxfId="1490" priority="1764" stopIfTrue="1">
      <formula>MOD(ROW(),2)=0</formula>
    </cfRule>
  </conditionalFormatting>
  <conditionalFormatting sqref="W82">
    <cfRule type="expression" dxfId="1489" priority="1759" stopIfTrue="1">
      <formula>MOD(ROW(),2)=1</formula>
    </cfRule>
  </conditionalFormatting>
  <conditionalFormatting sqref="W82">
    <cfRule type="expression" dxfId="1488" priority="1760" stopIfTrue="1">
      <formula>MOD(ROW(),2)=0</formula>
    </cfRule>
  </conditionalFormatting>
  <conditionalFormatting sqref="W56">
    <cfRule type="expression" dxfId="1487" priority="1757" stopIfTrue="1">
      <formula>MOD(ROW(),2)=1</formula>
    </cfRule>
  </conditionalFormatting>
  <conditionalFormatting sqref="W56">
    <cfRule type="expression" dxfId="1486" priority="1758" stopIfTrue="1">
      <formula>MOD(ROW(),2)=0</formula>
    </cfRule>
  </conditionalFormatting>
  <conditionalFormatting sqref="X192">
    <cfRule type="expression" dxfId="1485" priority="1753" stopIfTrue="1">
      <formula>MOD(ROW(),2)=1</formula>
    </cfRule>
  </conditionalFormatting>
  <conditionalFormatting sqref="X192">
    <cfRule type="expression" dxfId="1484" priority="1754" stopIfTrue="1">
      <formula>MOD(ROW(),2)=0</formula>
    </cfRule>
  </conditionalFormatting>
  <conditionalFormatting sqref="W192">
    <cfRule type="expression" dxfId="1483" priority="1741" stopIfTrue="1">
      <formula>MOD(ROW(),2)=1</formula>
    </cfRule>
  </conditionalFormatting>
  <conditionalFormatting sqref="W192">
    <cfRule type="expression" dxfId="1482" priority="1742" stopIfTrue="1">
      <formula>MOD(ROW(),2)=0</formula>
    </cfRule>
  </conditionalFormatting>
  <conditionalFormatting sqref="W193">
    <cfRule type="expression" dxfId="1481" priority="1733" stopIfTrue="1">
      <formula>MOD(ROW(),2)=1</formula>
    </cfRule>
  </conditionalFormatting>
  <conditionalFormatting sqref="W193">
    <cfRule type="expression" dxfId="1480" priority="1734" stopIfTrue="1">
      <formula>MOD(ROW(),2)=0</formula>
    </cfRule>
  </conditionalFormatting>
  <conditionalFormatting sqref="W194">
    <cfRule type="expression" dxfId="1479" priority="1731" stopIfTrue="1">
      <formula>MOD(ROW(),2)=1</formula>
    </cfRule>
  </conditionalFormatting>
  <conditionalFormatting sqref="W194">
    <cfRule type="expression" dxfId="1478" priority="1732" stopIfTrue="1">
      <formula>MOD(ROW(),2)=0</formula>
    </cfRule>
  </conditionalFormatting>
  <conditionalFormatting sqref="W195">
    <cfRule type="expression" dxfId="1477" priority="1729" stopIfTrue="1">
      <formula>MOD(ROW(),2)=1</formula>
    </cfRule>
  </conditionalFormatting>
  <conditionalFormatting sqref="W195">
    <cfRule type="expression" dxfId="1476" priority="1730" stopIfTrue="1">
      <formula>MOD(ROW(),2)=0</formula>
    </cfRule>
  </conditionalFormatting>
  <conditionalFormatting sqref="BZ195">
    <cfRule type="expression" dxfId="1475" priority="1721" stopIfTrue="1">
      <formula>MOD(ROW(),2)=1</formula>
    </cfRule>
  </conditionalFormatting>
  <conditionalFormatting sqref="BZ195">
    <cfRule type="expression" dxfId="1474" priority="1722" stopIfTrue="1">
      <formula>MOD(ROW(),2)=0</formula>
    </cfRule>
  </conditionalFormatting>
  <conditionalFormatting sqref="BZ193">
    <cfRule type="expression" dxfId="1473" priority="1725" stopIfTrue="1">
      <formula>MOD(ROW(),2)=1</formula>
    </cfRule>
  </conditionalFormatting>
  <conditionalFormatting sqref="BZ193">
    <cfRule type="expression" dxfId="1472" priority="1726" stopIfTrue="1">
      <formula>MOD(ROW(),2)=0</formula>
    </cfRule>
  </conditionalFormatting>
  <conditionalFormatting sqref="BZ194">
    <cfRule type="expression" dxfId="1471" priority="1723" stopIfTrue="1">
      <formula>MOD(ROW(),2)=1</formula>
    </cfRule>
  </conditionalFormatting>
  <conditionalFormatting sqref="BZ194">
    <cfRule type="expression" dxfId="1470" priority="1724" stopIfTrue="1">
      <formula>MOD(ROW(),2)=0</formula>
    </cfRule>
  </conditionalFormatting>
  <conditionalFormatting sqref="BZ207">
    <cfRule type="expression" dxfId="1469" priority="1719" stopIfTrue="1">
      <formula>MOD(ROW(),2)=1</formula>
    </cfRule>
  </conditionalFormatting>
  <conditionalFormatting sqref="BZ207">
    <cfRule type="expression" dxfId="1468" priority="1720" stopIfTrue="1">
      <formula>MOD(ROW(),2)=0</formula>
    </cfRule>
  </conditionalFormatting>
  <conditionalFormatting sqref="BZ208">
    <cfRule type="expression" dxfId="1467" priority="1717" stopIfTrue="1">
      <formula>MOD(ROW(),2)=1</formula>
    </cfRule>
  </conditionalFormatting>
  <conditionalFormatting sqref="BZ208">
    <cfRule type="expression" dxfId="1466" priority="1718" stopIfTrue="1">
      <formula>MOD(ROW(),2)=0</formula>
    </cfRule>
  </conditionalFormatting>
  <conditionalFormatting sqref="W207">
    <cfRule type="expression" dxfId="1465" priority="1715" stopIfTrue="1">
      <formula>MOD(ROW(),2)=1</formula>
    </cfRule>
  </conditionalFormatting>
  <conditionalFormatting sqref="W207">
    <cfRule type="expression" dxfId="1464" priority="1716" stopIfTrue="1">
      <formula>MOD(ROW(),2)=0</formula>
    </cfRule>
  </conditionalFormatting>
  <conditionalFormatting sqref="W208">
    <cfRule type="expression" dxfId="1463" priority="1713" stopIfTrue="1">
      <formula>MOD(ROW(),2)=1</formula>
    </cfRule>
  </conditionalFormatting>
  <conditionalFormatting sqref="W208">
    <cfRule type="expression" dxfId="1462" priority="1714" stopIfTrue="1">
      <formula>MOD(ROW(),2)=0</formula>
    </cfRule>
  </conditionalFormatting>
  <conditionalFormatting sqref="CE67">
    <cfRule type="expression" dxfId="1461" priority="1711" stopIfTrue="1">
      <formula>MOD(ROW(),2)=1</formula>
    </cfRule>
  </conditionalFormatting>
  <conditionalFormatting sqref="CE67">
    <cfRule type="expression" dxfId="1460" priority="1712" stopIfTrue="1">
      <formula>MOD(ROW(),2)=0</formula>
    </cfRule>
  </conditionalFormatting>
  <conditionalFormatting sqref="W67">
    <cfRule type="expression" dxfId="1459" priority="1699" stopIfTrue="1">
      <formula>MOD(ROW(),2)=1</formula>
    </cfRule>
  </conditionalFormatting>
  <conditionalFormatting sqref="W67">
    <cfRule type="expression" dxfId="1458" priority="1700" stopIfTrue="1">
      <formula>MOD(ROW(),2)=0</formula>
    </cfRule>
  </conditionalFormatting>
  <conditionalFormatting sqref="BZ67">
    <cfRule type="expression" dxfId="1457" priority="1697" stopIfTrue="1">
      <formula>MOD(ROW(),2)=1</formula>
    </cfRule>
  </conditionalFormatting>
  <conditionalFormatting sqref="BZ67">
    <cfRule type="expression" dxfId="1456" priority="1698" stopIfTrue="1">
      <formula>MOD(ROW(),2)=0</formula>
    </cfRule>
  </conditionalFormatting>
  <conditionalFormatting sqref="T67">
    <cfRule type="expression" dxfId="1455" priority="1695" stopIfTrue="1">
      <formula>MOD(ROW(),2)=1</formula>
    </cfRule>
  </conditionalFormatting>
  <conditionalFormatting sqref="T67">
    <cfRule type="expression" dxfId="1454" priority="1696" stopIfTrue="1">
      <formula>MOD(ROW(),2)=0</formula>
    </cfRule>
  </conditionalFormatting>
  <conditionalFormatting sqref="V66">
    <cfRule type="expression" dxfId="1453" priority="1693" stopIfTrue="1">
      <formula>MOD(ROW(),2)=1</formula>
    </cfRule>
  </conditionalFormatting>
  <conditionalFormatting sqref="V66">
    <cfRule type="expression" dxfId="1452" priority="1694" stopIfTrue="1">
      <formula>MOD(ROW(),2)=0</formula>
    </cfRule>
  </conditionalFormatting>
  <conditionalFormatting sqref="W23">
    <cfRule type="expression" dxfId="1451" priority="1685" stopIfTrue="1">
      <formula>MOD(ROW(),2)=1</formula>
    </cfRule>
  </conditionalFormatting>
  <conditionalFormatting sqref="W23">
    <cfRule type="expression" dxfId="1450" priority="1686" stopIfTrue="1">
      <formula>MOD(ROW(),2)=0</formula>
    </cfRule>
  </conditionalFormatting>
  <conditionalFormatting sqref="BZ18">
    <cfRule type="expression" dxfId="1449" priority="1683" stopIfTrue="1">
      <formula>MOD(ROW(),2)=1</formula>
    </cfRule>
  </conditionalFormatting>
  <conditionalFormatting sqref="BZ18">
    <cfRule type="expression" dxfId="1448" priority="1684" stopIfTrue="1">
      <formula>MOD(ROW(),2)=0</formula>
    </cfRule>
  </conditionalFormatting>
  <conditionalFormatting sqref="BZ19">
    <cfRule type="expression" dxfId="1447" priority="1681" stopIfTrue="1">
      <formula>MOD(ROW(),2)=1</formula>
    </cfRule>
  </conditionalFormatting>
  <conditionalFormatting sqref="BZ19">
    <cfRule type="expression" dxfId="1446" priority="1682" stopIfTrue="1">
      <formula>MOD(ROW(),2)=0</formula>
    </cfRule>
  </conditionalFormatting>
  <conditionalFormatting sqref="BZ23">
    <cfRule type="expression" dxfId="1445" priority="1679" stopIfTrue="1">
      <formula>MOD(ROW(),2)=1</formula>
    </cfRule>
  </conditionalFormatting>
  <conditionalFormatting sqref="BZ23">
    <cfRule type="expression" dxfId="1444" priority="1680" stopIfTrue="1">
      <formula>MOD(ROW(),2)=0</formula>
    </cfRule>
  </conditionalFormatting>
  <conditionalFormatting sqref="BZ243:BZ244">
    <cfRule type="expression" dxfId="1443" priority="1673" stopIfTrue="1">
      <formula>MOD(ROW(),2)=1</formula>
    </cfRule>
  </conditionalFormatting>
  <conditionalFormatting sqref="BZ243:BZ244">
    <cfRule type="expression" dxfId="1442" priority="1674" stopIfTrue="1">
      <formula>MOD(ROW(),2)=0</formula>
    </cfRule>
  </conditionalFormatting>
  <conditionalFormatting sqref="BZ84">
    <cfRule type="expression" dxfId="1441" priority="1671" stopIfTrue="1">
      <formula>MOD(ROW(),2)=1</formula>
    </cfRule>
  </conditionalFormatting>
  <conditionalFormatting sqref="BZ84">
    <cfRule type="expression" dxfId="1440" priority="1672" stopIfTrue="1">
      <formula>MOD(ROW(),2)=0</formula>
    </cfRule>
  </conditionalFormatting>
  <conditionalFormatting sqref="BZ86">
    <cfRule type="expression" dxfId="1439" priority="1669" stopIfTrue="1">
      <formula>MOD(ROW(),2)=1</formula>
    </cfRule>
  </conditionalFormatting>
  <conditionalFormatting sqref="BZ86">
    <cfRule type="expression" dxfId="1438" priority="1670" stopIfTrue="1">
      <formula>MOD(ROW(),2)=0</formula>
    </cfRule>
  </conditionalFormatting>
  <conditionalFormatting sqref="BZ87">
    <cfRule type="expression" dxfId="1437" priority="1667" stopIfTrue="1">
      <formula>MOD(ROW(),2)=1</formula>
    </cfRule>
  </conditionalFormatting>
  <conditionalFormatting sqref="BZ87">
    <cfRule type="expression" dxfId="1436" priority="1668" stopIfTrue="1">
      <formula>MOD(ROW(),2)=0</formula>
    </cfRule>
  </conditionalFormatting>
  <conditionalFormatting sqref="BZ89">
    <cfRule type="expression" dxfId="1435" priority="1665" stopIfTrue="1">
      <formula>MOD(ROW(),2)=1</formula>
    </cfRule>
  </conditionalFormatting>
  <conditionalFormatting sqref="BZ89">
    <cfRule type="expression" dxfId="1434" priority="1666" stopIfTrue="1">
      <formula>MOD(ROW(),2)=0</formula>
    </cfRule>
  </conditionalFormatting>
  <conditionalFormatting sqref="BZ91">
    <cfRule type="expression" dxfId="1433" priority="1663" stopIfTrue="1">
      <formula>MOD(ROW(),2)=1</formula>
    </cfRule>
  </conditionalFormatting>
  <conditionalFormatting sqref="BZ91">
    <cfRule type="expression" dxfId="1432" priority="1664" stopIfTrue="1">
      <formula>MOD(ROW(),2)=0</formula>
    </cfRule>
  </conditionalFormatting>
  <conditionalFormatting sqref="BZ259">
    <cfRule type="expression" dxfId="1431" priority="1627" stopIfTrue="1">
      <formula>MOD(ROW(),2)=1</formula>
    </cfRule>
  </conditionalFormatting>
  <conditionalFormatting sqref="BZ259">
    <cfRule type="expression" dxfId="1430" priority="1628" stopIfTrue="1">
      <formula>MOD(ROW(),2)=0</formula>
    </cfRule>
  </conditionalFormatting>
  <conditionalFormatting sqref="BZ260">
    <cfRule type="expression" dxfId="1429" priority="1625" stopIfTrue="1">
      <formula>MOD(ROW(),2)=1</formula>
    </cfRule>
  </conditionalFormatting>
  <conditionalFormatting sqref="BZ260">
    <cfRule type="expression" dxfId="1428" priority="1626" stopIfTrue="1">
      <formula>MOD(ROW(),2)=0</formula>
    </cfRule>
  </conditionalFormatting>
  <conditionalFormatting sqref="BZ184">
    <cfRule type="expression" dxfId="1427" priority="1619" stopIfTrue="1">
      <formula>MOD(ROW(),2)=1</formula>
    </cfRule>
  </conditionalFormatting>
  <conditionalFormatting sqref="BZ184">
    <cfRule type="expression" dxfId="1426" priority="1620" stopIfTrue="1">
      <formula>MOD(ROW(),2)=0</formula>
    </cfRule>
  </conditionalFormatting>
  <conditionalFormatting sqref="BZ185">
    <cfRule type="expression" dxfId="1425" priority="1617" stopIfTrue="1">
      <formula>MOD(ROW(),2)=1</formula>
    </cfRule>
  </conditionalFormatting>
  <conditionalFormatting sqref="BZ185">
    <cfRule type="expression" dxfId="1424" priority="1618" stopIfTrue="1">
      <formula>MOD(ROW(),2)=0</formula>
    </cfRule>
  </conditionalFormatting>
  <conditionalFormatting sqref="BZ220">
    <cfRule type="expression" dxfId="1423" priority="1615" stopIfTrue="1">
      <formula>MOD(ROW(),2)=1</formula>
    </cfRule>
  </conditionalFormatting>
  <conditionalFormatting sqref="BZ220">
    <cfRule type="expression" dxfId="1422" priority="1616" stopIfTrue="1">
      <formula>MOD(ROW(),2)=0</formula>
    </cfRule>
  </conditionalFormatting>
  <conditionalFormatting sqref="BZ221">
    <cfRule type="expression" dxfId="1421" priority="1613" stopIfTrue="1">
      <formula>MOD(ROW(),2)=1</formula>
    </cfRule>
  </conditionalFormatting>
  <conditionalFormatting sqref="BZ221">
    <cfRule type="expression" dxfId="1420" priority="1614" stopIfTrue="1">
      <formula>MOD(ROW(),2)=0</formula>
    </cfRule>
  </conditionalFormatting>
  <conditionalFormatting sqref="BZ223">
    <cfRule type="expression" dxfId="1419" priority="1611" stopIfTrue="1">
      <formula>MOD(ROW(),2)=1</formula>
    </cfRule>
  </conditionalFormatting>
  <conditionalFormatting sqref="BZ223">
    <cfRule type="expression" dxfId="1418" priority="1612" stopIfTrue="1">
      <formula>MOD(ROW(),2)=0</formula>
    </cfRule>
  </conditionalFormatting>
  <conditionalFormatting sqref="BZ224">
    <cfRule type="expression" dxfId="1417" priority="1609" stopIfTrue="1">
      <formula>MOD(ROW(),2)=1</formula>
    </cfRule>
  </conditionalFormatting>
  <conditionalFormatting sqref="BZ224">
    <cfRule type="expression" dxfId="1416" priority="1610" stopIfTrue="1">
      <formula>MOD(ROW(),2)=0</formula>
    </cfRule>
  </conditionalFormatting>
  <conditionalFormatting sqref="BZ225">
    <cfRule type="expression" dxfId="1415" priority="1607" stopIfTrue="1">
      <formula>MOD(ROW(),2)=1</formula>
    </cfRule>
  </conditionalFormatting>
  <conditionalFormatting sqref="BZ225">
    <cfRule type="expression" dxfId="1414" priority="1608" stopIfTrue="1">
      <formula>MOD(ROW(),2)=0</formula>
    </cfRule>
  </conditionalFormatting>
  <conditionalFormatting sqref="BZ226">
    <cfRule type="expression" dxfId="1413" priority="1605" stopIfTrue="1">
      <formula>MOD(ROW(),2)=1</formula>
    </cfRule>
  </conditionalFormatting>
  <conditionalFormatting sqref="BZ226">
    <cfRule type="expression" dxfId="1412" priority="1606" stopIfTrue="1">
      <formula>MOD(ROW(),2)=0</formula>
    </cfRule>
  </conditionalFormatting>
  <conditionalFormatting sqref="BZ227">
    <cfRule type="expression" dxfId="1411" priority="1603" stopIfTrue="1">
      <formula>MOD(ROW(),2)=1</formula>
    </cfRule>
  </conditionalFormatting>
  <conditionalFormatting sqref="BZ227">
    <cfRule type="expression" dxfId="1410" priority="1604" stopIfTrue="1">
      <formula>MOD(ROW(),2)=0</formula>
    </cfRule>
  </conditionalFormatting>
  <conditionalFormatting sqref="BZ228">
    <cfRule type="expression" dxfId="1409" priority="1601" stopIfTrue="1">
      <formula>MOD(ROW(),2)=1</formula>
    </cfRule>
  </conditionalFormatting>
  <conditionalFormatting sqref="BZ228">
    <cfRule type="expression" dxfId="1408" priority="1602" stopIfTrue="1">
      <formula>MOD(ROW(),2)=0</formula>
    </cfRule>
  </conditionalFormatting>
  <conditionalFormatting sqref="BZ229">
    <cfRule type="expression" dxfId="1407" priority="1599" stopIfTrue="1">
      <formula>MOD(ROW(),2)=1</formula>
    </cfRule>
  </conditionalFormatting>
  <conditionalFormatting sqref="BZ229">
    <cfRule type="expression" dxfId="1406" priority="1600" stopIfTrue="1">
      <formula>MOD(ROW(),2)=0</formula>
    </cfRule>
  </conditionalFormatting>
  <conditionalFormatting sqref="BZ230">
    <cfRule type="expression" dxfId="1405" priority="1597" stopIfTrue="1">
      <formula>MOD(ROW(),2)=1</formula>
    </cfRule>
  </conditionalFormatting>
  <conditionalFormatting sqref="BZ230">
    <cfRule type="expression" dxfId="1404" priority="1598" stopIfTrue="1">
      <formula>MOD(ROW(),2)=0</formula>
    </cfRule>
  </conditionalFormatting>
  <conditionalFormatting sqref="BZ231">
    <cfRule type="expression" dxfId="1403" priority="1595" stopIfTrue="1">
      <formula>MOD(ROW(),2)=1</formula>
    </cfRule>
  </conditionalFormatting>
  <conditionalFormatting sqref="BZ231">
    <cfRule type="expression" dxfId="1402" priority="1596" stopIfTrue="1">
      <formula>MOD(ROW(),2)=0</formula>
    </cfRule>
  </conditionalFormatting>
  <conditionalFormatting sqref="BZ238">
    <cfRule type="expression" dxfId="1401" priority="1593" stopIfTrue="1">
      <formula>MOD(ROW(),2)=1</formula>
    </cfRule>
  </conditionalFormatting>
  <conditionalFormatting sqref="BZ238">
    <cfRule type="expression" dxfId="1400" priority="1594" stopIfTrue="1">
      <formula>MOD(ROW(),2)=0</formula>
    </cfRule>
  </conditionalFormatting>
  <conditionalFormatting sqref="BZ253">
    <cfRule type="expression" dxfId="1399" priority="1591" stopIfTrue="1">
      <formula>MOD(ROW(),2)=1</formula>
    </cfRule>
  </conditionalFormatting>
  <conditionalFormatting sqref="BZ253">
    <cfRule type="expression" dxfId="1398" priority="1592" stopIfTrue="1">
      <formula>MOD(ROW(),2)=0</formula>
    </cfRule>
  </conditionalFormatting>
  <conditionalFormatting sqref="BZ24">
    <cfRule type="expression" dxfId="1397" priority="1589" stopIfTrue="1">
      <formula>MOD(ROW(),2)=1</formula>
    </cfRule>
  </conditionalFormatting>
  <conditionalFormatting sqref="BZ24">
    <cfRule type="expression" dxfId="1396" priority="1590" stopIfTrue="1">
      <formula>MOD(ROW(),2)=0</formula>
    </cfRule>
  </conditionalFormatting>
  <conditionalFormatting sqref="BZ25">
    <cfRule type="expression" dxfId="1395" priority="1587" stopIfTrue="1">
      <formula>MOD(ROW(),2)=1</formula>
    </cfRule>
  </conditionalFormatting>
  <conditionalFormatting sqref="BZ25">
    <cfRule type="expression" dxfId="1394" priority="1588" stopIfTrue="1">
      <formula>MOD(ROW(),2)=0</formula>
    </cfRule>
  </conditionalFormatting>
  <conditionalFormatting sqref="BZ131">
    <cfRule type="expression" dxfId="1393" priority="1585" stopIfTrue="1">
      <formula>MOD(ROW(),2)=1</formula>
    </cfRule>
  </conditionalFormatting>
  <conditionalFormatting sqref="BZ131">
    <cfRule type="expression" dxfId="1392" priority="1586" stopIfTrue="1">
      <formula>MOD(ROW(),2)=0</formula>
    </cfRule>
  </conditionalFormatting>
  <conditionalFormatting sqref="W18">
    <cfRule type="expression" dxfId="1391" priority="1583" stopIfTrue="1">
      <formula>MOD(ROW(),2)=1</formula>
    </cfRule>
  </conditionalFormatting>
  <conditionalFormatting sqref="W18">
    <cfRule type="expression" dxfId="1390" priority="1584" stopIfTrue="1">
      <formula>MOD(ROW(),2)=0</formula>
    </cfRule>
  </conditionalFormatting>
  <conditionalFormatting sqref="W19">
    <cfRule type="expression" dxfId="1389" priority="1581" stopIfTrue="1">
      <formula>MOD(ROW(),2)=1</formula>
    </cfRule>
  </conditionalFormatting>
  <conditionalFormatting sqref="W19">
    <cfRule type="expression" dxfId="1388" priority="1582" stopIfTrue="1">
      <formula>MOD(ROW(),2)=0</formula>
    </cfRule>
  </conditionalFormatting>
  <conditionalFormatting sqref="W190">
    <cfRule type="expression" dxfId="1387" priority="1579" stopIfTrue="1">
      <formula>MOD(ROW(),2)=1</formula>
    </cfRule>
  </conditionalFormatting>
  <conditionalFormatting sqref="W190">
    <cfRule type="expression" dxfId="1386" priority="1580" stopIfTrue="1">
      <formula>MOD(ROW(),2)=0</formula>
    </cfRule>
  </conditionalFormatting>
  <conditionalFormatting sqref="W206">
    <cfRule type="expression" dxfId="1385" priority="1577" stopIfTrue="1">
      <formula>MOD(ROW(),2)=1</formula>
    </cfRule>
  </conditionalFormatting>
  <conditionalFormatting sqref="W206">
    <cfRule type="expression" dxfId="1384" priority="1578" stopIfTrue="1">
      <formula>MOD(ROW(),2)=0</formula>
    </cfRule>
  </conditionalFormatting>
  <conditionalFormatting sqref="W232">
    <cfRule type="expression" dxfId="1383" priority="1575" stopIfTrue="1">
      <formula>MOD(ROW(),2)=1</formula>
    </cfRule>
  </conditionalFormatting>
  <conditionalFormatting sqref="W232">
    <cfRule type="expression" dxfId="1382" priority="1576" stopIfTrue="1">
      <formula>MOD(ROW(),2)=0</formula>
    </cfRule>
  </conditionalFormatting>
  <conditionalFormatting sqref="W233">
    <cfRule type="expression" dxfId="1381" priority="1573" stopIfTrue="1">
      <formula>MOD(ROW(),2)=1</formula>
    </cfRule>
  </conditionalFormatting>
  <conditionalFormatting sqref="W233">
    <cfRule type="expression" dxfId="1380" priority="1574" stopIfTrue="1">
      <formula>MOD(ROW(),2)=0</formula>
    </cfRule>
  </conditionalFormatting>
  <conditionalFormatting sqref="J155">
    <cfRule type="expression" dxfId="1379" priority="1571" stopIfTrue="1">
      <formula>MOD(ROW(),2)=1</formula>
    </cfRule>
  </conditionalFormatting>
  <conditionalFormatting sqref="J155">
    <cfRule type="expression" dxfId="1378" priority="1572" stopIfTrue="1">
      <formula>MOD(ROW(),2)=0</formula>
    </cfRule>
  </conditionalFormatting>
  <conditionalFormatting sqref="BZ192">
    <cfRule type="expression" dxfId="1377" priority="1569" stopIfTrue="1">
      <formula>MOD(ROW(),2)=1</formula>
    </cfRule>
  </conditionalFormatting>
  <conditionalFormatting sqref="BZ192">
    <cfRule type="expression" dxfId="1376" priority="1570" stopIfTrue="1">
      <formula>MOD(ROW(),2)=0</formula>
    </cfRule>
  </conditionalFormatting>
  <conditionalFormatting sqref="Y192">
    <cfRule type="expression" dxfId="1375" priority="1567" stopIfTrue="1">
      <formula>MOD(ROW(),2)=1</formula>
    </cfRule>
  </conditionalFormatting>
  <conditionalFormatting sqref="Y192">
    <cfRule type="expression" dxfId="1374" priority="1568" stopIfTrue="1">
      <formula>MOD(ROW(),2)=0</formula>
    </cfRule>
  </conditionalFormatting>
  <conditionalFormatting sqref="W154">
    <cfRule type="expression" dxfId="1373" priority="1565" stopIfTrue="1">
      <formula>MOD(ROW(),2)=1</formula>
    </cfRule>
  </conditionalFormatting>
  <conditionalFormatting sqref="W154">
    <cfRule type="expression" dxfId="1372" priority="1566" stopIfTrue="1">
      <formula>MOD(ROW(),2)=0</formula>
    </cfRule>
  </conditionalFormatting>
  <conditionalFormatting sqref="AQ275:BQ275">
    <cfRule type="expression" dxfId="1371" priority="1563" stopIfTrue="1">
      <formula>MOD(ROW(),2)=1</formula>
    </cfRule>
    <cfRule type="expression" dxfId="1370" priority="1564" stopIfTrue="1">
      <formula>MOD(ROW(),2)=0</formula>
    </cfRule>
  </conditionalFormatting>
  <conditionalFormatting sqref="AP12:AP13 AP72 AP53 AP55 AP42 AP39 AP33 AP26 AP23:AP24 AP16 AP80 AP83:AP84 AP96:AP97 AP119 AP134:AP136 AP140 AP151:AP155 AP157:AP163 AP168 AP171 AL13:AP13 AP18">
    <cfRule type="expression" dxfId="1369" priority="1413" stopIfTrue="1">
      <formula>MOD(ROW(),2)=1</formula>
    </cfRule>
  </conditionalFormatting>
  <conditionalFormatting sqref="AP12:AP13 AP72 AP53 AP55 AP42 AP39 AP33 AP26 AP23:AP24 AP16 AP80 AP83:AP84 AP96:AP97 AP119 AP134:AP136 AP140 AP151:AP155 AP157:AP163 AP168 AP171 AL13:AP13 AP18">
    <cfRule type="expression" dxfId="1368" priority="1414" stopIfTrue="1">
      <formula>MOD(ROW(),2)=0</formula>
    </cfRule>
  </conditionalFormatting>
  <conditionalFormatting sqref="AQ12:AU12 AR195:AU195 AQ16:AU16 AQ18:AU18 AQ23:AU25 AQ207:AU207 AQ267:AU274 AQ39:AU39">
    <cfRule type="expression" dxfId="1367" priority="1411" stopIfTrue="1">
      <formula>MOD(ROW(),2)=1</formula>
    </cfRule>
  </conditionalFormatting>
  <conditionalFormatting sqref="AQ12:AU12 AR195:AU195 AQ16:AU16 AQ18:AU18 AQ23:AU25 AQ207:AU207 AQ267:AU274 AQ39:AU39">
    <cfRule type="expression" dxfId="1366" priority="1412" stopIfTrue="1">
      <formula>MOD(ROW(),2)=0</formula>
    </cfRule>
  </conditionalFormatting>
  <conditionalFormatting sqref="AV33 AV39 AX39:AY39 AV53 AV207 BA88:BE88 BG88:BK88 BM88:BQ88 BK42:BQ42 BA27:BE27 BG27:BK27 BM27:BP27 BC39:BE39 BF165:BQ165 BF223:BQ223 AV12 AV16:AW16 AV18 BL16:BQ25 BG12:BQ15 BG16:BK24 AY25:BK25 BA28:BQ38 BA60:BQ65 BA40:BE41 BA42:BI42 BA43:BQ52 BA55:BQ57 BA39 BA89:BQ93 BA68:BQ87 AZ12:AZ118 BA119:BQ123 BA125:BQ157 BA159:BQ164 BA177:BQ186 BA166:BQ174 BA188:BQ222 AX243:AY243 BA255:BQ265 BA224:BQ253 AZ135:AZ267 AV23:AW24 AY27:AY30 AW14:AW16 AV25 AW27:AW41 AW43:AW72 AW18:AW24 AW75:AW84 AW86:AW88 AW90:AW118 AW245:AW267 AY244:AY266 AW208:AW242 AW195:AW206 AW120:AW193 AY119:AZ134 AY135:AY242 AY94:BQ118 AY55:AY93 AY49:AY52 AY40:AY47 AY12:BE24 AY32:AY38">
    <cfRule type="expression" dxfId="77" priority="1407" stopIfTrue="1">
      <formula>MOD(ROW(),2)=1</formula>
    </cfRule>
  </conditionalFormatting>
  <conditionalFormatting sqref="AV33 AV39 AX39:AY39 AV53 AV207 BA88:BE88 BG88:BK88 BM88:BQ88 BK42:BQ42 BA27:BE27 BG27:BK27 BM27:BP27 BC39:BE39 BF165:BQ165 BF223:BQ223 AV12 AV16:AW16 AV18 BL16:BQ25 BG12:BQ15 BG16:BK24 AY25:BK25 BA28:BQ38 BA60:BQ65 BA40:BE41 BA42:BI42 BA43:BQ52 BA55:BQ57 BA39 BA89:BQ93 BA68:BQ87 AZ12:AZ118 BA119:BQ123 BA125:BQ157 BA159:BQ164 BA177:BQ186 BA166:BQ174 BA188:BQ222 AX243:AY243 BA255:BQ265 BA224:BQ253 AZ135:AZ267 AV23:AW24 AY27:AY30 AW14:AW16 AV25 AW27:AW41 AW43:AW72 AW18:AW24 AW75:AW84 AW86:AW88 AW90:AW118 AW245:AW267 AY244:AY266 AW208:AW242 AW195:AW206 AW120:AW193 AY119:AZ134 AY135:AY242 AY94:BQ118 AY55:AY93 AY49:AY52 AY40:AY47 AY12:BE24 AY32:AY38">
    <cfRule type="expression" dxfId="76" priority="1408" stopIfTrue="1">
      <formula>MOD(ROW(),2)=0</formula>
    </cfRule>
  </conditionalFormatting>
  <conditionalFormatting sqref="AQ26:AU26">
    <cfRule type="expression" dxfId="1365" priority="1405" stopIfTrue="1">
      <formula>MOD(ROW(),2)=1</formula>
    </cfRule>
  </conditionalFormatting>
  <conditionalFormatting sqref="AQ26:AU26">
    <cfRule type="expression" dxfId="1364" priority="1406" stopIfTrue="1">
      <formula>MOD(ROW(),2)=0</formula>
    </cfRule>
  </conditionalFormatting>
  <conditionalFormatting sqref="AQ33:AU33">
    <cfRule type="expression" dxfId="1363" priority="1403" stopIfTrue="1">
      <formula>MOD(ROW(),2)=1</formula>
    </cfRule>
  </conditionalFormatting>
  <conditionalFormatting sqref="AQ33:AU33">
    <cfRule type="expression" dxfId="1362" priority="1404" stopIfTrue="1">
      <formula>MOD(ROW(),2)=0</formula>
    </cfRule>
  </conditionalFormatting>
  <conditionalFormatting sqref="AQ42:AU42">
    <cfRule type="expression" dxfId="1361" priority="1395" stopIfTrue="1">
      <formula>MOD(ROW(),2)=1</formula>
    </cfRule>
  </conditionalFormatting>
  <conditionalFormatting sqref="AJ39">
    <cfRule type="expression" dxfId="1360" priority="1399" stopIfTrue="1">
      <formula>MOD(ROW(),2)=1</formula>
    </cfRule>
  </conditionalFormatting>
  <conditionalFormatting sqref="AJ39">
    <cfRule type="expression" dxfId="1359" priority="1400" stopIfTrue="1">
      <formula>MOD(ROW(),2)=0</formula>
    </cfRule>
  </conditionalFormatting>
  <conditionalFormatting sqref="AV42">
    <cfRule type="expression" dxfId="1358" priority="1397" stopIfTrue="1">
      <formula>MOD(ROW(),2)=1</formula>
    </cfRule>
  </conditionalFormatting>
  <conditionalFormatting sqref="AV42">
    <cfRule type="expression" dxfId="1357" priority="1398" stopIfTrue="1">
      <formula>MOD(ROW(),2)=0</formula>
    </cfRule>
  </conditionalFormatting>
  <conditionalFormatting sqref="AQ42:AU42">
    <cfRule type="expression" dxfId="1356" priority="1396" stopIfTrue="1">
      <formula>MOD(ROW(),2)=0</formula>
    </cfRule>
  </conditionalFormatting>
  <conditionalFormatting sqref="AQ53:AU53">
    <cfRule type="expression" dxfId="1355" priority="1393" stopIfTrue="1">
      <formula>MOD(ROW(),2)=1</formula>
    </cfRule>
  </conditionalFormatting>
  <conditionalFormatting sqref="AQ53:AU53">
    <cfRule type="expression" dxfId="1354" priority="1394" stopIfTrue="1">
      <formula>MOD(ROW(),2)=0</formula>
    </cfRule>
  </conditionalFormatting>
  <conditionalFormatting sqref="AW53">
    <cfRule type="expression" dxfId="1353" priority="1391" stopIfTrue="1">
      <formula>MOD(ROW(),2)=1</formula>
    </cfRule>
  </conditionalFormatting>
  <conditionalFormatting sqref="AW53">
    <cfRule type="expression" dxfId="1352" priority="1392" stopIfTrue="1">
      <formula>MOD(ROW(),2)=0</formula>
    </cfRule>
  </conditionalFormatting>
  <conditionalFormatting sqref="AP195">
    <cfRule type="expression" dxfId="1351" priority="1385" stopIfTrue="1">
      <formula>MOD(ROW(),2)=1</formula>
    </cfRule>
  </conditionalFormatting>
  <conditionalFormatting sqref="AP195">
    <cfRule type="expression" dxfId="1350" priority="1386" stopIfTrue="1">
      <formula>MOD(ROW(),2)=0</formula>
    </cfRule>
  </conditionalFormatting>
  <conditionalFormatting sqref="AV195">
    <cfRule type="expression" dxfId="1349" priority="1383" stopIfTrue="1">
      <formula>MOD(ROW(),2)=1</formula>
    </cfRule>
  </conditionalFormatting>
  <conditionalFormatting sqref="AV195">
    <cfRule type="expression" dxfId="1348" priority="1384" stopIfTrue="1">
      <formula>MOD(ROW(),2)=0</formula>
    </cfRule>
  </conditionalFormatting>
  <conditionalFormatting sqref="AP193">
    <cfRule type="expression" dxfId="1347" priority="1381" stopIfTrue="1">
      <formula>MOD(ROW(),2)=1</formula>
    </cfRule>
  </conditionalFormatting>
  <conditionalFormatting sqref="AP193">
    <cfRule type="expression" dxfId="1346" priority="1382" stopIfTrue="1">
      <formula>MOD(ROW(),2)=0</formula>
    </cfRule>
  </conditionalFormatting>
  <conditionalFormatting sqref="AV193">
    <cfRule type="expression" dxfId="1345" priority="1379" stopIfTrue="1">
      <formula>MOD(ROW(),2)=1</formula>
    </cfRule>
  </conditionalFormatting>
  <conditionalFormatting sqref="AV193">
    <cfRule type="expression" dxfId="1344" priority="1380" stopIfTrue="1">
      <formula>MOD(ROW(),2)=0</formula>
    </cfRule>
  </conditionalFormatting>
  <conditionalFormatting sqref="AQ193:AU193">
    <cfRule type="expression" dxfId="1343" priority="1377" stopIfTrue="1">
      <formula>MOD(ROW(),2)=1</formula>
    </cfRule>
  </conditionalFormatting>
  <conditionalFormatting sqref="AQ193:AU193">
    <cfRule type="expression" dxfId="1342" priority="1378" stopIfTrue="1">
      <formula>MOD(ROW(),2)=0</formula>
    </cfRule>
  </conditionalFormatting>
  <conditionalFormatting sqref="AJ194">
    <cfRule type="expression" dxfId="1341" priority="1375" stopIfTrue="1">
      <formula>MOD(ROW(),2)=1</formula>
    </cfRule>
  </conditionalFormatting>
  <conditionalFormatting sqref="AJ194">
    <cfRule type="expression" dxfId="1340" priority="1376" stopIfTrue="1">
      <formula>MOD(ROW(),2)=0</formula>
    </cfRule>
  </conditionalFormatting>
  <conditionalFormatting sqref="AP194">
    <cfRule type="expression" dxfId="1339" priority="1373" stopIfTrue="1">
      <formula>MOD(ROW(),2)=1</formula>
    </cfRule>
  </conditionalFormatting>
  <conditionalFormatting sqref="AP194">
    <cfRule type="expression" dxfId="1338" priority="1374" stopIfTrue="1">
      <formula>MOD(ROW(),2)=0</formula>
    </cfRule>
  </conditionalFormatting>
  <conditionalFormatting sqref="AQ194:AU194">
    <cfRule type="expression" dxfId="1337" priority="1371" stopIfTrue="1">
      <formula>MOD(ROW(),2)=1</formula>
    </cfRule>
  </conditionalFormatting>
  <conditionalFormatting sqref="AQ194:AU194">
    <cfRule type="expression" dxfId="1336" priority="1372" stopIfTrue="1">
      <formula>MOD(ROW(),2)=0</formula>
    </cfRule>
  </conditionalFormatting>
  <conditionalFormatting sqref="AV194">
    <cfRule type="expression" dxfId="1335" priority="1369" stopIfTrue="1">
      <formula>MOD(ROW(),2)=1</formula>
    </cfRule>
  </conditionalFormatting>
  <conditionalFormatting sqref="AV194">
    <cfRule type="expression" dxfId="1334" priority="1370" stopIfTrue="1">
      <formula>MOD(ROW(),2)=0</formula>
    </cfRule>
  </conditionalFormatting>
  <conditionalFormatting sqref="AP192">
    <cfRule type="expression" dxfId="1333" priority="1367" stopIfTrue="1">
      <formula>MOD(ROW(),2)=1</formula>
    </cfRule>
  </conditionalFormatting>
  <conditionalFormatting sqref="AP192">
    <cfRule type="expression" dxfId="1332" priority="1368" stopIfTrue="1">
      <formula>MOD(ROW(),2)=0</formula>
    </cfRule>
  </conditionalFormatting>
  <conditionalFormatting sqref="AE67 AK67">
    <cfRule type="expression" dxfId="1331" priority="1347" stopIfTrue="1">
      <formula>MOD(ROW(),2)=1</formula>
    </cfRule>
  </conditionalFormatting>
  <conditionalFormatting sqref="AE67 AK67">
    <cfRule type="expression" dxfId="1330" priority="1348" stopIfTrue="1">
      <formula>MOD(ROW(),2)=0</formula>
    </cfRule>
  </conditionalFormatting>
  <conditionalFormatting sqref="AW39">
    <cfRule type="expression" dxfId="1329" priority="1361" stopIfTrue="1">
      <formula>MOD(ROW(),2)=1</formula>
    </cfRule>
  </conditionalFormatting>
  <conditionalFormatting sqref="AW39">
    <cfRule type="expression" dxfId="1328" priority="1362" stopIfTrue="1">
      <formula>MOD(ROW(),2)=0</formula>
    </cfRule>
  </conditionalFormatting>
  <conditionalFormatting sqref="AY53:AY54 BA53:BQ54">
    <cfRule type="expression" dxfId="1327" priority="1359" stopIfTrue="1">
      <formula>MOD(ROW(),2)=1</formula>
    </cfRule>
  </conditionalFormatting>
  <conditionalFormatting sqref="AY53:AY54 BA53:BQ54">
    <cfRule type="expression" dxfId="1326" priority="1360" stopIfTrue="1">
      <formula>MOD(ROW(),2)=0</formula>
    </cfRule>
  </conditionalFormatting>
  <conditionalFormatting sqref="AK58:AO59 AE58:AI59">
    <cfRule type="expression" dxfId="1325" priority="1357" stopIfTrue="1">
      <formula>MOD(ROW(),2)=1</formula>
    </cfRule>
  </conditionalFormatting>
  <conditionalFormatting sqref="AK58:AO59 AE58:AI59">
    <cfRule type="expression" dxfId="1324" priority="1358" stopIfTrue="1">
      <formula>MOD(ROW(),2)=0</formula>
    </cfRule>
  </conditionalFormatting>
  <conditionalFormatting sqref="AP59">
    <cfRule type="expression" dxfId="1323" priority="1355" stopIfTrue="1">
      <formula>MOD(ROW(),2)=1</formula>
    </cfRule>
  </conditionalFormatting>
  <conditionalFormatting sqref="AP59">
    <cfRule type="expression" dxfId="1322" priority="1356" stopIfTrue="1">
      <formula>MOD(ROW(),2)=0</formula>
    </cfRule>
  </conditionalFormatting>
  <conditionalFormatting sqref="AQ58:AU59">
    <cfRule type="expression" dxfId="1321" priority="1353" stopIfTrue="1">
      <formula>MOD(ROW(),2)=1</formula>
    </cfRule>
  </conditionalFormatting>
  <conditionalFormatting sqref="AQ58:AU59">
    <cfRule type="expression" dxfId="1320" priority="1354" stopIfTrue="1">
      <formula>MOD(ROW(),2)=0</formula>
    </cfRule>
  </conditionalFormatting>
  <conditionalFormatting sqref="AV40">
    <cfRule type="expression" dxfId="1319" priority="611" stopIfTrue="1">
      <formula>MOD(ROW(),2)=1</formula>
    </cfRule>
  </conditionalFormatting>
  <conditionalFormatting sqref="AV40">
    <cfRule type="expression" dxfId="1318" priority="612" stopIfTrue="1">
      <formula>MOD(ROW(),2)=0</formula>
    </cfRule>
  </conditionalFormatting>
  <conditionalFormatting sqref="AK66:AN66 AE66:AI66">
    <cfRule type="expression" dxfId="1317" priority="1349" stopIfTrue="1">
      <formula>MOD(ROW(),2)=1</formula>
    </cfRule>
  </conditionalFormatting>
  <conditionalFormatting sqref="AK66:AN66 AE66:AI66">
    <cfRule type="expression" dxfId="1316" priority="1350" stopIfTrue="1">
      <formula>MOD(ROW(),2)=0</formula>
    </cfRule>
  </conditionalFormatting>
  <conditionalFormatting sqref="AR54">
    <cfRule type="expression" dxfId="1315" priority="585" stopIfTrue="1">
      <formula>MOD(ROW(),2)=1</formula>
    </cfRule>
  </conditionalFormatting>
  <conditionalFormatting sqref="AR54">
    <cfRule type="expression" dxfId="1314" priority="586" stopIfTrue="1">
      <formula>MOD(ROW(),2)=0</formula>
    </cfRule>
  </conditionalFormatting>
  <conditionalFormatting sqref="AQ66:AR66 AQ67:AU67">
    <cfRule type="expression" dxfId="1313" priority="1343" stopIfTrue="1">
      <formula>MOD(ROW(),2)=1</formula>
    </cfRule>
  </conditionalFormatting>
  <conditionalFormatting sqref="AQ66:AR66 AQ67:AU67">
    <cfRule type="expression" dxfId="1312" priority="1344" stopIfTrue="1">
      <formula>MOD(ROW(),2)=0</formula>
    </cfRule>
  </conditionalFormatting>
  <conditionalFormatting sqref="AU56:AU57">
    <cfRule type="expression" dxfId="1311" priority="555" stopIfTrue="1">
      <formula>MOD(ROW(),2)=1</formula>
    </cfRule>
  </conditionalFormatting>
  <conditionalFormatting sqref="AU56:AU57">
    <cfRule type="expression" dxfId="1310" priority="556" stopIfTrue="1">
      <formula>MOD(ROW(),2)=0</formula>
    </cfRule>
  </conditionalFormatting>
  <conditionalFormatting sqref="AS66:AT66">
    <cfRule type="expression" dxfId="1309" priority="1339" stopIfTrue="1">
      <formula>MOD(ROW(),2)=1</formula>
    </cfRule>
  </conditionalFormatting>
  <conditionalFormatting sqref="AS66:AT66">
    <cfRule type="expression" dxfId="1308" priority="1340" stopIfTrue="1">
      <formula>MOD(ROW(),2)=0</formula>
    </cfRule>
  </conditionalFormatting>
  <conditionalFormatting sqref="AV67">
    <cfRule type="expression" dxfId="1307" priority="1337" stopIfTrue="1">
      <formula>MOD(ROW(),2)=1</formula>
    </cfRule>
  </conditionalFormatting>
  <conditionalFormatting sqref="AV67">
    <cfRule type="expression" dxfId="1306" priority="1338" stopIfTrue="1">
      <formula>MOD(ROW(),2)=0</formula>
    </cfRule>
  </conditionalFormatting>
  <conditionalFormatting sqref="BF66:BI66 BA66:BD66">
    <cfRule type="expression" dxfId="1305" priority="1335" stopIfTrue="1">
      <formula>MOD(ROW(),2)=1</formula>
    </cfRule>
  </conditionalFormatting>
  <conditionalFormatting sqref="BF66:BI66 BA66:BD66">
    <cfRule type="expression" dxfId="1304" priority="1336" stopIfTrue="1">
      <formula>MOD(ROW(),2)=0</formula>
    </cfRule>
  </conditionalFormatting>
  <conditionalFormatting sqref="BF67">
    <cfRule type="expression" dxfId="1303" priority="1333" stopIfTrue="1">
      <formula>MOD(ROW(),2)=1</formula>
    </cfRule>
  </conditionalFormatting>
  <conditionalFormatting sqref="BF67">
    <cfRule type="expression" dxfId="1302" priority="1334" stopIfTrue="1">
      <formula>MOD(ROW(),2)=0</formula>
    </cfRule>
  </conditionalFormatting>
  <conditionalFormatting sqref="AV60:AV65">
    <cfRule type="expression" dxfId="1301" priority="551" stopIfTrue="1">
      <formula>MOD(ROW(),2)=1</formula>
    </cfRule>
  </conditionalFormatting>
  <conditionalFormatting sqref="AV60:AV65">
    <cfRule type="expression" dxfId="1300" priority="552" stopIfTrue="1">
      <formula>MOD(ROW(),2)=0</formula>
    </cfRule>
  </conditionalFormatting>
  <conditionalFormatting sqref="BL67 BL66:BP66">
    <cfRule type="expression" dxfId="1299" priority="1329" stopIfTrue="1">
      <formula>MOD(ROW(),2)=1</formula>
    </cfRule>
  </conditionalFormatting>
  <conditionalFormatting sqref="BL67 BL66:BP66">
    <cfRule type="expression" dxfId="1298" priority="1330" stopIfTrue="1">
      <formula>MOD(ROW(),2)=0</formula>
    </cfRule>
  </conditionalFormatting>
  <conditionalFormatting sqref="BQ66">
    <cfRule type="expression" dxfId="1297" priority="1327" stopIfTrue="1">
      <formula>MOD(ROW(),2)=1</formula>
    </cfRule>
  </conditionalFormatting>
  <conditionalFormatting sqref="BQ66">
    <cfRule type="expression" dxfId="1296" priority="1328" stopIfTrue="1">
      <formula>MOD(ROW(),2)=0</formula>
    </cfRule>
  </conditionalFormatting>
  <conditionalFormatting sqref="BM67">
    <cfRule type="expression" dxfId="1295" priority="1325" stopIfTrue="1">
      <formula>MOD(ROW(),2)=1</formula>
    </cfRule>
  </conditionalFormatting>
  <conditionalFormatting sqref="BM67">
    <cfRule type="expression" dxfId="1294" priority="1326" stopIfTrue="1">
      <formula>MOD(ROW(),2)=0</formula>
    </cfRule>
  </conditionalFormatting>
  <conditionalFormatting sqref="BN67">
    <cfRule type="expression" dxfId="1293" priority="1323" stopIfTrue="1">
      <formula>MOD(ROW(),2)=1</formula>
    </cfRule>
  </conditionalFormatting>
  <conditionalFormatting sqref="BN67">
    <cfRule type="expression" dxfId="1292" priority="1324" stopIfTrue="1">
      <formula>MOD(ROW(),2)=0</formula>
    </cfRule>
  </conditionalFormatting>
  <conditionalFormatting sqref="BO67">
    <cfRule type="expression" dxfId="1291" priority="1321" stopIfTrue="1">
      <formula>MOD(ROW(),2)=1</formula>
    </cfRule>
  </conditionalFormatting>
  <conditionalFormatting sqref="BO67">
    <cfRule type="expression" dxfId="1290" priority="1322" stopIfTrue="1">
      <formula>MOD(ROW(),2)=0</formula>
    </cfRule>
  </conditionalFormatting>
  <conditionalFormatting sqref="BP67">
    <cfRule type="expression" dxfId="1289" priority="1319" stopIfTrue="1">
      <formula>MOD(ROW(),2)=1</formula>
    </cfRule>
  </conditionalFormatting>
  <conditionalFormatting sqref="BP67">
    <cfRule type="expression" dxfId="1288" priority="1320" stopIfTrue="1">
      <formula>MOD(ROW(),2)=0</formula>
    </cfRule>
  </conditionalFormatting>
  <conditionalFormatting sqref="BQ67">
    <cfRule type="expression" dxfId="1287" priority="1317" stopIfTrue="1">
      <formula>MOD(ROW(),2)=1</formula>
    </cfRule>
  </conditionalFormatting>
  <conditionalFormatting sqref="BQ67">
    <cfRule type="expression" dxfId="1286" priority="1318" stopIfTrue="1">
      <formula>MOD(ROW(),2)=0</formula>
    </cfRule>
  </conditionalFormatting>
  <conditionalFormatting sqref="BA59:BJ59 BF58:BJ58 BA58:BD58">
    <cfRule type="expression" dxfId="1285" priority="1315" stopIfTrue="1">
      <formula>MOD(ROW(),2)=1</formula>
    </cfRule>
  </conditionalFormatting>
  <conditionalFormatting sqref="BA59:BJ59 BF58:BJ58 BA58:BD58">
    <cfRule type="expression" dxfId="1284" priority="1316" stopIfTrue="1">
      <formula>MOD(ROW(),2)=0</formula>
    </cfRule>
  </conditionalFormatting>
  <conditionalFormatting sqref="BK59">
    <cfRule type="expression" dxfId="1283" priority="1313" stopIfTrue="1">
      <formula>MOD(ROW(),2)=1</formula>
    </cfRule>
  </conditionalFormatting>
  <conditionalFormatting sqref="BK59">
    <cfRule type="expression" dxfId="1282" priority="1314" stopIfTrue="1">
      <formula>MOD(ROW(),2)=0</formula>
    </cfRule>
  </conditionalFormatting>
  <conditionalFormatting sqref="BL58:BP59">
    <cfRule type="expression" dxfId="1281" priority="1311" stopIfTrue="1">
      <formula>MOD(ROW(),2)=1</formula>
    </cfRule>
  </conditionalFormatting>
  <conditionalFormatting sqref="BL58:BP59">
    <cfRule type="expression" dxfId="1280" priority="1312" stopIfTrue="1">
      <formula>MOD(ROW(),2)=0</formula>
    </cfRule>
  </conditionalFormatting>
  <conditionalFormatting sqref="AR55">
    <cfRule type="expression" dxfId="1279" priority="573" stopIfTrue="1">
      <formula>MOD(ROW(),2)=1</formula>
    </cfRule>
  </conditionalFormatting>
  <conditionalFormatting sqref="AR55">
    <cfRule type="expression" dxfId="1278" priority="574" stopIfTrue="1">
      <formula>MOD(ROW(),2)=0</formula>
    </cfRule>
  </conditionalFormatting>
  <conditionalFormatting sqref="AU66">
    <cfRule type="expression" dxfId="1277" priority="1307" stopIfTrue="1">
      <formula>MOD(ROW(),2)=1</formula>
    </cfRule>
  </conditionalFormatting>
  <conditionalFormatting sqref="AU66">
    <cfRule type="expression" dxfId="1276" priority="1308" stopIfTrue="1">
      <formula>MOD(ROW(),2)=0</formula>
    </cfRule>
  </conditionalFormatting>
  <conditionalFormatting sqref="AO66">
    <cfRule type="expression" dxfId="1275" priority="1305" stopIfTrue="1">
      <formula>MOD(ROW(),2)=1</formula>
    </cfRule>
  </conditionalFormatting>
  <conditionalFormatting sqref="AO66">
    <cfRule type="expression" dxfId="1274" priority="1306" stopIfTrue="1">
      <formula>MOD(ROW(),2)=0</formula>
    </cfRule>
  </conditionalFormatting>
  <conditionalFormatting sqref="BJ66">
    <cfRule type="expression" dxfId="1273" priority="1303" stopIfTrue="1">
      <formula>MOD(ROW(),2)=1</formula>
    </cfRule>
  </conditionalFormatting>
  <conditionalFormatting sqref="BJ66">
    <cfRule type="expression" dxfId="1272" priority="1304" stopIfTrue="1">
      <formula>MOD(ROW(),2)=0</formula>
    </cfRule>
  </conditionalFormatting>
  <conditionalFormatting sqref="BK66">
    <cfRule type="expression" dxfId="1271" priority="1301" stopIfTrue="1">
      <formula>MOD(ROW(),2)=1</formula>
    </cfRule>
  </conditionalFormatting>
  <conditionalFormatting sqref="BK66">
    <cfRule type="expression" dxfId="1270" priority="1302" stopIfTrue="1">
      <formula>MOD(ROW(),2)=0</formula>
    </cfRule>
  </conditionalFormatting>
  <conditionalFormatting sqref="BE66">
    <cfRule type="expression" dxfId="1269" priority="1299" stopIfTrue="1">
      <formula>MOD(ROW(),2)=1</formula>
    </cfRule>
  </conditionalFormatting>
  <conditionalFormatting sqref="BE66">
    <cfRule type="expression" dxfId="1268" priority="1300" stopIfTrue="1">
      <formula>MOD(ROW(),2)=0</formula>
    </cfRule>
  </conditionalFormatting>
  <conditionalFormatting sqref="AV66">
    <cfRule type="expression" dxfId="1267" priority="1297" stopIfTrue="1">
      <formula>MOD(ROW(),2)=1</formula>
    </cfRule>
  </conditionalFormatting>
  <conditionalFormatting sqref="AV66">
    <cfRule type="expression" dxfId="1266" priority="1298" stopIfTrue="1">
      <formula>MOD(ROW(),2)=0</formula>
    </cfRule>
  </conditionalFormatting>
  <conditionalFormatting sqref="AP66">
    <cfRule type="expression" dxfId="1265" priority="1295" stopIfTrue="1">
      <formula>MOD(ROW(),2)=1</formula>
    </cfRule>
  </conditionalFormatting>
  <conditionalFormatting sqref="AP66">
    <cfRule type="expression" dxfId="1264" priority="1296" stopIfTrue="1">
      <formula>MOD(ROW(),2)=0</formula>
    </cfRule>
  </conditionalFormatting>
  <conditionalFormatting sqref="AJ66">
    <cfRule type="expression" dxfId="1263" priority="1293" stopIfTrue="1">
      <formula>MOD(ROW(),2)=1</formula>
    </cfRule>
  </conditionalFormatting>
  <conditionalFormatting sqref="AJ66">
    <cfRule type="expression" dxfId="1262" priority="1294" stopIfTrue="1">
      <formula>MOD(ROW(),2)=0</formula>
    </cfRule>
  </conditionalFormatting>
  <conditionalFormatting sqref="BG67">
    <cfRule type="expression" dxfId="1261" priority="1291" stopIfTrue="1">
      <formula>MOD(ROW(),2)=1</formula>
    </cfRule>
  </conditionalFormatting>
  <conditionalFormatting sqref="BG67">
    <cfRule type="expression" dxfId="1260" priority="1292" stopIfTrue="1">
      <formula>MOD(ROW(),2)=0</formula>
    </cfRule>
  </conditionalFormatting>
  <conditionalFormatting sqref="BH67">
    <cfRule type="expression" dxfId="1259" priority="1289" stopIfTrue="1">
      <formula>MOD(ROW(),2)=1</formula>
    </cfRule>
  </conditionalFormatting>
  <conditionalFormatting sqref="BH67">
    <cfRule type="expression" dxfId="1258" priority="1290" stopIfTrue="1">
      <formula>MOD(ROW(),2)=0</formula>
    </cfRule>
  </conditionalFormatting>
  <conditionalFormatting sqref="BI67">
    <cfRule type="expression" dxfId="1257" priority="1287" stopIfTrue="1">
      <formula>MOD(ROW(),2)=1</formula>
    </cfRule>
  </conditionalFormatting>
  <conditionalFormatting sqref="BI67">
    <cfRule type="expression" dxfId="1256" priority="1288" stopIfTrue="1">
      <formula>MOD(ROW(),2)=0</formula>
    </cfRule>
  </conditionalFormatting>
  <conditionalFormatting sqref="BJ67">
    <cfRule type="expression" dxfId="1255" priority="1285" stopIfTrue="1">
      <formula>MOD(ROW(),2)=1</formula>
    </cfRule>
  </conditionalFormatting>
  <conditionalFormatting sqref="BJ67">
    <cfRule type="expression" dxfId="1254" priority="1286" stopIfTrue="1">
      <formula>MOD(ROW(),2)=0</formula>
    </cfRule>
  </conditionalFormatting>
  <conditionalFormatting sqref="BK67">
    <cfRule type="expression" dxfId="1253" priority="1283" stopIfTrue="1">
      <formula>MOD(ROW(),2)=1</formula>
    </cfRule>
  </conditionalFormatting>
  <conditionalFormatting sqref="BK67">
    <cfRule type="expression" dxfId="1252" priority="1284" stopIfTrue="1">
      <formula>MOD(ROW(),2)=0</formula>
    </cfRule>
  </conditionalFormatting>
  <conditionalFormatting sqref="BA67">
    <cfRule type="expression" dxfId="1251" priority="1281" stopIfTrue="1">
      <formula>MOD(ROW(),2)=1</formula>
    </cfRule>
  </conditionalFormatting>
  <conditionalFormatting sqref="BA67">
    <cfRule type="expression" dxfId="1250" priority="1282" stopIfTrue="1">
      <formula>MOD(ROW(),2)=0</formula>
    </cfRule>
  </conditionalFormatting>
  <conditionalFormatting sqref="BB67">
    <cfRule type="expression" dxfId="1249" priority="1279" stopIfTrue="1">
      <formula>MOD(ROW(),2)=1</formula>
    </cfRule>
  </conditionalFormatting>
  <conditionalFormatting sqref="BB67">
    <cfRule type="expression" dxfId="1248" priority="1280" stopIfTrue="1">
      <formula>MOD(ROW(),2)=0</formula>
    </cfRule>
  </conditionalFormatting>
  <conditionalFormatting sqref="BC67">
    <cfRule type="expression" dxfId="1247" priority="1277" stopIfTrue="1">
      <formula>MOD(ROW(),2)=1</formula>
    </cfRule>
  </conditionalFormatting>
  <conditionalFormatting sqref="BC67">
    <cfRule type="expression" dxfId="1246" priority="1278" stopIfTrue="1">
      <formula>MOD(ROW(),2)=0</formula>
    </cfRule>
  </conditionalFormatting>
  <conditionalFormatting sqref="BD67">
    <cfRule type="expression" dxfId="1245" priority="1275" stopIfTrue="1">
      <formula>MOD(ROW(),2)=1</formula>
    </cfRule>
  </conditionalFormatting>
  <conditionalFormatting sqref="BD67">
    <cfRule type="expression" dxfId="1244" priority="1276" stopIfTrue="1">
      <formula>MOD(ROW(),2)=0</formula>
    </cfRule>
  </conditionalFormatting>
  <conditionalFormatting sqref="BE67">
    <cfRule type="expression" dxfId="1243" priority="1273" stopIfTrue="1">
      <formula>MOD(ROW(),2)=1</formula>
    </cfRule>
  </conditionalFormatting>
  <conditionalFormatting sqref="BE67">
    <cfRule type="expression" dxfId="1242" priority="1274" stopIfTrue="1">
      <formula>MOD(ROW(),2)=0</formula>
    </cfRule>
  </conditionalFormatting>
  <conditionalFormatting sqref="AL67:AO67">
    <cfRule type="expression" dxfId="1241" priority="1271" stopIfTrue="1">
      <formula>MOD(ROW(),2)=1</formula>
    </cfRule>
  </conditionalFormatting>
  <conditionalFormatting sqref="AL67:AO67">
    <cfRule type="expression" dxfId="1240" priority="1272" stopIfTrue="1">
      <formula>MOD(ROW(),2)=0</formula>
    </cfRule>
  </conditionalFormatting>
  <conditionalFormatting sqref="AP67">
    <cfRule type="expression" dxfId="1239" priority="1269" stopIfTrue="1">
      <formula>MOD(ROW(),2)=1</formula>
    </cfRule>
  </conditionalFormatting>
  <conditionalFormatting sqref="AP67">
    <cfRule type="expression" dxfId="1238" priority="1270" stopIfTrue="1">
      <formula>MOD(ROW(),2)=0</formula>
    </cfRule>
  </conditionalFormatting>
  <conditionalFormatting sqref="AF67:AI67">
    <cfRule type="expression" dxfId="1237" priority="1267" stopIfTrue="1">
      <formula>MOD(ROW(),2)=1</formula>
    </cfRule>
  </conditionalFormatting>
  <conditionalFormatting sqref="AF67:AI67">
    <cfRule type="expression" dxfId="1236" priority="1268" stopIfTrue="1">
      <formula>MOD(ROW(),2)=0</formula>
    </cfRule>
  </conditionalFormatting>
  <conditionalFormatting sqref="AJ67">
    <cfRule type="expression" dxfId="1235" priority="1265" stopIfTrue="1">
      <formula>MOD(ROW(),2)=1</formula>
    </cfRule>
  </conditionalFormatting>
  <conditionalFormatting sqref="AJ67">
    <cfRule type="expression" dxfId="1234" priority="1266" stopIfTrue="1">
      <formula>MOD(ROW(),2)=0</formula>
    </cfRule>
  </conditionalFormatting>
  <conditionalFormatting sqref="AJ58">
    <cfRule type="expression" dxfId="1233" priority="1263" stopIfTrue="1">
      <formula>MOD(ROW(),2)=1</formula>
    </cfRule>
  </conditionalFormatting>
  <conditionalFormatting sqref="AJ58">
    <cfRule type="expression" dxfId="1232" priority="1264" stopIfTrue="1">
      <formula>MOD(ROW(),2)=0</formula>
    </cfRule>
  </conditionalFormatting>
  <conditionalFormatting sqref="BE58">
    <cfRule type="expression" dxfId="1231" priority="1261" stopIfTrue="1">
      <formula>MOD(ROW(),2)=1</formula>
    </cfRule>
  </conditionalFormatting>
  <conditionalFormatting sqref="BE58">
    <cfRule type="expression" dxfId="1230" priority="1262" stopIfTrue="1">
      <formula>MOD(ROW(),2)=0</formula>
    </cfRule>
  </conditionalFormatting>
  <conditionalFormatting sqref="AJ59">
    <cfRule type="expression" dxfId="1229" priority="1259" stopIfTrue="1">
      <formula>MOD(ROW(),2)=1</formula>
    </cfRule>
  </conditionalFormatting>
  <conditionalFormatting sqref="AJ59">
    <cfRule type="expression" dxfId="1228" priority="1260" stopIfTrue="1">
      <formula>MOD(ROW(),2)=0</formula>
    </cfRule>
  </conditionalFormatting>
  <conditionalFormatting sqref="BK58">
    <cfRule type="expression" dxfId="1227" priority="1257" stopIfTrue="1">
      <formula>MOD(ROW(),2)=1</formula>
    </cfRule>
  </conditionalFormatting>
  <conditionalFormatting sqref="BK58">
    <cfRule type="expression" dxfId="1226" priority="1258" stopIfTrue="1">
      <formula>MOD(ROW(),2)=0</formula>
    </cfRule>
  </conditionalFormatting>
  <conditionalFormatting sqref="AP58">
    <cfRule type="expression" dxfId="1225" priority="1255" stopIfTrue="1">
      <formula>MOD(ROW(),2)=1</formula>
    </cfRule>
  </conditionalFormatting>
  <conditionalFormatting sqref="AP58">
    <cfRule type="expression" dxfId="1224" priority="1256" stopIfTrue="1">
      <formula>MOD(ROW(),2)=0</formula>
    </cfRule>
  </conditionalFormatting>
  <conditionalFormatting sqref="AV59">
    <cfRule type="expression" dxfId="1223" priority="1253" stopIfTrue="1">
      <formula>MOD(ROW(),2)=1</formula>
    </cfRule>
  </conditionalFormatting>
  <conditionalFormatting sqref="AV59">
    <cfRule type="expression" dxfId="1222" priority="1254" stopIfTrue="1">
      <formula>MOD(ROW(),2)=0</formula>
    </cfRule>
  </conditionalFormatting>
  <conditionalFormatting sqref="AV58">
    <cfRule type="expression" dxfId="1221" priority="1251" stopIfTrue="1">
      <formula>MOD(ROW(),2)=1</formula>
    </cfRule>
  </conditionalFormatting>
  <conditionalFormatting sqref="AV58">
    <cfRule type="expression" dxfId="1220" priority="1252" stopIfTrue="1">
      <formula>MOD(ROW(),2)=0</formula>
    </cfRule>
  </conditionalFormatting>
  <conditionalFormatting sqref="BQ59">
    <cfRule type="expression" dxfId="1219" priority="1249" stopIfTrue="1">
      <formula>MOD(ROW(),2)=1</formula>
    </cfRule>
  </conditionalFormatting>
  <conditionalFormatting sqref="BQ59">
    <cfRule type="expression" dxfId="1218" priority="1250" stopIfTrue="1">
      <formula>MOD(ROW(),2)=0</formula>
    </cfRule>
  </conditionalFormatting>
  <conditionalFormatting sqref="BQ58">
    <cfRule type="expression" dxfId="1217" priority="1247" stopIfTrue="1">
      <formula>MOD(ROW(),2)=1</formula>
    </cfRule>
  </conditionalFormatting>
  <conditionalFormatting sqref="BQ58">
    <cfRule type="expression" dxfId="1216" priority="1248" stopIfTrue="1">
      <formula>MOD(ROW(),2)=0</formula>
    </cfRule>
  </conditionalFormatting>
  <conditionalFormatting sqref="AF62:AJ62">
    <cfRule type="expression" dxfId="1215" priority="1245" stopIfTrue="1">
      <formula>MOD(ROW(),2)=1</formula>
    </cfRule>
  </conditionalFormatting>
  <conditionalFormatting sqref="AF62:AJ62">
    <cfRule type="expression" dxfId="1214" priority="1246" stopIfTrue="1">
      <formula>MOD(ROW(),2)=0</formula>
    </cfRule>
  </conditionalFormatting>
  <conditionalFormatting sqref="AL60:AP65">
    <cfRule type="expression" dxfId="1213" priority="1243" stopIfTrue="1">
      <formula>MOD(ROW(),2)=1</formula>
    </cfRule>
  </conditionalFormatting>
  <conditionalFormatting sqref="AL60:AP65">
    <cfRule type="expression" dxfId="1212" priority="1244" stopIfTrue="1">
      <formula>MOD(ROW(),2)=0</formula>
    </cfRule>
  </conditionalFormatting>
  <conditionalFormatting sqref="AQ71">
    <cfRule type="expression" dxfId="1211" priority="1199" stopIfTrue="1">
      <formula>MOD(ROW(),2)=1</formula>
    </cfRule>
  </conditionalFormatting>
  <conditionalFormatting sqref="AQ71">
    <cfRule type="expression" dxfId="1210" priority="1200" stopIfTrue="1">
      <formula>MOD(ROW(),2)=0</formula>
    </cfRule>
  </conditionalFormatting>
  <conditionalFormatting sqref="AF68:AJ68">
    <cfRule type="expression" dxfId="1209" priority="1239" stopIfTrue="1">
      <formula>MOD(ROW(),2)=1</formula>
    </cfRule>
  </conditionalFormatting>
  <conditionalFormatting sqref="AF68:AJ68">
    <cfRule type="expression" dxfId="1208" priority="1240" stopIfTrue="1">
      <formula>MOD(ROW(),2)=0</formula>
    </cfRule>
  </conditionalFormatting>
  <conditionalFormatting sqref="AE68 AK68">
    <cfRule type="expression" dxfId="1207" priority="1237" stopIfTrue="1">
      <formula>MOD(ROW(),2)=1</formula>
    </cfRule>
  </conditionalFormatting>
  <conditionalFormatting sqref="AE68 AK68">
    <cfRule type="expression" dxfId="1206" priority="1238" stopIfTrue="1">
      <formula>MOD(ROW(),2)=0</formula>
    </cfRule>
  </conditionalFormatting>
  <conditionalFormatting sqref="AQ68">
    <cfRule type="expression" dxfId="1205" priority="1235" stopIfTrue="1">
      <formula>MOD(ROW(),2)=1</formula>
    </cfRule>
  </conditionalFormatting>
  <conditionalFormatting sqref="AQ68">
    <cfRule type="expression" dxfId="1204" priority="1236" stopIfTrue="1">
      <formula>MOD(ROW(),2)=0</formula>
    </cfRule>
  </conditionalFormatting>
  <conditionalFormatting sqref="AV68">
    <cfRule type="expression" dxfId="1203" priority="1233" stopIfTrue="1">
      <formula>MOD(ROW(),2)=1</formula>
    </cfRule>
  </conditionalFormatting>
  <conditionalFormatting sqref="AV68">
    <cfRule type="expression" dxfId="1202" priority="1234" stopIfTrue="1">
      <formula>MOD(ROW(),2)=0</formula>
    </cfRule>
  </conditionalFormatting>
  <conditionalFormatting sqref="AL68:AP68">
    <cfRule type="expression" dxfId="1201" priority="1231" stopIfTrue="1">
      <formula>MOD(ROW(),2)=1</formula>
    </cfRule>
  </conditionalFormatting>
  <conditionalFormatting sqref="AL68:AP68">
    <cfRule type="expression" dxfId="1200" priority="1232" stopIfTrue="1">
      <formula>MOD(ROW(),2)=0</formula>
    </cfRule>
  </conditionalFormatting>
  <conditionalFormatting sqref="AR68:AU68">
    <cfRule type="expression" dxfId="1199" priority="1229" stopIfTrue="1">
      <formula>MOD(ROW(),2)=1</formula>
    </cfRule>
  </conditionalFormatting>
  <conditionalFormatting sqref="AR68:AU68">
    <cfRule type="expression" dxfId="1198" priority="1230" stopIfTrue="1">
      <formula>MOD(ROW(),2)=0</formula>
    </cfRule>
  </conditionalFormatting>
  <conditionalFormatting sqref="AF69:AJ69">
    <cfRule type="expression" dxfId="1197" priority="1227" stopIfTrue="1">
      <formula>MOD(ROW(),2)=1</formula>
    </cfRule>
  </conditionalFormatting>
  <conditionalFormatting sqref="AF69:AJ69">
    <cfRule type="expression" dxfId="1196" priority="1228" stopIfTrue="1">
      <formula>MOD(ROW(),2)=0</formula>
    </cfRule>
  </conditionalFormatting>
  <conditionalFormatting sqref="AE69 AK69">
    <cfRule type="expression" dxfId="1195" priority="1225" stopIfTrue="1">
      <formula>MOD(ROW(),2)=1</formula>
    </cfRule>
  </conditionalFormatting>
  <conditionalFormatting sqref="AE69 AK69">
    <cfRule type="expression" dxfId="1194" priority="1226" stopIfTrue="1">
      <formula>MOD(ROW(),2)=0</formula>
    </cfRule>
  </conditionalFormatting>
  <conditionalFormatting sqref="AQ69">
    <cfRule type="expression" dxfId="1193" priority="1223" stopIfTrue="1">
      <formula>MOD(ROW(),2)=1</formula>
    </cfRule>
  </conditionalFormatting>
  <conditionalFormatting sqref="AQ69">
    <cfRule type="expression" dxfId="1192" priority="1224" stopIfTrue="1">
      <formula>MOD(ROW(),2)=0</formula>
    </cfRule>
  </conditionalFormatting>
  <conditionalFormatting sqref="AV69">
    <cfRule type="expression" dxfId="1191" priority="1221" stopIfTrue="1">
      <formula>MOD(ROW(),2)=1</formula>
    </cfRule>
  </conditionalFormatting>
  <conditionalFormatting sqref="AV69">
    <cfRule type="expression" dxfId="1190" priority="1222" stopIfTrue="1">
      <formula>MOD(ROW(),2)=0</formula>
    </cfRule>
  </conditionalFormatting>
  <conditionalFormatting sqref="AL69:AP69">
    <cfRule type="expression" dxfId="1189" priority="1219" stopIfTrue="1">
      <formula>MOD(ROW(),2)=1</formula>
    </cfRule>
  </conditionalFormatting>
  <conditionalFormatting sqref="AL69:AP69">
    <cfRule type="expression" dxfId="1188" priority="1220" stopIfTrue="1">
      <formula>MOD(ROW(),2)=0</formula>
    </cfRule>
  </conditionalFormatting>
  <conditionalFormatting sqref="AR69:AU69">
    <cfRule type="expression" dxfId="1187" priority="1217" stopIfTrue="1">
      <formula>MOD(ROW(),2)=1</formula>
    </cfRule>
  </conditionalFormatting>
  <conditionalFormatting sqref="AR69:AU69">
    <cfRule type="expression" dxfId="1186" priority="1218" stopIfTrue="1">
      <formula>MOD(ROW(),2)=0</formula>
    </cfRule>
  </conditionalFormatting>
  <conditionalFormatting sqref="AF70:AJ70">
    <cfRule type="expression" dxfId="1185" priority="1215" stopIfTrue="1">
      <formula>MOD(ROW(),2)=1</formula>
    </cfRule>
  </conditionalFormatting>
  <conditionalFormatting sqref="AF70:AJ70">
    <cfRule type="expression" dxfId="1184" priority="1216" stopIfTrue="1">
      <formula>MOD(ROW(),2)=0</formula>
    </cfRule>
  </conditionalFormatting>
  <conditionalFormatting sqref="AE70 AK70">
    <cfRule type="expression" dxfId="1183" priority="1213" stopIfTrue="1">
      <formula>MOD(ROW(),2)=1</formula>
    </cfRule>
  </conditionalFormatting>
  <conditionalFormatting sqref="AE70 AK70">
    <cfRule type="expression" dxfId="1182" priority="1214" stopIfTrue="1">
      <formula>MOD(ROW(),2)=0</formula>
    </cfRule>
  </conditionalFormatting>
  <conditionalFormatting sqref="AQ70">
    <cfRule type="expression" dxfId="1181" priority="1211" stopIfTrue="1">
      <formula>MOD(ROW(),2)=1</formula>
    </cfRule>
  </conditionalFormatting>
  <conditionalFormatting sqref="AQ70">
    <cfRule type="expression" dxfId="1180" priority="1212" stopIfTrue="1">
      <formula>MOD(ROW(),2)=0</formula>
    </cfRule>
  </conditionalFormatting>
  <conditionalFormatting sqref="AV70">
    <cfRule type="expression" dxfId="1179" priority="1209" stopIfTrue="1">
      <formula>MOD(ROW(),2)=1</formula>
    </cfRule>
  </conditionalFormatting>
  <conditionalFormatting sqref="AV70">
    <cfRule type="expression" dxfId="1178" priority="1210" stopIfTrue="1">
      <formula>MOD(ROW(),2)=0</formula>
    </cfRule>
  </conditionalFormatting>
  <conditionalFormatting sqref="AL70:AP70">
    <cfRule type="expression" dxfId="1177" priority="1207" stopIfTrue="1">
      <formula>MOD(ROW(),2)=1</formula>
    </cfRule>
  </conditionalFormatting>
  <conditionalFormatting sqref="AL70:AP70">
    <cfRule type="expression" dxfId="1176" priority="1208" stopIfTrue="1">
      <formula>MOD(ROW(),2)=0</formula>
    </cfRule>
  </conditionalFormatting>
  <conditionalFormatting sqref="AR70:AU70">
    <cfRule type="expression" dxfId="1175" priority="1205" stopIfTrue="1">
      <formula>MOD(ROW(),2)=1</formula>
    </cfRule>
  </conditionalFormatting>
  <conditionalFormatting sqref="AR70:AU70">
    <cfRule type="expression" dxfId="1174" priority="1206" stopIfTrue="1">
      <formula>MOD(ROW(),2)=0</formula>
    </cfRule>
  </conditionalFormatting>
  <conditionalFormatting sqref="AF71:AJ71">
    <cfRule type="expression" dxfId="1173" priority="1203" stopIfTrue="1">
      <formula>MOD(ROW(),2)=1</formula>
    </cfRule>
  </conditionalFormatting>
  <conditionalFormatting sqref="AF71:AJ71">
    <cfRule type="expression" dxfId="1172" priority="1204" stopIfTrue="1">
      <formula>MOD(ROW(),2)=0</formula>
    </cfRule>
  </conditionalFormatting>
  <conditionalFormatting sqref="AE71 AK71">
    <cfRule type="expression" dxfId="1171" priority="1201" stopIfTrue="1">
      <formula>MOD(ROW(),2)=1</formula>
    </cfRule>
  </conditionalFormatting>
  <conditionalFormatting sqref="AE71 AK71">
    <cfRule type="expression" dxfId="1170" priority="1202" stopIfTrue="1">
      <formula>MOD(ROW(),2)=0</formula>
    </cfRule>
  </conditionalFormatting>
  <conditionalFormatting sqref="AV71">
    <cfRule type="expression" dxfId="1169" priority="1197" stopIfTrue="1">
      <formula>MOD(ROW(),2)=1</formula>
    </cfRule>
  </conditionalFormatting>
  <conditionalFormatting sqref="AV71">
    <cfRule type="expression" dxfId="1168" priority="1198" stopIfTrue="1">
      <formula>MOD(ROW(),2)=0</formula>
    </cfRule>
  </conditionalFormatting>
  <conditionalFormatting sqref="AL71:AP71">
    <cfRule type="expression" dxfId="1167" priority="1195" stopIfTrue="1">
      <formula>MOD(ROW(),2)=1</formula>
    </cfRule>
  </conditionalFormatting>
  <conditionalFormatting sqref="AL71:AP71">
    <cfRule type="expression" dxfId="1166" priority="1196" stopIfTrue="1">
      <formula>MOD(ROW(),2)=0</formula>
    </cfRule>
  </conditionalFormatting>
  <conditionalFormatting sqref="AR71:AU71">
    <cfRule type="expression" dxfId="1165" priority="1193" stopIfTrue="1">
      <formula>MOD(ROW(),2)=1</formula>
    </cfRule>
  </conditionalFormatting>
  <conditionalFormatting sqref="AR71:AU71">
    <cfRule type="expression" dxfId="1164" priority="1194" stopIfTrue="1">
      <formula>MOD(ROW(),2)=0</formula>
    </cfRule>
  </conditionalFormatting>
  <conditionalFormatting sqref="AF73:AJ73 AF76:AJ76 AF79:AJ79">
    <cfRule type="expression" dxfId="1163" priority="1191" stopIfTrue="1">
      <formula>MOD(ROW(),2)=1</formula>
    </cfRule>
  </conditionalFormatting>
  <conditionalFormatting sqref="AF73:AJ73 AF76:AJ76 AF79:AJ79">
    <cfRule type="expression" dxfId="1162" priority="1192" stopIfTrue="1">
      <formula>MOD(ROW(),2)=0</formula>
    </cfRule>
  </conditionalFormatting>
  <conditionalFormatting sqref="AE73 AE76 AE79">
    <cfRule type="expression" dxfId="1161" priority="1189" stopIfTrue="1">
      <formula>MOD(ROW(),2)=1</formula>
    </cfRule>
  </conditionalFormatting>
  <conditionalFormatting sqref="AE73 AE76 AE79">
    <cfRule type="expression" dxfId="1160" priority="1190" stopIfTrue="1">
      <formula>MOD(ROW(),2)=0</formula>
    </cfRule>
  </conditionalFormatting>
  <conditionalFormatting sqref="AF74:AJ74 AF77:AJ77">
    <cfRule type="expression" dxfId="1159" priority="1187" stopIfTrue="1">
      <formula>MOD(ROW(),2)=1</formula>
    </cfRule>
  </conditionalFormatting>
  <conditionalFormatting sqref="AF74:AJ74 AF77:AJ77">
    <cfRule type="expression" dxfId="1158" priority="1188" stopIfTrue="1">
      <formula>MOD(ROW(),2)=0</formula>
    </cfRule>
  </conditionalFormatting>
  <conditionalFormatting sqref="AE74 AE77">
    <cfRule type="expression" dxfId="1157" priority="1185" stopIfTrue="1">
      <formula>MOD(ROW(),2)=1</formula>
    </cfRule>
  </conditionalFormatting>
  <conditionalFormatting sqref="AE74 AE77">
    <cfRule type="expression" dxfId="1156" priority="1186" stopIfTrue="1">
      <formula>MOD(ROW(),2)=0</formula>
    </cfRule>
  </conditionalFormatting>
  <conditionalFormatting sqref="AF75:AJ75 AF78:AJ78">
    <cfRule type="expression" dxfId="1155" priority="1183" stopIfTrue="1">
      <formula>MOD(ROW(),2)=1</formula>
    </cfRule>
  </conditionalFormatting>
  <conditionalFormatting sqref="AF75:AJ75 AF78:AJ78">
    <cfRule type="expression" dxfId="1154" priority="1184" stopIfTrue="1">
      <formula>MOD(ROW(),2)=0</formula>
    </cfRule>
  </conditionalFormatting>
  <conditionalFormatting sqref="AE75 AE78">
    <cfRule type="expression" dxfId="1153" priority="1181" stopIfTrue="1">
      <formula>MOD(ROW(),2)=1</formula>
    </cfRule>
  </conditionalFormatting>
  <conditionalFormatting sqref="AE75 AE78">
    <cfRule type="expression" dxfId="1152" priority="1182" stopIfTrue="1">
      <formula>MOD(ROW(),2)=0</formula>
    </cfRule>
  </conditionalFormatting>
  <conditionalFormatting sqref="AF81:AJ81">
    <cfRule type="expression" dxfId="1151" priority="1179" stopIfTrue="1">
      <formula>MOD(ROW(),2)=1</formula>
    </cfRule>
  </conditionalFormatting>
  <conditionalFormatting sqref="AF81:AJ81">
    <cfRule type="expression" dxfId="1150" priority="1180" stopIfTrue="1">
      <formula>MOD(ROW(),2)=0</formula>
    </cfRule>
  </conditionalFormatting>
  <conditionalFormatting sqref="AE81">
    <cfRule type="expression" dxfId="1149" priority="1177" stopIfTrue="1">
      <formula>MOD(ROW(),2)=1</formula>
    </cfRule>
  </conditionalFormatting>
  <conditionalFormatting sqref="AE81">
    <cfRule type="expression" dxfId="1148" priority="1178" stopIfTrue="1">
      <formula>MOD(ROW(),2)=0</formula>
    </cfRule>
  </conditionalFormatting>
  <conditionalFormatting sqref="AF82:AJ82">
    <cfRule type="expression" dxfId="1147" priority="1175" stopIfTrue="1">
      <formula>MOD(ROW(),2)=1</formula>
    </cfRule>
  </conditionalFormatting>
  <conditionalFormatting sqref="AF82:AJ82">
    <cfRule type="expression" dxfId="1146" priority="1176" stopIfTrue="1">
      <formula>MOD(ROW(),2)=0</formula>
    </cfRule>
  </conditionalFormatting>
  <conditionalFormatting sqref="AE82">
    <cfRule type="expression" dxfId="1145" priority="1173" stopIfTrue="1">
      <formula>MOD(ROW(),2)=1</formula>
    </cfRule>
  </conditionalFormatting>
  <conditionalFormatting sqref="AE82">
    <cfRule type="expression" dxfId="1144" priority="1174" stopIfTrue="1">
      <formula>MOD(ROW(),2)=0</formula>
    </cfRule>
  </conditionalFormatting>
  <conditionalFormatting sqref="AF84:AJ84">
    <cfRule type="expression" dxfId="1143" priority="1171" stopIfTrue="1">
      <formula>MOD(ROW(),2)=1</formula>
    </cfRule>
  </conditionalFormatting>
  <conditionalFormatting sqref="AF84:AJ84">
    <cfRule type="expression" dxfId="1142" priority="1172" stopIfTrue="1">
      <formula>MOD(ROW(),2)=0</formula>
    </cfRule>
  </conditionalFormatting>
  <conditionalFormatting sqref="AE84">
    <cfRule type="expression" dxfId="1141" priority="1169" stopIfTrue="1">
      <formula>MOD(ROW(),2)=1</formula>
    </cfRule>
  </conditionalFormatting>
  <conditionalFormatting sqref="AE84">
    <cfRule type="expression" dxfId="1140" priority="1170" stopIfTrue="1">
      <formula>MOD(ROW(),2)=0</formula>
    </cfRule>
  </conditionalFormatting>
  <conditionalFormatting sqref="AF85:AJ85">
    <cfRule type="expression" dxfId="1139" priority="1167" stopIfTrue="1">
      <formula>MOD(ROW(),2)=1</formula>
    </cfRule>
  </conditionalFormatting>
  <conditionalFormatting sqref="AF85:AJ85">
    <cfRule type="expression" dxfId="1138" priority="1168" stopIfTrue="1">
      <formula>MOD(ROW(),2)=0</formula>
    </cfRule>
  </conditionalFormatting>
  <conditionalFormatting sqref="AE85">
    <cfRule type="expression" dxfId="1137" priority="1165" stopIfTrue="1">
      <formula>MOD(ROW(),2)=1</formula>
    </cfRule>
  </conditionalFormatting>
  <conditionalFormatting sqref="AE85">
    <cfRule type="expression" dxfId="1136" priority="1166" stopIfTrue="1">
      <formula>MOD(ROW(),2)=0</formula>
    </cfRule>
  </conditionalFormatting>
  <conditionalFormatting sqref="AF86:AJ86">
    <cfRule type="expression" dxfId="1135" priority="1163" stopIfTrue="1">
      <formula>MOD(ROW(),2)=1</formula>
    </cfRule>
  </conditionalFormatting>
  <conditionalFormatting sqref="AF86:AJ86">
    <cfRule type="expression" dxfId="1134" priority="1164" stopIfTrue="1">
      <formula>MOD(ROW(),2)=0</formula>
    </cfRule>
  </conditionalFormatting>
  <conditionalFormatting sqref="AE86">
    <cfRule type="expression" dxfId="1133" priority="1161" stopIfTrue="1">
      <formula>MOD(ROW(),2)=1</formula>
    </cfRule>
  </conditionalFormatting>
  <conditionalFormatting sqref="AE86">
    <cfRule type="expression" dxfId="1132" priority="1162" stopIfTrue="1">
      <formula>MOD(ROW(),2)=0</formula>
    </cfRule>
  </conditionalFormatting>
  <conditionalFormatting sqref="AF87:AJ87">
    <cfRule type="expression" dxfId="1131" priority="1159" stopIfTrue="1">
      <formula>MOD(ROW(),2)=1</formula>
    </cfRule>
  </conditionalFormatting>
  <conditionalFormatting sqref="AF87:AJ87">
    <cfRule type="expression" dxfId="1130" priority="1160" stopIfTrue="1">
      <formula>MOD(ROW(),2)=0</formula>
    </cfRule>
  </conditionalFormatting>
  <conditionalFormatting sqref="AE87">
    <cfRule type="expression" dxfId="1129" priority="1157" stopIfTrue="1">
      <formula>MOD(ROW(),2)=1</formula>
    </cfRule>
  </conditionalFormatting>
  <conditionalFormatting sqref="AE87">
    <cfRule type="expression" dxfId="1128" priority="1158" stopIfTrue="1">
      <formula>MOD(ROW(),2)=0</formula>
    </cfRule>
  </conditionalFormatting>
  <conditionalFormatting sqref="AF90:AJ90">
    <cfRule type="expression" dxfId="1127" priority="1155" stopIfTrue="1">
      <formula>MOD(ROW(),2)=1</formula>
    </cfRule>
  </conditionalFormatting>
  <conditionalFormatting sqref="AF90:AJ90">
    <cfRule type="expression" dxfId="1126" priority="1156" stopIfTrue="1">
      <formula>MOD(ROW(),2)=0</formula>
    </cfRule>
  </conditionalFormatting>
  <conditionalFormatting sqref="AE90">
    <cfRule type="expression" dxfId="1125" priority="1153" stopIfTrue="1">
      <formula>MOD(ROW(),2)=1</formula>
    </cfRule>
  </conditionalFormatting>
  <conditionalFormatting sqref="AE90">
    <cfRule type="expression" dxfId="1124" priority="1154" stopIfTrue="1">
      <formula>MOD(ROW(),2)=0</formula>
    </cfRule>
  </conditionalFormatting>
  <conditionalFormatting sqref="AF91:AJ91">
    <cfRule type="expression" dxfId="1123" priority="1151" stopIfTrue="1">
      <formula>MOD(ROW(),2)=1</formula>
    </cfRule>
  </conditionalFormatting>
  <conditionalFormatting sqref="AF91:AJ91">
    <cfRule type="expression" dxfId="1122" priority="1152" stopIfTrue="1">
      <formula>MOD(ROW(),2)=0</formula>
    </cfRule>
  </conditionalFormatting>
  <conditionalFormatting sqref="AE91">
    <cfRule type="expression" dxfId="1121" priority="1149" stopIfTrue="1">
      <formula>MOD(ROW(),2)=1</formula>
    </cfRule>
  </conditionalFormatting>
  <conditionalFormatting sqref="AE91">
    <cfRule type="expression" dxfId="1120" priority="1150" stopIfTrue="1">
      <formula>MOD(ROW(),2)=0</formula>
    </cfRule>
  </conditionalFormatting>
  <conditionalFormatting sqref="AF92:AJ92">
    <cfRule type="expression" dxfId="1119" priority="1147" stopIfTrue="1">
      <formula>MOD(ROW(),2)=1</formula>
    </cfRule>
  </conditionalFormatting>
  <conditionalFormatting sqref="AF92:AJ92">
    <cfRule type="expression" dxfId="1118" priority="1148" stopIfTrue="1">
      <formula>MOD(ROW(),2)=0</formula>
    </cfRule>
  </conditionalFormatting>
  <conditionalFormatting sqref="AE92">
    <cfRule type="expression" dxfId="1117" priority="1145" stopIfTrue="1">
      <formula>MOD(ROW(),2)=1</formula>
    </cfRule>
  </conditionalFormatting>
  <conditionalFormatting sqref="AE92">
    <cfRule type="expression" dxfId="1116" priority="1146" stopIfTrue="1">
      <formula>MOD(ROW(),2)=0</formula>
    </cfRule>
  </conditionalFormatting>
  <conditionalFormatting sqref="AR208:AU221 AR223:AU242 AR244:AU266">
    <cfRule type="expression" dxfId="1115" priority="513" stopIfTrue="1">
      <formula>MOD(ROW(),2)=1</formula>
    </cfRule>
  </conditionalFormatting>
  <conditionalFormatting sqref="AF94:AJ94">
    <cfRule type="expression" dxfId="1114" priority="1143" stopIfTrue="1">
      <formula>MOD(ROW(),2)=1</formula>
    </cfRule>
  </conditionalFormatting>
  <conditionalFormatting sqref="AF94:AJ94">
    <cfRule type="expression" dxfId="1113" priority="1144" stopIfTrue="1">
      <formula>MOD(ROW(),2)=0</formula>
    </cfRule>
  </conditionalFormatting>
  <conditionalFormatting sqref="AE94">
    <cfRule type="expression" dxfId="1112" priority="1141" stopIfTrue="1">
      <formula>MOD(ROW(),2)=1</formula>
    </cfRule>
  </conditionalFormatting>
  <conditionalFormatting sqref="AE94">
    <cfRule type="expression" dxfId="1111" priority="1142" stopIfTrue="1">
      <formula>MOD(ROW(),2)=0</formula>
    </cfRule>
  </conditionalFormatting>
  <conditionalFormatting sqref="AF95:AJ95">
    <cfRule type="expression" dxfId="1110" priority="1139" stopIfTrue="1">
      <formula>MOD(ROW(),2)=1</formula>
    </cfRule>
  </conditionalFormatting>
  <conditionalFormatting sqref="AF95:AJ95">
    <cfRule type="expression" dxfId="1109" priority="1140" stopIfTrue="1">
      <formula>MOD(ROW(),2)=0</formula>
    </cfRule>
  </conditionalFormatting>
  <conditionalFormatting sqref="AE95">
    <cfRule type="expression" dxfId="1108" priority="1137" stopIfTrue="1">
      <formula>MOD(ROW(),2)=1</formula>
    </cfRule>
  </conditionalFormatting>
  <conditionalFormatting sqref="AE95">
    <cfRule type="expression" dxfId="1107" priority="1138" stopIfTrue="1">
      <formula>MOD(ROW(),2)=0</formula>
    </cfRule>
  </conditionalFormatting>
  <conditionalFormatting sqref="AF98:AJ118">
    <cfRule type="expression" dxfId="1106" priority="1135" stopIfTrue="1">
      <formula>MOD(ROW(),2)=1</formula>
    </cfRule>
  </conditionalFormatting>
  <conditionalFormatting sqref="AF98:AJ118">
    <cfRule type="expression" dxfId="1105" priority="1136" stopIfTrue="1">
      <formula>MOD(ROW(),2)=0</formula>
    </cfRule>
  </conditionalFormatting>
  <conditionalFormatting sqref="AV208:AV221 AV223:AV242 AV245:AV266">
    <cfRule type="expression" dxfId="1104" priority="515" stopIfTrue="1">
      <formula>MOD(ROW(),2)=1</formula>
    </cfRule>
  </conditionalFormatting>
  <conditionalFormatting sqref="AV208:AV221 AV223:AV242 AV245:AV266">
    <cfRule type="expression" dxfId="1103" priority="516" stopIfTrue="1">
      <formula>MOD(ROW(),2)=0</formula>
    </cfRule>
  </conditionalFormatting>
  <conditionalFormatting sqref="AE98:AE118">
    <cfRule type="expression" dxfId="1102" priority="1131" stopIfTrue="1">
      <formula>MOD(ROW(),2)=1</formula>
    </cfRule>
  </conditionalFormatting>
  <conditionalFormatting sqref="AE98:AE118">
    <cfRule type="expression" dxfId="1101" priority="1132" stopIfTrue="1">
      <formula>MOD(ROW(),2)=0</formula>
    </cfRule>
  </conditionalFormatting>
  <conditionalFormatting sqref="AF120:AJ133">
    <cfRule type="expression" dxfId="1100" priority="1129" stopIfTrue="1">
      <formula>MOD(ROW(),2)=1</formula>
    </cfRule>
  </conditionalFormatting>
  <conditionalFormatting sqref="AF120:AJ133">
    <cfRule type="expression" dxfId="1099" priority="1130" stopIfTrue="1">
      <formula>MOD(ROW(),2)=0</formula>
    </cfRule>
  </conditionalFormatting>
  <conditionalFormatting sqref="AE120:AE133">
    <cfRule type="expression" dxfId="1098" priority="1127" stopIfTrue="1">
      <formula>MOD(ROW(),2)=1</formula>
    </cfRule>
  </conditionalFormatting>
  <conditionalFormatting sqref="AE120:AE133">
    <cfRule type="expression" dxfId="1097" priority="1128" stopIfTrue="1">
      <formula>MOD(ROW(),2)=0</formula>
    </cfRule>
  </conditionalFormatting>
  <conditionalFormatting sqref="AF135:AJ135">
    <cfRule type="expression" dxfId="1096" priority="1125" stopIfTrue="1">
      <formula>MOD(ROW(),2)=1</formula>
    </cfRule>
  </conditionalFormatting>
  <conditionalFormatting sqref="AF135:AJ135">
    <cfRule type="expression" dxfId="1095" priority="1126" stopIfTrue="1">
      <formula>MOD(ROW(),2)=0</formula>
    </cfRule>
  </conditionalFormatting>
  <conditionalFormatting sqref="AE135">
    <cfRule type="expression" dxfId="1094" priority="1123" stopIfTrue="1">
      <formula>MOD(ROW(),2)=1</formula>
    </cfRule>
  </conditionalFormatting>
  <conditionalFormatting sqref="AE135">
    <cfRule type="expression" dxfId="1093" priority="1124" stopIfTrue="1">
      <formula>MOD(ROW(),2)=0</formula>
    </cfRule>
  </conditionalFormatting>
  <conditionalFormatting sqref="AF137:AJ137">
    <cfRule type="expression" dxfId="1092" priority="1121" stopIfTrue="1">
      <formula>MOD(ROW(),2)=1</formula>
    </cfRule>
  </conditionalFormatting>
  <conditionalFormatting sqref="AF137:AJ137">
    <cfRule type="expression" dxfId="1091" priority="1122" stopIfTrue="1">
      <formula>MOD(ROW(),2)=0</formula>
    </cfRule>
  </conditionalFormatting>
  <conditionalFormatting sqref="AE137">
    <cfRule type="expression" dxfId="1090" priority="1119" stopIfTrue="1">
      <formula>MOD(ROW(),2)=1</formula>
    </cfRule>
  </conditionalFormatting>
  <conditionalFormatting sqref="AE137">
    <cfRule type="expression" dxfId="1089" priority="1120" stopIfTrue="1">
      <formula>MOD(ROW(),2)=0</formula>
    </cfRule>
  </conditionalFormatting>
  <conditionalFormatting sqref="AF138:AJ138">
    <cfRule type="expression" dxfId="1088" priority="1117" stopIfTrue="1">
      <formula>MOD(ROW(),2)=1</formula>
    </cfRule>
  </conditionalFormatting>
  <conditionalFormatting sqref="AF138:AJ138">
    <cfRule type="expression" dxfId="1087" priority="1118" stopIfTrue="1">
      <formula>MOD(ROW(),2)=0</formula>
    </cfRule>
  </conditionalFormatting>
  <conditionalFormatting sqref="AE138">
    <cfRule type="expression" dxfId="1086" priority="1115" stopIfTrue="1">
      <formula>MOD(ROW(),2)=1</formula>
    </cfRule>
  </conditionalFormatting>
  <conditionalFormatting sqref="AE138">
    <cfRule type="expression" dxfId="1085" priority="1116" stopIfTrue="1">
      <formula>MOD(ROW(),2)=0</formula>
    </cfRule>
  </conditionalFormatting>
  <conditionalFormatting sqref="AF139:AI139">
    <cfRule type="expression" dxfId="1084" priority="1113" stopIfTrue="1">
      <formula>MOD(ROW(),2)=1</formula>
    </cfRule>
  </conditionalFormatting>
  <conditionalFormatting sqref="AF139:AI139">
    <cfRule type="expression" dxfId="1083" priority="1114" stopIfTrue="1">
      <formula>MOD(ROW(),2)=0</formula>
    </cfRule>
  </conditionalFormatting>
  <conditionalFormatting sqref="AE139">
    <cfRule type="expression" dxfId="1082" priority="1111" stopIfTrue="1">
      <formula>MOD(ROW(),2)=1</formula>
    </cfRule>
  </conditionalFormatting>
  <conditionalFormatting sqref="AE139">
    <cfRule type="expression" dxfId="1081" priority="1112" stopIfTrue="1">
      <formula>MOD(ROW(),2)=0</formula>
    </cfRule>
  </conditionalFormatting>
  <conditionalFormatting sqref="AF141:AJ141">
    <cfRule type="expression" dxfId="1080" priority="1109" stopIfTrue="1">
      <formula>MOD(ROW(),2)=1</formula>
    </cfRule>
  </conditionalFormatting>
  <conditionalFormatting sqref="AF141:AJ141">
    <cfRule type="expression" dxfId="1079" priority="1110" stopIfTrue="1">
      <formula>MOD(ROW(),2)=0</formula>
    </cfRule>
  </conditionalFormatting>
  <conditionalFormatting sqref="AE141">
    <cfRule type="expression" dxfId="1078" priority="1107" stopIfTrue="1">
      <formula>MOD(ROW(),2)=1</formula>
    </cfRule>
  </conditionalFormatting>
  <conditionalFormatting sqref="AE141">
    <cfRule type="expression" dxfId="1077" priority="1108" stopIfTrue="1">
      <formula>MOD(ROW(),2)=0</formula>
    </cfRule>
  </conditionalFormatting>
  <conditionalFormatting sqref="AF142:AI142">
    <cfRule type="expression" dxfId="1076" priority="1105" stopIfTrue="1">
      <formula>MOD(ROW(),2)=1</formula>
    </cfRule>
  </conditionalFormatting>
  <conditionalFormatting sqref="AF142:AI142">
    <cfRule type="expression" dxfId="1075" priority="1106" stopIfTrue="1">
      <formula>MOD(ROW(),2)=0</formula>
    </cfRule>
  </conditionalFormatting>
  <conditionalFormatting sqref="AE142">
    <cfRule type="expression" dxfId="1074" priority="1103" stopIfTrue="1">
      <formula>MOD(ROW(),2)=1</formula>
    </cfRule>
  </conditionalFormatting>
  <conditionalFormatting sqref="AE142">
    <cfRule type="expression" dxfId="1073" priority="1104" stopIfTrue="1">
      <formula>MOD(ROW(),2)=0</formula>
    </cfRule>
  </conditionalFormatting>
  <conditionalFormatting sqref="AF143:AI143">
    <cfRule type="expression" dxfId="1072" priority="1101" stopIfTrue="1">
      <formula>MOD(ROW(),2)=1</formula>
    </cfRule>
  </conditionalFormatting>
  <conditionalFormatting sqref="AF143:AI143">
    <cfRule type="expression" dxfId="1071" priority="1102" stopIfTrue="1">
      <formula>MOD(ROW(),2)=0</formula>
    </cfRule>
  </conditionalFormatting>
  <conditionalFormatting sqref="AE143">
    <cfRule type="expression" dxfId="1070" priority="1099" stopIfTrue="1">
      <formula>MOD(ROW(),2)=1</formula>
    </cfRule>
  </conditionalFormatting>
  <conditionalFormatting sqref="AE143">
    <cfRule type="expression" dxfId="1069" priority="1100" stopIfTrue="1">
      <formula>MOD(ROW(),2)=0</formula>
    </cfRule>
  </conditionalFormatting>
  <conditionalFormatting sqref="AF147:AI147">
    <cfRule type="expression" dxfId="1068" priority="1097" stopIfTrue="1">
      <formula>MOD(ROW(),2)=1</formula>
    </cfRule>
  </conditionalFormatting>
  <conditionalFormatting sqref="AF147:AI147">
    <cfRule type="expression" dxfId="1067" priority="1098" stopIfTrue="1">
      <formula>MOD(ROW(),2)=0</formula>
    </cfRule>
  </conditionalFormatting>
  <conditionalFormatting sqref="AE147">
    <cfRule type="expression" dxfId="1066" priority="1095" stopIfTrue="1">
      <formula>MOD(ROW(),2)=1</formula>
    </cfRule>
  </conditionalFormatting>
  <conditionalFormatting sqref="AE147">
    <cfRule type="expression" dxfId="1065" priority="1096" stopIfTrue="1">
      <formula>MOD(ROW(),2)=0</formula>
    </cfRule>
  </conditionalFormatting>
  <conditionalFormatting sqref="AF148:AJ148">
    <cfRule type="expression" dxfId="1064" priority="1093" stopIfTrue="1">
      <formula>MOD(ROW(),2)=1</formula>
    </cfRule>
  </conditionalFormatting>
  <conditionalFormatting sqref="AF148:AJ148">
    <cfRule type="expression" dxfId="1063" priority="1094" stopIfTrue="1">
      <formula>MOD(ROW(),2)=0</formula>
    </cfRule>
  </conditionalFormatting>
  <conditionalFormatting sqref="AE148">
    <cfRule type="expression" dxfId="1062" priority="1091" stopIfTrue="1">
      <formula>MOD(ROW(),2)=1</formula>
    </cfRule>
  </conditionalFormatting>
  <conditionalFormatting sqref="AE148">
    <cfRule type="expression" dxfId="1061" priority="1092" stopIfTrue="1">
      <formula>MOD(ROW(),2)=0</formula>
    </cfRule>
  </conditionalFormatting>
  <conditionalFormatting sqref="AF149:AJ149">
    <cfRule type="expression" dxfId="1060" priority="1089" stopIfTrue="1">
      <formula>MOD(ROW(),2)=1</formula>
    </cfRule>
  </conditionalFormatting>
  <conditionalFormatting sqref="AF149:AJ149">
    <cfRule type="expression" dxfId="1059" priority="1090" stopIfTrue="1">
      <formula>MOD(ROW(),2)=0</formula>
    </cfRule>
  </conditionalFormatting>
  <conditionalFormatting sqref="AE149">
    <cfRule type="expression" dxfId="1058" priority="1087" stopIfTrue="1">
      <formula>MOD(ROW(),2)=1</formula>
    </cfRule>
  </conditionalFormatting>
  <conditionalFormatting sqref="AE149">
    <cfRule type="expression" dxfId="1057" priority="1088" stopIfTrue="1">
      <formula>MOD(ROW(),2)=0</formula>
    </cfRule>
  </conditionalFormatting>
  <conditionalFormatting sqref="AF150:AJ150">
    <cfRule type="expression" dxfId="1056" priority="1085" stopIfTrue="1">
      <formula>MOD(ROW(),2)=1</formula>
    </cfRule>
  </conditionalFormatting>
  <conditionalFormatting sqref="AF150:AJ150">
    <cfRule type="expression" dxfId="1055" priority="1086" stopIfTrue="1">
      <formula>MOD(ROW(),2)=0</formula>
    </cfRule>
  </conditionalFormatting>
  <conditionalFormatting sqref="AE150">
    <cfRule type="expression" dxfId="1054" priority="1083" stopIfTrue="1">
      <formula>MOD(ROW(),2)=1</formula>
    </cfRule>
  </conditionalFormatting>
  <conditionalFormatting sqref="AE150">
    <cfRule type="expression" dxfId="1053" priority="1084" stopIfTrue="1">
      <formula>MOD(ROW(),2)=0</formula>
    </cfRule>
  </conditionalFormatting>
  <conditionalFormatting sqref="AF155:AJ155">
    <cfRule type="expression" dxfId="1052" priority="1081" stopIfTrue="1">
      <formula>MOD(ROW(),2)=1</formula>
    </cfRule>
  </conditionalFormatting>
  <conditionalFormatting sqref="AF155:AJ155">
    <cfRule type="expression" dxfId="1051" priority="1082" stopIfTrue="1">
      <formula>MOD(ROW(),2)=0</formula>
    </cfRule>
  </conditionalFormatting>
  <conditionalFormatting sqref="AE155">
    <cfRule type="expression" dxfId="1050" priority="1079" stopIfTrue="1">
      <formula>MOD(ROW(),2)=1</formula>
    </cfRule>
  </conditionalFormatting>
  <conditionalFormatting sqref="AE155">
    <cfRule type="expression" dxfId="1049" priority="1080" stopIfTrue="1">
      <formula>MOD(ROW(),2)=0</formula>
    </cfRule>
  </conditionalFormatting>
  <conditionalFormatting sqref="AF156:AJ156">
    <cfRule type="expression" dxfId="1048" priority="1077" stopIfTrue="1">
      <formula>MOD(ROW(),2)=1</formula>
    </cfRule>
  </conditionalFormatting>
  <conditionalFormatting sqref="AF156:AJ156">
    <cfRule type="expression" dxfId="1047" priority="1078" stopIfTrue="1">
      <formula>MOD(ROW(),2)=0</formula>
    </cfRule>
  </conditionalFormatting>
  <conditionalFormatting sqref="AE156">
    <cfRule type="expression" dxfId="1046" priority="1075" stopIfTrue="1">
      <formula>MOD(ROW(),2)=1</formula>
    </cfRule>
  </conditionalFormatting>
  <conditionalFormatting sqref="AE156">
    <cfRule type="expression" dxfId="1045" priority="1076" stopIfTrue="1">
      <formula>MOD(ROW(),2)=0</formula>
    </cfRule>
  </conditionalFormatting>
  <conditionalFormatting sqref="AF164:AJ164">
    <cfRule type="expression" dxfId="1044" priority="1073" stopIfTrue="1">
      <formula>MOD(ROW(),2)=1</formula>
    </cfRule>
  </conditionalFormatting>
  <conditionalFormatting sqref="AF164:AJ164">
    <cfRule type="expression" dxfId="1043" priority="1074" stopIfTrue="1">
      <formula>MOD(ROW(),2)=0</formula>
    </cfRule>
  </conditionalFormatting>
  <conditionalFormatting sqref="AE164">
    <cfRule type="expression" dxfId="1042" priority="1071" stopIfTrue="1">
      <formula>MOD(ROW(),2)=1</formula>
    </cfRule>
  </conditionalFormatting>
  <conditionalFormatting sqref="AE164">
    <cfRule type="expression" dxfId="1041" priority="1072" stopIfTrue="1">
      <formula>MOD(ROW(),2)=0</formula>
    </cfRule>
  </conditionalFormatting>
  <conditionalFormatting sqref="AF165:AJ165">
    <cfRule type="expression" dxfId="1040" priority="1069" stopIfTrue="1">
      <formula>MOD(ROW(),2)=1</formula>
    </cfRule>
  </conditionalFormatting>
  <conditionalFormatting sqref="AF165:AJ165">
    <cfRule type="expression" dxfId="1039" priority="1070" stopIfTrue="1">
      <formula>MOD(ROW(),2)=0</formula>
    </cfRule>
  </conditionalFormatting>
  <conditionalFormatting sqref="AE165">
    <cfRule type="expression" dxfId="1038" priority="1067" stopIfTrue="1">
      <formula>MOD(ROW(),2)=1</formula>
    </cfRule>
  </conditionalFormatting>
  <conditionalFormatting sqref="AE165">
    <cfRule type="expression" dxfId="1037" priority="1068" stopIfTrue="1">
      <formula>MOD(ROW(),2)=0</formula>
    </cfRule>
  </conditionalFormatting>
  <conditionalFormatting sqref="AF166:AJ166">
    <cfRule type="expression" dxfId="1036" priority="1065" stopIfTrue="1">
      <formula>MOD(ROW(),2)=1</formula>
    </cfRule>
  </conditionalFormatting>
  <conditionalFormatting sqref="AF166:AJ166">
    <cfRule type="expression" dxfId="1035" priority="1066" stopIfTrue="1">
      <formula>MOD(ROW(),2)=0</formula>
    </cfRule>
  </conditionalFormatting>
  <conditionalFormatting sqref="AE166">
    <cfRule type="expression" dxfId="1034" priority="1063" stopIfTrue="1">
      <formula>MOD(ROW(),2)=1</formula>
    </cfRule>
  </conditionalFormatting>
  <conditionalFormatting sqref="AE166">
    <cfRule type="expression" dxfId="1033" priority="1064" stopIfTrue="1">
      <formula>MOD(ROW(),2)=0</formula>
    </cfRule>
  </conditionalFormatting>
  <conditionalFormatting sqref="AF167:AJ167">
    <cfRule type="expression" dxfId="1032" priority="1061" stopIfTrue="1">
      <formula>MOD(ROW(),2)=1</formula>
    </cfRule>
  </conditionalFormatting>
  <conditionalFormatting sqref="AF167:AJ167">
    <cfRule type="expression" dxfId="1031" priority="1062" stopIfTrue="1">
      <formula>MOD(ROW(),2)=0</formula>
    </cfRule>
  </conditionalFormatting>
  <conditionalFormatting sqref="AE167">
    <cfRule type="expression" dxfId="1030" priority="1059" stopIfTrue="1">
      <formula>MOD(ROW(),2)=1</formula>
    </cfRule>
  </conditionalFormatting>
  <conditionalFormatting sqref="AE167">
    <cfRule type="expression" dxfId="1029" priority="1060" stopIfTrue="1">
      <formula>MOD(ROW(),2)=0</formula>
    </cfRule>
  </conditionalFormatting>
  <conditionalFormatting sqref="AF168:AJ168">
    <cfRule type="expression" dxfId="1028" priority="1057" stopIfTrue="1">
      <formula>MOD(ROW(),2)=1</formula>
    </cfRule>
  </conditionalFormatting>
  <conditionalFormatting sqref="AF168:AJ168">
    <cfRule type="expression" dxfId="1027" priority="1058" stopIfTrue="1">
      <formula>MOD(ROW(),2)=0</formula>
    </cfRule>
  </conditionalFormatting>
  <conditionalFormatting sqref="AE168">
    <cfRule type="expression" dxfId="1026" priority="1055" stopIfTrue="1">
      <formula>MOD(ROW(),2)=1</formula>
    </cfRule>
  </conditionalFormatting>
  <conditionalFormatting sqref="AE168">
    <cfRule type="expression" dxfId="1025" priority="1056" stopIfTrue="1">
      <formula>MOD(ROW(),2)=0</formula>
    </cfRule>
  </conditionalFormatting>
  <conditionalFormatting sqref="AF169:AJ169">
    <cfRule type="expression" dxfId="1024" priority="1053" stopIfTrue="1">
      <formula>MOD(ROW(),2)=1</formula>
    </cfRule>
  </conditionalFormatting>
  <conditionalFormatting sqref="AF169:AJ169">
    <cfRule type="expression" dxfId="1023" priority="1054" stopIfTrue="1">
      <formula>MOD(ROW(),2)=0</formula>
    </cfRule>
  </conditionalFormatting>
  <conditionalFormatting sqref="AE169">
    <cfRule type="expression" dxfId="1022" priority="1051" stopIfTrue="1">
      <formula>MOD(ROW(),2)=1</formula>
    </cfRule>
  </conditionalFormatting>
  <conditionalFormatting sqref="AE169">
    <cfRule type="expression" dxfId="1021" priority="1052" stopIfTrue="1">
      <formula>MOD(ROW(),2)=0</formula>
    </cfRule>
  </conditionalFormatting>
  <conditionalFormatting sqref="AF170:AJ170">
    <cfRule type="expression" dxfId="1020" priority="1049" stopIfTrue="1">
      <formula>MOD(ROW(),2)=1</formula>
    </cfRule>
  </conditionalFormatting>
  <conditionalFormatting sqref="AF170:AJ170">
    <cfRule type="expression" dxfId="1019" priority="1050" stopIfTrue="1">
      <formula>MOD(ROW(),2)=0</formula>
    </cfRule>
  </conditionalFormatting>
  <conditionalFormatting sqref="AE170">
    <cfRule type="expression" dxfId="1018" priority="1047" stopIfTrue="1">
      <formula>MOD(ROW(),2)=1</formula>
    </cfRule>
  </conditionalFormatting>
  <conditionalFormatting sqref="AE170">
    <cfRule type="expression" dxfId="1017" priority="1048" stopIfTrue="1">
      <formula>MOD(ROW(),2)=0</formula>
    </cfRule>
  </conditionalFormatting>
  <conditionalFormatting sqref="AF171:AJ171">
    <cfRule type="expression" dxfId="1016" priority="1045" stopIfTrue="1">
      <formula>MOD(ROW(),2)=1</formula>
    </cfRule>
  </conditionalFormatting>
  <conditionalFormatting sqref="AF171:AJ171">
    <cfRule type="expression" dxfId="1015" priority="1046" stopIfTrue="1">
      <formula>MOD(ROW(),2)=0</formula>
    </cfRule>
  </conditionalFormatting>
  <conditionalFormatting sqref="AE171">
    <cfRule type="expression" dxfId="1014" priority="1043" stopIfTrue="1">
      <formula>MOD(ROW(),2)=1</formula>
    </cfRule>
  </conditionalFormatting>
  <conditionalFormatting sqref="AE171">
    <cfRule type="expression" dxfId="1013" priority="1044" stopIfTrue="1">
      <formula>MOD(ROW(),2)=0</formula>
    </cfRule>
  </conditionalFormatting>
  <conditionalFormatting sqref="AF173:AJ173">
    <cfRule type="expression" dxfId="1012" priority="1037" stopIfTrue="1">
      <formula>MOD(ROW(),2)=1</formula>
    </cfRule>
  </conditionalFormatting>
  <conditionalFormatting sqref="AF173:AJ173">
    <cfRule type="expression" dxfId="1011" priority="1038" stopIfTrue="1">
      <formula>MOD(ROW(),2)=0</formula>
    </cfRule>
  </conditionalFormatting>
  <conditionalFormatting sqref="AE173">
    <cfRule type="expression" dxfId="1010" priority="1035" stopIfTrue="1">
      <formula>MOD(ROW(),2)=1</formula>
    </cfRule>
  </conditionalFormatting>
  <conditionalFormatting sqref="AE173">
    <cfRule type="expression" dxfId="1009" priority="1036" stopIfTrue="1">
      <formula>MOD(ROW(),2)=0</formula>
    </cfRule>
  </conditionalFormatting>
  <conditionalFormatting sqref="AF174:AJ174">
    <cfRule type="expression" dxfId="1008" priority="1033" stopIfTrue="1">
      <formula>MOD(ROW(),2)=1</formula>
    </cfRule>
  </conditionalFormatting>
  <conditionalFormatting sqref="AF174:AJ174">
    <cfRule type="expression" dxfId="1007" priority="1034" stopIfTrue="1">
      <formula>MOD(ROW(),2)=0</formula>
    </cfRule>
  </conditionalFormatting>
  <conditionalFormatting sqref="AE174">
    <cfRule type="expression" dxfId="1006" priority="1031" stopIfTrue="1">
      <formula>MOD(ROW(),2)=1</formula>
    </cfRule>
  </conditionalFormatting>
  <conditionalFormatting sqref="AE174">
    <cfRule type="expression" dxfId="1005" priority="1032" stopIfTrue="1">
      <formula>MOD(ROW(),2)=0</formula>
    </cfRule>
  </conditionalFormatting>
  <conditionalFormatting sqref="AF175:AJ175">
    <cfRule type="expression" dxfId="1004" priority="1029" stopIfTrue="1">
      <formula>MOD(ROW(),2)=1</formula>
    </cfRule>
  </conditionalFormatting>
  <conditionalFormatting sqref="AF175:AJ175">
    <cfRule type="expression" dxfId="1003" priority="1030" stopIfTrue="1">
      <formula>MOD(ROW(),2)=0</formula>
    </cfRule>
  </conditionalFormatting>
  <conditionalFormatting sqref="AE175">
    <cfRule type="expression" dxfId="1002" priority="1027" stopIfTrue="1">
      <formula>MOD(ROW(),2)=1</formula>
    </cfRule>
  </conditionalFormatting>
  <conditionalFormatting sqref="AE175">
    <cfRule type="expression" dxfId="1001" priority="1028" stopIfTrue="1">
      <formula>MOD(ROW(),2)=0</formula>
    </cfRule>
  </conditionalFormatting>
  <conditionalFormatting sqref="AR196:AU206">
    <cfRule type="expression" dxfId="1000" priority="519" stopIfTrue="1">
      <formula>MOD(ROW(),2)=1</formula>
    </cfRule>
  </conditionalFormatting>
  <conditionalFormatting sqref="AR196:AU206">
    <cfRule type="expression" dxfId="999" priority="520" stopIfTrue="1">
      <formula>MOD(ROW(),2)=0</formula>
    </cfRule>
  </conditionalFormatting>
  <conditionalFormatting sqref="AQ208:AQ221 AQ223:AQ266">
    <cfRule type="expression" dxfId="998" priority="517" stopIfTrue="1">
      <formula>MOD(ROW(),2)=1</formula>
    </cfRule>
  </conditionalFormatting>
  <conditionalFormatting sqref="AQ208:AQ221 AQ223:AQ266">
    <cfRule type="expression" dxfId="997" priority="518" stopIfTrue="1">
      <formula>MOD(ROW(),2)=0</formula>
    </cfRule>
  </conditionalFormatting>
  <conditionalFormatting sqref="AF176:AJ184">
    <cfRule type="expression" dxfId="996" priority="1021" stopIfTrue="1">
      <formula>MOD(ROW(),2)=1</formula>
    </cfRule>
  </conditionalFormatting>
  <conditionalFormatting sqref="AF176:AJ184">
    <cfRule type="expression" dxfId="995" priority="1022" stopIfTrue="1">
      <formula>MOD(ROW(),2)=0</formula>
    </cfRule>
  </conditionalFormatting>
  <conditionalFormatting sqref="AE176:AE184">
    <cfRule type="expression" dxfId="994" priority="1019" stopIfTrue="1">
      <formula>MOD(ROW(),2)=1</formula>
    </cfRule>
  </conditionalFormatting>
  <conditionalFormatting sqref="AE176:AE184">
    <cfRule type="expression" dxfId="993" priority="1020" stopIfTrue="1">
      <formula>MOD(ROW(),2)=0</formula>
    </cfRule>
  </conditionalFormatting>
  <conditionalFormatting sqref="AF186:AJ186">
    <cfRule type="expression" dxfId="992" priority="1017" stopIfTrue="1">
      <formula>MOD(ROW(),2)=1</formula>
    </cfRule>
  </conditionalFormatting>
  <conditionalFormatting sqref="AF186:AJ186">
    <cfRule type="expression" dxfId="991" priority="1018" stopIfTrue="1">
      <formula>MOD(ROW(),2)=0</formula>
    </cfRule>
  </conditionalFormatting>
  <conditionalFormatting sqref="AE186">
    <cfRule type="expression" dxfId="990" priority="1015" stopIfTrue="1">
      <formula>MOD(ROW(),2)=1</formula>
    </cfRule>
  </conditionalFormatting>
  <conditionalFormatting sqref="AE186">
    <cfRule type="expression" dxfId="989" priority="1016" stopIfTrue="1">
      <formula>MOD(ROW(),2)=0</formula>
    </cfRule>
  </conditionalFormatting>
  <conditionalFormatting sqref="AF189:AJ189">
    <cfRule type="expression" dxfId="988" priority="1013" stopIfTrue="1">
      <formula>MOD(ROW(),2)=1</formula>
    </cfRule>
  </conditionalFormatting>
  <conditionalFormatting sqref="AF189:AJ189">
    <cfRule type="expression" dxfId="987" priority="1014" stopIfTrue="1">
      <formula>MOD(ROW(),2)=0</formula>
    </cfRule>
  </conditionalFormatting>
  <conditionalFormatting sqref="AE189">
    <cfRule type="expression" dxfId="986" priority="1011" stopIfTrue="1">
      <formula>MOD(ROW(),2)=1</formula>
    </cfRule>
  </conditionalFormatting>
  <conditionalFormatting sqref="AE189">
    <cfRule type="expression" dxfId="985" priority="1012" stopIfTrue="1">
      <formula>MOD(ROW(),2)=0</formula>
    </cfRule>
  </conditionalFormatting>
  <conditionalFormatting sqref="AF188:AJ188">
    <cfRule type="expression" dxfId="984" priority="1009" stopIfTrue="1">
      <formula>MOD(ROW(),2)=1</formula>
    </cfRule>
  </conditionalFormatting>
  <conditionalFormatting sqref="AF188:AJ188">
    <cfRule type="expression" dxfId="983" priority="1010" stopIfTrue="1">
      <formula>MOD(ROW(),2)=0</formula>
    </cfRule>
  </conditionalFormatting>
  <conditionalFormatting sqref="AE188">
    <cfRule type="expression" dxfId="982" priority="1007" stopIfTrue="1">
      <formula>MOD(ROW(),2)=1</formula>
    </cfRule>
  </conditionalFormatting>
  <conditionalFormatting sqref="AE188">
    <cfRule type="expression" dxfId="981" priority="1008" stopIfTrue="1">
      <formula>MOD(ROW(),2)=0</formula>
    </cfRule>
  </conditionalFormatting>
  <conditionalFormatting sqref="AF187:AJ187">
    <cfRule type="expression" dxfId="980" priority="1005" stopIfTrue="1">
      <formula>MOD(ROW(),2)=1</formula>
    </cfRule>
  </conditionalFormatting>
  <conditionalFormatting sqref="AF187:AJ187">
    <cfRule type="expression" dxfId="979" priority="1006" stopIfTrue="1">
      <formula>MOD(ROW(),2)=0</formula>
    </cfRule>
  </conditionalFormatting>
  <conditionalFormatting sqref="AE187">
    <cfRule type="expression" dxfId="978" priority="1003" stopIfTrue="1">
      <formula>MOD(ROW(),2)=1</formula>
    </cfRule>
  </conditionalFormatting>
  <conditionalFormatting sqref="AE187">
    <cfRule type="expression" dxfId="977" priority="1004" stopIfTrue="1">
      <formula>MOD(ROW(),2)=0</formula>
    </cfRule>
  </conditionalFormatting>
  <conditionalFormatting sqref="AF191:AJ191">
    <cfRule type="expression" dxfId="976" priority="1001" stopIfTrue="1">
      <formula>MOD(ROW(),2)=1</formula>
    </cfRule>
  </conditionalFormatting>
  <conditionalFormatting sqref="AF191:AJ191">
    <cfRule type="expression" dxfId="975" priority="1002" stopIfTrue="1">
      <formula>MOD(ROW(),2)=0</formula>
    </cfRule>
  </conditionalFormatting>
  <conditionalFormatting sqref="AE191">
    <cfRule type="expression" dxfId="974" priority="999" stopIfTrue="1">
      <formula>MOD(ROW(),2)=1</formula>
    </cfRule>
  </conditionalFormatting>
  <conditionalFormatting sqref="AE191">
    <cfRule type="expression" dxfId="973" priority="1000" stopIfTrue="1">
      <formula>MOD(ROW(),2)=0</formula>
    </cfRule>
  </conditionalFormatting>
  <conditionalFormatting sqref="AF196:AJ196">
    <cfRule type="expression" dxfId="972" priority="997" stopIfTrue="1">
      <formula>MOD(ROW(),2)=1</formula>
    </cfRule>
  </conditionalFormatting>
  <conditionalFormatting sqref="AF196:AJ196">
    <cfRule type="expression" dxfId="971" priority="998" stopIfTrue="1">
      <formula>MOD(ROW(),2)=0</formula>
    </cfRule>
  </conditionalFormatting>
  <conditionalFormatting sqref="AE196">
    <cfRule type="expression" dxfId="970" priority="995" stopIfTrue="1">
      <formula>MOD(ROW(),2)=1</formula>
    </cfRule>
  </conditionalFormatting>
  <conditionalFormatting sqref="AE196">
    <cfRule type="expression" dxfId="969" priority="996" stopIfTrue="1">
      <formula>MOD(ROW(),2)=0</formula>
    </cfRule>
  </conditionalFormatting>
  <conditionalFormatting sqref="AF197:AJ197">
    <cfRule type="expression" dxfId="968" priority="993" stopIfTrue="1">
      <formula>MOD(ROW(),2)=1</formula>
    </cfRule>
  </conditionalFormatting>
  <conditionalFormatting sqref="AF197:AJ197">
    <cfRule type="expression" dxfId="967" priority="994" stopIfTrue="1">
      <formula>MOD(ROW(),2)=0</formula>
    </cfRule>
  </conditionalFormatting>
  <conditionalFormatting sqref="AE197">
    <cfRule type="expression" dxfId="966" priority="991" stopIfTrue="1">
      <formula>MOD(ROW(),2)=1</formula>
    </cfRule>
  </conditionalFormatting>
  <conditionalFormatting sqref="AE197">
    <cfRule type="expression" dxfId="965" priority="992" stopIfTrue="1">
      <formula>MOD(ROW(),2)=0</formula>
    </cfRule>
  </conditionalFormatting>
  <conditionalFormatting sqref="AF198:AJ198">
    <cfRule type="expression" dxfId="964" priority="989" stopIfTrue="1">
      <formula>MOD(ROW(),2)=1</formula>
    </cfRule>
  </conditionalFormatting>
  <conditionalFormatting sqref="AF198:AJ198">
    <cfRule type="expression" dxfId="963" priority="990" stopIfTrue="1">
      <formula>MOD(ROW(),2)=0</formula>
    </cfRule>
  </conditionalFormatting>
  <conditionalFormatting sqref="AE198">
    <cfRule type="expression" dxfId="962" priority="987" stopIfTrue="1">
      <formula>MOD(ROW(),2)=1</formula>
    </cfRule>
  </conditionalFormatting>
  <conditionalFormatting sqref="AE198">
    <cfRule type="expression" dxfId="961" priority="988" stopIfTrue="1">
      <formula>MOD(ROW(),2)=0</formula>
    </cfRule>
  </conditionalFormatting>
  <conditionalFormatting sqref="AF199:AJ199">
    <cfRule type="expression" dxfId="960" priority="985" stopIfTrue="1">
      <formula>MOD(ROW(),2)=1</formula>
    </cfRule>
  </conditionalFormatting>
  <conditionalFormatting sqref="AF199:AJ199">
    <cfRule type="expression" dxfId="959" priority="986" stopIfTrue="1">
      <formula>MOD(ROW(),2)=0</formula>
    </cfRule>
  </conditionalFormatting>
  <conditionalFormatting sqref="AE199">
    <cfRule type="expression" dxfId="958" priority="983" stopIfTrue="1">
      <formula>MOD(ROW(),2)=1</formula>
    </cfRule>
  </conditionalFormatting>
  <conditionalFormatting sqref="AE199">
    <cfRule type="expression" dxfId="957" priority="984" stopIfTrue="1">
      <formula>MOD(ROW(),2)=0</formula>
    </cfRule>
  </conditionalFormatting>
  <conditionalFormatting sqref="AF200:AJ206">
    <cfRule type="expression" dxfId="956" priority="981" stopIfTrue="1">
      <formula>MOD(ROW(),2)=1</formula>
    </cfRule>
  </conditionalFormatting>
  <conditionalFormatting sqref="AF200:AJ206">
    <cfRule type="expression" dxfId="955" priority="982" stopIfTrue="1">
      <formula>MOD(ROW(),2)=0</formula>
    </cfRule>
  </conditionalFormatting>
  <conditionalFormatting sqref="AE200:AE206">
    <cfRule type="expression" dxfId="954" priority="979" stopIfTrue="1">
      <formula>MOD(ROW(),2)=1</formula>
    </cfRule>
  </conditionalFormatting>
  <conditionalFormatting sqref="AE200:AE206">
    <cfRule type="expression" dxfId="953" priority="980" stopIfTrue="1">
      <formula>MOD(ROW(),2)=0</formula>
    </cfRule>
  </conditionalFormatting>
  <conditionalFormatting sqref="AF208:AJ217">
    <cfRule type="expression" dxfId="952" priority="977" stopIfTrue="1">
      <formula>MOD(ROW(),2)=1</formula>
    </cfRule>
  </conditionalFormatting>
  <conditionalFormatting sqref="AF208:AJ217">
    <cfRule type="expression" dxfId="951" priority="978" stopIfTrue="1">
      <formula>MOD(ROW(),2)=0</formula>
    </cfRule>
  </conditionalFormatting>
  <conditionalFormatting sqref="AE208:AE217">
    <cfRule type="expression" dxfId="950" priority="975" stopIfTrue="1">
      <formula>MOD(ROW(),2)=1</formula>
    </cfRule>
  </conditionalFormatting>
  <conditionalFormatting sqref="AE208:AE217">
    <cfRule type="expression" dxfId="949" priority="976" stopIfTrue="1">
      <formula>MOD(ROW(),2)=0</formula>
    </cfRule>
  </conditionalFormatting>
  <conditionalFormatting sqref="AF222:AJ222">
    <cfRule type="expression" dxfId="948" priority="973" stopIfTrue="1">
      <formula>MOD(ROW(),2)=1</formula>
    </cfRule>
  </conditionalFormatting>
  <conditionalFormatting sqref="AF222:AJ222">
    <cfRule type="expression" dxfId="947" priority="974" stopIfTrue="1">
      <formula>MOD(ROW(),2)=0</formula>
    </cfRule>
  </conditionalFormatting>
  <conditionalFormatting sqref="AE222">
    <cfRule type="expression" dxfId="946" priority="971" stopIfTrue="1">
      <formula>MOD(ROW(),2)=1</formula>
    </cfRule>
  </conditionalFormatting>
  <conditionalFormatting sqref="AE222">
    <cfRule type="expression" dxfId="945" priority="972" stopIfTrue="1">
      <formula>MOD(ROW(),2)=0</formula>
    </cfRule>
  </conditionalFormatting>
  <conditionalFormatting sqref="AF223:AJ223">
    <cfRule type="expression" dxfId="944" priority="969" stopIfTrue="1">
      <formula>MOD(ROW(),2)=1</formula>
    </cfRule>
  </conditionalFormatting>
  <conditionalFormatting sqref="AF223:AJ223">
    <cfRule type="expression" dxfId="943" priority="970" stopIfTrue="1">
      <formula>MOD(ROW(),2)=0</formula>
    </cfRule>
  </conditionalFormatting>
  <conditionalFormatting sqref="AE223">
    <cfRule type="expression" dxfId="942" priority="967" stopIfTrue="1">
      <formula>MOD(ROW(),2)=1</formula>
    </cfRule>
  </conditionalFormatting>
  <conditionalFormatting sqref="AE223">
    <cfRule type="expression" dxfId="941" priority="968" stopIfTrue="1">
      <formula>MOD(ROW(),2)=0</formula>
    </cfRule>
  </conditionalFormatting>
  <conditionalFormatting sqref="AF224:AJ224">
    <cfRule type="expression" dxfId="940" priority="965" stopIfTrue="1">
      <formula>MOD(ROW(),2)=1</formula>
    </cfRule>
  </conditionalFormatting>
  <conditionalFormatting sqref="AF224:AJ224">
    <cfRule type="expression" dxfId="939" priority="966" stopIfTrue="1">
      <formula>MOD(ROW(),2)=0</formula>
    </cfRule>
  </conditionalFormatting>
  <conditionalFormatting sqref="AE224">
    <cfRule type="expression" dxfId="938" priority="963" stopIfTrue="1">
      <formula>MOD(ROW(),2)=1</formula>
    </cfRule>
  </conditionalFormatting>
  <conditionalFormatting sqref="AE224">
    <cfRule type="expression" dxfId="937" priority="964" stopIfTrue="1">
      <formula>MOD(ROW(),2)=0</formula>
    </cfRule>
  </conditionalFormatting>
  <conditionalFormatting sqref="AF225:AJ225">
    <cfRule type="expression" dxfId="936" priority="961" stopIfTrue="1">
      <formula>MOD(ROW(),2)=1</formula>
    </cfRule>
  </conditionalFormatting>
  <conditionalFormatting sqref="AF225:AJ225">
    <cfRule type="expression" dxfId="935" priority="962" stopIfTrue="1">
      <formula>MOD(ROW(),2)=0</formula>
    </cfRule>
  </conditionalFormatting>
  <conditionalFormatting sqref="AE225">
    <cfRule type="expression" dxfId="934" priority="959" stopIfTrue="1">
      <formula>MOD(ROW(),2)=1</formula>
    </cfRule>
  </conditionalFormatting>
  <conditionalFormatting sqref="AE225">
    <cfRule type="expression" dxfId="933" priority="960" stopIfTrue="1">
      <formula>MOD(ROW(),2)=0</formula>
    </cfRule>
  </conditionalFormatting>
  <conditionalFormatting sqref="AF226:AJ226">
    <cfRule type="expression" dxfId="932" priority="957" stopIfTrue="1">
      <formula>MOD(ROW(),2)=1</formula>
    </cfRule>
  </conditionalFormatting>
  <conditionalFormatting sqref="AF226:AJ226">
    <cfRule type="expression" dxfId="931" priority="958" stopIfTrue="1">
      <formula>MOD(ROW(),2)=0</formula>
    </cfRule>
  </conditionalFormatting>
  <conditionalFormatting sqref="AE226">
    <cfRule type="expression" dxfId="930" priority="955" stopIfTrue="1">
      <formula>MOD(ROW(),2)=1</formula>
    </cfRule>
  </conditionalFormatting>
  <conditionalFormatting sqref="AE226">
    <cfRule type="expression" dxfId="929" priority="956" stopIfTrue="1">
      <formula>MOD(ROW(),2)=0</formula>
    </cfRule>
  </conditionalFormatting>
  <conditionalFormatting sqref="AF227:AJ227">
    <cfRule type="expression" dxfId="928" priority="953" stopIfTrue="1">
      <formula>MOD(ROW(),2)=1</formula>
    </cfRule>
  </conditionalFormatting>
  <conditionalFormatting sqref="AF227:AJ227">
    <cfRule type="expression" dxfId="927" priority="954" stopIfTrue="1">
      <formula>MOD(ROW(),2)=0</formula>
    </cfRule>
  </conditionalFormatting>
  <conditionalFormatting sqref="AE227">
    <cfRule type="expression" dxfId="926" priority="951" stopIfTrue="1">
      <formula>MOD(ROW(),2)=1</formula>
    </cfRule>
  </conditionalFormatting>
  <conditionalFormatting sqref="AE227">
    <cfRule type="expression" dxfId="925" priority="952" stopIfTrue="1">
      <formula>MOD(ROW(),2)=0</formula>
    </cfRule>
  </conditionalFormatting>
  <conditionalFormatting sqref="AF228:AJ228">
    <cfRule type="expression" dxfId="924" priority="949" stopIfTrue="1">
      <formula>MOD(ROW(),2)=1</formula>
    </cfRule>
  </conditionalFormatting>
  <conditionalFormatting sqref="AF228:AJ228">
    <cfRule type="expression" dxfId="923" priority="950" stopIfTrue="1">
      <formula>MOD(ROW(),2)=0</formula>
    </cfRule>
  </conditionalFormatting>
  <conditionalFormatting sqref="AE228">
    <cfRule type="expression" dxfId="922" priority="947" stopIfTrue="1">
      <formula>MOD(ROW(),2)=1</formula>
    </cfRule>
  </conditionalFormatting>
  <conditionalFormatting sqref="AE228">
    <cfRule type="expression" dxfId="921" priority="948" stopIfTrue="1">
      <formula>MOD(ROW(),2)=0</formula>
    </cfRule>
  </conditionalFormatting>
  <conditionalFormatting sqref="AF229:AJ229">
    <cfRule type="expression" dxfId="920" priority="945" stopIfTrue="1">
      <formula>MOD(ROW(),2)=1</formula>
    </cfRule>
  </conditionalFormatting>
  <conditionalFormatting sqref="AF229:AJ229">
    <cfRule type="expression" dxfId="919" priority="946" stopIfTrue="1">
      <formula>MOD(ROW(),2)=0</formula>
    </cfRule>
  </conditionalFormatting>
  <conditionalFormatting sqref="AE229">
    <cfRule type="expression" dxfId="918" priority="943" stopIfTrue="1">
      <formula>MOD(ROW(),2)=1</formula>
    </cfRule>
  </conditionalFormatting>
  <conditionalFormatting sqref="AE229">
    <cfRule type="expression" dxfId="917" priority="944" stopIfTrue="1">
      <formula>MOD(ROW(),2)=0</formula>
    </cfRule>
  </conditionalFormatting>
  <conditionalFormatting sqref="AF232:AJ232">
    <cfRule type="expression" dxfId="916" priority="941" stopIfTrue="1">
      <formula>MOD(ROW(),2)=1</formula>
    </cfRule>
  </conditionalFormatting>
  <conditionalFormatting sqref="AF232:AJ232">
    <cfRule type="expression" dxfId="915" priority="942" stopIfTrue="1">
      <formula>MOD(ROW(),2)=0</formula>
    </cfRule>
  </conditionalFormatting>
  <conditionalFormatting sqref="AE232">
    <cfRule type="expression" dxfId="914" priority="939" stopIfTrue="1">
      <formula>MOD(ROW(),2)=1</formula>
    </cfRule>
  </conditionalFormatting>
  <conditionalFormatting sqref="AE232">
    <cfRule type="expression" dxfId="913" priority="940" stopIfTrue="1">
      <formula>MOD(ROW(),2)=0</formula>
    </cfRule>
  </conditionalFormatting>
  <conditionalFormatting sqref="AF231:AJ231">
    <cfRule type="expression" dxfId="912" priority="937" stopIfTrue="1">
      <formula>MOD(ROW(),2)=1</formula>
    </cfRule>
  </conditionalFormatting>
  <conditionalFormatting sqref="AF231:AJ231">
    <cfRule type="expression" dxfId="911" priority="938" stopIfTrue="1">
      <formula>MOD(ROW(),2)=0</formula>
    </cfRule>
  </conditionalFormatting>
  <conditionalFormatting sqref="AE231">
    <cfRule type="expression" dxfId="910" priority="935" stopIfTrue="1">
      <formula>MOD(ROW(),2)=1</formula>
    </cfRule>
  </conditionalFormatting>
  <conditionalFormatting sqref="AE231">
    <cfRule type="expression" dxfId="909" priority="936" stopIfTrue="1">
      <formula>MOD(ROW(),2)=0</formula>
    </cfRule>
  </conditionalFormatting>
  <conditionalFormatting sqref="AF230:AJ230">
    <cfRule type="expression" dxfId="908" priority="933" stopIfTrue="1">
      <formula>MOD(ROW(),2)=1</formula>
    </cfRule>
  </conditionalFormatting>
  <conditionalFormatting sqref="AF230:AJ230">
    <cfRule type="expression" dxfId="907" priority="934" stopIfTrue="1">
      <formula>MOD(ROW(),2)=0</formula>
    </cfRule>
  </conditionalFormatting>
  <conditionalFormatting sqref="AE230">
    <cfRule type="expression" dxfId="906" priority="931" stopIfTrue="1">
      <formula>MOD(ROW(),2)=1</formula>
    </cfRule>
  </conditionalFormatting>
  <conditionalFormatting sqref="AE230">
    <cfRule type="expression" dxfId="905" priority="932" stopIfTrue="1">
      <formula>MOD(ROW(),2)=0</formula>
    </cfRule>
  </conditionalFormatting>
  <conditionalFormatting sqref="AF233:AJ233">
    <cfRule type="expression" dxfId="904" priority="929" stopIfTrue="1">
      <formula>MOD(ROW(),2)=1</formula>
    </cfRule>
  </conditionalFormatting>
  <conditionalFormatting sqref="AF233:AJ233">
    <cfRule type="expression" dxfId="903" priority="930" stopIfTrue="1">
      <formula>MOD(ROW(),2)=0</formula>
    </cfRule>
  </conditionalFormatting>
  <conditionalFormatting sqref="AE233">
    <cfRule type="expression" dxfId="902" priority="927" stopIfTrue="1">
      <formula>MOD(ROW(),2)=1</formula>
    </cfRule>
  </conditionalFormatting>
  <conditionalFormatting sqref="AE233">
    <cfRule type="expression" dxfId="901" priority="928" stopIfTrue="1">
      <formula>MOD(ROW(),2)=0</formula>
    </cfRule>
  </conditionalFormatting>
  <conditionalFormatting sqref="AF234:AJ234">
    <cfRule type="expression" dxfId="900" priority="925" stopIfTrue="1">
      <formula>MOD(ROW(),2)=1</formula>
    </cfRule>
  </conditionalFormatting>
  <conditionalFormatting sqref="AF234:AJ234">
    <cfRule type="expression" dxfId="899" priority="926" stopIfTrue="1">
      <formula>MOD(ROW(),2)=0</formula>
    </cfRule>
  </conditionalFormatting>
  <conditionalFormatting sqref="AE234">
    <cfRule type="expression" dxfId="898" priority="923" stopIfTrue="1">
      <formula>MOD(ROW(),2)=1</formula>
    </cfRule>
  </conditionalFormatting>
  <conditionalFormatting sqref="AE234">
    <cfRule type="expression" dxfId="897" priority="924" stopIfTrue="1">
      <formula>MOD(ROW(),2)=0</formula>
    </cfRule>
  </conditionalFormatting>
  <conditionalFormatting sqref="AF235:AJ235">
    <cfRule type="expression" dxfId="896" priority="921" stopIfTrue="1">
      <formula>MOD(ROW(),2)=1</formula>
    </cfRule>
  </conditionalFormatting>
  <conditionalFormatting sqref="AF235:AJ235">
    <cfRule type="expression" dxfId="895" priority="922" stopIfTrue="1">
      <formula>MOD(ROW(),2)=0</formula>
    </cfRule>
  </conditionalFormatting>
  <conditionalFormatting sqref="AE235">
    <cfRule type="expression" dxfId="894" priority="919" stopIfTrue="1">
      <formula>MOD(ROW(),2)=1</formula>
    </cfRule>
  </conditionalFormatting>
  <conditionalFormatting sqref="AE235">
    <cfRule type="expression" dxfId="893" priority="920" stopIfTrue="1">
      <formula>MOD(ROW(),2)=0</formula>
    </cfRule>
  </conditionalFormatting>
  <conditionalFormatting sqref="AF236:AJ236">
    <cfRule type="expression" dxfId="892" priority="917" stopIfTrue="1">
      <formula>MOD(ROW(),2)=1</formula>
    </cfRule>
  </conditionalFormatting>
  <conditionalFormatting sqref="AF236:AJ236">
    <cfRule type="expression" dxfId="891" priority="918" stopIfTrue="1">
      <formula>MOD(ROW(),2)=0</formula>
    </cfRule>
  </conditionalFormatting>
  <conditionalFormatting sqref="AE236">
    <cfRule type="expression" dxfId="890" priority="915" stopIfTrue="1">
      <formula>MOD(ROW(),2)=1</formula>
    </cfRule>
  </conditionalFormatting>
  <conditionalFormatting sqref="AE236">
    <cfRule type="expression" dxfId="889" priority="916" stopIfTrue="1">
      <formula>MOD(ROW(),2)=0</formula>
    </cfRule>
  </conditionalFormatting>
  <conditionalFormatting sqref="AF237:AJ237">
    <cfRule type="expression" dxfId="888" priority="913" stopIfTrue="1">
      <formula>MOD(ROW(),2)=1</formula>
    </cfRule>
  </conditionalFormatting>
  <conditionalFormatting sqref="AF237:AJ237">
    <cfRule type="expression" dxfId="887" priority="914" stopIfTrue="1">
      <formula>MOD(ROW(),2)=0</formula>
    </cfRule>
  </conditionalFormatting>
  <conditionalFormatting sqref="AE237">
    <cfRule type="expression" dxfId="886" priority="911" stopIfTrue="1">
      <formula>MOD(ROW(),2)=1</formula>
    </cfRule>
  </conditionalFormatting>
  <conditionalFormatting sqref="AE237">
    <cfRule type="expression" dxfId="885" priority="912" stopIfTrue="1">
      <formula>MOD(ROW(),2)=0</formula>
    </cfRule>
  </conditionalFormatting>
  <conditionalFormatting sqref="AF238:AJ238">
    <cfRule type="expression" dxfId="884" priority="909" stopIfTrue="1">
      <formula>MOD(ROW(),2)=1</formula>
    </cfRule>
  </conditionalFormatting>
  <conditionalFormatting sqref="AF238:AJ238">
    <cfRule type="expression" dxfId="883" priority="910" stopIfTrue="1">
      <formula>MOD(ROW(),2)=0</formula>
    </cfRule>
  </conditionalFormatting>
  <conditionalFormatting sqref="AE238">
    <cfRule type="expression" dxfId="882" priority="907" stopIfTrue="1">
      <formula>MOD(ROW(),2)=1</formula>
    </cfRule>
  </conditionalFormatting>
  <conditionalFormatting sqref="AE238">
    <cfRule type="expression" dxfId="881" priority="908" stopIfTrue="1">
      <formula>MOD(ROW(),2)=0</formula>
    </cfRule>
  </conditionalFormatting>
  <conditionalFormatting sqref="AF240:AJ240">
    <cfRule type="expression" dxfId="880" priority="905" stopIfTrue="1">
      <formula>MOD(ROW(),2)=1</formula>
    </cfRule>
  </conditionalFormatting>
  <conditionalFormatting sqref="AF240:AJ240">
    <cfRule type="expression" dxfId="879" priority="906" stopIfTrue="1">
      <formula>MOD(ROW(),2)=0</formula>
    </cfRule>
  </conditionalFormatting>
  <conditionalFormatting sqref="AE240">
    <cfRule type="expression" dxfId="878" priority="903" stopIfTrue="1">
      <formula>MOD(ROW(),2)=1</formula>
    </cfRule>
  </conditionalFormatting>
  <conditionalFormatting sqref="AE240">
    <cfRule type="expression" dxfId="877" priority="904" stopIfTrue="1">
      <formula>MOD(ROW(),2)=0</formula>
    </cfRule>
  </conditionalFormatting>
  <conditionalFormatting sqref="AF241:AJ241">
    <cfRule type="expression" dxfId="876" priority="901" stopIfTrue="1">
      <formula>MOD(ROW(),2)=1</formula>
    </cfRule>
  </conditionalFormatting>
  <conditionalFormatting sqref="AF241:AJ241">
    <cfRule type="expression" dxfId="875" priority="902" stopIfTrue="1">
      <formula>MOD(ROW(),2)=0</formula>
    </cfRule>
  </conditionalFormatting>
  <conditionalFormatting sqref="AE241">
    <cfRule type="expression" dxfId="874" priority="899" stopIfTrue="1">
      <formula>MOD(ROW(),2)=1</formula>
    </cfRule>
  </conditionalFormatting>
  <conditionalFormatting sqref="AE241">
    <cfRule type="expression" dxfId="873" priority="900" stopIfTrue="1">
      <formula>MOD(ROW(),2)=0</formula>
    </cfRule>
  </conditionalFormatting>
  <conditionalFormatting sqref="AF242:AJ242">
    <cfRule type="expression" dxfId="872" priority="897" stopIfTrue="1">
      <formula>MOD(ROW(),2)=1</formula>
    </cfRule>
  </conditionalFormatting>
  <conditionalFormatting sqref="AF242:AJ242">
    <cfRule type="expression" dxfId="871" priority="898" stopIfTrue="1">
      <formula>MOD(ROW(),2)=0</formula>
    </cfRule>
  </conditionalFormatting>
  <conditionalFormatting sqref="AE242">
    <cfRule type="expression" dxfId="870" priority="895" stopIfTrue="1">
      <formula>MOD(ROW(),2)=1</formula>
    </cfRule>
  </conditionalFormatting>
  <conditionalFormatting sqref="AE242">
    <cfRule type="expression" dxfId="869" priority="896" stopIfTrue="1">
      <formula>MOD(ROW(),2)=0</formula>
    </cfRule>
  </conditionalFormatting>
  <conditionalFormatting sqref="AF244:AJ244">
    <cfRule type="expression" dxfId="868" priority="893" stopIfTrue="1">
      <formula>MOD(ROW(),2)=1</formula>
    </cfRule>
  </conditionalFormatting>
  <conditionalFormatting sqref="AF244:AJ244">
    <cfRule type="expression" dxfId="867" priority="894" stopIfTrue="1">
      <formula>MOD(ROW(),2)=0</formula>
    </cfRule>
  </conditionalFormatting>
  <conditionalFormatting sqref="AE244">
    <cfRule type="expression" dxfId="866" priority="891" stopIfTrue="1">
      <formula>MOD(ROW(),2)=1</formula>
    </cfRule>
  </conditionalFormatting>
  <conditionalFormatting sqref="AE244">
    <cfRule type="expression" dxfId="865" priority="892" stopIfTrue="1">
      <formula>MOD(ROW(),2)=0</formula>
    </cfRule>
  </conditionalFormatting>
  <conditionalFormatting sqref="AF245:AJ245">
    <cfRule type="expression" dxfId="864" priority="889" stopIfTrue="1">
      <formula>MOD(ROW(),2)=1</formula>
    </cfRule>
  </conditionalFormatting>
  <conditionalFormatting sqref="AF245:AJ245">
    <cfRule type="expression" dxfId="863" priority="890" stopIfTrue="1">
      <formula>MOD(ROW(),2)=0</formula>
    </cfRule>
  </conditionalFormatting>
  <conditionalFormatting sqref="AE245">
    <cfRule type="expression" dxfId="862" priority="887" stopIfTrue="1">
      <formula>MOD(ROW(),2)=1</formula>
    </cfRule>
  </conditionalFormatting>
  <conditionalFormatting sqref="AE245">
    <cfRule type="expression" dxfId="861" priority="888" stopIfTrue="1">
      <formula>MOD(ROW(),2)=0</formula>
    </cfRule>
  </conditionalFormatting>
  <conditionalFormatting sqref="AF246:AJ246">
    <cfRule type="expression" dxfId="860" priority="885" stopIfTrue="1">
      <formula>MOD(ROW(),2)=1</formula>
    </cfRule>
  </conditionalFormatting>
  <conditionalFormatting sqref="AF246:AJ246">
    <cfRule type="expression" dxfId="859" priority="886" stopIfTrue="1">
      <formula>MOD(ROW(),2)=0</formula>
    </cfRule>
  </conditionalFormatting>
  <conditionalFormatting sqref="AE246">
    <cfRule type="expression" dxfId="858" priority="883" stopIfTrue="1">
      <formula>MOD(ROW(),2)=1</formula>
    </cfRule>
  </conditionalFormatting>
  <conditionalFormatting sqref="AE246">
    <cfRule type="expression" dxfId="857" priority="884" stopIfTrue="1">
      <formula>MOD(ROW(),2)=0</formula>
    </cfRule>
  </conditionalFormatting>
  <conditionalFormatting sqref="AF247:AJ247">
    <cfRule type="expression" dxfId="856" priority="881" stopIfTrue="1">
      <formula>MOD(ROW(),2)=1</formula>
    </cfRule>
  </conditionalFormatting>
  <conditionalFormatting sqref="AF247:AJ247">
    <cfRule type="expression" dxfId="855" priority="882" stopIfTrue="1">
      <formula>MOD(ROW(),2)=0</formula>
    </cfRule>
  </conditionalFormatting>
  <conditionalFormatting sqref="AE247">
    <cfRule type="expression" dxfId="854" priority="879" stopIfTrue="1">
      <formula>MOD(ROW(),2)=1</formula>
    </cfRule>
  </conditionalFormatting>
  <conditionalFormatting sqref="AE247">
    <cfRule type="expression" dxfId="853" priority="880" stopIfTrue="1">
      <formula>MOD(ROW(),2)=0</formula>
    </cfRule>
  </conditionalFormatting>
  <conditionalFormatting sqref="AF248:AJ248">
    <cfRule type="expression" dxfId="852" priority="877" stopIfTrue="1">
      <formula>MOD(ROW(),2)=1</formula>
    </cfRule>
  </conditionalFormatting>
  <conditionalFormatting sqref="AF248:AJ248">
    <cfRule type="expression" dxfId="851" priority="878" stopIfTrue="1">
      <formula>MOD(ROW(),2)=0</formula>
    </cfRule>
  </conditionalFormatting>
  <conditionalFormatting sqref="AE248">
    <cfRule type="expression" dxfId="850" priority="875" stopIfTrue="1">
      <formula>MOD(ROW(),2)=1</formula>
    </cfRule>
  </conditionalFormatting>
  <conditionalFormatting sqref="AE248">
    <cfRule type="expression" dxfId="849" priority="876" stopIfTrue="1">
      <formula>MOD(ROW(),2)=0</formula>
    </cfRule>
  </conditionalFormatting>
  <conditionalFormatting sqref="AF249:AJ249">
    <cfRule type="expression" dxfId="848" priority="873" stopIfTrue="1">
      <formula>MOD(ROW(),2)=1</formula>
    </cfRule>
  </conditionalFormatting>
  <conditionalFormatting sqref="AF249:AJ249">
    <cfRule type="expression" dxfId="847" priority="874" stopIfTrue="1">
      <formula>MOD(ROW(),2)=0</formula>
    </cfRule>
  </conditionalFormatting>
  <conditionalFormatting sqref="AE249">
    <cfRule type="expression" dxfId="846" priority="871" stopIfTrue="1">
      <formula>MOD(ROW(),2)=1</formula>
    </cfRule>
  </conditionalFormatting>
  <conditionalFormatting sqref="AE249">
    <cfRule type="expression" dxfId="845" priority="872" stopIfTrue="1">
      <formula>MOD(ROW(),2)=0</formula>
    </cfRule>
  </conditionalFormatting>
  <conditionalFormatting sqref="AF250:AJ250">
    <cfRule type="expression" dxfId="844" priority="869" stopIfTrue="1">
      <formula>MOD(ROW(),2)=1</formula>
    </cfRule>
  </conditionalFormatting>
  <conditionalFormatting sqref="AF250:AJ250">
    <cfRule type="expression" dxfId="843" priority="870" stopIfTrue="1">
      <formula>MOD(ROW(),2)=0</formula>
    </cfRule>
  </conditionalFormatting>
  <conditionalFormatting sqref="AE250">
    <cfRule type="expression" dxfId="842" priority="867" stopIfTrue="1">
      <formula>MOD(ROW(),2)=1</formula>
    </cfRule>
  </conditionalFormatting>
  <conditionalFormatting sqref="AE250">
    <cfRule type="expression" dxfId="841" priority="868" stopIfTrue="1">
      <formula>MOD(ROW(),2)=0</formula>
    </cfRule>
  </conditionalFormatting>
  <conditionalFormatting sqref="AF251:AJ251">
    <cfRule type="expression" dxfId="840" priority="865" stopIfTrue="1">
      <formula>MOD(ROW(),2)=1</formula>
    </cfRule>
  </conditionalFormatting>
  <conditionalFormatting sqref="AF251:AJ251">
    <cfRule type="expression" dxfId="839" priority="866" stopIfTrue="1">
      <formula>MOD(ROW(),2)=0</formula>
    </cfRule>
  </conditionalFormatting>
  <conditionalFormatting sqref="AE251">
    <cfRule type="expression" dxfId="838" priority="863" stopIfTrue="1">
      <formula>MOD(ROW(),2)=1</formula>
    </cfRule>
  </conditionalFormatting>
  <conditionalFormatting sqref="AE251">
    <cfRule type="expression" dxfId="837" priority="864" stopIfTrue="1">
      <formula>MOD(ROW(),2)=0</formula>
    </cfRule>
  </conditionalFormatting>
  <conditionalFormatting sqref="AF252:AJ252">
    <cfRule type="expression" dxfId="836" priority="861" stopIfTrue="1">
      <formula>MOD(ROW(),2)=1</formula>
    </cfRule>
  </conditionalFormatting>
  <conditionalFormatting sqref="AF252:AJ252">
    <cfRule type="expression" dxfId="835" priority="862" stopIfTrue="1">
      <formula>MOD(ROW(),2)=0</formula>
    </cfRule>
  </conditionalFormatting>
  <conditionalFormatting sqref="AE252">
    <cfRule type="expression" dxfId="834" priority="859" stopIfTrue="1">
      <formula>MOD(ROW(),2)=1</formula>
    </cfRule>
  </conditionalFormatting>
  <conditionalFormatting sqref="AE252">
    <cfRule type="expression" dxfId="833" priority="860" stopIfTrue="1">
      <formula>MOD(ROW(),2)=0</formula>
    </cfRule>
  </conditionalFormatting>
  <conditionalFormatting sqref="AF253:AJ253">
    <cfRule type="expression" dxfId="832" priority="857" stopIfTrue="1">
      <formula>MOD(ROW(),2)=1</formula>
    </cfRule>
  </conditionalFormatting>
  <conditionalFormatting sqref="AF253:AJ253">
    <cfRule type="expression" dxfId="831" priority="858" stopIfTrue="1">
      <formula>MOD(ROW(),2)=0</formula>
    </cfRule>
  </conditionalFormatting>
  <conditionalFormatting sqref="AE253">
    <cfRule type="expression" dxfId="830" priority="855" stopIfTrue="1">
      <formula>MOD(ROW(),2)=1</formula>
    </cfRule>
  </conditionalFormatting>
  <conditionalFormatting sqref="AE253">
    <cfRule type="expression" dxfId="829" priority="856" stopIfTrue="1">
      <formula>MOD(ROW(),2)=0</formula>
    </cfRule>
  </conditionalFormatting>
  <conditionalFormatting sqref="AF254:AJ254">
    <cfRule type="expression" dxfId="828" priority="853" stopIfTrue="1">
      <formula>MOD(ROW(),2)=1</formula>
    </cfRule>
  </conditionalFormatting>
  <conditionalFormatting sqref="AF254:AJ254">
    <cfRule type="expression" dxfId="827" priority="854" stopIfTrue="1">
      <formula>MOD(ROW(),2)=0</formula>
    </cfRule>
  </conditionalFormatting>
  <conditionalFormatting sqref="AE254">
    <cfRule type="expression" dxfId="826" priority="851" stopIfTrue="1">
      <formula>MOD(ROW(),2)=1</formula>
    </cfRule>
  </conditionalFormatting>
  <conditionalFormatting sqref="AE254">
    <cfRule type="expression" dxfId="825" priority="852" stopIfTrue="1">
      <formula>MOD(ROW(),2)=0</formula>
    </cfRule>
  </conditionalFormatting>
  <conditionalFormatting sqref="AF255:AJ255">
    <cfRule type="expression" dxfId="824" priority="849" stopIfTrue="1">
      <formula>MOD(ROW(),2)=1</formula>
    </cfRule>
  </conditionalFormatting>
  <conditionalFormatting sqref="AF255:AJ255">
    <cfRule type="expression" dxfId="823" priority="850" stopIfTrue="1">
      <formula>MOD(ROW(),2)=0</formula>
    </cfRule>
  </conditionalFormatting>
  <conditionalFormatting sqref="AE255">
    <cfRule type="expression" dxfId="822" priority="847" stopIfTrue="1">
      <formula>MOD(ROW(),2)=1</formula>
    </cfRule>
  </conditionalFormatting>
  <conditionalFormatting sqref="AE255">
    <cfRule type="expression" dxfId="821" priority="848" stopIfTrue="1">
      <formula>MOD(ROW(),2)=0</formula>
    </cfRule>
  </conditionalFormatting>
  <conditionalFormatting sqref="AF256:AJ256">
    <cfRule type="expression" dxfId="820" priority="845" stopIfTrue="1">
      <formula>MOD(ROW(),2)=1</formula>
    </cfRule>
  </conditionalFormatting>
  <conditionalFormatting sqref="AF256:AJ256">
    <cfRule type="expression" dxfId="819" priority="846" stopIfTrue="1">
      <formula>MOD(ROW(),2)=0</formula>
    </cfRule>
  </conditionalFormatting>
  <conditionalFormatting sqref="AE256">
    <cfRule type="expression" dxfId="818" priority="843" stopIfTrue="1">
      <formula>MOD(ROW(),2)=1</formula>
    </cfRule>
  </conditionalFormatting>
  <conditionalFormatting sqref="AE256">
    <cfRule type="expression" dxfId="817" priority="844" stopIfTrue="1">
      <formula>MOD(ROW(),2)=0</formula>
    </cfRule>
  </conditionalFormatting>
  <conditionalFormatting sqref="AF257:AJ257">
    <cfRule type="expression" dxfId="816" priority="841" stopIfTrue="1">
      <formula>MOD(ROW(),2)=1</formula>
    </cfRule>
  </conditionalFormatting>
  <conditionalFormatting sqref="AF257:AJ257">
    <cfRule type="expression" dxfId="815" priority="842" stopIfTrue="1">
      <formula>MOD(ROW(),2)=0</formula>
    </cfRule>
  </conditionalFormatting>
  <conditionalFormatting sqref="AE257">
    <cfRule type="expression" dxfId="814" priority="839" stopIfTrue="1">
      <formula>MOD(ROW(),2)=1</formula>
    </cfRule>
  </conditionalFormatting>
  <conditionalFormatting sqref="AE257">
    <cfRule type="expression" dxfId="813" priority="840" stopIfTrue="1">
      <formula>MOD(ROW(),2)=0</formula>
    </cfRule>
  </conditionalFormatting>
  <conditionalFormatting sqref="AF258:AJ258">
    <cfRule type="expression" dxfId="812" priority="837" stopIfTrue="1">
      <formula>MOD(ROW(),2)=1</formula>
    </cfRule>
  </conditionalFormatting>
  <conditionalFormatting sqref="AF258:AJ258">
    <cfRule type="expression" dxfId="811" priority="838" stopIfTrue="1">
      <formula>MOD(ROW(),2)=0</formula>
    </cfRule>
  </conditionalFormatting>
  <conditionalFormatting sqref="AE258">
    <cfRule type="expression" dxfId="810" priority="835" stopIfTrue="1">
      <formula>MOD(ROW(),2)=1</formula>
    </cfRule>
  </conditionalFormatting>
  <conditionalFormatting sqref="AE258">
    <cfRule type="expression" dxfId="809" priority="836" stopIfTrue="1">
      <formula>MOD(ROW(),2)=0</formula>
    </cfRule>
  </conditionalFormatting>
  <conditionalFormatting sqref="AF259:AJ259">
    <cfRule type="expression" dxfId="808" priority="833" stopIfTrue="1">
      <formula>MOD(ROW(),2)=1</formula>
    </cfRule>
  </conditionalFormatting>
  <conditionalFormatting sqref="AF259:AJ259">
    <cfRule type="expression" dxfId="807" priority="834" stopIfTrue="1">
      <formula>MOD(ROW(),2)=0</formula>
    </cfRule>
  </conditionalFormatting>
  <conditionalFormatting sqref="AE259">
    <cfRule type="expression" dxfId="806" priority="831" stopIfTrue="1">
      <formula>MOD(ROW(),2)=1</formula>
    </cfRule>
  </conditionalFormatting>
  <conditionalFormatting sqref="AE259">
    <cfRule type="expression" dxfId="805" priority="832" stopIfTrue="1">
      <formula>MOD(ROW(),2)=0</formula>
    </cfRule>
  </conditionalFormatting>
  <conditionalFormatting sqref="AF260:AJ260">
    <cfRule type="expression" dxfId="804" priority="829" stopIfTrue="1">
      <formula>MOD(ROW(),2)=1</formula>
    </cfRule>
  </conditionalFormatting>
  <conditionalFormatting sqref="AF260:AJ260">
    <cfRule type="expression" dxfId="803" priority="830" stopIfTrue="1">
      <formula>MOD(ROW(),2)=0</formula>
    </cfRule>
  </conditionalFormatting>
  <conditionalFormatting sqref="AE260">
    <cfRule type="expression" dxfId="802" priority="827" stopIfTrue="1">
      <formula>MOD(ROW(),2)=1</formula>
    </cfRule>
  </conditionalFormatting>
  <conditionalFormatting sqref="AE260">
    <cfRule type="expression" dxfId="801" priority="828" stopIfTrue="1">
      <formula>MOD(ROW(),2)=0</formula>
    </cfRule>
  </conditionalFormatting>
  <conditionalFormatting sqref="AF261:AJ261">
    <cfRule type="expression" dxfId="800" priority="825" stopIfTrue="1">
      <formula>MOD(ROW(),2)=1</formula>
    </cfRule>
  </conditionalFormatting>
  <conditionalFormatting sqref="AF261:AJ261">
    <cfRule type="expression" dxfId="799" priority="826" stopIfTrue="1">
      <formula>MOD(ROW(),2)=0</formula>
    </cfRule>
  </conditionalFormatting>
  <conditionalFormatting sqref="AE261">
    <cfRule type="expression" dxfId="798" priority="823" stopIfTrue="1">
      <formula>MOD(ROW(),2)=1</formula>
    </cfRule>
  </conditionalFormatting>
  <conditionalFormatting sqref="AE261">
    <cfRule type="expression" dxfId="797" priority="824" stopIfTrue="1">
      <formula>MOD(ROW(),2)=0</formula>
    </cfRule>
  </conditionalFormatting>
  <conditionalFormatting sqref="AF262:AJ262">
    <cfRule type="expression" dxfId="796" priority="821" stopIfTrue="1">
      <formula>MOD(ROW(),2)=1</formula>
    </cfRule>
  </conditionalFormatting>
  <conditionalFormatting sqref="AF262:AJ262">
    <cfRule type="expression" dxfId="795" priority="822" stopIfTrue="1">
      <formula>MOD(ROW(),2)=0</formula>
    </cfRule>
  </conditionalFormatting>
  <conditionalFormatting sqref="AE262">
    <cfRule type="expression" dxfId="794" priority="819" stopIfTrue="1">
      <formula>MOD(ROW(),2)=1</formula>
    </cfRule>
  </conditionalFormatting>
  <conditionalFormatting sqref="AE262">
    <cfRule type="expression" dxfId="793" priority="820" stopIfTrue="1">
      <formula>MOD(ROW(),2)=0</formula>
    </cfRule>
  </conditionalFormatting>
  <conditionalFormatting sqref="AF266:AJ266">
    <cfRule type="expression" dxfId="792" priority="817" stopIfTrue="1">
      <formula>MOD(ROW(),2)=1</formula>
    </cfRule>
  </conditionalFormatting>
  <conditionalFormatting sqref="AF266:AJ266">
    <cfRule type="expression" dxfId="791" priority="818" stopIfTrue="1">
      <formula>MOD(ROW(),2)=0</formula>
    </cfRule>
  </conditionalFormatting>
  <conditionalFormatting sqref="AE266">
    <cfRule type="expression" dxfId="790" priority="815" stopIfTrue="1">
      <formula>MOD(ROW(),2)=1</formula>
    </cfRule>
  </conditionalFormatting>
  <conditionalFormatting sqref="AE266">
    <cfRule type="expression" dxfId="789" priority="816" stopIfTrue="1">
      <formula>MOD(ROW(),2)=0</formula>
    </cfRule>
  </conditionalFormatting>
  <conditionalFormatting sqref="AF265:AJ265">
    <cfRule type="expression" dxfId="788" priority="813" stopIfTrue="1">
      <formula>MOD(ROW(),2)=1</formula>
    </cfRule>
  </conditionalFormatting>
  <conditionalFormatting sqref="AF265:AJ265">
    <cfRule type="expression" dxfId="787" priority="814" stopIfTrue="1">
      <formula>MOD(ROW(),2)=0</formula>
    </cfRule>
  </conditionalFormatting>
  <conditionalFormatting sqref="AE265">
    <cfRule type="expression" dxfId="786" priority="811" stopIfTrue="1">
      <formula>MOD(ROW(),2)=1</formula>
    </cfRule>
  </conditionalFormatting>
  <conditionalFormatting sqref="AE265">
    <cfRule type="expression" dxfId="785" priority="812" stopIfTrue="1">
      <formula>MOD(ROW(),2)=0</formula>
    </cfRule>
  </conditionalFormatting>
  <conditionalFormatting sqref="AF264:AJ264">
    <cfRule type="expression" dxfId="784" priority="809" stopIfTrue="1">
      <formula>MOD(ROW(),2)=1</formula>
    </cfRule>
  </conditionalFormatting>
  <conditionalFormatting sqref="AF264:AJ264">
    <cfRule type="expression" dxfId="783" priority="810" stopIfTrue="1">
      <formula>MOD(ROW(),2)=0</formula>
    </cfRule>
  </conditionalFormatting>
  <conditionalFormatting sqref="AE264">
    <cfRule type="expression" dxfId="782" priority="807" stopIfTrue="1">
      <formula>MOD(ROW(),2)=1</formula>
    </cfRule>
  </conditionalFormatting>
  <conditionalFormatting sqref="AE264">
    <cfRule type="expression" dxfId="781" priority="808" stopIfTrue="1">
      <formula>MOD(ROW(),2)=0</formula>
    </cfRule>
  </conditionalFormatting>
  <conditionalFormatting sqref="AF263:AJ263">
    <cfRule type="expression" dxfId="780" priority="805" stopIfTrue="1">
      <formula>MOD(ROW(),2)=1</formula>
    </cfRule>
  </conditionalFormatting>
  <conditionalFormatting sqref="AF263:AJ263">
    <cfRule type="expression" dxfId="779" priority="806" stopIfTrue="1">
      <formula>MOD(ROW(),2)=0</formula>
    </cfRule>
  </conditionalFormatting>
  <conditionalFormatting sqref="AE263">
    <cfRule type="expression" dxfId="778" priority="803" stopIfTrue="1">
      <formula>MOD(ROW(),2)=1</formula>
    </cfRule>
  </conditionalFormatting>
  <conditionalFormatting sqref="AE263">
    <cfRule type="expression" dxfId="777" priority="804" stopIfTrue="1">
      <formula>MOD(ROW(),2)=0</formula>
    </cfRule>
  </conditionalFormatting>
  <conditionalFormatting sqref="AE56:AJ56">
    <cfRule type="expression" dxfId="776" priority="801" stopIfTrue="1">
      <formula>MOD(ROW(),2)=1</formula>
    </cfRule>
  </conditionalFormatting>
  <conditionalFormatting sqref="AE56:AJ56">
    <cfRule type="expression" dxfId="775" priority="802" stopIfTrue="1">
      <formula>MOD(ROW(),2)=0</formula>
    </cfRule>
  </conditionalFormatting>
  <conditionalFormatting sqref="AE57:AJ57">
    <cfRule type="expression" dxfId="774" priority="799" stopIfTrue="1">
      <formula>MOD(ROW(),2)=1</formula>
    </cfRule>
  </conditionalFormatting>
  <conditionalFormatting sqref="AE57:AJ57">
    <cfRule type="expression" dxfId="773" priority="800" stopIfTrue="1">
      <formula>MOD(ROW(),2)=0</formula>
    </cfRule>
  </conditionalFormatting>
  <conditionalFormatting sqref="AE54:AJ54">
    <cfRule type="expression" dxfId="772" priority="797" stopIfTrue="1">
      <formula>MOD(ROW(),2)=1</formula>
    </cfRule>
  </conditionalFormatting>
  <conditionalFormatting sqref="AE54:AJ54">
    <cfRule type="expression" dxfId="771" priority="798" stopIfTrue="1">
      <formula>MOD(ROW(),2)=0</formula>
    </cfRule>
  </conditionalFormatting>
  <conditionalFormatting sqref="AE43:AJ49 AE51:AJ52">
    <cfRule type="expression" dxfId="770" priority="791" stopIfTrue="1">
      <formula>MOD(ROW(),2)=1</formula>
    </cfRule>
  </conditionalFormatting>
  <conditionalFormatting sqref="AE43:AJ49 AE51:AJ52">
    <cfRule type="expression" dxfId="769" priority="792" stopIfTrue="1">
      <formula>MOD(ROW(),2)=0</formula>
    </cfRule>
  </conditionalFormatting>
  <conditionalFormatting sqref="AE41:AJ41">
    <cfRule type="expression" dxfId="768" priority="789" stopIfTrue="1">
      <formula>MOD(ROW(),2)=1</formula>
    </cfRule>
  </conditionalFormatting>
  <conditionalFormatting sqref="AE41:AJ41">
    <cfRule type="expression" dxfId="767" priority="790" stopIfTrue="1">
      <formula>MOD(ROW(),2)=0</formula>
    </cfRule>
  </conditionalFormatting>
  <conditionalFormatting sqref="AE40:AJ40">
    <cfRule type="expression" dxfId="766" priority="787" stopIfTrue="1">
      <formula>MOD(ROW(),2)=1</formula>
    </cfRule>
  </conditionalFormatting>
  <conditionalFormatting sqref="AE40:AJ40">
    <cfRule type="expression" dxfId="765" priority="788" stopIfTrue="1">
      <formula>MOD(ROW(),2)=0</formula>
    </cfRule>
  </conditionalFormatting>
  <conditionalFormatting sqref="AE38:AJ38">
    <cfRule type="expression" dxfId="764" priority="785" stopIfTrue="1">
      <formula>MOD(ROW(),2)=1</formula>
    </cfRule>
  </conditionalFormatting>
  <conditionalFormatting sqref="AE38:AJ38">
    <cfRule type="expression" dxfId="763" priority="786" stopIfTrue="1">
      <formula>MOD(ROW(),2)=0</formula>
    </cfRule>
  </conditionalFormatting>
  <conditionalFormatting sqref="AE37:AJ37">
    <cfRule type="expression" dxfId="762" priority="783" stopIfTrue="1">
      <formula>MOD(ROW(),2)=1</formula>
    </cfRule>
  </conditionalFormatting>
  <conditionalFormatting sqref="AE37:AJ37">
    <cfRule type="expression" dxfId="761" priority="784" stopIfTrue="1">
      <formula>MOD(ROW(),2)=0</formula>
    </cfRule>
  </conditionalFormatting>
  <conditionalFormatting sqref="AE34:AJ34">
    <cfRule type="expression" dxfId="760" priority="781" stopIfTrue="1">
      <formula>MOD(ROW(),2)=1</formula>
    </cfRule>
  </conditionalFormatting>
  <conditionalFormatting sqref="AE34:AJ34">
    <cfRule type="expression" dxfId="759" priority="782" stopIfTrue="1">
      <formula>MOD(ROW(),2)=0</formula>
    </cfRule>
  </conditionalFormatting>
  <conditionalFormatting sqref="AE35:AJ35">
    <cfRule type="expression" dxfId="758" priority="779" stopIfTrue="1">
      <formula>MOD(ROW(),2)=1</formula>
    </cfRule>
  </conditionalFormatting>
  <conditionalFormatting sqref="AE35:AJ35">
    <cfRule type="expression" dxfId="757" priority="780" stopIfTrue="1">
      <formula>MOD(ROW(),2)=0</formula>
    </cfRule>
  </conditionalFormatting>
  <conditionalFormatting sqref="AE36:AJ36">
    <cfRule type="expression" dxfId="756" priority="777" stopIfTrue="1">
      <formula>MOD(ROW(),2)=1</formula>
    </cfRule>
  </conditionalFormatting>
  <conditionalFormatting sqref="AE36:AJ36">
    <cfRule type="expression" dxfId="755" priority="778" stopIfTrue="1">
      <formula>MOD(ROW(),2)=0</formula>
    </cfRule>
  </conditionalFormatting>
  <conditionalFormatting sqref="AE32:AJ32">
    <cfRule type="expression" dxfId="754" priority="775" stopIfTrue="1">
      <formula>MOD(ROW(),2)=1</formula>
    </cfRule>
  </conditionalFormatting>
  <conditionalFormatting sqref="AE32:AJ32">
    <cfRule type="expression" dxfId="753" priority="776" stopIfTrue="1">
      <formula>MOD(ROW(),2)=0</formula>
    </cfRule>
  </conditionalFormatting>
  <conditionalFormatting sqref="AE27:AJ27">
    <cfRule type="expression" dxfId="752" priority="773" stopIfTrue="1">
      <formula>MOD(ROW(),2)=1</formula>
    </cfRule>
  </conditionalFormatting>
  <conditionalFormatting sqref="AE27:AJ27">
    <cfRule type="expression" dxfId="751" priority="774" stopIfTrue="1">
      <formula>MOD(ROW(),2)=0</formula>
    </cfRule>
  </conditionalFormatting>
  <conditionalFormatting sqref="AE28:AJ28">
    <cfRule type="expression" dxfId="750" priority="771" stopIfTrue="1">
      <formula>MOD(ROW(),2)=1</formula>
    </cfRule>
  </conditionalFormatting>
  <conditionalFormatting sqref="AE28:AJ28">
    <cfRule type="expression" dxfId="749" priority="772" stopIfTrue="1">
      <formula>MOD(ROW(),2)=0</formula>
    </cfRule>
  </conditionalFormatting>
  <conditionalFormatting sqref="AE29:AJ29">
    <cfRule type="expression" dxfId="748" priority="769" stopIfTrue="1">
      <formula>MOD(ROW(),2)=1</formula>
    </cfRule>
  </conditionalFormatting>
  <conditionalFormatting sqref="AE29:AJ29">
    <cfRule type="expression" dxfId="747" priority="770" stopIfTrue="1">
      <formula>MOD(ROW(),2)=0</formula>
    </cfRule>
  </conditionalFormatting>
  <conditionalFormatting sqref="AE30:AJ30">
    <cfRule type="expression" dxfId="746" priority="767" stopIfTrue="1">
      <formula>MOD(ROW(),2)=1</formula>
    </cfRule>
  </conditionalFormatting>
  <conditionalFormatting sqref="AE30:AJ30">
    <cfRule type="expression" dxfId="745" priority="768" stopIfTrue="1">
      <formula>MOD(ROW(),2)=0</formula>
    </cfRule>
  </conditionalFormatting>
  <conditionalFormatting sqref="AE25:AJ25">
    <cfRule type="expression" dxfId="744" priority="765" stopIfTrue="1">
      <formula>MOD(ROW(),2)=1</formula>
    </cfRule>
  </conditionalFormatting>
  <conditionalFormatting sqref="AE25:AJ25">
    <cfRule type="expression" dxfId="743" priority="766" stopIfTrue="1">
      <formula>MOD(ROW(),2)=0</formula>
    </cfRule>
  </conditionalFormatting>
  <conditionalFormatting sqref="AE19:AJ19">
    <cfRule type="expression" dxfId="742" priority="763" stopIfTrue="1">
      <formula>MOD(ROW(),2)=1</formula>
    </cfRule>
  </conditionalFormatting>
  <conditionalFormatting sqref="AE19:AJ19">
    <cfRule type="expression" dxfId="741" priority="764" stopIfTrue="1">
      <formula>MOD(ROW(),2)=0</formula>
    </cfRule>
  </conditionalFormatting>
  <conditionalFormatting sqref="AE20:AJ20">
    <cfRule type="expression" dxfId="740" priority="761" stopIfTrue="1">
      <formula>MOD(ROW(),2)=1</formula>
    </cfRule>
  </conditionalFormatting>
  <conditionalFormatting sqref="AE20:AJ20">
    <cfRule type="expression" dxfId="739" priority="762" stopIfTrue="1">
      <formula>MOD(ROW(),2)=0</formula>
    </cfRule>
  </conditionalFormatting>
  <conditionalFormatting sqref="AE21:AJ21">
    <cfRule type="expression" dxfId="738" priority="759" stopIfTrue="1">
      <formula>MOD(ROW(),2)=1</formula>
    </cfRule>
  </conditionalFormatting>
  <conditionalFormatting sqref="AE21:AJ21">
    <cfRule type="expression" dxfId="737" priority="760" stopIfTrue="1">
      <formula>MOD(ROW(),2)=0</formula>
    </cfRule>
  </conditionalFormatting>
  <conditionalFormatting sqref="AE22:AJ22">
    <cfRule type="expression" dxfId="736" priority="757" stopIfTrue="1">
      <formula>MOD(ROW(),2)=1</formula>
    </cfRule>
  </conditionalFormatting>
  <conditionalFormatting sqref="AE22:AJ22">
    <cfRule type="expression" dxfId="735" priority="758" stopIfTrue="1">
      <formula>MOD(ROW(),2)=0</formula>
    </cfRule>
  </conditionalFormatting>
  <conditionalFormatting sqref="AE17:AJ17">
    <cfRule type="expression" dxfId="734" priority="755" stopIfTrue="1">
      <formula>MOD(ROW(),2)=1</formula>
    </cfRule>
  </conditionalFormatting>
  <conditionalFormatting sqref="AE17:AJ17">
    <cfRule type="expression" dxfId="733" priority="756" stopIfTrue="1">
      <formula>MOD(ROW(),2)=0</formula>
    </cfRule>
  </conditionalFormatting>
  <conditionalFormatting sqref="AE13:AJ13">
    <cfRule type="expression" dxfId="732" priority="753" stopIfTrue="1">
      <formula>MOD(ROW(),2)=1</formula>
    </cfRule>
  </conditionalFormatting>
  <conditionalFormatting sqref="AE13:AJ13">
    <cfRule type="expression" dxfId="731" priority="754" stopIfTrue="1">
      <formula>MOD(ROW(),2)=0</formula>
    </cfRule>
  </conditionalFormatting>
  <conditionalFormatting sqref="AE14:AJ14">
    <cfRule type="expression" dxfId="730" priority="751" stopIfTrue="1">
      <formula>MOD(ROW(),2)=1</formula>
    </cfRule>
  </conditionalFormatting>
  <conditionalFormatting sqref="AE14:AJ14">
    <cfRule type="expression" dxfId="729" priority="752" stopIfTrue="1">
      <formula>MOD(ROW(),2)=0</formula>
    </cfRule>
  </conditionalFormatting>
  <conditionalFormatting sqref="AE15:AJ15">
    <cfRule type="expression" dxfId="728" priority="749" stopIfTrue="1">
      <formula>MOD(ROW(),2)=1</formula>
    </cfRule>
  </conditionalFormatting>
  <conditionalFormatting sqref="AE15:AJ15">
    <cfRule type="expression" dxfId="727" priority="750" stopIfTrue="1">
      <formula>MOD(ROW(),2)=0</formula>
    </cfRule>
  </conditionalFormatting>
  <conditionalFormatting sqref="AV72">
    <cfRule type="expression" dxfId="726" priority="539" stopIfTrue="1">
      <formula>MOD(ROW(),2)=1</formula>
    </cfRule>
  </conditionalFormatting>
  <conditionalFormatting sqref="AV72">
    <cfRule type="expression" dxfId="725" priority="540" stopIfTrue="1">
      <formula>MOD(ROW(),2)=0</formula>
    </cfRule>
  </conditionalFormatting>
  <conditionalFormatting sqref="AE50:AJ50">
    <cfRule type="expression" dxfId="724" priority="739" stopIfTrue="1">
      <formula>MOD(ROW(),2)=1</formula>
    </cfRule>
  </conditionalFormatting>
  <conditionalFormatting sqref="AE50:AJ50">
    <cfRule type="expression" dxfId="723" priority="740" stopIfTrue="1">
      <formula>MOD(ROW(),2)=0</formula>
    </cfRule>
  </conditionalFormatting>
  <conditionalFormatting sqref="AK57">
    <cfRule type="expression" dxfId="722" priority="737" stopIfTrue="1">
      <formula>MOD(ROW(),2)=1</formula>
    </cfRule>
  </conditionalFormatting>
  <conditionalFormatting sqref="AK57">
    <cfRule type="expression" dxfId="721" priority="738" stopIfTrue="1">
      <formula>MOD(ROW(),2)=0</formula>
    </cfRule>
  </conditionalFormatting>
  <conditionalFormatting sqref="AL57:AP57">
    <cfRule type="expression" dxfId="720" priority="735" stopIfTrue="1">
      <formula>MOD(ROW(),2)=1</formula>
    </cfRule>
  </conditionalFormatting>
  <conditionalFormatting sqref="AL57:AP57">
    <cfRule type="expression" dxfId="719" priority="736" stopIfTrue="1">
      <formula>MOD(ROW(),2)=0</formula>
    </cfRule>
  </conditionalFormatting>
  <conditionalFormatting sqref="AR208:AU221 AR223:AU242 AR244:AU266">
    <cfRule type="expression" dxfId="718" priority="514" stopIfTrue="1">
      <formula>MOD(ROW(),2)=0</formula>
    </cfRule>
  </conditionalFormatting>
  <conditionalFormatting sqref="AK56">
    <cfRule type="expression" dxfId="717" priority="729" stopIfTrue="1">
      <formula>MOD(ROW(),2)=1</formula>
    </cfRule>
  </conditionalFormatting>
  <conditionalFormatting sqref="AK56">
    <cfRule type="expression" dxfId="716" priority="730" stopIfTrue="1">
      <formula>MOD(ROW(),2)=0</formula>
    </cfRule>
  </conditionalFormatting>
  <conditionalFormatting sqref="AL56:AP56">
    <cfRule type="expression" dxfId="715" priority="727" stopIfTrue="1">
      <formula>MOD(ROW(),2)=1</formula>
    </cfRule>
  </conditionalFormatting>
  <conditionalFormatting sqref="AL56:AP56">
    <cfRule type="expression" dxfId="714" priority="728" stopIfTrue="1">
      <formula>MOD(ROW(),2)=0</formula>
    </cfRule>
  </conditionalFormatting>
  <conditionalFormatting sqref="AK54">
    <cfRule type="expression" dxfId="713" priority="725" stopIfTrue="1">
      <formula>MOD(ROW(),2)=1</formula>
    </cfRule>
  </conditionalFormatting>
  <conditionalFormatting sqref="AK54">
    <cfRule type="expression" dxfId="712" priority="726" stopIfTrue="1">
      <formula>MOD(ROW(),2)=0</formula>
    </cfRule>
  </conditionalFormatting>
  <conditionalFormatting sqref="AL54:AP54">
    <cfRule type="expression" dxfId="711" priority="723" stopIfTrue="1">
      <formula>MOD(ROW(),2)=1</formula>
    </cfRule>
  </conditionalFormatting>
  <conditionalFormatting sqref="AL54:AP54">
    <cfRule type="expression" dxfId="710" priority="724" stopIfTrue="1">
      <formula>MOD(ROW(),2)=0</formula>
    </cfRule>
  </conditionalFormatting>
  <conditionalFormatting sqref="AK43:AK52">
    <cfRule type="expression" dxfId="709" priority="717" stopIfTrue="1">
      <formula>MOD(ROW(),2)=1</formula>
    </cfRule>
  </conditionalFormatting>
  <conditionalFormatting sqref="AK43:AK52">
    <cfRule type="expression" dxfId="708" priority="718" stopIfTrue="1">
      <formula>MOD(ROW(),2)=0</formula>
    </cfRule>
  </conditionalFormatting>
  <conditionalFormatting sqref="AL43:AP52">
    <cfRule type="expression" dxfId="707" priority="715" stopIfTrue="1">
      <formula>MOD(ROW(),2)=1</formula>
    </cfRule>
  </conditionalFormatting>
  <conditionalFormatting sqref="AL43:AP52">
    <cfRule type="expression" dxfId="706" priority="716" stopIfTrue="1">
      <formula>MOD(ROW(),2)=0</formula>
    </cfRule>
  </conditionalFormatting>
  <conditionalFormatting sqref="AK40:AK41">
    <cfRule type="expression" dxfId="705" priority="713" stopIfTrue="1">
      <formula>MOD(ROW(),2)=1</formula>
    </cfRule>
  </conditionalFormatting>
  <conditionalFormatting sqref="AK40:AK41">
    <cfRule type="expression" dxfId="704" priority="714" stopIfTrue="1">
      <formula>MOD(ROW(),2)=0</formula>
    </cfRule>
  </conditionalFormatting>
  <conditionalFormatting sqref="AL40:AP41">
    <cfRule type="expression" dxfId="703" priority="711" stopIfTrue="1">
      <formula>MOD(ROW(),2)=1</formula>
    </cfRule>
  </conditionalFormatting>
  <conditionalFormatting sqref="AL40:AP41">
    <cfRule type="expression" dxfId="702" priority="712" stopIfTrue="1">
      <formula>MOD(ROW(),2)=0</formula>
    </cfRule>
  </conditionalFormatting>
  <conditionalFormatting sqref="AK34:AK38">
    <cfRule type="expression" dxfId="701" priority="709" stopIfTrue="1">
      <formula>MOD(ROW(),2)=1</formula>
    </cfRule>
  </conditionalFormatting>
  <conditionalFormatting sqref="AK34:AK38">
    <cfRule type="expression" dxfId="700" priority="710" stopIfTrue="1">
      <formula>MOD(ROW(),2)=0</formula>
    </cfRule>
  </conditionalFormatting>
  <conditionalFormatting sqref="AL34:AP38">
    <cfRule type="expression" dxfId="699" priority="707" stopIfTrue="1">
      <formula>MOD(ROW(),2)=1</formula>
    </cfRule>
  </conditionalFormatting>
  <conditionalFormatting sqref="AL34:AP38">
    <cfRule type="expression" dxfId="698" priority="708" stopIfTrue="1">
      <formula>MOD(ROW(),2)=0</formula>
    </cfRule>
  </conditionalFormatting>
  <conditionalFormatting sqref="AK32">
    <cfRule type="expression" dxfId="697" priority="705" stopIfTrue="1">
      <formula>MOD(ROW(),2)=1</formula>
    </cfRule>
  </conditionalFormatting>
  <conditionalFormatting sqref="AK32">
    <cfRule type="expression" dxfId="696" priority="706" stopIfTrue="1">
      <formula>MOD(ROW(),2)=0</formula>
    </cfRule>
  </conditionalFormatting>
  <conditionalFormatting sqref="AL32:AP32">
    <cfRule type="expression" dxfId="695" priority="703" stopIfTrue="1">
      <formula>MOD(ROW(),2)=1</formula>
    </cfRule>
  </conditionalFormatting>
  <conditionalFormatting sqref="AL32:AP32">
    <cfRule type="expression" dxfId="694" priority="704" stopIfTrue="1">
      <formula>MOD(ROW(),2)=0</formula>
    </cfRule>
  </conditionalFormatting>
  <conditionalFormatting sqref="AK27:AK30">
    <cfRule type="expression" dxfId="693" priority="701" stopIfTrue="1">
      <formula>MOD(ROW(),2)=1</formula>
    </cfRule>
  </conditionalFormatting>
  <conditionalFormatting sqref="AK27:AK30">
    <cfRule type="expression" dxfId="692" priority="702" stopIfTrue="1">
      <formula>MOD(ROW(),2)=0</formula>
    </cfRule>
  </conditionalFormatting>
  <conditionalFormatting sqref="AL27:AP30">
    <cfRule type="expression" dxfId="691" priority="699" stopIfTrue="1">
      <formula>MOD(ROW(),2)=1</formula>
    </cfRule>
  </conditionalFormatting>
  <conditionalFormatting sqref="AL27:AP30">
    <cfRule type="expression" dxfId="690" priority="700" stopIfTrue="1">
      <formula>MOD(ROW(),2)=0</formula>
    </cfRule>
  </conditionalFormatting>
  <conditionalFormatting sqref="AK25">
    <cfRule type="expression" dxfId="689" priority="697" stopIfTrue="1">
      <formula>MOD(ROW(),2)=1</formula>
    </cfRule>
  </conditionalFormatting>
  <conditionalFormatting sqref="AK25">
    <cfRule type="expression" dxfId="688" priority="698" stopIfTrue="1">
      <formula>MOD(ROW(),2)=0</formula>
    </cfRule>
  </conditionalFormatting>
  <conditionalFormatting sqref="AL25:AP25">
    <cfRule type="expression" dxfId="687" priority="695" stopIfTrue="1">
      <formula>MOD(ROW(),2)=1</formula>
    </cfRule>
  </conditionalFormatting>
  <conditionalFormatting sqref="AL25:AP25">
    <cfRule type="expression" dxfId="686" priority="696" stopIfTrue="1">
      <formula>MOD(ROW(),2)=0</formula>
    </cfRule>
  </conditionalFormatting>
  <conditionalFormatting sqref="AK19:AK22">
    <cfRule type="expression" dxfId="685" priority="693" stopIfTrue="1">
      <formula>MOD(ROW(),2)=1</formula>
    </cfRule>
  </conditionalFormatting>
  <conditionalFormatting sqref="AK19:AK22">
    <cfRule type="expression" dxfId="684" priority="694" stopIfTrue="1">
      <formula>MOD(ROW(),2)=0</formula>
    </cfRule>
  </conditionalFormatting>
  <conditionalFormatting sqref="AL19:AP22">
    <cfRule type="expression" dxfId="683" priority="691" stopIfTrue="1">
      <formula>MOD(ROW(),2)=1</formula>
    </cfRule>
  </conditionalFormatting>
  <conditionalFormatting sqref="AL19:AP22">
    <cfRule type="expression" dxfId="682" priority="692" stopIfTrue="1">
      <formula>MOD(ROW(),2)=0</formula>
    </cfRule>
  </conditionalFormatting>
  <conditionalFormatting sqref="AK14:AK15">
    <cfRule type="expression" dxfId="681" priority="689" stopIfTrue="1">
      <formula>MOD(ROW(),2)=1</formula>
    </cfRule>
  </conditionalFormatting>
  <conditionalFormatting sqref="AK14:AK15">
    <cfRule type="expression" dxfId="680" priority="690" stopIfTrue="1">
      <formula>MOD(ROW(),2)=0</formula>
    </cfRule>
  </conditionalFormatting>
  <conditionalFormatting sqref="AL14:AP15">
    <cfRule type="expression" dxfId="679" priority="687" stopIfTrue="1">
      <formula>MOD(ROW(),2)=1</formula>
    </cfRule>
  </conditionalFormatting>
  <conditionalFormatting sqref="AL14:AP15">
    <cfRule type="expression" dxfId="678" priority="688" stopIfTrue="1">
      <formula>MOD(ROW(),2)=0</formula>
    </cfRule>
  </conditionalFormatting>
  <conditionalFormatting sqref="AQ41">
    <cfRule type="expression" dxfId="677" priority="685" stopIfTrue="1">
      <formula>MOD(ROW(),2)=1</formula>
    </cfRule>
  </conditionalFormatting>
  <conditionalFormatting sqref="AQ41">
    <cfRule type="expression" dxfId="676" priority="686" stopIfTrue="1">
      <formula>MOD(ROW(),2)=0</formula>
    </cfRule>
  </conditionalFormatting>
  <conditionalFormatting sqref="AV41">
    <cfRule type="expression" dxfId="675" priority="683" stopIfTrue="1">
      <formula>MOD(ROW(),2)=1</formula>
    </cfRule>
  </conditionalFormatting>
  <conditionalFormatting sqref="AV41">
    <cfRule type="expression" dxfId="674" priority="684" stopIfTrue="1">
      <formula>MOD(ROW(),2)=0</formula>
    </cfRule>
  </conditionalFormatting>
  <conditionalFormatting sqref="AR41">
    <cfRule type="expression" dxfId="673" priority="681" stopIfTrue="1">
      <formula>MOD(ROW(),2)=1</formula>
    </cfRule>
  </conditionalFormatting>
  <conditionalFormatting sqref="AR41">
    <cfRule type="expression" dxfId="672" priority="682" stopIfTrue="1">
      <formula>MOD(ROW(),2)=0</formula>
    </cfRule>
  </conditionalFormatting>
  <conditionalFormatting sqref="AS41">
    <cfRule type="expression" dxfId="671" priority="679" stopIfTrue="1">
      <formula>MOD(ROW(),2)=1</formula>
    </cfRule>
  </conditionalFormatting>
  <conditionalFormatting sqref="AS41">
    <cfRule type="expression" dxfId="670" priority="680" stopIfTrue="1">
      <formula>MOD(ROW(),2)=0</formula>
    </cfRule>
  </conditionalFormatting>
  <conditionalFormatting sqref="AT41">
    <cfRule type="expression" dxfId="669" priority="677" stopIfTrue="1">
      <formula>MOD(ROW(),2)=1</formula>
    </cfRule>
  </conditionalFormatting>
  <conditionalFormatting sqref="AT41">
    <cfRule type="expression" dxfId="668" priority="678" stopIfTrue="1">
      <formula>MOD(ROW(),2)=0</formula>
    </cfRule>
  </conditionalFormatting>
  <conditionalFormatting sqref="AU41">
    <cfRule type="expression" dxfId="667" priority="675" stopIfTrue="1">
      <formula>MOD(ROW(),2)=1</formula>
    </cfRule>
  </conditionalFormatting>
  <conditionalFormatting sqref="AU41">
    <cfRule type="expression" dxfId="666" priority="676" stopIfTrue="1">
      <formula>MOD(ROW(),2)=0</formula>
    </cfRule>
  </conditionalFormatting>
  <conditionalFormatting sqref="AQ14:AQ15">
    <cfRule type="expression" dxfId="665" priority="673" stopIfTrue="1">
      <formula>MOD(ROW(),2)=1</formula>
    </cfRule>
  </conditionalFormatting>
  <conditionalFormatting sqref="AQ14:AQ15">
    <cfRule type="expression" dxfId="664" priority="674" stopIfTrue="1">
      <formula>MOD(ROW(),2)=0</formula>
    </cfRule>
  </conditionalFormatting>
  <conditionalFormatting sqref="AV13:AV15">
    <cfRule type="expression" dxfId="663" priority="671" stopIfTrue="1">
      <formula>MOD(ROW(),2)=1</formula>
    </cfRule>
  </conditionalFormatting>
  <conditionalFormatting sqref="AV13:AV15">
    <cfRule type="expression" dxfId="662" priority="672" stopIfTrue="1">
      <formula>MOD(ROW(),2)=0</formula>
    </cfRule>
  </conditionalFormatting>
  <conditionalFormatting sqref="AR13:AR15">
    <cfRule type="expression" dxfId="661" priority="669" stopIfTrue="1">
      <formula>MOD(ROW(),2)=1</formula>
    </cfRule>
  </conditionalFormatting>
  <conditionalFormatting sqref="AR13:AR15">
    <cfRule type="expression" dxfId="660" priority="670" stopIfTrue="1">
      <formula>MOD(ROW(),2)=0</formula>
    </cfRule>
  </conditionalFormatting>
  <conditionalFormatting sqref="AS13:AS15">
    <cfRule type="expression" dxfId="659" priority="667" stopIfTrue="1">
      <formula>MOD(ROW(),2)=1</formula>
    </cfRule>
  </conditionalFormatting>
  <conditionalFormatting sqref="AS13:AS15">
    <cfRule type="expression" dxfId="658" priority="668" stopIfTrue="1">
      <formula>MOD(ROW(),2)=0</formula>
    </cfRule>
  </conditionalFormatting>
  <conditionalFormatting sqref="AT13:AT15">
    <cfRule type="expression" dxfId="657" priority="665" stopIfTrue="1">
      <formula>MOD(ROW(),2)=1</formula>
    </cfRule>
  </conditionalFormatting>
  <conditionalFormatting sqref="AT13:AT15">
    <cfRule type="expression" dxfId="656" priority="666" stopIfTrue="1">
      <formula>MOD(ROW(),2)=0</formula>
    </cfRule>
  </conditionalFormatting>
  <conditionalFormatting sqref="AU13:AU15">
    <cfRule type="expression" dxfId="655" priority="663" stopIfTrue="1">
      <formula>MOD(ROW(),2)=1</formula>
    </cfRule>
  </conditionalFormatting>
  <conditionalFormatting sqref="AU13:AU15">
    <cfRule type="expression" dxfId="654" priority="664" stopIfTrue="1">
      <formula>MOD(ROW(),2)=0</formula>
    </cfRule>
  </conditionalFormatting>
  <conditionalFormatting sqref="AQ19:AQ22">
    <cfRule type="expression" dxfId="653" priority="649" stopIfTrue="1">
      <formula>MOD(ROW(),2)=1</formula>
    </cfRule>
  </conditionalFormatting>
  <conditionalFormatting sqref="AQ19:AQ22">
    <cfRule type="expression" dxfId="652" priority="650" stopIfTrue="1">
      <formula>MOD(ROW(),2)=0</formula>
    </cfRule>
  </conditionalFormatting>
  <conditionalFormatting sqref="AV19:AV22">
    <cfRule type="expression" dxfId="651" priority="647" stopIfTrue="1">
      <formula>MOD(ROW(),2)=1</formula>
    </cfRule>
  </conditionalFormatting>
  <conditionalFormatting sqref="AV19:AV22">
    <cfRule type="expression" dxfId="650" priority="648" stopIfTrue="1">
      <formula>MOD(ROW(),2)=0</formula>
    </cfRule>
  </conditionalFormatting>
  <conditionalFormatting sqref="AR19:AR22">
    <cfRule type="expression" dxfId="649" priority="645" stopIfTrue="1">
      <formula>MOD(ROW(),2)=1</formula>
    </cfRule>
  </conditionalFormatting>
  <conditionalFormatting sqref="AR19:AR22">
    <cfRule type="expression" dxfId="648" priority="646" stopIfTrue="1">
      <formula>MOD(ROW(),2)=0</formula>
    </cfRule>
  </conditionalFormatting>
  <conditionalFormatting sqref="AS19:AS22">
    <cfRule type="expression" dxfId="647" priority="643" stopIfTrue="1">
      <formula>MOD(ROW(),2)=1</formula>
    </cfRule>
  </conditionalFormatting>
  <conditionalFormatting sqref="AS19:AS22">
    <cfRule type="expression" dxfId="646" priority="644" stopIfTrue="1">
      <formula>MOD(ROW(),2)=0</formula>
    </cfRule>
  </conditionalFormatting>
  <conditionalFormatting sqref="AT19:AT22">
    <cfRule type="expression" dxfId="645" priority="641" stopIfTrue="1">
      <formula>MOD(ROW(),2)=1</formula>
    </cfRule>
  </conditionalFormatting>
  <conditionalFormatting sqref="AT19:AT22">
    <cfRule type="expression" dxfId="644" priority="642" stopIfTrue="1">
      <formula>MOD(ROW(),2)=0</formula>
    </cfRule>
  </conditionalFormatting>
  <conditionalFormatting sqref="AU19:AU22">
    <cfRule type="expression" dxfId="643" priority="639" stopIfTrue="1">
      <formula>MOD(ROW(),2)=1</formula>
    </cfRule>
  </conditionalFormatting>
  <conditionalFormatting sqref="AU19:AU22">
    <cfRule type="expression" dxfId="642" priority="640" stopIfTrue="1">
      <formula>MOD(ROW(),2)=0</formula>
    </cfRule>
  </conditionalFormatting>
  <conditionalFormatting sqref="AQ27:AQ32">
    <cfRule type="expression" dxfId="641" priority="637" stopIfTrue="1">
      <formula>MOD(ROW(),2)=1</formula>
    </cfRule>
  </conditionalFormatting>
  <conditionalFormatting sqref="AQ27:AQ32">
    <cfRule type="expression" dxfId="640" priority="638" stopIfTrue="1">
      <formula>MOD(ROW(),2)=0</formula>
    </cfRule>
  </conditionalFormatting>
  <conditionalFormatting sqref="AV27:AV30 AV32">
    <cfRule type="expression" dxfId="639" priority="635" stopIfTrue="1">
      <formula>MOD(ROW(),2)=1</formula>
    </cfRule>
  </conditionalFormatting>
  <conditionalFormatting sqref="AV27:AV30 AV32">
    <cfRule type="expression" dxfId="638" priority="636" stopIfTrue="1">
      <formula>MOD(ROW(),2)=0</formula>
    </cfRule>
  </conditionalFormatting>
  <conditionalFormatting sqref="AR27:AR32">
    <cfRule type="expression" dxfId="637" priority="633" stopIfTrue="1">
      <formula>MOD(ROW(),2)=1</formula>
    </cfRule>
  </conditionalFormatting>
  <conditionalFormatting sqref="AR27:AR32">
    <cfRule type="expression" dxfId="636" priority="634" stopIfTrue="1">
      <formula>MOD(ROW(),2)=0</formula>
    </cfRule>
  </conditionalFormatting>
  <conditionalFormatting sqref="AS27:AS32">
    <cfRule type="expression" dxfId="635" priority="631" stopIfTrue="1">
      <formula>MOD(ROW(),2)=1</formula>
    </cfRule>
  </conditionalFormatting>
  <conditionalFormatting sqref="AS27:AS32">
    <cfRule type="expression" dxfId="634" priority="632" stopIfTrue="1">
      <formula>MOD(ROW(),2)=0</formula>
    </cfRule>
  </conditionalFormatting>
  <conditionalFormatting sqref="AT27:AT32">
    <cfRule type="expression" dxfId="633" priority="629" stopIfTrue="1">
      <formula>MOD(ROW(),2)=1</formula>
    </cfRule>
  </conditionalFormatting>
  <conditionalFormatting sqref="AT27:AT32">
    <cfRule type="expression" dxfId="632" priority="630" stopIfTrue="1">
      <formula>MOD(ROW(),2)=0</formula>
    </cfRule>
  </conditionalFormatting>
  <conditionalFormatting sqref="AU27:AU32">
    <cfRule type="expression" dxfId="631" priority="627" stopIfTrue="1">
      <formula>MOD(ROW(),2)=1</formula>
    </cfRule>
  </conditionalFormatting>
  <conditionalFormatting sqref="AU27:AU32">
    <cfRule type="expression" dxfId="630" priority="628" stopIfTrue="1">
      <formula>MOD(ROW(),2)=0</formula>
    </cfRule>
  </conditionalFormatting>
  <conditionalFormatting sqref="AQ34:AQ38">
    <cfRule type="expression" dxfId="629" priority="625" stopIfTrue="1">
      <formula>MOD(ROW(),2)=1</formula>
    </cfRule>
  </conditionalFormatting>
  <conditionalFormatting sqref="AQ34:AQ38">
    <cfRule type="expression" dxfId="628" priority="626" stopIfTrue="1">
      <formula>MOD(ROW(),2)=0</formula>
    </cfRule>
  </conditionalFormatting>
  <conditionalFormatting sqref="AV34:AV38">
    <cfRule type="expression" dxfId="627" priority="623" stopIfTrue="1">
      <formula>MOD(ROW(),2)=1</formula>
    </cfRule>
  </conditionalFormatting>
  <conditionalFormatting sqref="AV34:AV38">
    <cfRule type="expression" dxfId="626" priority="624" stopIfTrue="1">
      <formula>MOD(ROW(),2)=0</formula>
    </cfRule>
  </conditionalFormatting>
  <conditionalFormatting sqref="AR34:AR38">
    <cfRule type="expression" dxfId="625" priority="621" stopIfTrue="1">
      <formula>MOD(ROW(),2)=1</formula>
    </cfRule>
  </conditionalFormatting>
  <conditionalFormatting sqref="AR34:AR38">
    <cfRule type="expression" dxfId="624" priority="622" stopIfTrue="1">
      <formula>MOD(ROW(),2)=0</formula>
    </cfRule>
  </conditionalFormatting>
  <conditionalFormatting sqref="AS34:AS38">
    <cfRule type="expression" dxfId="623" priority="619" stopIfTrue="1">
      <formula>MOD(ROW(),2)=1</formula>
    </cfRule>
  </conditionalFormatting>
  <conditionalFormatting sqref="AS34:AS38">
    <cfRule type="expression" dxfId="622" priority="620" stopIfTrue="1">
      <formula>MOD(ROW(),2)=0</formula>
    </cfRule>
  </conditionalFormatting>
  <conditionalFormatting sqref="AT34:AT38">
    <cfRule type="expression" dxfId="621" priority="617" stopIfTrue="1">
      <formula>MOD(ROW(),2)=1</formula>
    </cfRule>
  </conditionalFormatting>
  <conditionalFormatting sqref="AT34:AT38">
    <cfRule type="expression" dxfId="620" priority="618" stopIfTrue="1">
      <formula>MOD(ROW(),2)=0</formula>
    </cfRule>
  </conditionalFormatting>
  <conditionalFormatting sqref="AU34:AU38">
    <cfRule type="expression" dxfId="619" priority="615" stopIfTrue="1">
      <formula>MOD(ROW(),2)=1</formula>
    </cfRule>
  </conditionalFormatting>
  <conditionalFormatting sqref="AU34:AU38">
    <cfRule type="expression" dxfId="618" priority="616" stopIfTrue="1">
      <formula>MOD(ROW(),2)=0</formula>
    </cfRule>
  </conditionalFormatting>
  <conditionalFormatting sqref="AQ40">
    <cfRule type="expression" dxfId="617" priority="613" stopIfTrue="1">
      <formula>MOD(ROW(),2)=1</formula>
    </cfRule>
  </conditionalFormatting>
  <conditionalFormatting sqref="AQ40">
    <cfRule type="expression" dxfId="616" priority="614" stopIfTrue="1">
      <formula>MOD(ROW(),2)=0</formula>
    </cfRule>
  </conditionalFormatting>
  <conditionalFormatting sqref="AR40">
    <cfRule type="expression" dxfId="615" priority="609" stopIfTrue="1">
      <formula>MOD(ROW(),2)=1</formula>
    </cfRule>
  </conditionalFormatting>
  <conditionalFormatting sqref="AR40">
    <cfRule type="expression" dxfId="614" priority="610" stopIfTrue="1">
      <formula>MOD(ROW(),2)=0</formula>
    </cfRule>
  </conditionalFormatting>
  <conditionalFormatting sqref="AS40">
    <cfRule type="expression" dxfId="613" priority="607" stopIfTrue="1">
      <formula>MOD(ROW(),2)=1</formula>
    </cfRule>
  </conditionalFormatting>
  <conditionalFormatting sqref="AS40">
    <cfRule type="expression" dxfId="612" priority="608" stopIfTrue="1">
      <formula>MOD(ROW(),2)=0</formula>
    </cfRule>
  </conditionalFormatting>
  <conditionalFormatting sqref="AT40">
    <cfRule type="expression" dxfId="611" priority="605" stopIfTrue="1">
      <formula>MOD(ROW(),2)=1</formula>
    </cfRule>
  </conditionalFormatting>
  <conditionalFormatting sqref="AT40">
    <cfRule type="expression" dxfId="610" priority="606" stopIfTrue="1">
      <formula>MOD(ROW(),2)=0</formula>
    </cfRule>
  </conditionalFormatting>
  <conditionalFormatting sqref="AU40">
    <cfRule type="expression" dxfId="609" priority="603" stopIfTrue="1">
      <formula>MOD(ROW(),2)=1</formula>
    </cfRule>
  </conditionalFormatting>
  <conditionalFormatting sqref="AU40">
    <cfRule type="expression" dxfId="608" priority="604" stopIfTrue="1">
      <formula>MOD(ROW(),2)=0</formula>
    </cfRule>
  </conditionalFormatting>
  <conditionalFormatting sqref="AQ43:AQ52">
    <cfRule type="expression" dxfId="607" priority="601" stopIfTrue="1">
      <formula>MOD(ROW(),2)=1</formula>
    </cfRule>
  </conditionalFormatting>
  <conditionalFormatting sqref="AQ43:AQ52">
    <cfRule type="expression" dxfId="606" priority="602" stopIfTrue="1">
      <formula>MOD(ROW(),2)=0</formula>
    </cfRule>
  </conditionalFormatting>
  <conditionalFormatting sqref="AV43:AV52">
    <cfRule type="expression" dxfId="605" priority="599" stopIfTrue="1">
      <formula>MOD(ROW(),2)=1</formula>
    </cfRule>
  </conditionalFormatting>
  <conditionalFormatting sqref="AV43:AV52">
    <cfRule type="expression" dxfId="604" priority="600" stopIfTrue="1">
      <formula>MOD(ROW(),2)=0</formula>
    </cfRule>
  </conditionalFormatting>
  <conditionalFormatting sqref="AR43:AR52">
    <cfRule type="expression" dxfId="603" priority="597" stopIfTrue="1">
      <formula>MOD(ROW(),2)=1</formula>
    </cfRule>
  </conditionalFormatting>
  <conditionalFormatting sqref="AR43:AR52">
    <cfRule type="expression" dxfId="602" priority="598" stopIfTrue="1">
      <formula>MOD(ROW(),2)=0</formula>
    </cfRule>
  </conditionalFormatting>
  <conditionalFormatting sqref="AS43:AS52">
    <cfRule type="expression" dxfId="601" priority="595" stopIfTrue="1">
      <formula>MOD(ROW(),2)=1</formula>
    </cfRule>
  </conditionalFormatting>
  <conditionalFormatting sqref="AS43:AS52">
    <cfRule type="expression" dxfId="600" priority="596" stopIfTrue="1">
      <formula>MOD(ROW(),2)=0</formula>
    </cfRule>
  </conditionalFormatting>
  <conditionalFormatting sqref="AT43:AT52">
    <cfRule type="expression" dxfId="599" priority="593" stopIfTrue="1">
      <formula>MOD(ROW(),2)=1</formula>
    </cfRule>
  </conditionalFormatting>
  <conditionalFormatting sqref="AT43:AT52">
    <cfRule type="expression" dxfId="598" priority="594" stopIfTrue="1">
      <formula>MOD(ROW(),2)=0</formula>
    </cfRule>
  </conditionalFormatting>
  <conditionalFormatting sqref="AU43:AU52">
    <cfRule type="expression" dxfId="597" priority="591" stopIfTrue="1">
      <formula>MOD(ROW(),2)=1</formula>
    </cfRule>
  </conditionalFormatting>
  <conditionalFormatting sqref="AU43:AU52">
    <cfRule type="expression" dxfId="596" priority="592" stopIfTrue="1">
      <formula>MOD(ROW(),2)=0</formula>
    </cfRule>
  </conditionalFormatting>
  <conditionalFormatting sqref="AQ54">
    <cfRule type="expression" dxfId="595" priority="589" stopIfTrue="1">
      <formula>MOD(ROW(),2)=1</formula>
    </cfRule>
  </conditionalFormatting>
  <conditionalFormatting sqref="AQ54">
    <cfRule type="expression" dxfId="594" priority="590" stopIfTrue="1">
      <formula>MOD(ROW(),2)=0</formula>
    </cfRule>
  </conditionalFormatting>
  <conditionalFormatting sqref="AV54">
    <cfRule type="expression" dxfId="593" priority="587" stopIfTrue="1">
      <formula>MOD(ROW(),2)=1</formula>
    </cfRule>
  </conditionalFormatting>
  <conditionalFormatting sqref="AV54">
    <cfRule type="expression" dxfId="592" priority="588" stopIfTrue="1">
      <formula>MOD(ROW(),2)=0</formula>
    </cfRule>
  </conditionalFormatting>
  <conditionalFormatting sqref="AS54">
    <cfRule type="expression" dxfId="591" priority="583" stopIfTrue="1">
      <formula>MOD(ROW(),2)=1</formula>
    </cfRule>
  </conditionalFormatting>
  <conditionalFormatting sqref="AS54">
    <cfRule type="expression" dxfId="590" priority="584" stopIfTrue="1">
      <formula>MOD(ROW(),2)=0</formula>
    </cfRule>
  </conditionalFormatting>
  <conditionalFormatting sqref="AT54">
    <cfRule type="expression" dxfId="589" priority="581" stopIfTrue="1">
      <formula>MOD(ROW(),2)=1</formula>
    </cfRule>
  </conditionalFormatting>
  <conditionalFormatting sqref="AT54">
    <cfRule type="expression" dxfId="588" priority="582" stopIfTrue="1">
      <formula>MOD(ROW(),2)=0</formula>
    </cfRule>
  </conditionalFormatting>
  <conditionalFormatting sqref="AU54">
    <cfRule type="expression" dxfId="587" priority="579" stopIfTrue="1">
      <formula>MOD(ROW(),2)=1</formula>
    </cfRule>
  </conditionalFormatting>
  <conditionalFormatting sqref="AU54">
    <cfRule type="expression" dxfId="586" priority="580" stopIfTrue="1">
      <formula>MOD(ROW(),2)=0</formula>
    </cfRule>
  </conditionalFormatting>
  <conditionalFormatting sqref="AV55">
    <cfRule type="expression" dxfId="585" priority="575" stopIfTrue="1">
      <formula>MOD(ROW(),2)=1</formula>
    </cfRule>
  </conditionalFormatting>
  <conditionalFormatting sqref="AV55">
    <cfRule type="expression" dxfId="584" priority="576" stopIfTrue="1">
      <formula>MOD(ROW(),2)=0</formula>
    </cfRule>
  </conditionalFormatting>
  <conditionalFormatting sqref="AS55">
    <cfRule type="expression" dxfId="583" priority="571" stopIfTrue="1">
      <formula>MOD(ROW(),2)=1</formula>
    </cfRule>
  </conditionalFormatting>
  <conditionalFormatting sqref="AS55">
    <cfRule type="expression" dxfId="582" priority="572" stopIfTrue="1">
      <formula>MOD(ROW(),2)=0</formula>
    </cfRule>
  </conditionalFormatting>
  <conditionalFormatting sqref="AT55">
    <cfRule type="expression" dxfId="581" priority="569" stopIfTrue="1">
      <formula>MOD(ROW(),2)=1</formula>
    </cfRule>
  </conditionalFormatting>
  <conditionalFormatting sqref="AT55">
    <cfRule type="expression" dxfId="580" priority="570" stopIfTrue="1">
      <formula>MOD(ROW(),2)=0</formula>
    </cfRule>
  </conditionalFormatting>
  <conditionalFormatting sqref="AU55">
    <cfRule type="expression" dxfId="579" priority="567" stopIfTrue="1">
      <formula>MOD(ROW(),2)=1</formula>
    </cfRule>
  </conditionalFormatting>
  <conditionalFormatting sqref="AU55">
    <cfRule type="expression" dxfId="578" priority="568" stopIfTrue="1">
      <formula>MOD(ROW(),2)=0</formula>
    </cfRule>
  </conditionalFormatting>
  <conditionalFormatting sqref="AQ56:AQ57">
    <cfRule type="expression" dxfId="577" priority="565" stopIfTrue="1">
      <formula>MOD(ROW(),2)=1</formula>
    </cfRule>
  </conditionalFormatting>
  <conditionalFormatting sqref="AQ56:AQ57">
    <cfRule type="expression" dxfId="576" priority="566" stopIfTrue="1">
      <formula>MOD(ROW(),2)=0</formula>
    </cfRule>
  </conditionalFormatting>
  <conditionalFormatting sqref="AV56:AV57">
    <cfRule type="expression" dxfId="575" priority="563" stopIfTrue="1">
      <formula>MOD(ROW(),2)=1</formula>
    </cfRule>
  </conditionalFormatting>
  <conditionalFormatting sqref="AV56:AV57">
    <cfRule type="expression" dxfId="574" priority="564" stopIfTrue="1">
      <formula>MOD(ROW(),2)=0</formula>
    </cfRule>
  </conditionalFormatting>
  <conditionalFormatting sqref="AR56:AR57">
    <cfRule type="expression" dxfId="573" priority="561" stopIfTrue="1">
      <formula>MOD(ROW(),2)=1</formula>
    </cfRule>
  </conditionalFormatting>
  <conditionalFormatting sqref="AR56:AR57">
    <cfRule type="expression" dxfId="572" priority="562" stopIfTrue="1">
      <formula>MOD(ROW(),2)=0</formula>
    </cfRule>
  </conditionalFormatting>
  <conditionalFormatting sqref="AS56:AS57">
    <cfRule type="expression" dxfId="571" priority="559" stopIfTrue="1">
      <formula>MOD(ROW(),2)=1</formula>
    </cfRule>
  </conditionalFormatting>
  <conditionalFormatting sqref="AS56:AS57">
    <cfRule type="expression" dxfId="570" priority="560" stopIfTrue="1">
      <formula>MOD(ROW(),2)=0</formula>
    </cfRule>
  </conditionalFormatting>
  <conditionalFormatting sqref="AT56:AT57">
    <cfRule type="expression" dxfId="569" priority="557" stopIfTrue="1">
      <formula>MOD(ROW(),2)=1</formula>
    </cfRule>
  </conditionalFormatting>
  <conditionalFormatting sqref="AT56:AT57">
    <cfRule type="expression" dxfId="568" priority="558" stopIfTrue="1">
      <formula>MOD(ROW(),2)=0</formula>
    </cfRule>
  </conditionalFormatting>
  <conditionalFormatting sqref="AQ60:AQ65">
    <cfRule type="expression" dxfId="567" priority="553" stopIfTrue="1">
      <formula>MOD(ROW(),2)=1</formula>
    </cfRule>
  </conditionalFormatting>
  <conditionalFormatting sqref="AQ60:AQ65">
    <cfRule type="expression" dxfId="566" priority="554" stopIfTrue="1">
      <formula>MOD(ROW(),2)=0</formula>
    </cfRule>
  </conditionalFormatting>
  <conditionalFormatting sqref="AR60:AR65">
    <cfRule type="expression" dxfId="565" priority="549" stopIfTrue="1">
      <formula>MOD(ROW(),2)=1</formula>
    </cfRule>
  </conditionalFormatting>
  <conditionalFormatting sqref="AR60:AR65">
    <cfRule type="expression" dxfId="564" priority="550" stopIfTrue="1">
      <formula>MOD(ROW(),2)=0</formula>
    </cfRule>
  </conditionalFormatting>
  <conditionalFormatting sqref="AS60:AS65">
    <cfRule type="expression" dxfId="563" priority="547" stopIfTrue="1">
      <formula>MOD(ROW(),2)=1</formula>
    </cfRule>
  </conditionalFormatting>
  <conditionalFormatting sqref="AS60:AS65">
    <cfRule type="expression" dxfId="562" priority="548" stopIfTrue="1">
      <formula>MOD(ROW(),2)=0</formula>
    </cfRule>
  </conditionalFormatting>
  <conditionalFormatting sqref="AT60:AT65">
    <cfRule type="expression" dxfId="561" priority="545" stopIfTrue="1">
      <formula>MOD(ROW(),2)=1</formula>
    </cfRule>
  </conditionalFormatting>
  <conditionalFormatting sqref="AT60:AT65">
    <cfRule type="expression" dxfId="560" priority="546" stopIfTrue="1">
      <formula>MOD(ROW(),2)=0</formula>
    </cfRule>
  </conditionalFormatting>
  <conditionalFormatting sqref="AU60:AU65">
    <cfRule type="expression" dxfId="559" priority="543" stopIfTrue="1">
      <formula>MOD(ROW(),2)=1</formula>
    </cfRule>
  </conditionalFormatting>
  <conditionalFormatting sqref="AU60:AU65">
    <cfRule type="expression" dxfId="558" priority="544" stopIfTrue="1">
      <formula>MOD(ROW(),2)=0</formula>
    </cfRule>
  </conditionalFormatting>
  <conditionalFormatting sqref="AR72:AU72">
    <cfRule type="expression" dxfId="557" priority="537" stopIfTrue="1">
      <formula>MOD(ROW(),2)=1</formula>
    </cfRule>
  </conditionalFormatting>
  <conditionalFormatting sqref="AR72:AU72">
    <cfRule type="expression" dxfId="556" priority="538" stopIfTrue="1">
      <formula>MOD(ROW(),2)=0</formula>
    </cfRule>
  </conditionalFormatting>
  <conditionalFormatting sqref="AQ75:AQ87 AQ90:AQ151">
    <cfRule type="expression" dxfId="555" priority="535" stopIfTrue="1">
      <formula>MOD(ROW(),2)=1</formula>
    </cfRule>
  </conditionalFormatting>
  <conditionalFormatting sqref="AQ75:AQ87 AQ90:AQ151">
    <cfRule type="expression" dxfId="554" priority="536" stopIfTrue="1">
      <formula>MOD(ROW(),2)=0</formula>
    </cfRule>
  </conditionalFormatting>
  <conditionalFormatting sqref="AV76:AV84 AV90:AV92 AV86:AV87 AV96:AV138 AV140:AV141 AV148:AV151">
    <cfRule type="expression" dxfId="553" priority="533" stopIfTrue="1">
      <formula>MOD(ROW(),2)=1</formula>
    </cfRule>
  </conditionalFormatting>
  <conditionalFormatting sqref="AV76:AV84 AV90:AV92 AV86:AV87 AV96:AV138 AV140:AV141 AV148:AV151">
    <cfRule type="expression" dxfId="552" priority="534" stopIfTrue="1">
      <formula>MOD(ROW(),2)=0</formula>
    </cfRule>
  </conditionalFormatting>
  <conditionalFormatting sqref="AR73:AU84 AR90:AU151 AR86:AU87">
    <cfRule type="expression" dxfId="551" priority="531" stopIfTrue="1">
      <formula>MOD(ROW(),2)=1</formula>
    </cfRule>
  </conditionalFormatting>
  <conditionalFormatting sqref="AR73:AU84 AR90:AU151 AR86:AU87">
    <cfRule type="expression" dxfId="550" priority="532" stopIfTrue="1">
      <formula>MOD(ROW(),2)=0</formula>
    </cfRule>
  </conditionalFormatting>
  <conditionalFormatting sqref="AQ152:AQ171 AQ173:AQ192">
    <cfRule type="expression" dxfId="549" priority="529" stopIfTrue="1">
      <formula>MOD(ROW(),2)=1</formula>
    </cfRule>
  </conditionalFormatting>
  <conditionalFormatting sqref="AQ152:AQ171 AQ173:AQ192">
    <cfRule type="expression" dxfId="548" priority="530" stopIfTrue="1">
      <formula>MOD(ROW(),2)=0</formula>
    </cfRule>
  </conditionalFormatting>
  <conditionalFormatting sqref="AV152:AV171 AV191:AV192 AV173:AV189">
    <cfRule type="expression" dxfId="547" priority="527" stopIfTrue="1">
      <formula>MOD(ROW(),2)=1</formula>
    </cfRule>
  </conditionalFormatting>
  <conditionalFormatting sqref="AV152:AV171 AV191:AV192 AV173:AV189">
    <cfRule type="expression" dxfId="546" priority="528" stopIfTrue="1">
      <formula>MOD(ROW(),2)=0</formula>
    </cfRule>
  </conditionalFormatting>
  <conditionalFormatting sqref="AR152:AU171 AR173:AU192">
    <cfRule type="expression" dxfId="545" priority="525" stopIfTrue="1">
      <formula>MOD(ROW(),2)=1</formula>
    </cfRule>
  </conditionalFormatting>
  <conditionalFormatting sqref="AR152:AU171 AR173:AU192">
    <cfRule type="expression" dxfId="544" priority="526" stopIfTrue="1">
      <formula>MOD(ROW(),2)=0</formula>
    </cfRule>
  </conditionalFormatting>
  <conditionalFormatting sqref="AQ196:AQ206">
    <cfRule type="expression" dxfId="543" priority="523" stopIfTrue="1">
      <formula>MOD(ROW(),2)=1</formula>
    </cfRule>
  </conditionalFormatting>
  <conditionalFormatting sqref="AQ196:AQ206">
    <cfRule type="expression" dxfId="542" priority="524" stopIfTrue="1">
      <formula>MOD(ROW(),2)=0</formula>
    </cfRule>
  </conditionalFormatting>
  <conditionalFormatting sqref="AV196:AV206">
    <cfRule type="expression" dxfId="541" priority="521" stopIfTrue="1">
      <formula>MOD(ROW(),2)=1</formula>
    </cfRule>
  </conditionalFormatting>
  <conditionalFormatting sqref="AV196:AV206">
    <cfRule type="expression" dxfId="540" priority="522" stopIfTrue="1">
      <formula>MOD(ROW(),2)=0</formula>
    </cfRule>
  </conditionalFormatting>
  <conditionalFormatting sqref="AK73:AK79">
    <cfRule type="expression" dxfId="539" priority="511" stopIfTrue="1">
      <formula>MOD(ROW(),2)=1</formula>
    </cfRule>
  </conditionalFormatting>
  <conditionalFormatting sqref="AK73:AK79">
    <cfRule type="expression" dxfId="538" priority="512" stopIfTrue="1">
      <formula>MOD(ROW(),2)=0</formula>
    </cfRule>
  </conditionalFormatting>
  <conditionalFormatting sqref="AL73:AP79">
    <cfRule type="expression" dxfId="537" priority="509" stopIfTrue="1">
      <formula>MOD(ROW(),2)=1</formula>
    </cfRule>
  </conditionalFormatting>
  <conditionalFormatting sqref="AL73:AP79">
    <cfRule type="expression" dxfId="536" priority="510" stopIfTrue="1">
      <formula>MOD(ROW(),2)=0</formula>
    </cfRule>
  </conditionalFormatting>
  <conditionalFormatting sqref="AK81:AK82">
    <cfRule type="expression" dxfId="535" priority="507" stopIfTrue="1">
      <formula>MOD(ROW(),2)=1</formula>
    </cfRule>
  </conditionalFormatting>
  <conditionalFormatting sqref="AK81:AK82">
    <cfRule type="expression" dxfId="534" priority="508" stopIfTrue="1">
      <formula>MOD(ROW(),2)=0</formula>
    </cfRule>
  </conditionalFormatting>
  <conditionalFormatting sqref="AL81:AP82">
    <cfRule type="expression" dxfId="533" priority="505" stopIfTrue="1">
      <formula>MOD(ROW(),2)=1</formula>
    </cfRule>
  </conditionalFormatting>
  <conditionalFormatting sqref="AL81:AP82">
    <cfRule type="expression" dxfId="532" priority="506" stopIfTrue="1">
      <formula>MOD(ROW(),2)=0</formula>
    </cfRule>
  </conditionalFormatting>
  <conditionalFormatting sqref="AK86:AK87">
    <cfRule type="expression" dxfId="531" priority="503" stopIfTrue="1">
      <formula>MOD(ROW(),2)=1</formula>
    </cfRule>
  </conditionalFormatting>
  <conditionalFormatting sqref="AK86:AK87">
    <cfRule type="expression" dxfId="530" priority="504" stopIfTrue="1">
      <formula>MOD(ROW(),2)=0</formula>
    </cfRule>
  </conditionalFormatting>
  <conditionalFormatting sqref="AL86:AP87">
    <cfRule type="expression" dxfId="529" priority="501" stopIfTrue="1">
      <formula>MOD(ROW(),2)=1</formula>
    </cfRule>
  </conditionalFormatting>
  <conditionalFormatting sqref="AL86:AP87">
    <cfRule type="expression" dxfId="528" priority="502" stopIfTrue="1">
      <formula>MOD(ROW(),2)=0</formula>
    </cfRule>
  </conditionalFormatting>
  <conditionalFormatting sqref="AK89:AK92">
    <cfRule type="expression" dxfId="527" priority="499" stopIfTrue="1">
      <formula>MOD(ROW(),2)=1</formula>
    </cfRule>
  </conditionalFormatting>
  <conditionalFormatting sqref="AK89:AK92">
    <cfRule type="expression" dxfId="526" priority="500" stopIfTrue="1">
      <formula>MOD(ROW(),2)=0</formula>
    </cfRule>
  </conditionalFormatting>
  <conditionalFormatting sqref="AL89:AP92">
    <cfRule type="expression" dxfId="525" priority="497" stopIfTrue="1">
      <formula>MOD(ROW(),2)=1</formula>
    </cfRule>
  </conditionalFormatting>
  <conditionalFormatting sqref="AL89:AP92">
    <cfRule type="expression" dxfId="524" priority="498" stopIfTrue="1">
      <formula>MOD(ROW(),2)=0</formula>
    </cfRule>
  </conditionalFormatting>
  <conditionalFormatting sqref="AK94:AK95">
    <cfRule type="expression" dxfId="523" priority="495" stopIfTrue="1">
      <formula>MOD(ROW(),2)=1</formula>
    </cfRule>
  </conditionalFormatting>
  <conditionalFormatting sqref="AK94:AK95">
    <cfRule type="expression" dxfId="522" priority="496" stopIfTrue="1">
      <formula>MOD(ROW(),2)=0</formula>
    </cfRule>
  </conditionalFormatting>
  <conditionalFormatting sqref="AL94:AO95">
    <cfRule type="expression" dxfId="521" priority="493" stopIfTrue="1">
      <formula>MOD(ROW(),2)=1</formula>
    </cfRule>
  </conditionalFormatting>
  <conditionalFormatting sqref="AL94:AO95">
    <cfRule type="expression" dxfId="520" priority="494" stopIfTrue="1">
      <formula>MOD(ROW(),2)=0</formula>
    </cfRule>
  </conditionalFormatting>
  <conditionalFormatting sqref="AK98:AK118">
    <cfRule type="expression" dxfId="519" priority="491" stopIfTrue="1">
      <formula>MOD(ROW(),2)=1</formula>
    </cfRule>
  </conditionalFormatting>
  <conditionalFormatting sqref="AK98:AK118">
    <cfRule type="expression" dxfId="518" priority="492" stopIfTrue="1">
      <formula>MOD(ROW(),2)=0</formula>
    </cfRule>
  </conditionalFormatting>
  <conditionalFormatting sqref="AL98:AP118">
    <cfRule type="expression" dxfId="517" priority="489" stopIfTrue="1">
      <formula>MOD(ROW(),2)=1</formula>
    </cfRule>
  </conditionalFormatting>
  <conditionalFormatting sqref="AL98:AP118">
    <cfRule type="expression" dxfId="516" priority="490" stopIfTrue="1">
      <formula>MOD(ROW(),2)=0</formula>
    </cfRule>
  </conditionalFormatting>
  <conditionalFormatting sqref="AK120:AK133">
    <cfRule type="expression" dxfId="515" priority="487" stopIfTrue="1">
      <formula>MOD(ROW(),2)=1</formula>
    </cfRule>
  </conditionalFormatting>
  <conditionalFormatting sqref="AK120:AK133">
    <cfRule type="expression" dxfId="514" priority="488" stopIfTrue="1">
      <formula>MOD(ROW(),2)=0</formula>
    </cfRule>
  </conditionalFormatting>
  <conditionalFormatting sqref="AL120:AP133">
    <cfRule type="expression" dxfId="513" priority="485" stopIfTrue="1">
      <formula>MOD(ROW(),2)=1</formula>
    </cfRule>
  </conditionalFormatting>
  <conditionalFormatting sqref="AL120:AP133">
    <cfRule type="expression" dxfId="512" priority="486" stopIfTrue="1">
      <formula>MOD(ROW(),2)=0</formula>
    </cfRule>
  </conditionalFormatting>
  <conditionalFormatting sqref="AK137:AK139">
    <cfRule type="expression" dxfId="511" priority="483" stopIfTrue="1">
      <formula>MOD(ROW(),2)=1</formula>
    </cfRule>
  </conditionalFormatting>
  <conditionalFormatting sqref="AK137:AK139">
    <cfRule type="expression" dxfId="510" priority="484" stopIfTrue="1">
      <formula>MOD(ROW(),2)=0</formula>
    </cfRule>
  </conditionalFormatting>
  <conditionalFormatting sqref="AL137:AP138 AL139:AO139">
    <cfRule type="expression" dxfId="509" priority="481" stopIfTrue="1">
      <formula>MOD(ROW(),2)=1</formula>
    </cfRule>
  </conditionalFormatting>
  <conditionalFormatting sqref="AL137:AP138 AL139:AO139">
    <cfRule type="expression" dxfId="508" priority="482" stopIfTrue="1">
      <formula>MOD(ROW(),2)=0</formula>
    </cfRule>
  </conditionalFormatting>
  <conditionalFormatting sqref="AK141:AK143">
    <cfRule type="expression" dxfId="507" priority="479" stopIfTrue="1">
      <formula>MOD(ROW(),2)=1</formula>
    </cfRule>
  </conditionalFormatting>
  <conditionalFormatting sqref="AK141:AK143">
    <cfRule type="expression" dxfId="506" priority="480" stopIfTrue="1">
      <formula>MOD(ROW(),2)=0</formula>
    </cfRule>
  </conditionalFormatting>
  <conditionalFormatting sqref="AL141:AP141 AL142:AO143">
    <cfRule type="expression" dxfId="505" priority="477" stopIfTrue="1">
      <formula>MOD(ROW(),2)=1</formula>
    </cfRule>
  </conditionalFormatting>
  <conditionalFormatting sqref="AL141:AP141 AL142:AO143">
    <cfRule type="expression" dxfId="504" priority="478" stopIfTrue="1">
      <formula>MOD(ROW(),2)=0</formula>
    </cfRule>
  </conditionalFormatting>
  <conditionalFormatting sqref="AK147:AK150">
    <cfRule type="expression" dxfId="503" priority="475" stopIfTrue="1">
      <formula>MOD(ROW(),2)=1</formula>
    </cfRule>
  </conditionalFormatting>
  <conditionalFormatting sqref="AK147:AK150">
    <cfRule type="expression" dxfId="502" priority="476" stopIfTrue="1">
      <formula>MOD(ROW(),2)=0</formula>
    </cfRule>
  </conditionalFormatting>
  <conditionalFormatting sqref="AL148:AP150 AL147:AO147">
    <cfRule type="expression" dxfId="501" priority="473" stopIfTrue="1">
      <formula>MOD(ROW(),2)=1</formula>
    </cfRule>
  </conditionalFormatting>
  <conditionalFormatting sqref="AL148:AP150 AL147:AO147">
    <cfRule type="expression" dxfId="500" priority="474" stopIfTrue="1">
      <formula>MOD(ROW(),2)=0</formula>
    </cfRule>
  </conditionalFormatting>
  <conditionalFormatting sqref="AK156">
    <cfRule type="expression" dxfId="499" priority="471" stopIfTrue="1">
      <formula>MOD(ROW(),2)=1</formula>
    </cfRule>
  </conditionalFormatting>
  <conditionalFormatting sqref="AK156">
    <cfRule type="expression" dxfId="498" priority="472" stopIfTrue="1">
      <formula>MOD(ROW(),2)=0</formula>
    </cfRule>
  </conditionalFormatting>
  <conditionalFormatting sqref="AL156:AP156">
    <cfRule type="expression" dxfId="497" priority="469" stopIfTrue="1">
      <formula>MOD(ROW(),2)=1</formula>
    </cfRule>
  </conditionalFormatting>
  <conditionalFormatting sqref="AL156:AP156">
    <cfRule type="expression" dxfId="496" priority="470" stopIfTrue="1">
      <formula>MOD(ROW(),2)=0</formula>
    </cfRule>
  </conditionalFormatting>
  <conditionalFormatting sqref="AK164:AK167">
    <cfRule type="expression" dxfId="495" priority="467" stopIfTrue="1">
      <formula>MOD(ROW(),2)=1</formula>
    </cfRule>
  </conditionalFormatting>
  <conditionalFormatting sqref="AK164:AK167">
    <cfRule type="expression" dxfId="494" priority="468" stopIfTrue="1">
      <formula>MOD(ROW(),2)=0</formula>
    </cfRule>
  </conditionalFormatting>
  <conditionalFormatting sqref="AL164:AP167">
    <cfRule type="expression" dxfId="493" priority="465" stopIfTrue="1">
      <formula>MOD(ROW(),2)=1</formula>
    </cfRule>
  </conditionalFormatting>
  <conditionalFormatting sqref="AL164:AP167">
    <cfRule type="expression" dxfId="492" priority="466" stopIfTrue="1">
      <formula>MOD(ROW(),2)=0</formula>
    </cfRule>
  </conditionalFormatting>
  <conditionalFormatting sqref="AK169:AK170">
    <cfRule type="expression" dxfId="491" priority="463" stopIfTrue="1">
      <formula>MOD(ROW(),2)=1</formula>
    </cfRule>
  </conditionalFormatting>
  <conditionalFormatting sqref="AK169:AK170">
    <cfRule type="expression" dxfId="490" priority="464" stopIfTrue="1">
      <formula>MOD(ROW(),2)=0</formula>
    </cfRule>
  </conditionalFormatting>
  <conditionalFormatting sqref="AL169:AP170">
    <cfRule type="expression" dxfId="489" priority="461" stopIfTrue="1">
      <formula>MOD(ROW(),2)=1</formula>
    </cfRule>
  </conditionalFormatting>
  <conditionalFormatting sqref="AL169:AP170">
    <cfRule type="expression" dxfId="488" priority="462" stopIfTrue="1">
      <formula>MOD(ROW(),2)=0</formula>
    </cfRule>
  </conditionalFormatting>
  <conditionalFormatting sqref="AK173:AK189">
    <cfRule type="expression" dxfId="487" priority="459" stopIfTrue="1">
      <formula>MOD(ROW(),2)=1</formula>
    </cfRule>
  </conditionalFormatting>
  <conditionalFormatting sqref="AK173:AK189">
    <cfRule type="expression" dxfId="486" priority="460" stopIfTrue="1">
      <formula>MOD(ROW(),2)=0</formula>
    </cfRule>
  </conditionalFormatting>
  <conditionalFormatting sqref="AL173:AP189">
    <cfRule type="expression" dxfId="485" priority="457" stopIfTrue="1">
      <formula>MOD(ROW(),2)=1</formula>
    </cfRule>
  </conditionalFormatting>
  <conditionalFormatting sqref="AL173:AP189">
    <cfRule type="expression" dxfId="484" priority="458" stopIfTrue="1">
      <formula>MOD(ROW(),2)=0</formula>
    </cfRule>
  </conditionalFormatting>
  <conditionalFormatting sqref="AK191">
    <cfRule type="expression" dxfId="483" priority="455" stopIfTrue="1">
      <formula>MOD(ROW(),2)=1</formula>
    </cfRule>
  </conditionalFormatting>
  <conditionalFormatting sqref="AK191">
    <cfRule type="expression" dxfId="482" priority="456" stopIfTrue="1">
      <formula>MOD(ROW(),2)=0</formula>
    </cfRule>
  </conditionalFormatting>
  <conditionalFormatting sqref="AL191:AP191">
    <cfRule type="expression" dxfId="481" priority="453" stopIfTrue="1">
      <formula>MOD(ROW(),2)=1</formula>
    </cfRule>
  </conditionalFormatting>
  <conditionalFormatting sqref="AL191:AP191">
    <cfRule type="expression" dxfId="480" priority="454" stopIfTrue="1">
      <formula>MOD(ROW(),2)=0</formula>
    </cfRule>
  </conditionalFormatting>
  <conditionalFormatting sqref="AK196:AK206">
    <cfRule type="expression" dxfId="479" priority="451" stopIfTrue="1">
      <formula>MOD(ROW(),2)=1</formula>
    </cfRule>
  </conditionalFormatting>
  <conditionalFormatting sqref="AK196:AK206">
    <cfRule type="expression" dxfId="478" priority="452" stopIfTrue="1">
      <formula>MOD(ROW(),2)=0</formula>
    </cfRule>
  </conditionalFormatting>
  <conditionalFormatting sqref="AL196:AP206">
    <cfRule type="expression" dxfId="477" priority="449" stopIfTrue="1">
      <formula>MOD(ROW(),2)=1</formula>
    </cfRule>
  </conditionalFormatting>
  <conditionalFormatting sqref="AL196:AP206">
    <cfRule type="expression" dxfId="476" priority="450" stopIfTrue="1">
      <formula>MOD(ROW(),2)=0</formula>
    </cfRule>
  </conditionalFormatting>
  <conditionalFormatting sqref="AK208:AK217">
    <cfRule type="expression" dxfId="475" priority="447" stopIfTrue="1">
      <formula>MOD(ROW(),2)=1</formula>
    </cfRule>
  </conditionalFormatting>
  <conditionalFormatting sqref="AK208:AK217">
    <cfRule type="expression" dxfId="474" priority="448" stopIfTrue="1">
      <formula>MOD(ROW(),2)=0</formula>
    </cfRule>
  </conditionalFormatting>
  <conditionalFormatting sqref="AL208:AP217">
    <cfRule type="expression" dxfId="473" priority="445" stopIfTrue="1">
      <formula>MOD(ROW(),2)=1</formula>
    </cfRule>
  </conditionalFormatting>
  <conditionalFormatting sqref="AL208:AP217">
    <cfRule type="expression" dxfId="472" priority="446" stopIfTrue="1">
      <formula>MOD(ROW(),2)=0</formula>
    </cfRule>
  </conditionalFormatting>
  <conditionalFormatting sqref="AK222:AK225">
    <cfRule type="expression" dxfId="471" priority="443" stopIfTrue="1">
      <formula>MOD(ROW(),2)=1</formula>
    </cfRule>
  </conditionalFormatting>
  <conditionalFormatting sqref="AK222:AK225">
    <cfRule type="expression" dxfId="470" priority="444" stopIfTrue="1">
      <formula>MOD(ROW(),2)=0</formula>
    </cfRule>
  </conditionalFormatting>
  <conditionalFormatting sqref="AL222:AP225">
    <cfRule type="expression" dxfId="469" priority="441" stopIfTrue="1">
      <formula>MOD(ROW(),2)=1</formula>
    </cfRule>
  </conditionalFormatting>
  <conditionalFormatting sqref="AL222:AP225">
    <cfRule type="expression" dxfId="468" priority="442" stopIfTrue="1">
      <formula>MOD(ROW(),2)=0</formula>
    </cfRule>
  </conditionalFormatting>
  <conditionalFormatting sqref="AK227:AK238">
    <cfRule type="expression" dxfId="467" priority="439" stopIfTrue="1">
      <formula>MOD(ROW(),2)=1</formula>
    </cfRule>
  </conditionalFormatting>
  <conditionalFormatting sqref="AK227:AK238">
    <cfRule type="expression" dxfId="466" priority="440" stopIfTrue="1">
      <formula>MOD(ROW(),2)=0</formula>
    </cfRule>
  </conditionalFormatting>
  <conditionalFormatting sqref="AL227:AP238">
    <cfRule type="expression" dxfId="465" priority="437" stopIfTrue="1">
      <formula>MOD(ROW(),2)=1</formula>
    </cfRule>
  </conditionalFormatting>
  <conditionalFormatting sqref="AL227:AP238">
    <cfRule type="expression" dxfId="464" priority="438" stopIfTrue="1">
      <formula>MOD(ROW(),2)=0</formula>
    </cfRule>
  </conditionalFormatting>
  <conditionalFormatting sqref="AK240:AK260">
    <cfRule type="expression" dxfId="463" priority="435" stopIfTrue="1">
      <formula>MOD(ROW(),2)=1</formula>
    </cfRule>
  </conditionalFormatting>
  <conditionalFormatting sqref="AK240:AK260">
    <cfRule type="expression" dxfId="462" priority="436" stopIfTrue="1">
      <formula>MOD(ROW(),2)=0</formula>
    </cfRule>
  </conditionalFormatting>
  <conditionalFormatting sqref="AL240:AP260">
    <cfRule type="expression" dxfId="461" priority="433" stopIfTrue="1">
      <formula>MOD(ROW(),2)=1</formula>
    </cfRule>
  </conditionalFormatting>
  <conditionalFormatting sqref="AL240:AP260">
    <cfRule type="expression" dxfId="460" priority="434" stopIfTrue="1">
      <formula>MOD(ROW(),2)=0</formula>
    </cfRule>
  </conditionalFormatting>
  <conditionalFormatting sqref="AK262:AK266">
    <cfRule type="expression" dxfId="459" priority="431" stopIfTrue="1">
      <formula>MOD(ROW(),2)=1</formula>
    </cfRule>
  </conditionalFormatting>
  <conditionalFormatting sqref="AK262:AK266">
    <cfRule type="expression" dxfId="458" priority="432" stopIfTrue="1">
      <formula>MOD(ROW(),2)=0</formula>
    </cfRule>
  </conditionalFormatting>
  <conditionalFormatting sqref="AL262:AP266">
    <cfRule type="expression" dxfId="457" priority="429" stopIfTrue="1">
      <formula>MOD(ROW(),2)=1</formula>
    </cfRule>
  </conditionalFormatting>
  <conditionalFormatting sqref="AL262:AP266">
    <cfRule type="expression" dxfId="456" priority="430" stopIfTrue="1">
      <formula>MOD(ROW(),2)=0</formula>
    </cfRule>
  </conditionalFormatting>
  <conditionalFormatting sqref="AQ195">
    <cfRule type="expression" dxfId="455" priority="427" stopIfTrue="1">
      <formula>MOD(ROW(),2)=1</formula>
    </cfRule>
  </conditionalFormatting>
  <conditionalFormatting sqref="AQ195">
    <cfRule type="expression" dxfId="454" priority="428" stopIfTrue="1">
      <formula>MOD(ROW(),2)=0</formula>
    </cfRule>
  </conditionalFormatting>
  <conditionalFormatting sqref="AQ55">
    <cfRule type="expression" dxfId="453" priority="425" stopIfTrue="1">
      <formula>MOD(ROW(),2)=1</formula>
    </cfRule>
  </conditionalFormatting>
  <conditionalFormatting sqref="AQ55">
    <cfRule type="expression" dxfId="452" priority="426" stopIfTrue="1">
      <formula>MOD(ROW(),2)=0</formula>
    </cfRule>
  </conditionalFormatting>
  <conditionalFormatting sqref="BF88">
    <cfRule type="expression" dxfId="447" priority="419" stopIfTrue="1">
      <formula>MOD(ROW(),2)=1</formula>
    </cfRule>
  </conditionalFormatting>
  <conditionalFormatting sqref="BF88">
    <cfRule type="expression" dxfId="446" priority="420" stopIfTrue="1">
      <formula>MOD(ROW(),2)=0</formula>
    </cfRule>
  </conditionalFormatting>
  <conditionalFormatting sqref="BL88">
    <cfRule type="expression" dxfId="445" priority="417" stopIfTrue="1">
      <formula>MOD(ROW(),2)=1</formula>
    </cfRule>
  </conditionalFormatting>
  <conditionalFormatting sqref="BL88">
    <cfRule type="expression" dxfId="444" priority="418" stopIfTrue="1">
      <formula>MOD(ROW(),2)=0</formula>
    </cfRule>
  </conditionalFormatting>
  <conditionalFormatting sqref="AQ89">
    <cfRule type="expression" dxfId="443" priority="415" stopIfTrue="1">
      <formula>MOD(ROW(),2)=1</formula>
    </cfRule>
  </conditionalFormatting>
  <conditionalFormatting sqref="AQ89">
    <cfRule type="expression" dxfId="442" priority="416" stopIfTrue="1">
      <formula>MOD(ROW(),2)=0</formula>
    </cfRule>
  </conditionalFormatting>
  <conditionalFormatting sqref="AV190">
    <cfRule type="expression" dxfId="439" priority="411" stopIfTrue="1">
      <formula>MOD(ROW(),2)=1</formula>
    </cfRule>
  </conditionalFormatting>
  <conditionalFormatting sqref="AV190">
    <cfRule type="expression" dxfId="438" priority="412" stopIfTrue="1">
      <formula>MOD(ROW(),2)=0</formula>
    </cfRule>
  </conditionalFormatting>
  <conditionalFormatting sqref="AV89">
    <cfRule type="expression" dxfId="437" priority="409" stopIfTrue="1">
      <formula>MOD(ROW(),2)=1</formula>
    </cfRule>
  </conditionalFormatting>
  <conditionalFormatting sqref="AV89">
    <cfRule type="expression" dxfId="436" priority="410" stopIfTrue="1">
      <formula>MOD(ROW(),2)=0</formula>
    </cfRule>
  </conditionalFormatting>
  <conditionalFormatting sqref="AV88">
    <cfRule type="expression" dxfId="435" priority="407" stopIfTrue="1">
      <formula>MOD(ROW(),2)=1</formula>
    </cfRule>
  </conditionalFormatting>
  <conditionalFormatting sqref="AV88">
    <cfRule type="expression" dxfId="434" priority="408" stopIfTrue="1">
      <formula>MOD(ROW(),2)=0</formula>
    </cfRule>
  </conditionalFormatting>
  <conditionalFormatting sqref="AU88">
    <cfRule type="expression" dxfId="433" priority="405" stopIfTrue="1">
      <formula>MOD(ROW(),2)=1</formula>
    </cfRule>
  </conditionalFormatting>
  <conditionalFormatting sqref="AU88">
    <cfRule type="expression" dxfId="432" priority="406" stopIfTrue="1">
      <formula>MOD(ROW(),2)=0</formula>
    </cfRule>
  </conditionalFormatting>
  <conditionalFormatting sqref="AT88">
    <cfRule type="expression" dxfId="431" priority="403" stopIfTrue="1">
      <formula>MOD(ROW(),2)=1</formula>
    </cfRule>
  </conditionalFormatting>
  <conditionalFormatting sqref="AT88">
    <cfRule type="expression" dxfId="430" priority="404" stopIfTrue="1">
      <formula>MOD(ROW(),2)=0</formula>
    </cfRule>
  </conditionalFormatting>
  <conditionalFormatting sqref="AS88">
    <cfRule type="expression" dxfId="429" priority="401" stopIfTrue="1">
      <formula>MOD(ROW(),2)=1</formula>
    </cfRule>
  </conditionalFormatting>
  <conditionalFormatting sqref="AS88">
    <cfRule type="expression" dxfId="428" priority="402" stopIfTrue="1">
      <formula>MOD(ROW(),2)=0</formula>
    </cfRule>
  </conditionalFormatting>
  <conditionalFormatting sqref="AR88">
    <cfRule type="expression" dxfId="427" priority="399" stopIfTrue="1">
      <formula>MOD(ROW(),2)=1</formula>
    </cfRule>
  </conditionalFormatting>
  <conditionalFormatting sqref="AR88">
    <cfRule type="expression" dxfId="426" priority="400" stopIfTrue="1">
      <formula>MOD(ROW(),2)=0</formula>
    </cfRule>
  </conditionalFormatting>
  <conditionalFormatting sqref="AR89">
    <cfRule type="expression" dxfId="425" priority="397" stopIfTrue="1">
      <formula>MOD(ROW(),2)=1</formula>
    </cfRule>
  </conditionalFormatting>
  <conditionalFormatting sqref="AR89">
    <cfRule type="expression" dxfId="424" priority="398" stopIfTrue="1">
      <formula>MOD(ROW(),2)=0</formula>
    </cfRule>
  </conditionalFormatting>
  <conditionalFormatting sqref="AS89">
    <cfRule type="expression" dxfId="423" priority="395" stopIfTrue="1">
      <formula>MOD(ROW(),2)=1</formula>
    </cfRule>
  </conditionalFormatting>
  <conditionalFormatting sqref="AS89">
    <cfRule type="expression" dxfId="422" priority="396" stopIfTrue="1">
      <formula>MOD(ROW(),2)=0</formula>
    </cfRule>
  </conditionalFormatting>
  <conditionalFormatting sqref="AT89">
    <cfRule type="expression" dxfId="421" priority="393" stopIfTrue="1">
      <formula>MOD(ROW(),2)=1</formula>
    </cfRule>
  </conditionalFormatting>
  <conditionalFormatting sqref="AT89">
    <cfRule type="expression" dxfId="420" priority="394" stopIfTrue="1">
      <formula>MOD(ROW(),2)=0</formula>
    </cfRule>
  </conditionalFormatting>
  <conditionalFormatting sqref="AU89">
    <cfRule type="expression" dxfId="419" priority="391" stopIfTrue="1">
      <formula>MOD(ROW(),2)=1</formula>
    </cfRule>
  </conditionalFormatting>
  <conditionalFormatting sqref="AU89">
    <cfRule type="expression" dxfId="418" priority="392" stopIfTrue="1">
      <formula>MOD(ROW(),2)=0</formula>
    </cfRule>
  </conditionalFormatting>
  <conditionalFormatting sqref="AL190">
    <cfRule type="expression" dxfId="417" priority="389" stopIfTrue="1">
      <formula>MOD(ROW(),2)=1</formula>
    </cfRule>
  </conditionalFormatting>
  <conditionalFormatting sqref="AL190">
    <cfRule type="expression" dxfId="416" priority="390" stopIfTrue="1">
      <formula>MOD(ROW(),2)=0</formula>
    </cfRule>
  </conditionalFormatting>
  <conditionalFormatting sqref="AM190">
    <cfRule type="expression" dxfId="415" priority="387" stopIfTrue="1">
      <formula>MOD(ROW(),2)=1</formula>
    </cfRule>
  </conditionalFormatting>
  <conditionalFormatting sqref="AM190">
    <cfRule type="expression" dxfId="414" priority="388" stopIfTrue="1">
      <formula>MOD(ROW(),2)=0</formula>
    </cfRule>
  </conditionalFormatting>
  <conditionalFormatting sqref="AN190">
    <cfRule type="expression" dxfId="413" priority="385" stopIfTrue="1">
      <formula>MOD(ROW(),2)=1</formula>
    </cfRule>
  </conditionalFormatting>
  <conditionalFormatting sqref="AN190">
    <cfRule type="expression" dxfId="412" priority="386" stopIfTrue="1">
      <formula>MOD(ROW(),2)=0</formula>
    </cfRule>
  </conditionalFormatting>
  <conditionalFormatting sqref="AO190">
    <cfRule type="expression" dxfId="411" priority="383" stopIfTrue="1">
      <formula>MOD(ROW(),2)=1</formula>
    </cfRule>
  </conditionalFormatting>
  <conditionalFormatting sqref="AO190">
    <cfRule type="expression" dxfId="410" priority="384" stopIfTrue="1">
      <formula>MOD(ROW(),2)=0</formula>
    </cfRule>
  </conditionalFormatting>
  <conditionalFormatting sqref="AP190">
    <cfRule type="expression" dxfId="409" priority="381" stopIfTrue="1">
      <formula>MOD(ROW(),2)=1</formula>
    </cfRule>
  </conditionalFormatting>
  <conditionalFormatting sqref="AP190">
    <cfRule type="expression" dxfId="408" priority="382" stopIfTrue="1">
      <formula>MOD(ROW(),2)=0</formula>
    </cfRule>
  </conditionalFormatting>
  <conditionalFormatting sqref="AP88">
    <cfRule type="expression" dxfId="407" priority="379" stopIfTrue="1">
      <formula>MOD(ROW(),2)=1</formula>
    </cfRule>
  </conditionalFormatting>
  <conditionalFormatting sqref="AP88">
    <cfRule type="expression" dxfId="406" priority="380" stopIfTrue="1">
      <formula>MOD(ROW(),2)=0</formula>
    </cfRule>
  </conditionalFormatting>
  <conditionalFormatting sqref="AL88">
    <cfRule type="expression" dxfId="405" priority="377" stopIfTrue="1">
      <formula>MOD(ROW(),2)=1</formula>
    </cfRule>
  </conditionalFormatting>
  <conditionalFormatting sqref="AL88">
    <cfRule type="expression" dxfId="404" priority="378" stopIfTrue="1">
      <formula>MOD(ROW(),2)=0</formula>
    </cfRule>
  </conditionalFormatting>
  <conditionalFormatting sqref="AM88">
    <cfRule type="expression" dxfId="403" priority="375" stopIfTrue="1">
      <formula>MOD(ROW(),2)=1</formula>
    </cfRule>
  </conditionalFormatting>
  <conditionalFormatting sqref="AM88">
    <cfRule type="expression" dxfId="402" priority="376" stopIfTrue="1">
      <formula>MOD(ROW(),2)=0</formula>
    </cfRule>
  </conditionalFormatting>
  <conditionalFormatting sqref="AN88">
    <cfRule type="expression" dxfId="401" priority="373" stopIfTrue="1">
      <formula>MOD(ROW(),2)=1</formula>
    </cfRule>
  </conditionalFormatting>
  <conditionalFormatting sqref="AN88">
    <cfRule type="expression" dxfId="400" priority="374" stopIfTrue="1">
      <formula>MOD(ROW(),2)=0</formula>
    </cfRule>
  </conditionalFormatting>
  <conditionalFormatting sqref="AO88">
    <cfRule type="expression" dxfId="399" priority="371" stopIfTrue="1">
      <formula>MOD(ROW(),2)=1</formula>
    </cfRule>
  </conditionalFormatting>
  <conditionalFormatting sqref="AO88">
    <cfRule type="expression" dxfId="398" priority="372" stopIfTrue="1">
      <formula>MOD(ROW(),2)=0</formula>
    </cfRule>
  </conditionalFormatting>
  <conditionalFormatting sqref="AF88">
    <cfRule type="expression" dxfId="397" priority="369" stopIfTrue="1">
      <formula>MOD(ROW(),2)=1</formula>
    </cfRule>
  </conditionalFormatting>
  <conditionalFormatting sqref="AF88">
    <cfRule type="expression" dxfId="396" priority="370" stopIfTrue="1">
      <formula>MOD(ROW(),2)=0</formula>
    </cfRule>
  </conditionalFormatting>
  <conditionalFormatting sqref="AG88">
    <cfRule type="expression" dxfId="395" priority="367" stopIfTrue="1">
      <formula>MOD(ROW(),2)=1</formula>
    </cfRule>
  </conditionalFormatting>
  <conditionalFormatting sqref="AG88">
    <cfRule type="expression" dxfId="394" priority="368" stopIfTrue="1">
      <formula>MOD(ROW(),2)=0</formula>
    </cfRule>
  </conditionalFormatting>
  <conditionalFormatting sqref="AH88">
    <cfRule type="expression" dxfId="393" priority="365" stopIfTrue="1">
      <formula>MOD(ROW(),2)=1</formula>
    </cfRule>
  </conditionalFormatting>
  <conditionalFormatting sqref="AH88">
    <cfRule type="expression" dxfId="392" priority="366" stopIfTrue="1">
      <formula>MOD(ROW(),2)=0</formula>
    </cfRule>
  </conditionalFormatting>
  <conditionalFormatting sqref="AI88">
    <cfRule type="expression" dxfId="391" priority="363" stopIfTrue="1">
      <formula>MOD(ROW(),2)=1</formula>
    </cfRule>
  </conditionalFormatting>
  <conditionalFormatting sqref="AI88">
    <cfRule type="expression" dxfId="390" priority="364" stopIfTrue="1">
      <formula>MOD(ROW(),2)=0</formula>
    </cfRule>
  </conditionalFormatting>
  <conditionalFormatting sqref="AJ88">
    <cfRule type="expression" dxfId="389" priority="361" stopIfTrue="1">
      <formula>MOD(ROW(),2)=1</formula>
    </cfRule>
  </conditionalFormatting>
  <conditionalFormatting sqref="AJ88">
    <cfRule type="expression" dxfId="388" priority="362" stopIfTrue="1">
      <formula>MOD(ROW(),2)=0</formula>
    </cfRule>
  </conditionalFormatting>
  <conditionalFormatting sqref="AF190">
    <cfRule type="expression" dxfId="387" priority="359" stopIfTrue="1">
      <formula>MOD(ROW(),2)=1</formula>
    </cfRule>
  </conditionalFormatting>
  <conditionalFormatting sqref="AF190">
    <cfRule type="expression" dxfId="386" priority="360" stopIfTrue="1">
      <formula>MOD(ROW(),2)=0</formula>
    </cfRule>
  </conditionalFormatting>
  <conditionalFormatting sqref="AG190">
    <cfRule type="expression" dxfId="385" priority="357" stopIfTrue="1">
      <formula>MOD(ROW(),2)=1</formula>
    </cfRule>
  </conditionalFormatting>
  <conditionalFormatting sqref="AG190">
    <cfRule type="expression" dxfId="384" priority="358" stopIfTrue="1">
      <formula>MOD(ROW(),2)=0</formula>
    </cfRule>
  </conditionalFormatting>
  <conditionalFormatting sqref="AH190">
    <cfRule type="expression" dxfId="383" priority="355" stopIfTrue="1">
      <formula>MOD(ROW(),2)=1</formula>
    </cfRule>
  </conditionalFormatting>
  <conditionalFormatting sqref="AH190">
    <cfRule type="expression" dxfId="382" priority="356" stopIfTrue="1">
      <formula>MOD(ROW(),2)=0</formula>
    </cfRule>
  </conditionalFormatting>
  <conditionalFormatting sqref="AI190">
    <cfRule type="expression" dxfId="381" priority="353" stopIfTrue="1">
      <formula>MOD(ROW(),2)=1</formula>
    </cfRule>
  </conditionalFormatting>
  <conditionalFormatting sqref="AI190">
    <cfRule type="expression" dxfId="380" priority="354" stopIfTrue="1">
      <formula>MOD(ROW(),2)=0</formula>
    </cfRule>
  </conditionalFormatting>
  <conditionalFormatting sqref="AJ190">
    <cfRule type="expression" dxfId="379" priority="351" stopIfTrue="1">
      <formula>MOD(ROW(),2)=1</formula>
    </cfRule>
  </conditionalFormatting>
  <conditionalFormatting sqref="AJ190">
    <cfRule type="expression" dxfId="378" priority="352" stopIfTrue="1">
      <formula>MOD(ROW(),2)=0</formula>
    </cfRule>
  </conditionalFormatting>
  <conditionalFormatting sqref="AN42">
    <cfRule type="expression" dxfId="377" priority="349" stopIfTrue="1">
      <formula>MOD(ROW(),2)=1</formula>
    </cfRule>
  </conditionalFormatting>
  <conditionalFormatting sqref="AN42">
    <cfRule type="expression" dxfId="376" priority="350" stopIfTrue="1">
      <formula>MOD(ROW(),2)=0</formula>
    </cfRule>
  </conditionalFormatting>
  <conditionalFormatting sqref="AO42">
    <cfRule type="expression" dxfId="375" priority="347" stopIfTrue="1">
      <formula>MOD(ROW(),2)=1</formula>
    </cfRule>
  </conditionalFormatting>
  <conditionalFormatting sqref="AO42">
    <cfRule type="expression" dxfId="374" priority="348" stopIfTrue="1">
      <formula>MOD(ROW(),2)=0</formula>
    </cfRule>
  </conditionalFormatting>
  <conditionalFormatting sqref="BJ42">
    <cfRule type="expression" dxfId="373" priority="345" stopIfTrue="1">
      <formula>MOD(ROW(),2)=1</formula>
    </cfRule>
  </conditionalFormatting>
  <conditionalFormatting sqref="BJ42">
    <cfRule type="expression" dxfId="372" priority="346" stopIfTrue="1">
      <formula>MOD(ROW(),2)=0</formula>
    </cfRule>
  </conditionalFormatting>
  <conditionalFormatting sqref="AM42">
    <cfRule type="expression" dxfId="371" priority="343" stopIfTrue="1">
      <formula>MOD(ROW(),2)=1</formula>
    </cfRule>
  </conditionalFormatting>
  <conditionalFormatting sqref="AM42">
    <cfRule type="expression" dxfId="370" priority="344" stopIfTrue="1">
      <formula>MOD(ROW(),2)=0</formula>
    </cfRule>
  </conditionalFormatting>
  <conditionalFormatting sqref="BF39:BF41">
    <cfRule type="expression" dxfId="369" priority="269" stopIfTrue="1">
      <formula>MOD(ROW(),2)=1</formula>
    </cfRule>
  </conditionalFormatting>
  <conditionalFormatting sqref="AZ26:BE26 BG26:BK26 BM26:BQ26 AZ50 AZ74 AZ108 AZ133 AZ149 AZ173 AZ197 AZ241 AZ258">
    <cfRule type="expression" dxfId="368" priority="341" stopIfTrue="1">
      <formula>MOD(ROW(),2)=1</formula>
    </cfRule>
  </conditionalFormatting>
  <conditionalFormatting sqref="AZ26:BE26 BG26:BK26 BM26:BQ26 AZ50 AZ74 AZ108 AZ133 AZ149 AZ173 AZ197 AZ241 AZ258">
    <cfRule type="expression" dxfId="367" priority="342" stopIfTrue="1">
      <formula>MOD(ROW(),2)=0</formula>
    </cfRule>
  </conditionalFormatting>
  <conditionalFormatting sqref="K267">
    <cfRule type="expression" dxfId="366" priority="275" stopIfTrue="1">
      <formula>MOD(ROW(),2)=1</formula>
    </cfRule>
  </conditionalFormatting>
  <conditionalFormatting sqref="K267">
    <cfRule type="expression" dxfId="365" priority="276" stopIfTrue="1">
      <formula>MOD(ROW(),2)=0</formula>
    </cfRule>
  </conditionalFormatting>
  <conditionalFormatting sqref="BF27">
    <cfRule type="expression" dxfId="360" priority="331" stopIfTrue="1">
      <formula>MOD(ROW(),2)=1</formula>
    </cfRule>
  </conditionalFormatting>
  <conditionalFormatting sqref="BF27">
    <cfRule type="expression" dxfId="359" priority="332" stopIfTrue="1">
      <formula>MOD(ROW(),2)=0</formula>
    </cfRule>
  </conditionalFormatting>
  <conditionalFormatting sqref="BL26">
    <cfRule type="expression" dxfId="358" priority="329" stopIfTrue="1">
      <formula>MOD(ROW(),2)=1</formula>
    </cfRule>
  </conditionalFormatting>
  <conditionalFormatting sqref="BL26">
    <cfRule type="expression" dxfId="357" priority="330" stopIfTrue="1">
      <formula>MOD(ROW(),2)=0</formula>
    </cfRule>
  </conditionalFormatting>
  <conditionalFormatting sqref="BL27">
    <cfRule type="expression" dxfId="356" priority="327" stopIfTrue="1">
      <formula>MOD(ROW(),2)=1</formula>
    </cfRule>
  </conditionalFormatting>
  <conditionalFormatting sqref="BL27">
    <cfRule type="expression" dxfId="355" priority="328" stopIfTrue="1">
      <formula>MOD(ROW(),2)=0</formula>
    </cfRule>
  </conditionalFormatting>
  <conditionalFormatting sqref="BQ27">
    <cfRule type="expression" dxfId="354" priority="325" stopIfTrue="1">
      <formula>MOD(ROW(),2)=1</formula>
    </cfRule>
  </conditionalFormatting>
  <conditionalFormatting sqref="BQ27">
    <cfRule type="expression" dxfId="353" priority="326" stopIfTrue="1">
      <formula>MOD(ROW(),2)=0</formula>
    </cfRule>
  </conditionalFormatting>
  <conditionalFormatting sqref="BA124:BE124">
    <cfRule type="expression" dxfId="336" priority="307" stopIfTrue="1">
      <formula>MOD(ROW(),2)=1</formula>
    </cfRule>
  </conditionalFormatting>
  <conditionalFormatting sqref="BA124:BE124">
    <cfRule type="expression" dxfId="335" priority="308" stopIfTrue="1">
      <formula>MOD(ROW(),2)=0</formula>
    </cfRule>
  </conditionalFormatting>
  <conditionalFormatting sqref="BL124">
    <cfRule type="expression" dxfId="332" priority="303" stopIfTrue="1">
      <formula>MOD(ROW(),2)=1</formula>
    </cfRule>
  </conditionalFormatting>
  <conditionalFormatting sqref="BL124">
    <cfRule type="expression" dxfId="331" priority="304" stopIfTrue="1">
      <formula>MOD(ROW(),2)=0</formula>
    </cfRule>
  </conditionalFormatting>
  <conditionalFormatting sqref="BQ124">
    <cfRule type="expression" dxfId="330" priority="301" stopIfTrue="1">
      <formula>MOD(ROW(),2)=1</formula>
    </cfRule>
  </conditionalFormatting>
  <conditionalFormatting sqref="BQ124">
    <cfRule type="expression" dxfId="329" priority="302" stopIfTrue="1">
      <formula>MOD(ROW(),2)=0</formula>
    </cfRule>
  </conditionalFormatting>
  <conditionalFormatting sqref="BM124:BP124">
    <cfRule type="expression" dxfId="328" priority="299" stopIfTrue="1">
      <formula>MOD(ROW(),2)=1</formula>
    </cfRule>
  </conditionalFormatting>
  <conditionalFormatting sqref="BM124:BP124">
    <cfRule type="expression" dxfId="327" priority="300" stopIfTrue="1">
      <formula>MOD(ROW(),2)=0</formula>
    </cfRule>
  </conditionalFormatting>
  <conditionalFormatting sqref="BF124">
    <cfRule type="expression" dxfId="326" priority="297" stopIfTrue="1">
      <formula>MOD(ROW(),2)=1</formula>
    </cfRule>
  </conditionalFormatting>
  <conditionalFormatting sqref="BF124">
    <cfRule type="expression" dxfId="325" priority="298" stopIfTrue="1">
      <formula>MOD(ROW(),2)=0</formula>
    </cfRule>
  </conditionalFormatting>
  <conditionalFormatting sqref="BG124:BK124">
    <cfRule type="expression" dxfId="324" priority="295" stopIfTrue="1">
      <formula>MOD(ROW(),2)=1</formula>
    </cfRule>
  </conditionalFormatting>
  <conditionalFormatting sqref="BG124:BK124">
    <cfRule type="expression" dxfId="323" priority="296" stopIfTrue="1">
      <formula>MOD(ROW(),2)=0</formula>
    </cfRule>
  </conditionalFormatting>
  <conditionalFormatting sqref="BF39:BF41">
    <cfRule type="expression" dxfId="322" priority="270" stopIfTrue="1">
      <formula>MOD(ROW(),2)=0</formula>
    </cfRule>
  </conditionalFormatting>
  <conditionalFormatting sqref="AN31">
    <cfRule type="expression" dxfId="321" priority="289" stopIfTrue="1">
      <formula>MOD(ROW(),2)=1</formula>
    </cfRule>
  </conditionalFormatting>
  <conditionalFormatting sqref="AN31">
    <cfRule type="expression" dxfId="320" priority="290" stopIfTrue="1">
      <formula>MOD(ROW(),2)=0</formula>
    </cfRule>
  </conditionalFormatting>
  <conditionalFormatting sqref="AO31">
    <cfRule type="expression" dxfId="319" priority="287" stopIfTrue="1">
      <formula>MOD(ROW(),2)=1</formula>
    </cfRule>
  </conditionalFormatting>
  <conditionalFormatting sqref="AO31">
    <cfRule type="expression" dxfId="318" priority="288" stopIfTrue="1">
      <formula>MOD(ROW(),2)=0</formula>
    </cfRule>
  </conditionalFormatting>
  <conditionalFormatting sqref="AP31">
    <cfRule type="expression" dxfId="317" priority="285" stopIfTrue="1">
      <formula>MOD(ROW(),2)=1</formula>
    </cfRule>
  </conditionalFormatting>
  <conditionalFormatting sqref="AP31">
    <cfRule type="expression" dxfId="316" priority="286" stopIfTrue="1">
      <formula>MOD(ROW(),2)=0</formula>
    </cfRule>
  </conditionalFormatting>
  <conditionalFormatting sqref="AV31">
    <cfRule type="expression" dxfId="315" priority="283" stopIfTrue="1">
      <formula>MOD(ROW(),2)=1</formula>
    </cfRule>
  </conditionalFormatting>
  <conditionalFormatting sqref="AV31">
    <cfRule type="expression" dxfId="314" priority="284" stopIfTrue="1">
      <formula>MOD(ROW(),2)=0</formula>
    </cfRule>
  </conditionalFormatting>
  <conditionalFormatting sqref="AW31">
    <cfRule type="expression" dxfId="313" priority="281" stopIfTrue="1">
      <formula>MOD(ROW(),2)=1</formula>
    </cfRule>
  </conditionalFormatting>
  <conditionalFormatting sqref="AW31">
    <cfRule type="expression" dxfId="312" priority="282" stopIfTrue="1">
      <formula>MOD(ROW(),2)=0</formula>
    </cfRule>
  </conditionalFormatting>
  <conditionalFormatting sqref="BB39">
    <cfRule type="expression" dxfId="309" priority="271" stopIfTrue="1">
      <formula>MOD(ROW(),2)=1</formula>
    </cfRule>
  </conditionalFormatting>
  <conditionalFormatting sqref="BB39">
    <cfRule type="expression" dxfId="308" priority="272" stopIfTrue="1">
      <formula>MOD(ROW(),2)=0</formula>
    </cfRule>
  </conditionalFormatting>
  <conditionalFormatting sqref="BG39">
    <cfRule type="expression" dxfId="307" priority="267" stopIfTrue="1">
      <formula>MOD(ROW(),2)=1</formula>
    </cfRule>
  </conditionalFormatting>
  <conditionalFormatting sqref="BG39">
    <cfRule type="expression" dxfId="306" priority="268" stopIfTrue="1">
      <formula>MOD(ROW(),2)=0</formula>
    </cfRule>
  </conditionalFormatting>
  <conditionalFormatting sqref="BM40:BQ41">
    <cfRule type="expression" dxfId="305" priority="265" stopIfTrue="1">
      <formula>MOD(ROW(),2)=1</formula>
    </cfRule>
  </conditionalFormatting>
  <conditionalFormatting sqref="BM40:BQ41">
    <cfRule type="expression" dxfId="304" priority="266" stopIfTrue="1">
      <formula>MOD(ROW(),2)=0</formula>
    </cfRule>
  </conditionalFormatting>
  <conditionalFormatting sqref="BL40:BL41">
    <cfRule type="expression" dxfId="303" priority="263" stopIfTrue="1">
      <formula>MOD(ROW(),2)=1</formula>
    </cfRule>
  </conditionalFormatting>
  <conditionalFormatting sqref="BL40:BL41">
    <cfRule type="expression" dxfId="302" priority="264" stopIfTrue="1">
      <formula>MOD(ROW(),2)=0</formula>
    </cfRule>
  </conditionalFormatting>
  <conditionalFormatting sqref="AN39">
    <cfRule type="expression" dxfId="301" priority="261" stopIfTrue="1">
      <formula>MOD(ROW(),2)=1</formula>
    </cfRule>
  </conditionalFormatting>
  <conditionalFormatting sqref="AN39">
    <cfRule type="expression" dxfId="300" priority="262" stopIfTrue="1">
      <formula>MOD(ROW(),2)=0</formula>
    </cfRule>
  </conditionalFormatting>
  <conditionalFormatting sqref="BL39">
    <cfRule type="expression" dxfId="299" priority="259" stopIfTrue="1">
      <formula>MOD(ROW(),2)=1</formula>
    </cfRule>
  </conditionalFormatting>
  <conditionalFormatting sqref="BL39">
    <cfRule type="expression" dxfId="298" priority="260" stopIfTrue="1">
      <formula>MOD(ROW(),2)=0</formula>
    </cfRule>
  </conditionalFormatting>
  <conditionalFormatting sqref="BA165:BE165">
    <cfRule type="expression" dxfId="297" priority="257" stopIfTrue="1">
      <formula>MOD(ROW(),2)=1</formula>
    </cfRule>
  </conditionalFormatting>
  <conditionalFormatting sqref="BA165:BE165">
    <cfRule type="expression" dxfId="296" priority="258" stopIfTrue="1">
      <formula>MOD(ROW(),2)=0</formula>
    </cfRule>
  </conditionalFormatting>
  <conditionalFormatting sqref="BA223:BE223">
    <cfRule type="expression" dxfId="293" priority="253" stopIfTrue="1">
      <formula>MOD(ROW(),2)=1</formula>
    </cfRule>
  </conditionalFormatting>
  <conditionalFormatting sqref="BA223:BE223">
    <cfRule type="expression" dxfId="292" priority="254" stopIfTrue="1">
      <formula>MOD(ROW(),2)=0</formula>
    </cfRule>
  </conditionalFormatting>
  <conditionalFormatting sqref="AF172:AJ172">
    <cfRule type="expression" dxfId="289" priority="249" stopIfTrue="1">
      <formula>MOD(ROW(),2)=1</formula>
    </cfRule>
  </conditionalFormatting>
  <conditionalFormatting sqref="AF172:AJ172">
    <cfRule type="expression" dxfId="288" priority="250" stopIfTrue="1">
      <formula>MOD(ROW(),2)=0</formula>
    </cfRule>
  </conditionalFormatting>
  <conditionalFormatting sqref="AE172">
    <cfRule type="expression" dxfId="287" priority="247" stopIfTrue="1">
      <formula>MOD(ROW(),2)=1</formula>
    </cfRule>
  </conditionalFormatting>
  <conditionalFormatting sqref="AE172">
    <cfRule type="expression" dxfId="286" priority="248" stopIfTrue="1">
      <formula>MOD(ROW(),2)=0</formula>
    </cfRule>
  </conditionalFormatting>
  <conditionalFormatting sqref="AQ172">
    <cfRule type="expression" dxfId="285" priority="245" stopIfTrue="1">
      <formula>MOD(ROW(),2)=1</formula>
    </cfRule>
  </conditionalFormatting>
  <conditionalFormatting sqref="AQ172">
    <cfRule type="expression" dxfId="284" priority="246" stopIfTrue="1">
      <formula>MOD(ROW(),2)=0</formula>
    </cfRule>
  </conditionalFormatting>
  <conditionalFormatting sqref="AV172">
    <cfRule type="expression" dxfId="283" priority="243" stopIfTrue="1">
      <formula>MOD(ROW(),2)=1</formula>
    </cfRule>
  </conditionalFormatting>
  <conditionalFormatting sqref="AV172">
    <cfRule type="expression" dxfId="282" priority="244" stopIfTrue="1">
      <formula>MOD(ROW(),2)=0</formula>
    </cfRule>
  </conditionalFormatting>
  <conditionalFormatting sqref="AR172:AU172">
    <cfRule type="expression" dxfId="281" priority="241" stopIfTrue="1">
      <formula>MOD(ROW(),2)=1</formula>
    </cfRule>
  </conditionalFormatting>
  <conditionalFormatting sqref="AR172:AU172">
    <cfRule type="expression" dxfId="280" priority="242" stopIfTrue="1">
      <formula>MOD(ROW(),2)=0</formula>
    </cfRule>
  </conditionalFormatting>
  <conditionalFormatting sqref="AK172">
    <cfRule type="expression" dxfId="279" priority="239" stopIfTrue="1">
      <formula>MOD(ROW(),2)=1</formula>
    </cfRule>
  </conditionalFormatting>
  <conditionalFormatting sqref="AK172">
    <cfRule type="expression" dxfId="278" priority="240" stopIfTrue="1">
      <formula>MOD(ROW(),2)=0</formula>
    </cfRule>
  </conditionalFormatting>
  <conditionalFormatting sqref="AL172:AP172">
    <cfRule type="expression" dxfId="277" priority="237" stopIfTrue="1">
      <formula>MOD(ROW(),2)=1</formula>
    </cfRule>
  </conditionalFormatting>
  <conditionalFormatting sqref="AL172:AP172">
    <cfRule type="expression" dxfId="276" priority="238" stopIfTrue="1">
      <formula>MOD(ROW(),2)=0</formula>
    </cfRule>
  </conditionalFormatting>
  <conditionalFormatting sqref="AQ222">
    <cfRule type="expression" dxfId="275" priority="235" stopIfTrue="1">
      <formula>MOD(ROW(),2)=1</formula>
    </cfRule>
  </conditionalFormatting>
  <conditionalFormatting sqref="AQ222">
    <cfRule type="expression" dxfId="274" priority="236" stopIfTrue="1">
      <formula>MOD(ROW(),2)=0</formula>
    </cfRule>
  </conditionalFormatting>
  <conditionalFormatting sqref="AR222:AV222">
    <cfRule type="expression" dxfId="273" priority="233" stopIfTrue="1">
      <formula>MOD(ROW(),2)=1</formula>
    </cfRule>
  </conditionalFormatting>
  <conditionalFormatting sqref="AR222:AV222">
    <cfRule type="expression" dxfId="272" priority="234" stopIfTrue="1">
      <formula>MOD(ROW(),2)=0</formula>
    </cfRule>
  </conditionalFormatting>
  <conditionalFormatting sqref="AQ73">
    <cfRule type="expression" dxfId="271" priority="231" stopIfTrue="1">
      <formula>MOD(ROW(),2)=1</formula>
    </cfRule>
  </conditionalFormatting>
  <conditionalFormatting sqref="AQ73">
    <cfRule type="expression" dxfId="270" priority="232" stopIfTrue="1">
      <formula>MOD(ROW(),2)=0</formula>
    </cfRule>
  </conditionalFormatting>
  <conditionalFormatting sqref="AQ74">
    <cfRule type="expression" dxfId="269" priority="229" stopIfTrue="1">
      <formula>MOD(ROW(),2)=1</formula>
    </cfRule>
  </conditionalFormatting>
  <conditionalFormatting sqref="AQ74">
    <cfRule type="expression" dxfId="268" priority="230" stopIfTrue="1">
      <formula>MOD(ROW(),2)=0</formula>
    </cfRule>
  </conditionalFormatting>
  <conditionalFormatting sqref="AQ72">
    <cfRule type="expression" dxfId="267" priority="227" stopIfTrue="1">
      <formula>MOD(ROW(),2)=1</formula>
    </cfRule>
  </conditionalFormatting>
  <conditionalFormatting sqref="AQ72">
    <cfRule type="expression" dxfId="266" priority="228" stopIfTrue="1">
      <formula>MOD(ROW(),2)=0</formula>
    </cfRule>
  </conditionalFormatting>
  <conditionalFormatting sqref="AV243:AV244 AV73:AV75">
    <cfRule type="expression" dxfId="265" priority="225" stopIfTrue="1">
      <formula>MOD(ROW(),2)=1</formula>
    </cfRule>
  </conditionalFormatting>
  <conditionalFormatting sqref="AV243:AV244 AV73:AV75">
    <cfRule type="expression" dxfId="264" priority="226" stopIfTrue="1">
      <formula>MOD(ROW(),2)=0</formula>
    </cfRule>
  </conditionalFormatting>
  <conditionalFormatting sqref="AR243:AU243">
    <cfRule type="expression" dxfId="263" priority="223" stopIfTrue="1">
      <formula>MOD(ROW(),2)=1</formula>
    </cfRule>
  </conditionalFormatting>
  <conditionalFormatting sqref="AR243:AU243">
    <cfRule type="expression" dxfId="262" priority="224" stopIfTrue="1">
      <formula>MOD(ROW(),2)=0</formula>
    </cfRule>
  </conditionalFormatting>
  <conditionalFormatting sqref="AW80">
    <cfRule type="expression" dxfId="253" priority="213" stopIfTrue="1">
      <formula>MOD(ROW(),2)=1</formula>
    </cfRule>
  </conditionalFormatting>
  <conditionalFormatting sqref="AW80">
    <cfRule type="expression" dxfId="252" priority="214" stopIfTrue="1">
      <formula>MOD(ROW(),2)=0</formula>
    </cfRule>
  </conditionalFormatting>
  <conditionalFormatting sqref="BM254:BP254">
    <cfRule type="expression" dxfId="251" priority="203" stopIfTrue="1">
      <formula>MOD(ROW(),2)=1</formula>
    </cfRule>
  </conditionalFormatting>
  <conditionalFormatting sqref="BQ254">
    <cfRule type="expression" dxfId="250" priority="205" stopIfTrue="1">
      <formula>MOD(ROW(),2)=1</formula>
    </cfRule>
  </conditionalFormatting>
  <conditionalFormatting sqref="BQ254">
    <cfRule type="expression" dxfId="249" priority="206" stopIfTrue="1">
      <formula>MOD(ROW(),2)=0</formula>
    </cfRule>
  </conditionalFormatting>
  <conditionalFormatting sqref="BL254">
    <cfRule type="expression" dxfId="248" priority="207" stopIfTrue="1">
      <formula>MOD(ROW(),2)=1</formula>
    </cfRule>
  </conditionalFormatting>
  <conditionalFormatting sqref="BL254">
    <cfRule type="expression" dxfId="247" priority="208" stopIfTrue="1">
      <formula>MOD(ROW(),2)=0</formula>
    </cfRule>
  </conditionalFormatting>
  <conditionalFormatting sqref="BA254:BE254">
    <cfRule type="expression" dxfId="246" priority="211" stopIfTrue="1">
      <formula>MOD(ROW(),2)=1</formula>
    </cfRule>
  </conditionalFormatting>
  <conditionalFormatting sqref="BA254:BE254">
    <cfRule type="expression" dxfId="245" priority="212" stopIfTrue="1">
      <formula>MOD(ROW(),2)=0</formula>
    </cfRule>
  </conditionalFormatting>
  <conditionalFormatting sqref="BM254:BP254">
    <cfRule type="expression" dxfId="242" priority="204" stopIfTrue="1">
      <formula>MOD(ROW(),2)=0</formula>
    </cfRule>
  </conditionalFormatting>
  <conditionalFormatting sqref="BF254">
    <cfRule type="expression" dxfId="241" priority="201" stopIfTrue="1">
      <formula>MOD(ROW(),2)=1</formula>
    </cfRule>
  </conditionalFormatting>
  <conditionalFormatting sqref="BF254">
    <cfRule type="expression" dxfId="240" priority="202" stopIfTrue="1">
      <formula>MOD(ROW(),2)=0</formula>
    </cfRule>
  </conditionalFormatting>
  <conditionalFormatting sqref="BG254:BK254">
    <cfRule type="expression" dxfId="239" priority="199" stopIfTrue="1">
      <formula>MOD(ROW(),2)=1</formula>
    </cfRule>
  </conditionalFormatting>
  <conditionalFormatting sqref="BG254:BK254">
    <cfRule type="expression" dxfId="238" priority="200" stopIfTrue="1">
      <formula>MOD(ROW(),2)=0</formula>
    </cfRule>
  </conditionalFormatting>
  <conditionalFormatting sqref="AJ142:AJ147 AJ139">
    <cfRule type="expression" dxfId="237" priority="197" stopIfTrue="1">
      <formula>MOD(ROW(),2)=1</formula>
    </cfRule>
  </conditionalFormatting>
  <conditionalFormatting sqref="AJ142:AJ147 AJ139">
    <cfRule type="expression" dxfId="236" priority="198" stopIfTrue="1">
      <formula>MOD(ROW(),2)=0</formula>
    </cfRule>
  </conditionalFormatting>
  <conditionalFormatting sqref="AP142:AP147 AP139 AP93:AP95">
    <cfRule type="expression" dxfId="235" priority="195" stopIfTrue="1">
      <formula>MOD(ROW(),2)=1</formula>
    </cfRule>
  </conditionalFormatting>
  <conditionalFormatting sqref="AP142:AP147 AP139 AP93:AP95">
    <cfRule type="expression" dxfId="234" priority="196" stopIfTrue="1">
      <formula>MOD(ROW(),2)=0</formula>
    </cfRule>
  </conditionalFormatting>
  <conditionalFormatting sqref="AV142:AV147 AV139 AV93:AV95">
    <cfRule type="expression" dxfId="233" priority="193" stopIfTrue="1">
      <formula>MOD(ROW(),2)=1</formula>
    </cfRule>
  </conditionalFormatting>
  <conditionalFormatting sqref="AV142:AV147 AV139 AV93:AV95">
    <cfRule type="expression" dxfId="232" priority="194" stopIfTrue="1">
      <formula>MOD(ROW(),2)=0</formula>
    </cfRule>
  </conditionalFormatting>
  <conditionalFormatting sqref="AY48">
    <cfRule type="expression" dxfId="231" priority="191" stopIfTrue="1">
      <formula>MOD(ROW(),2)=1</formula>
    </cfRule>
  </conditionalFormatting>
  <conditionalFormatting sqref="AY48">
    <cfRule type="expression" dxfId="230" priority="192" stopIfTrue="1">
      <formula>MOD(ROW(),2)=0</formula>
    </cfRule>
  </conditionalFormatting>
  <conditionalFormatting sqref="BA158:BJ158">
    <cfRule type="expression" dxfId="229" priority="189" stopIfTrue="1">
      <formula>MOD(ROW(),2)=1</formula>
    </cfRule>
  </conditionalFormatting>
  <conditionalFormatting sqref="BA158:BJ158">
    <cfRule type="expression" dxfId="228" priority="190" stopIfTrue="1">
      <formula>MOD(ROW(),2)=0</formula>
    </cfRule>
  </conditionalFormatting>
  <conditionalFormatting sqref="BK158">
    <cfRule type="expression" dxfId="227" priority="187" stopIfTrue="1">
      <formula>MOD(ROW(),2)=1</formula>
    </cfRule>
  </conditionalFormatting>
  <conditionalFormatting sqref="BK158">
    <cfRule type="expression" dxfId="226" priority="188" stopIfTrue="1">
      <formula>MOD(ROW(),2)=0</formula>
    </cfRule>
  </conditionalFormatting>
  <conditionalFormatting sqref="BL158">
    <cfRule type="expression" dxfId="225" priority="185" stopIfTrue="1">
      <formula>MOD(ROW(),2)=1</formula>
    </cfRule>
  </conditionalFormatting>
  <conditionalFormatting sqref="BL158">
    <cfRule type="expression" dxfId="224" priority="186" stopIfTrue="1">
      <formula>MOD(ROW(),2)=0</formula>
    </cfRule>
  </conditionalFormatting>
  <conditionalFormatting sqref="BQ158">
    <cfRule type="expression" dxfId="223" priority="183" stopIfTrue="1">
      <formula>MOD(ROW(),2)=1</formula>
    </cfRule>
  </conditionalFormatting>
  <conditionalFormatting sqref="BQ158">
    <cfRule type="expression" dxfId="222" priority="184" stopIfTrue="1">
      <formula>MOD(ROW(),2)=0</formula>
    </cfRule>
  </conditionalFormatting>
  <conditionalFormatting sqref="BM158:BP158">
    <cfRule type="expression" dxfId="221" priority="181" stopIfTrue="1">
      <formula>MOD(ROW(),2)=1</formula>
    </cfRule>
  </conditionalFormatting>
  <conditionalFormatting sqref="BM158:BP158">
    <cfRule type="expression" dxfId="220" priority="182" stopIfTrue="1">
      <formula>MOD(ROW(),2)=0</formula>
    </cfRule>
  </conditionalFormatting>
  <conditionalFormatting sqref="BA175:BE175">
    <cfRule type="expression" dxfId="219" priority="179" stopIfTrue="1">
      <formula>MOD(ROW(),2)=1</formula>
    </cfRule>
  </conditionalFormatting>
  <conditionalFormatting sqref="BA175:BE175">
    <cfRule type="expression" dxfId="218" priority="180" stopIfTrue="1">
      <formula>MOD(ROW(),2)=0</formula>
    </cfRule>
  </conditionalFormatting>
  <conditionalFormatting sqref="BA176:BE176">
    <cfRule type="expression" dxfId="215" priority="175" stopIfTrue="1">
      <formula>MOD(ROW(),2)=1</formula>
    </cfRule>
  </conditionalFormatting>
  <conditionalFormatting sqref="BA176:BE176">
    <cfRule type="expression" dxfId="214" priority="176" stopIfTrue="1">
      <formula>MOD(ROW(),2)=0</formula>
    </cfRule>
  </conditionalFormatting>
  <conditionalFormatting sqref="BL175:BL176">
    <cfRule type="expression" dxfId="211" priority="171" stopIfTrue="1">
      <formula>MOD(ROW(),2)=1</formula>
    </cfRule>
  </conditionalFormatting>
  <conditionalFormatting sqref="BL175:BL176">
    <cfRule type="expression" dxfId="210" priority="172" stopIfTrue="1">
      <formula>MOD(ROW(),2)=0</formula>
    </cfRule>
  </conditionalFormatting>
  <conditionalFormatting sqref="BQ175:BQ176">
    <cfRule type="expression" dxfId="209" priority="169" stopIfTrue="1">
      <formula>MOD(ROW(),2)=1</formula>
    </cfRule>
  </conditionalFormatting>
  <conditionalFormatting sqref="BQ175:BQ176">
    <cfRule type="expression" dxfId="208" priority="170" stopIfTrue="1">
      <formula>MOD(ROW(),2)=0</formula>
    </cfRule>
  </conditionalFormatting>
  <conditionalFormatting sqref="BM175:BP176">
    <cfRule type="expression" dxfId="207" priority="167" stopIfTrue="1">
      <formula>MOD(ROW(),2)=1</formula>
    </cfRule>
  </conditionalFormatting>
  <conditionalFormatting sqref="BM175:BP176">
    <cfRule type="expression" dxfId="206" priority="168" stopIfTrue="1">
      <formula>MOD(ROW(),2)=0</formula>
    </cfRule>
  </conditionalFormatting>
  <conditionalFormatting sqref="BF175:BF176">
    <cfRule type="expression" dxfId="205" priority="165" stopIfTrue="1">
      <formula>MOD(ROW(),2)=1</formula>
    </cfRule>
  </conditionalFormatting>
  <conditionalFormatting sqref="BF175:BF176">
    <cfRule type="expression" dxfId="204" priority="166" stopIfTrue="1">
      <formula>MOD(ROW(),2)=0</formula>
    </cfRule>
  </conditionalFormatting>
  <conditionalFormatting sqref="BG175:BK176">
    <cfRule type="expression" dxfId="203" priority="163" stopIfTrue="1">
      <formula>MOD(ROW(),2)=1</formula>
    </cfRule>
  </conditionalFormatting>
  <conditionalFormatting sqref="BG175:BK176">
    <cfRule type="expression" dxfId="202" priority="164" stopIfTrue="1">
      <formula>MOD(ROW(),2)=0</formula>
    </cfRule>
  </conditionalFormatting>
  <conditionalFormatting sqref="BA187:BE187">
    <cfRule type="expression" dxfId="201" priority="161" stopIfTrue="1">
      <formula>MOD(ROW(),2)=1</formula>
    </cfRule>
  </conditionalFormatting>
  <conditionalFormatting sqref="BA187:BE187">
    <cfRule type="expression" dxfId="200" priority="162" stopIfTrue="1">
      <formula>MOD(ROW(),2)=0</formula>
    </cfRule>
  </conditionalFormatting>
  <conditionalFormatting sqref="BL187">
    <cfRule type="expression" dxfId="197" priority="157" stopIfTrue="1">
      <formula>MOD(ROW(),2)=1</formula>
    </cfRule>
  </conditionalFormatting>
  <conditionalFormatting sqref="BL187">
    <cfRule type="expression" dxfId="196" priority="158" stopIfTrue="1">
      <formula>MOD(ROW(),2)=0</formula>
    </cfRule>
  </conditionalFormatting>
  <conditionalFormatting sqref="BQ187">
    <cfRule type="expression" dxfId="195" priority="155" stopIfTrue="1">
      <formula>MOD(ROW(),2)=1</formula>
    </cfRule>
  </conditionalFormatting>
  <conditionalFormatting sqref="BQ187">
    <cfRule type="expression" dxfId="194" priority="156" stopIfTrue="1">
      <formula>MOD(ROW(),2)=0</formula>
    </cfRule>
  </conditionalFormatting>
  <conditionalFormatting sqref="BM187:BP187">
    <cfRule type="expression" dxfId="193" priority="153" stopIfTrue="1">
      <formula>MOD(ROW(),2)=1</formula>
    </cfRule>
  </conditionalFormatting>
  <conditionalFormatting sqref="BM187:BP187">
    <cfRule type="expression" dxfId="192" priority="154" stopIfTrue="1">
      <formula>MOD(ROW(),2)=0</formula>
    </cfRule>
  </conditionalFormatting>
  <conditionalFormatting sqref="BF187">
    <cfRule type="expression" dxfId="191" priority="151" stopIfTrue="1">
      <formula>MOD(ROW(),2)=1</formula>
    </cfRule>
  </conditionalFormatting>
  <conditionalFormatting sqref="BF187">
    <cfRule type="expression" dxfId="190" priority="152" stopIfTrue="1">
      <formula>MOD(ROW(),2)=0</formula>
    </cfRule>
  </conditionalFormatting>
  <conditionalFormatting sqref="BG187:BK187">
    <cfRule type="expression" dxfId="189" priority="149" stopIfTrue="1">
      <formula>MOD(ROW(),2)=1</formula>
    </cfRule>
  </conditionalFormatting>
  <conditionalFormatting sqref="BG187:BK187">
    <cfRule type="expression" dxfId="188" priority="150" stopIfTrue="1">
      <formula>MOD(ROW(),2)=0</formula>
    </cfRule>
  </conditionalFormatting>
  <conditionalFormatting sqref="AW267:AY267 AX244:AX267">
    <cfRule type="expression" dxfId="187" priority="147" stopIfTrue="1">
      <formula>MOD(ROW(),2)=1</formula>
    </cfRule>
  </conditionalFormatting>
  <conditionalFormatting sqref="AW267:AY267 AX244:AX267">
    <cfRule type="expression" dxfId="186" priority="148" stopIfTrue="1">
      <formula>MOD(ROW(),2)=0</formula>
    </cfRule>
  </conditionalFormatting>
  <conditionalFormatting sqref="BQ267 BE267:BK267">
    <cfRule type="expression" dxfId="185" priority="145" stopIfTrue="1">
      <formula>MOD(ROW(),2)=1</formula>
    </cfRule>
  </conditionalFormatting>
  <conditionalFormatting sqref="BQ267 BE267:BK267">
    <cfRule type="expression" dxfId="184" priority="146" stopIfTrue="1">
      <formula>MOD(ROW(),2)=0</formula>
    </cfRule>
  </conditionalFormatting>
  <conditionalFormatting sqref="BA267:BD267">
    <cfRule type="expression" dxfId="183" priority="143" stopIfTrue="1">
      <formula>MOD(ROW(),2)=1</formula>
    </cfRule>
  </conditionalFormatting>
  <conditionalFormatting sqref="BA267:BD267">
    <cfRule type="expression" dxfId="182" priority="144" stopIfTrue="1">
      <formula>MOD(ROW(),2)=0</formula>
    </cfRule>
  </conditionalFormatting>
  <conditionalFormatting sqref="BL267:BP267 BL12:BL267">
    <cfRule type="expression" dxfId="181" priority="141" stopIfTrue="1">
      <formula>MOD(ROW(),2)=1</formula>
    </cfRule>
  </conditionalFormatting>
  <conditionalFormatting sqref="BL267:BP267 BL12:BL267">
    <cfRule type="expression" dxfId="180" priority="142" stopIfTrue="1">
      <formula>MOD(ROW(),2)=0</formula>
    </cfRule>
  </conditionalFormatting>
  <conditionalFormatting sqref="BM266:BP266">
    <cfRule type="expression" dxfId="179" priority="131" stopIfTrue="1">
      <formula>MOD(ROW(),2)=1</formula>
    </cfRule>
  </conditionalFormatting>
  <conditionalFormatting sqref="BQ266">
    <cfRule type="expression" dxfId="178" priority="133" stopIfTrue="1">
      <formula>MOD(ROW(),2)=1</formula>
    </cfRule>
  </conditionalFormatting>
  <conditionalFormatting sqref="BQ266">
    <cfRule type="expression" dxfId="177" priority="134" stopIfTrue="1">
      <formula>MOD(ROW(),2)=0</formula>
    </cfRule>
  </conditionalFormatting>
  <conditionalFormatting sqref="BL266">
    <cfRule type="expression" dxfId="176" priority="135" stopIfTrue="1">
      <formula>MOD(ROW(),2)=1</formula>
    </cfRule>
  </conditionalFormatting>
  <conditionalFormatting sqref="BL266">
    <cfRule type="expression" dxfId="175" priority="136" stopIfTrue="1">
      <formula>MOD(ROW(),2)=0</formula>
    </cfRule>
  </conditionalFormatting>
  <conditionalFormatting sqref="BA266:BE266">
    <cfRule type="expression" dxfId="174" priority="139" stopIfTrue="1">
      <formula>MOD(ROW(),2)=1</formula>
    </cfRule>
  </conditionalFormatting>
  <conditionalFormatting sqref="BA266:BE266">
    <cfRule type="expression" dxfId="173" priority="140" stopIfTrue="1">
      <formula>MOD(ROW(),2)=0</formula>
    </cfRule>
  </conditionalFormatting>
  <conditionalFormatting sqref="BM266:BP266">
    <cfRule type="expression" dxfId="170" priority="132" stopIfTrue="1">
      <formula>MOD(ROW(),2)=0</formula>
    </cfRule>
  </conditionalFormatting>
  <conditionalFormatting sqref="BF266">
    <cfRule type="expression" dxfId="169" priority="129" stopIfTrue="1">
      <formula>MOD(ROW(),2)=1</formula>
    </cfRule>
  </conditionalFormatting>
  <conditionalFormatting sqref="BF266">
    <cfRule type="expression" dxfId="168" priority="130" stopIfTrue="1">
      <formula>MOD(ROW(),2)=0</formula>
    </cfRule>
  </conditionalFormatting>
  <conditionalFormatting sqref="BG266:BK266">
    <cfRule type="expression" dxfId="167" priority="127" stopIfTrue="1">
      <formula>MOD(ROW(),2)=1</formula>
    </cfRule>
  </conditionalFormatting>
  <conditionalFormatting sqref="BG266:BK266">
    <cfRule type="expression" dxfId="166" priority="128" stopIfTrue="1">
      <formula>MOD(ROW(),2)=0</formula>
    </cfRule>
  </conditionalFormatting>
  <conditionalFormatting sqref="AY26">
    <cfRule type="expression" dxfId="163" priority="123" stopIfTrue="1">
      <formula>MOD(ROW(),2)=1</formula>
    </cfRule>
  </conditionalFormatting>
  <conditionalFormatting sqref="AY26">
    <cfRule type="expression" dxfId="162" priority="124" stopIfTrue="1">
      <formula>MOD(ROW(),2)=0</formula>
    </cfRule>
  </conditionalFormatting>
  <conditionalFormatting sqref="AY31">
    <cfRule type="expression" dxfId="161" priority="121" stopIfTrue="1">
      <formula>MOD(ROW(),2)=1</formula>
    </cfRule>
  </conditionalFormatting>
  <conditionalFormatting sqref="AY31">
    <cfRule type="expression" dxfId="160" priority="122" stopIfTrue="1">
      <formula>MOD(ROW(),2)=0</formula>
    </cfRule>
  </conditionalFormatting>
  <conditionalFormatting sqref="AW33">
    <cfRule type="expression" dxfId="159" priority="119" stopIfTrue="1">
      <formula>MOD(ROW(),2)=1</formula>
    </cfRule>
  </conditionalFormatting>
  <conditionalFormatting sqref="AW33">
    <cfRule type="expression" dxfId="158" priority="120" stopIfTrue="1">
      <formula>MOD(ROW(),2)=0</formula>
    </cfRule>
  </conditionalFormatting>
  <conditionalFormatting sqref="AW35">
    <cfRule type="expression" dxfId="155" priority="115" stopIfTrue="1">
      <formula>MOD(ROW(),2)=1</formula>
    </cfRule>
  </conditionalFormatting>
  <conditionalFormatting sqref="AW35">
    <cfRule type="expression" dxfId="154" priority="116" stopIfTrue="1">
      <formula>MOD(ROW(),2)=0</formula>
    </cfRule>
  </conditionalFormatting>
  <conditionalFormatting sqref="AQ13">
    <cfRule type="expression" dxfId="151" priority="111" stopIfTrue="1">
      <formula>MOD(ROW(),2)=1</formula>
    </cfRule>
  </conditionalFormatting>
  <conditionalFormatting sqref="AQ13">
    <cfRule type="expression" dxfId="150" priority="112" stopIfTrue="1">
      <formula>MOD(ROW(),2)=0</formula>
    </cfRule>
  </conditionalFormatting>
  <conditionalFormatting sqref="AQ17">
    <cfRule type="expression" dxfId="147" priority="107" stopIfTrue="1">
      <formula>MOD(ROW(),2)=1</formula>
    </cfRule>
  </conditionalFormatting>
  <conditionalFormatting sqref="AQ17">
    <cfRule type="expression" dxfId="146" priority="108" stopIfTrue="1">
      <formula>MOD(ROW(),2)=0</formula>
    </cfRule>
  </conditionalFormatting>
  <conditionalFormatting sqref="AL17:AP17">
    <cfRule type="expression" dxfId="145" priority="101" stopIfTrue="1">
      <formula>MOD(ROW(),2)=1</formula>
    </cfRule>
  </conditionalFormatting>
  <conditionalFormatting sqref="AL17:AP17">
    <cfRule type="expression" dxfId="144" priority="102" stopIfTrue="1">
      <formula>MOD(ROW(),2)=0</formula>
    </cfRule>
  </conditionalFormatting>
  <conditionalFormatting sqref="AR17:AV17">
    <cfRule type="expression" dxfId="143" priority="97" stopIfTrue="1">
      <formula>MOD(ROW(),2)=1</formula>
    </cfRule>
  </conditionalFormatting>
  <conditionalFormatting sqref="AR17:AV17">
    <cfRule type="expression" dxfId="142" priority="98" stopIfTrue="1">
      <formula>MOD(ROW(),2)=0</formula>
    </cfRule>
  </conditionalFormatting>
  <conditionalFormatting sqref="BF12:BF267">
    <cfRule type="expression" dxfId="137" priority="91" stopIfTrue="1">
      <formula>MOD(ROW(),2)=1</formula>
    </cfRule>
  </conditionalFormatting>
  <conditionalFormatting sqref="BF12:BF267">
    <cfRule type="expression" dxfId="136" priority="92" stopIfTrue="1">
      <formula>MOD(ROW(),2)=0</formula>
    </cfRule>
  </conditionalFormatting>
  <conditionalFormatting sqref="AW14:AW16 AW27:AW41 AW43:AW72 AW18:AW24 AW75:AW84 AW86:AW88 AW90:AW118 AW120:AW193 AW195:AW206 AW208:AW242 AW245:AW267">
    <cfRule type="expression" dxfId="75" priority="89" stopIfTrue="1">
      <formula>MOD(ROW(),2)=1</formula>
    </cfRule>
  </conditionalFormatting>
  <conditionalFormatting sqref="AW14:AW16 AW27:AW41 AW43:AW72 AW18:AW24 AW75:AW84 AW86:AW88 AW90:AW118 AW120:AW193 AW195:AW206 AW208:AW242 AW245:AW267">
    <cfRule type="expression" dxfId="74" priority="90" stopIfTrue="1">
      <formula>MOD(ROW(),2)=0</formula>
    </cfRule>
  </conditionalFormatting>
  <conditionalFormatting sqref="AW36">
    <cfRule type="expression" dxfId="85" priority="81" stopIfTrue="1">
      <formula>MOD(ROW(),2)=1</formula>
    </cfRule>
  </conditionalFormatting>
  <conditionalFormatting sqref="AW36">
    <cfRule type="expression" dxfId="84" priority="82" stopIfTrue="1">
      <formula>MOD(ROW(),2)=0</formula>
    </cfRule>
  </conditionalFormatting>
  <conditionalFormatting sqref="AW35">
    <cfRule type="expression" dxfId="83" priority="79" stopIfTrue="1">
      <formula>MOD(ROW(),2)=1</formula>
    </cfRule>
  </conditionalFormatting>
  <conditionalFormatting sqref="AW35">
    <cfRule type="expression" dxfId="82" priority="80" stopIfTrue="1">
      <formula>MOD(ROW(),2)=0</formula>
    </cfRule>
  </conditionalFormatting>
  <conditionalFormatting sqref="AW33">
    <cfRule type="expression" dxfId="81" priority="77" stopIfTrue="1">
      <formula>MOD(ROW(),2)=1</formula>
    </cfRule>
  </conditionalFormatting>
  <conditionalFormatting sqref="AW33">
    <cfRule type="expression" dxfId="80" priority="78" stopIfTrue="1">
      <formula>MOD(ROW(),2)=0</formula>
    </cfRule>
  </conditionalFormatting>
  <conditionalFormatting sqref="AW35">
    <cfRule type="expression" dxfId="79" priority="75" stopIfTrue="1">
      <formula>MOD(ROW(),2)=1</formula>
    </cfRule>
  </conditionalFormatting>
  <conditionalFormatting sqref="AW35">
    <cfRule type="expression" dxfId="78" priority="76" stopIfTrue="1">
      <formula>MOD(ROW(),2)=0</formula>
    </cfRule>
  </conditionalFormatting>
  <conditionalFormatting sqref="AW12">
    <cfRule type="expression" dxfId="73" priority="73" stopIfTrue="1">
      <formula>MOD(ROW(),2)=1</formula>
    </cfRule>
  </conditionalFormatting>
  <conditionalFormatting sqref="AW12">
    <cfRule type="expression" dxfId="72" priority="74" stopIfTrue="1">
      <formula>MOD(ROW(),2)=0</formula>
    </cfRule>
  </conditionalFormatting>
  <conditionalFormatting sqref="AW12">
    <cfRule type="expression" dxfId="71" priority="71" stopIfTrue="1">
      <formula>MOD(ROW(),2)=1</formula>
    </cfRule>
  </conditionalFormatting>
  <conditionalFormatting sqref="AW12">
    <cfRule type="expression" dxfId="70" priority="72" stopIfTrue="1">
      <formula>MOD(ROW(),2)=0</formula>
    </cfRule>
  </conditionalFormatting>
  <conditionalFormatting sqref="AW13">
    <cfRule type="expression" dxfId="69" priority="69" stopIfTrue="1">
      <formula>MOD(ROW(),2)=1</formula>
    </cfRule>
  </conditionalFormatting>
  <conditionalFormatting sqref="AW13">
    <cfRule type="expression" dxfId="68" priority="70" stopIfTrue="1">
      <formula>MOD(ROW(),2)=0</formula>
    </cfRule>
  </conditionalFormatting>
  <conditionalFormatting sqref="AW13">
    <cfRule type="expression" dxfId="67" priority="67" stopIfTrue="1">
      <formula>MOD(ROW(),2)=1</formula>
    </cfRule>
  </conditionalFormatting>
  <conditionalFormatting sqref="AW13">
    <cfRule type="expression" dxfId="66" priority="68" stopIfTrue="1">
      <formula>MOD(ROW(),2)=0</formula>
    </cfRule>
  </conditionalFormatting>
  <conditionalFormatting sqref="AW25">
    <cfRule type="expression" dxfId="65" priority="65" stopIfTrue="1">
      <formula>MOD(ROW(),2)=1</formula>
    </cfRule>
  </conditionalFormatting>
  <conditionalFormatting sqref="AW25">
    <cfRule type="expression" dxfId="64" priority="66" stopIfTrue="1">
      <formula>MOD(ROW(),2)=0</formula>
    </cfRule>
  </conditionalFormatting>
  <conditionalFormatting sqref="AW17">
    <cfRule type="expression" dxfId="59" priority="59" stopIfTrue="1">
      <formula>MOD(ROW(),2)=1</formula>
    </cfRule>
  </conditionalFormatting>
  <conditionalFormatting sqref="AW17">
    <cfRule type="expression" dxfId="58" priority="60" stopIfTrue="1">
      <formula>MOD(ROW(),2)=0</formula>
    </cfRule>
  </conditionalFormatting>
  <conditionalFormatting sqref="AW26">
    <cfRule type="expression" dxfId="57" priority="57" stopIfTrue="1">
      <formula>MOD(ROW(),2)=1</formula>
    </cfRule>
  </conditionalFormatting>
  <conditionalFormatting sqref="AW26">
    <cfRule type="expression" dxfId="56" priority="58" stopIfTrue="1">
      <formula>MOD(ROW(),2)=0</formula>
    </cfRule>
  </conditionalFormatting>
  <conditionalFormatting sqref="AW42">
    <cfRule type="expression" dxfId="55" priority="55" stopIfTrue="1">
      <formula>MOD(ROW(),2)=1</formula>
    </cfRule>
  </conditionalFormatting>
  <conditionalFormatting sqref="AW42">
    <cfRule type="expression" dxfId="54" priority="56" stopIfTrue="1">
      <formula>MOD(ROW(),2)=0</formula>
    </cfRule>
  </conditionalFormatting>
  <conditionalFormatting sqref="AW73">
    <cfRule type="expression" dxfId="51" priority="51" stopIfTrue="1">
      <formula>MOD(ROW(),2)=1</formula>
    </cfRule>
  </conditionalFormatting>
  <conditionalFormatting sqref="AW73">
    <cfRule type="expression" dxfId="50" priority="52" stopIfTrue="1">
      <formula>MOD(ROW(),2)=0</formula>
    </cfRule>
  </conditionalFormatting>
  <conditionalFormatting sqref="AW74">
    <cfRule type="expression" dxfId="49" priority="49" stopIfTrue="1">
      <formula>MOD(ROW(),2)=1</formula>
    </cfRule>
  </conditionalFormatting>
  <conditionalFormatting sqref="AW74">
    <cfRule type="expression" dxfId="48" priority="50" stopIfTrue="1">
      <formula>MOD(ROW(),2)=0</formula>
    </cfRule>
  </conditionalFormatting>
  <conditionalFormatting sqref="AW85">
    <cfRule type="expression" dxfId="45" priority="45" stopIfTrue="1">
      <formula>MOD(ROW(),2)=1</formula>
    </cfRule>
  </conditionalFormatting>
  <conditionalFormatting sqref="AW85">
    <cfRule type="expression" dxfId="44" priority="46" stopIfTrue="1">
      <formula>MOD(ROW(),2)=0</formula>
    </cfRule>
  </conditionalFormatting>
  <conditionalFormatting sqref="AQ88">
    <cfRule type="expression" dxfId="43" priority="43" stopIfTrue="1">
      <formula>MOD(ROW(),2)=1</formula>
    </cfRule>
  </conditionalFormatting>
  <conditionalFormatting sqref="AQ88">
    <cfRule type="expression" dxfId="42" priority="44" stopIfTrue="1">
      <formula>MOD(ROW(),2)=0</formula>
    </cfRule>
  </conditionalFormatting>
  <conditionalFormatting sqref="AQ88">
    <cfRule type="expression" dxfId="41" priority="41" stopIfTrue="1">
      <formula>MOD(ROW(),2)=1</formula>
    </cfRule>
  </conditionalFormatting>
  <conditionalFormatting sqref="AQ88">
    <cfRule type="expression" dxfId="40" priority="42" stopIfTrue="1">
      <formula>MOD(ROW(),2)=0</formula>
    </cfRule>
  </conditionalFormatting>
  <conditionalFormatting sqref="AW89">
    <cfRule type="expression" dxfId="39" priority="39" stopIfTrue="1">
      <formula>MOD(ROW(),2)=1</formula>
    </cfRule>
  </conditionalFormatting>
  <conditionalFormatting sqref="AW89">
    <cfRule type="expression" dxfId="38" priority="40" stopIfTrue="1">
      <formula>MOD(ROW(),2)=0</formula>
    </cfRule>
  </conditionalFormatting>
  <conditionalFormatting sqref="AW119">
    <cfRule type="expression" dxfId="37" priority="37" stopIfTrue="1">
      <formula>MOD(ROW(),2)=1</formula>
    </cfRule>
  </conditionalFormatting>
  <conditionalFormatting sqref="AW119">
    <cfRule type="expression" dxfId="36" priority="38" stopIfTrue="1">
      <formula>MOD(ROW(),2)=0</formula>
    </cfRule>
  </conditionalFormatting>
  <conditionalFormatting sqref="M169:O169">
    <cfRule type="expression" dxfId="35" priority="35" stopIfTrue="1">
      <formula>MOD(ROW(),2)=1</formula>
    </cfRule>
  </conditionalFormatting>
  <conditionalFormatting sqref="M169:O169">
    <cfRule type="expression" dxfId="34" priority="36" stopIfTrue="1">
      <formula>MOD(ROW(),2)=0</formula>
    </cfRule>
  </conditionalFormatting>
  <conditionalFormatting sqref="AW194">
    <cfRule type="expression" dxfId="33" priority="33" stopIfTrue="1">
      <formula>MOD(ROW(),2)=1</formula>
    </cfRule>
  </conditionalFormatting>
  <conditionalFormatting sqref="AW194">
    <cfRule type="expression" dxfId="32" priority="34" stopIfTrue="1">
      <formula>MOD(ROW(),2)=0</formula>
    </cfRule>
  </conditionalFormatting>
  <conditionalFormatting sqref="AW207">
    <cfRule type="expression" dxfId="31" priority="31" stopIfTrue="1">
      <formula>MOD(ROW(),2)=1</formula>
    </cfRule>
  </conditionalFormatting>
  <conditionalFormatting sqref="AW207">
    <cfRule type="expression" dxfId="30" priority="32" stopIfTrue="1">
      <formula>MOD(ROW(),2)=0</formula>
    </cfRule>
  </conditionalFormatting>
  <conditionalFormatting sqref="AW243">
    <cfRule type="expression" dxfId="27" priority="27" stopIfTrue="1">
      <formula>MOD(ROW(),2)=1</formula>
    </cfRule>
  </conditionalFormatting>
  <conditionalFormatting sqref="AW243">
    <cfRule type="expression" dxfId="26" priority="28" stopIfTrue="1">
      <formula>MOD(ROW(),2)=0</formula>
    </cfRule>
  </conditionalFormatting>
  <conditionalFormatting sqref="AW244">
    <cfRule type="expression" dxfId="25" priority="25" stopIfTrue="1">
      <formula>MOD(ROW(),2)=1</formula>
    </cfRule>
  </conditionalFormatting>
  <conditionalFormatting sqref="AW244">
    <cfRule type="expression" dxfId="24" priority="26" stopIfTrue="1">
      <formula>MOD(ROW(),2)=0</formula>
    </cfRule>
  </conditionalFormatting>
  <conditionalFormatting sqref="AX207">
    <cfRule type="expression" dxfId="17" priority="17" stopIfTrue="1">
      <formula>MOD(ROW(),2)=1</formula>
    </cfRule>
  </conditionalFormatting>
  <conditionalFormatting sqref="AX207">
    <cfRule type="expression" dxfId="16" priority="18" stopIfTrue="1">
      <formula>MOD(ROW(),2)=0</formula>
    </cfRule>
  </conditionalFormatting>
  <conditionalFormatting sqref="AX208:AX242">
    <cfRule type="expression" dxfId="15" priority="15" stopIfTrue="1">
      <formula>MOD(ROW(),2)=1</formula>
    </cfRule>
  </conditionalFormatting>
  <conditionalFormatting sqref="AX208:AX242">
    <cfRule type="expression" dxfId="14" priority="16" stopIfTrue="1">
      <formula>MOD(ROW(),2)=0</formula>
    </cfRule>
  </conditionalFormatting>
  <conditionalFormatting sqref="AX86:AX206">
    <cfRule type="expression" dxfId="13" priority="13" stopIfTrue="1">
      <formula>MOD(ROW(),2)=1</formula>
    </cfRule>
  </conditionalFormatting>
  <conditionalFormatting sqref="AX86:AX206">
    <cfRule type="expression" dxfId="12" priority="14" stopIfTrue="1">
      <formula>MOD(ROW(),2)=0</formula>
    </cfRule>
  </conditionalFormatting>
  <conditionalFormatting sqref="AX40:AX84">
    <cfRule type="expression" dxfId="11" priority="11" stopIfTrue="1">
      <formula>MOD(ROW(),2)=1</formula>
    </cfRule>
  </conditionalFormatting>
  <conditionalFormatting sqref="AX40:AX84">
    <cfRule type="expression" dxfId="10" priority="12" stopIfTrue="1">
      <formula>MOD(ROW(),2)=0</formula>
    </cfRule>
  </conditionalFormatting>
  <conditionalFormatting sqref="AX12:AX38">
    <cfRule type="expression" dxfId="9" priority="9" stopIfTrue="1">
      <formula>MOD(ROW(),2)=1</formula>
    </cfRule>
  </conditionalFormatting>
  <conditionalFormatting sqref="AX12:AX38">
    <cfRule type="expression" dxfId="8" priority="10" stopIfTrue="1">
      <formula>MOD(ROW(),2)=0</formula>
    </cfRule>
  </conditionalFormatting>
  <conditionalFormatting sqref="AP85">
    <cfRule type="expression" dxfId="7" priority="7" stopIfTrue="1">
      <formula>MOD(ROW(),2)=1</formula>
    </cfRule>
  </conditionalFormatting>
  <conditionalFormatting sqref="AP85">
    <cfRule type="expression" dxfId="6" priority="8" stopIfTrue="1">
      <formula>MOD(ROW(),2)=0</formula>
    </cfRule>
  </conditionalFormatting>
  <conditionalFormatting sqref="AR85:AU85">
    <cfRule type="expression" dxfId="5" priority="5" stopIfTrue="1">
      <formula>MOD(ROW(),2)=1</formula>
    </cfRule>
  </conditionalFormatting>
  <conditionalFormatting sqref="AR85:AU85">
    <cfRule type="expression" dxfId="4" priority="6" stopIfTrue="1">
      <formula>MOD(ROW(),2)=0</formula>
    </cfRule>
  </conditionalFormatting>
  <conditionalFormatting sqref="AV85">
    <cfRule type="expression" dxfId="3" priority="3" stopIfTrue="1">
      <formula>MOD(ROW(),2)=1</formula>
    </cfRule>
  </conditionalFormatting>
  <conditionalFormatting sqref="AV85">
    <cfRule type="expression" dxfId="2" priority="4" stopIfTrue="1">
      <formula>MOD(ROW(),2)=0</formula>
    </cfRule>
  </conditionalFormatting>
  <conditionalFormatting sqref="AX85">
    <cfRule type="expression" dxfId="1" priority="1" stopIfTrue="1">
      <formula>MOD(ROW(),2)=1</formula>
    </cfRule>
  </conditionalFormatting>
  <conditionalFormatting sqref="AX85">
    <cfRule type="expression" dxfId="0" priority="2" stopIfTrue="1">
      <formula>MOD(ROW(),2)=0</formula>
    </cfRule>
  </conditionalFormatting>
  <hyperlinks>
    <hyperlink ref="A6" location="rng_Cover_Copyright" display="Subject to terms and conditions" xr:uid="{00000000-0004-0000-0300-000000000000}"/>
    <hyperlink ref="AD168" r:id="rId1" xr:uid="{00000000-0004-0000-0300-000001000000}"/>
    <hyperlink ref="AD186" r:id="rId2" xr:uid="{00000000-0004-0000-0300-000002000000}"/>
    <hyperlink ref="AD221" r:id="rId3" xr:uid="{00000000-0004-0000-0300-000003000000}"/>
    <hyperlink ref="AD170" r:id="rId4" xr:uid="{00000000-0004-0000-0300-000004000000}"/>
    <hyperlink ref="AD166" r:id="rId5" xr:uid="{00000000-0004-0000-0300-000005000000}"/>
    <hyperlink ref="AD161" r:id="rId6" xr:uid="{00000000-0004-0000-0300-000006000000}"/>
    <hyperlink ref="AD229" r:id="rId7" xr:uid="{00000000-0004-0000-0300-000007000000}"/>
    <hyperlink ref="AD228" r:id="rId8" xr:uid="{00000000-0004-0000-0300-000008000000}"/>
    <hyperlink ref="AD180" r:id="rId9" xr:uid="{00000000-0004-0000-0300-000009000000}"/>
    <hyperlink ref="AD179" r:id="rId10" xr:uid="{00000000-0004-0000-0300-00000A000000}"/>
    <hyperlink ref="AD160" r:id="rId11" xr:uid="{00000000-0004-0000-0300-00000B000000}"/>
    <hyperlink ref="AD159" r:id="rId12" xr:uid="{00000000-0004-0000-0300-00000C000000}"/>
    <hyperlink ref="AD231" r:id="rId13" xr:uid="{00000000-0004-0000-0300-00000D000000}"/>
    <hyperlink ref="AD230" r:id="rId14" xr:uid="{00000000-0004-0000-0300-00000E000000}"/>
    <hyperlink ref="AD226" r:id="rId15" xr:uid="{00000000-0004-0000-0300-00000F000000}"/>
    <hyperlink ref="AD223" r:id="rId16" xr:uid="{00000000-0004-0000-0300-000010000000}"/>
    <hyperlink ref="AD219" r:id="rId17" location="tops" display="http://www.tianqilithium.com/en/base-detail.aspx?ContentID=4&amp;t=59 - tops" xr:uid="{00000000-0004-0000-0300-000011000000}"/>
    <hyperlink ref="AD218" r:id="rId18" location="tops" display="http://www.tianqilithium.com/en/base-detail.aspx?ContentID=4&amp;t=59 - tops" xr:uid="{00000000-0004-0000-0300-000012000000}"/>
    <hyperlink ref="AD217" r:id="rId19" xr:uid="{00000000-0004-0000-0300-000013000000}"/>
    <hyperlink ref="AD216" r:id="rId20" xr:uid="{00000000-0004-0000-0300-000014000000}"/>
    <hyperlink ref="AD38" r:id="rId21" xr:uid="{00000000-0004-0000-0300-000015000000}"/>
    <hyperlink ref="AD37" r:id="rId22" xr:uid="{00000000-0004-0000-0300-000016000000}"/>
    <hyperlink ref="AD36" r:id="rId23" display="https://www.savannahresources.com/assets/mina-do-barroso/" xr:uid="{00000000-0004-0000-0300-000017000000}"/>
    <hyperlink ref="AD211" r:id="rId24" xr:uid="{00000000-0004-0000-0300-000018000000}"/>
    <hyperlink ref="AD212" r:id="rId25" xr:uid="{00000000-0004-0000-0300-000019000000}"/>
    <hyperlink ref="AD75" r:id="rId26" xr:uid="{00000000-0004-0000-0300-00001A000000}"/>
    <hyperlink ref="AD74" r:id="rId27" xr:uid="{00000000-0004-0000-0300-00001B000000}"/>
    <hyperlink ref="AD209" r:id="rId28" xr:uid="{00000000-0004-0000-0300-00001C000000}"/>
    <hyperlink ref="AD208" r:id="rId29" xr:uid="{00000000-0004-0000-0300-00001D000000}"/>
    <hyperlink ref="AD54" r:id="rId30" xr:uid="{00000000-0004-0000-0300-00001E000000}"/>
    <hyperlink ref="AD198" r:id="rId31" xr:uid="{00000000-0004-0000-0300-00001F000000}"/>
    <hyperlink ref="AD197" r:id="rId32" xr:uid="{00000000-0004-0000-0300-000020000000}"/>
    <hyperlink ref="AD30" r:id="rId33" xr:uid="{00000000-0004-0000-0300-000021000000}"/>
    <hyperlink ref="AD29" r:id="rId34" xr:uid="{00000000-0004-0000-0300-000022000000}"/>
    <hyperlink ref="AD28" r:id="rId35" xr:uid="{00000000-0004-0000-0300-000023000000}"/>
    <hyperlink ref="AD178" r:id="rId36" xr:uid="{00000000-0004-0000-0300-000024000000}"/>
    <hyperlink ref="AD148" r:id="rId37" xr:uid="{00000000-0004-0000-0300-000025000000}"/>
    <hyperlink ref="AD201" r:id="rId38" xr:uid="{00000000-0004-0000-0300-000026000000}"/>
    <hyperlink ref="AD200" r:id="rId39" xr:uid="{00000000-0004-0000-0300-000027000000}"/>
    <hyperlink ref="AD92" r:id="rId40" xr:uid="{00000000-0004-0000-0300-000028000000}"/>
    <hyperlink ref="AD196" r:id="rId41" xr:uid="{00000000-0004-0000-0300-000029000000}"/>
    <hyperlink ref="AD70" r:id="rId42" xr:uid="{00000000-0004-0000-0300-00002A000000}"/>
    <hyperlink ref="AD124" r:id="rId43" xr:uid="{00000000-0004-0000-0300-00002B000000}"/>
    <hyperlink ref="AD188" r:id="rId44" xr:uid="{00000000-0004-0000-0300-00002C000000}"/>
    <hyperlink ref="AD189" r:id="rId45" xr:uid="{00000000-0004-0000-0300-00002D000000}"/>
    <hyperlink ref="AD119" r:id="rId46" xr:uid="{00000000-0004-0000-0300-00002E000000}"/>
    <hyperlink ref="AD184" r:id="rId47" xr:uid="{00000000-0004-0000-0300-00002F000000}"/>
    <hyperlink ref="AD183" r:id="rId48" xr:uid="{00000000-0004-0000-0300-000030000000}"/>
    <hyperlink ref="AD165" r:id="rId49" xr:uid="{00000000-0004-0000-0300-000031000000}"/>
    <hyperlink ref="AD182" r:id="rId50" xr:uid="{00000000-0004-0000-0300-000032000000}"/>
    <hyperlink ref="AD171" r:id="rId51" xr:uid="{00000000-0004-0000-0300-000033000000}"/>
    <hyperlink ref="AD181" r:id="rId52" xr:uid="{00000000-0004-0000-0300-000034000000}"/>
    <hyperlink ref="AD42" r:id="rId53" xr:uid="{00000000-0004-0000-0300-000035000000}"/>
    <hyperlink ref="AD149" r:id="rId54" xr:uid="{00000000-0004-0000-0300-000036000000}"/>
    <hyperlink ref="AD109" r:id="rId55" xr:uid="{00000000-0004-0000-0300-000037000000}"/>
    <hyperlink ref="AD175" r:id="rId56" xr:uid="{00000000-0004-0000-0300-000038000000}"/>
    <hyperlink ref="AD174" r:id="rId57" xr:uid="{00000000-0004-0000-0300-000039000000}"/>
    <hyperlink ref="AD173" r:id="rId58" xr:uid="{00000000-0004-0000-0300-00003A000000}"/>
    <hyperlink ref="AD172" r:id="rId59" xr:uid="{00000000-0004-0000-0300-00003B000000}"/>
    <hyperlink ref="AD111" r:id="rId60" xr:uid="{00000000-0004-0000-0300-00003C000000}"/>
    <hyperlink ref="AD110" r:id="rId61" xr:uid="{00000000-0004-0000-0300-00003D000000}"/>
    <hyperlink ref="AD108" r:id="rId62" xr:uid="{00000000-0004-0000-0300-00003E000000}"/>
    <hyperlink ref="AD107" r:id="rId63" xr:uid="{00000000-0004-0000-0300-00003F000000}"/>
    <hyperlink ref="AD147" r:id="rId64" xr:uid="{00000000-0004-0000-0300-000040000000}"/>
    <hyperlink ref="AD146" r:id="rId65" xr:uid="{00000000-0004-0000-0300-000041000000}"/>
    <hyperlink ref="AD144" r:id="rId66" location="tops" display="http://www.tianqilithium.com/en/base-detail.aspx?ContentID=4&amp;t=59 - tops" xr:uid="{00000000-0004-0000-0300-000042000000}"/>
    <hyperlink ref="AD143" r:id="rId67" xr:uid="{00000000-0004-0000-0300-000043000000}"/>
    <hyperlink ref="AD142" r:id="rId68" xr:uid="{00000000-0004-0000-0300-000044000000}"/>
    <hyperlink ref="AD65" r:id="rId69" xr:uid="{00000000-0004-0000-0300-000045000000}"/>
    <hyperlink ref="AD17" r:id="rId70" xr:uid="{00000000-0004-0000-0300-000046000000}"/>
    <hyperlink ref="AD32" r:id="rId71" xr:uid="{00000000-0004-0000-0300-000047000000}"/>
    <hyperlink ref="AD224" r:id="rId72" xr:uid="{00000000-0004-0000-0300-000048000000}"/>
    <hyperlink ref="AD241" r:id="rId73" xr:uid="{00000000-0004-0000-0300-000049000000}"/>
    <hyperlink ref="AD237" r:id="rId74" xr:uid="{00000000-0004-0000-0300-00004A000000}"/>
    <hyperlink ref="AD245" r:id="rId75" xr:uid="{00000000-0004-0000-0300-00004B000000}"/>
    <hyperlink ref="AD246" r:id="rId76" xr:uid="{00000000-0004-0000-0300-00004C000000}"/>
    <hyperlink ref="AD247" r:id="rId77" xr:uid="{00000000-0004-0000-0300-00004D000000}"/>
    <hyperlink ref="AD248" r:id="rId78" xr:uid="{00000000-0004-0000-0300-00004E000000}"/>
    <hyperlink ref="AD210" r:id="rId79" xr:uid="{00000000-0004-0000-0300-00004F000000}"/>
    <hyperlink ref="AD249" r:id="rId80" xr:uid="{00000000-0004-0000-0300-000050000000}"/>
    <hyperlink ref="AD250" r:id="rId81" xr:uid="{00000000-0004-0000-0300-000051000000}"/>
    <hyperlink ref="AD242" r:id="rId82" xr:uid="{00000000-0004-0000-0300-000052000000}"/>
    <hyperlink ref="AD251" r:id="rId83" xr:uid="{00000000-0004-0000-0300-000053000000}"/>
    <hyperlink ref="AD252" r:id="rId84" xr:uid="{00000000-0004-0000-0300-000054000000}"/>
    <hyperlink ref="AD213" r:id="rId85" xr:uid="{00000000-0004-0000-0300-000055000000}"/>
    <hyperlink ref="AD205" r:id="rId86" xr:uid="{00000000-0004-0000-0300-000056000000}"/>
    <hyperlink ref="AD243" r:id="rId87" xr:uid="{00000000-0004-0000-0300-000057000000}"/>
    <hyperlink ref="AD244" r:id="rId88" xr:uid="{00000000-0004-0000-0300-000058000000}"/>
    <hyperlink ref="AD254" r:id="rId89" xr:uid="{00000000-0004-0000-0300-000059000000}"/>
    <hyperlink ref="AD44" r:id="rId90" xr:uid="{00000000-0004-0000-0300-00005A000000}"/>
    <hyperlink ref="AD89" r:id="rId91" xr:uid="{00000000-0004-0000-0300-00005B000000}"/>
    <hyperlink ref="AD90" r:id="rId92" xr:uid="{00000000-0004-0000-0300-00005C000000}"/>
    <hyperlink ref="AD91" r:id="rId93" xr:uid="{00000000-0004-0000-0300-00005D000000}"/>
    <hyperlink ref="AD190" r:id="rId94" xr:uid="{00000000-0004-0000-0300-00005E000000}"/>
    <hyperlink ref="AD206" r:id="rId95" xr:uid="{00000000-0004-0000-0300-00005F000000}"/>
    <hyperlink ref="AD232" r:id="rId96" xr:uid="{00000000-0004-0000-0300-000060000000}"/>
    <hyperlink ref="AD233" r:id="rId97" xr:uid="{00000000-0004-0000-0300-000061000000}"/>
    <hyperlink ref="AD48" r:id="rId98" xr:uid="{00000000-0004-0000-0300-000062000000}"/>
    <hyperlink ref="AD256" r:id="rId99" xr:uid="{00000000-0004-0000-0300-000063000000}"/>
    <hyperlink ref="AD47" r:id="rId100" xr:uid="{00000000-0004-0000-0300-000064000000}"/>
    <hyperlink ref="AD255" r:id="rId101" xr:uid="{00000000-0004-0000-0300-000065000000}"/>
    <hyperlink ref="AD45" r:id="rId102" xr:uid="{00000000-0004-0000-0300-000066000000}"/>
    <hyperlink ref="AD46" r:id="rId103" xr:uid="{00000000-0004-0000-0300-000067000000}"/>
    <hyperlink ref="AD234" r:id="rId104" xr:uid="{00000000-0004-0000-0300-000068000000}"/>
    <hyperlink ref="AD235" r:id="rId105" xr:uid="{00000000-0004-0000-0300-000069000000}"/>
    <hyperlink ref="AD257" r:id="rId106" xr:uid="{00000000-0004-0000-0300-00006A000000}"/>
    <hyperlink ref="AD192" r:id="rId107" xr:uid="{00000000-0004-0000-0300-00006B000000}"/>
    <hyperlink ref="AD262" r:id="rId108" xr:uid="{00000000-0004-0000-0300-00006C000000}"/>
    <hyperlink ref="AD263" r:id="rId109" xr:uid="{00000000-0004-0000-0300-00006D000000}"/>
    <hyperlink ref="AD264" r:id="rId110" xr:uid="{00000000-0004-0000-0300-00006E000000}"/>
    <hyperlink ref="AD265" r:id="rId111" xr:uid="{00000000-0004-0000-0300-00006F000000}"/>
    <hyperlink ref="AD24" r:id="rId112" xr:uid="{00000000-0004-0000-0300-000070000000}"/>
    <hyperlink ref="AD25" r:id="rId113" xr:uid="{00000000-0004-0000-0300-000071000000}"/>
    <hyperlink ref="AD39" r:id="rId114" xr:uid="{00000000-0004-0000-0300-000072000000}"/>
    <hyperlink ref="AD58" r:id="rId115" xr:uid="{00000000-0004-0000-0300-000073000000}"/>
    <hyperlink ref="AD59" r:id="rId116" xr:uid="{00000000-0004-0000-0300-000074000000}"/>
    <hyperlink ref="AD60" r:id="rId117" xr:uid="{00000000-0004-0000-0300-000075000000}"/>
    <hyperlink ref="AD61" r:id="rId118" xr:uid="{00000000-0004-0000-0300-000076000000}"/>
    <hyperlink ref="AD62" r:id="rId119" xr:uid="{00000000-0004-0000-0300-000077000000}"/>
    <hyperlink ref="AD63" r:id="rId120" xr:uid="{00000000-0004-0000-0300-000078000000}"/>
    <hyperlink ref="AD66" r:id="rId121" xr:uid="{00000000-0004-0000-0300-000079000000}"/>
    <hyperlink ref="AD67" r:id="rId122" xr:uid="{00000000-0004-0000-0300-00007A000000}"/>
    <hyperlink ref="AD87" r:id="rId123" xr:uid="{00000000-0004-0000-0300-00007B000000}"/>
    <hyperlink ref="AD267" r:id="rId124" xr:uid="{38214BC0-7755-4F06-AA54-A232F8D49C3A}"/>
  </hyperlinks>
  <pageMargins left="0.7" right="0.7" top="0.75" bottom="0.75" header="0.3" footer="0.3"/>
  <pageSetup orientation="portrait" r:id="rId125"/>
  <drawing r:id="rId126"/>
  <legacyDrawing r:id="rId127"/>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#REF!</xm:f>
          </x14:formula1>
          <xm:sqref>Z12:AC274</xm:sqref>
        </x14:dataValidation>
        <x14:dataValidation type="list" allowBlank="1" showInputMessage="1" showErrorMessage="1" xr:uid="{00000000-0002-0000-0300-000002000000}">
          <x14:formula1>
            <xm:f>#REF!</xm:f>
          </x14:formula1>
          <xm:sqref>P269:P274 P12:P267</xm:sqref>
        </x14:dataValidation>
        <x14:dataValidation type="list" allowBlank="1" showInputMessage="1" showErrorMessage="1" xr:uid="{00000000-0002-0000-0300-000001000000}">
          <x14:formula1>
            <xm:f>#REF!</xm:f>
          </x14:formula1>
          <xm:sqref>M269:M274 M12:M267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5"/>
  <dimension ref="A1:A9"/>
  <sheetViews>
    <sheetView workbookViewId="0">
      <selection activeCell="A10" sqref="A10"/>
    </sheetView>
  </sheetViews>
  <sheetFormatPr defaultRowHeight="12.5" x14ac:dyDescent="0.25"/>
  <sheetData>
    <row r="1" spans="1:1" ht="13" x14ac:dyDescent="0.25">
      <c r="A1" s="350" t="s">
        <v>784</v>
      </c>
    </row>
    <row r="2" spans="1:1" x14ac:dyDescent="0.25">
      <c r="A2" s="27" t="s">
        <v>1088</v>
      </c>
    </row>
    <row r="3" spans="1:1" x14ac:dyDescent="0.25">
      <c r="A3" s="27" t="s">
        <v>733</v>
      </c>
    </row>
    <row r="4" spans="1:1" x14ac:dyDescent="0.25">
      <c r="A4" s="27" t="s">
        <v>1084</v>
      </c>
    </row>
    <row r="5" spans="1:1" x14ac:dyDescent="0.25">
      <c r="A5" s="27" t="s">
        <v>1085</v>
      </c>
    </row>
    <row r="6" spans="1:1" x14ac:dyDescent="0.25">
      <c r="A6" s="27" t="s">
        <v>793</v>
      </c>
    </row>
    <row r="7" spans="1:1" x14ac:dyDescent="0.25">
      <c r="A7" s="27" t="s">
        <v>1086</v>
      </c>
    </row>
    <row r="8" spans="1:1" x14ac:dyDescent="0.25">
      <c r="A8" s="27" t="s">
        <v>1087</v>
      </c>
    </row>
    <row r="9" spans="1:1" x14ac:dyDescent="0.25">
      <c r="A9" s="27" t="s">
        <v>1089</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tabColor theme="6"/>
  </sheetPr>
  <dimension ref="A1:L51"/>
  <sheetViews>
    <sheetView showGridLines="0" zoomScaleNormal="100" zoomScalePageLayoutView="180" workbookViewId="0">
      <selection activeCell="A2" sqref="A2"/>
    </sheetView>
  </sheetViews>
  <sheetFormatPr defaultColWidth="8.81640625" defaultRowHeight="12.5" x14ac:dyDescent="0.25"/>
  <cols>
    <col min="1" max="1" width="19.26953125" style="27" customWidth="1"/>
    <col min="2" max="2" width="23.453125" style="27" customWidth="1"/>
    <col min="3" max="5" width="14.453125" style="27" customWidth="1"/>
    <col min="6" max="7" width="21.26953125" style="27" customWidth="1"/>
    <col min="13" max="16384" width="8.81640625" style="27"/>
  </cols>
  <sheetData>
    <row r="1" spans="1:7" s="61" customFormat="1" ht="38.15" customHeight="1" x14ac:dyDescent="0.25">
      <c r="C1" s="61" t="s">
        <v>28</v>
      </c>
    </row>
    <row r="2" spans="1:7" x14ac:dyDescent="0.25">
      <c r="A2" s="30"/>
      <c r="B2" s="29"/>
      <c r="C2" s="29"/>
      <c r="D2" s="29"/>
      <c r="E2" s="29"/>
      <c r="F2" s="29"/>
      <c r="G2" s="29"/>
    </row>
    <row r="3" spans="1:7" ht="20" x14ac:dyDescent="0.25">
      <c r="A3" s="29" t="s">
        <v>29</v>
      </c>
      <c r="B3" s="61" t="s">
        <v>29</v>
      </c>
      <c r="C3" s="29" t="s">
        <v>30</v>
      </c>
      <c r="D3" s="29" t="s">
        <v>31</v>
      </c>
      <c r="E3" s="29"/>
      <c r="F3" s="29"/>
      <c r="G3" s="29"/>
    </row>
    <row r="4" spans="1:7" x14ac:dyDescent="0.25">
      <c r="A4" s="29"/>
      <c r="B4" s="29" t="s">
        <v>32</v>
      </c>
      <c r="C4" s="29"/>
      <c r="D4" s="29"/>
      <c r="E4" s="29"/>
      <c r="F4" s="29"/>
      <c r="G4" s="29"/>
    </row>
    <row r="5" spans="1:7" ht="13" x14ac:dyDescent="0.25">
      <c r="A5" s="29" t="s">
        <v>33</v>
      </c>
      <c r="B5" s="127" t="s">
        <v>33</v>
      </c>
      <c r="C5" s="29" t="s">
        <v>30</v>
      </c>
      <c r="D5" s="29" t="s">
        <v>34</v>
      </c>
      <c r="E5" s="29"/>
      <c r="F5" s="29"/>
      <c r="G5" s="29"/>
    </row>
    <row r="6" spans="1:7" x14ac:dyDescent="0.25">
      <c r="A6" s="29"/>
      <c r="B6" s="29" t="s">
        <v>32</v>
      </c>
      <c r="C6" s="29"/>
      <c r="D6" s="29"/>
      <c r="E6" s="29"/>
      <c r="F6" s="29"/>
      <c r="G6" s="29"/>
    </row>
    <row r="7" spans="1:7" ht="13" x14ac:dyDescent="0.25">
      <c r="A7" s="29" t="s">
        <v>35</v>
      </c>
      <c r="B7" s="63" t="s">
        <v>35</v>
      </c>
      <c r="C7" s="29" t="s">
        <v>36</v>
      </c>
      <c r="D7" s="29" t="s">
        <v>37</v>
      </c>
      <c r="E7" s="29"/>
      <c r="F7" s="29"/>
      <c r="G7" s="29"/>
    </row>
    <row r="8" spans="1:7" x14ac:dyDescent="0.25">
      <c r="A8" s="29"/>
      <c r="B8" s="29" t="s">
        <v>32</v>
      </c>
      <c r="C8" s="29"/>
      <c r="D8" s="29"/>
      <c r="E8" s="29"/>
      <c r="F8" s="29"/>
      <c r="G8" s="29"/>
    </row>
    <row r="9" spans="1:7" ht="13" x14ac:dyDescent="0.25">
      <c r="A9" s="29" t="s">
        <v>11</v>
      </c>
      <c r="B9" s="66" t="s">
        <v>11</v>
      </c>
      <c r="C9" s="29" t="s">
        <v>30</v>
      </c>
      <c r="D9" s="29" t="s">
        <v>38</v>
      </c>
      <c r="E9" s="29"/>
      <c r="F9" s="29"/>
      <c r="G9" s="29"/>
    </row>
    <row r="10" spans="1:7" ht="13" x14ac:dyDescent="0.3">
      <c r="A10" s="29"/>
      <c r="B10" s="69" t="s">
        <v>288</v>
      </c>
      <c r="C10" s="29"/>
      <c r="D10" s="29"/>
      <c r="E10" s="29"/>
      <c r="F10" s="29"/>
      <c r="G10" s="67"/>
    </row>
    <row r="11" spans="1:7" x14ac:dyDescent="0.25">
      <c r="A11" s="29"/>
      <c r="B11" s="29" t="s">
        <v>32</v>
      </c>
      <c r="C11" s="29"/>
      <c r="D11" s="29"/>
      <c r="E11" s="29"/>
      <c r="F11" s="29"/>
      <c r="G11" s="29"/>
    </row>
    <row r="12" spans="1:7" ht="13" x14ac:dyDescent="0.3">
      <c r="A12" s="29" t="s">
        <v>39</v>
      </c>
      <c r="B12" s="68" t="s">
        <v>39</v>
      </c>
      <c r="C12" s="29" t="s">
        <v>36</v>
      </c>
      <c r="D12" s="29" t="s">
        <v>40</v>
      </c>
      <c r="E12" s="29"/>
      <c r="F12" s="29"/>
      <c r="G12" s="67"/>
    </row>
    <row r="13" spans="1:7" ht="13" x14ac:dyDescent="0.3">
      <c r="A13" s="29"/>
      <c r="B13" s="73" t="s">
        <v>287</v>
      </c>
      <c r="C13" s="29"/>
      <c r="D13" s="29"/>
      <c r="E13" s="29"/>
      <c r="F13" s="29"/>
      <c r="G13" s="29"/>
    </row>
    <row r="14" spans="1:7" x14ac:dyDescent="0.25">
      <c r="A14" s="29"/>
      <c r="B14" s="29" t="s">
        <v>32</v>
      </c>
      <c r="C14" s="29"/>
      <c r="D14" s="29"/>
      <c r="E14" s="29"/>
      <c r="F14" s="29"/>
      <c r="G14" s="29"/>
    </row>
    <row r="15" spans="1:7" x14ac:dyDescent="0.25">
      <c r="A15" s="29" t="s">
        <v>41</v>
      </c>
      <c r="B15" s="80" t="s">
        <v>41</v>
      </c>
      <c r="C15" s="29" t="s">
        <v>36</v>
      </c>
      <c r="D15" s="29" t="s">
        <v>42</v>
      </c>
      <c r="E15" s="29"/>
      <c r="F15" s="29"/>
      <c r="G15" s="29"/>
    </row>
    <row r="16" spans="1:7" x14ac:dyDescent="0.25">
      <c r="A16" s="29"/>
      <c r="B16" s="81" t="s">
        <v>32</v>
      </c>
      <c r="C16" s="29"/>
      <c r="D16" s="29"/>
      <c r="E16" s="29"/>
      <c r="F16" s="29"/>
      <c r="G16" s="29"/>
    </row>
    <row r="17" spans="1:12" x14ac:dyDescent="0.25">
      <c r="A17" s="29" t="s">
        <v>43</v>
      </c>
      <c r="B17" s="82" t="s">
        <v>43</v>
      </c>
      <c r="C17" s="29" t="s">
        <v>36</v>
      </c>
      <c r="D17" s="29" t="s">
        <v>44</v>
      </c>
      <c r="E17" s="29"/>
      <c r="F17" s="29"/>
      <c r="G17" s="29"/>
    </row>
    <row r="18" spans="1:12" x14ac:dyDescent="0.25">
      <c r="A18" s="29"/>
      <c r="B18" s="81" t="s">
        <v>32</v>
      </c>
      <c r="C18" s="29"/>
      <c r="D18" s="29"/>
      <c r="E18" s="29"/>
      <c r="F18" s="29"/>
      <c r="G18" s="29"/>
    </row>
    <row r="19" spans="1:12" x14ac:dyDescent="0.25">
      <c r="A19" s="29" t="s">
        <v>45</v>
      </c>
      <c r="B19" s="83" t="s">
        <v>45</v>
      </c>
      <c r="C19" s="29" t="s">
        <v>36</v>
      </c>
      <c r="D19" s="29" t="s">
        <v>46</v>
      </c>
      <c r="E19" s="29"/>
      <c r="F19" s="29"/>
      <c r="G19" s="29"/>
    </row>
    <row r="20" spans="1:12" x14ac:dyDescent="0.25">
      <c r="A20" s="29"/>
      <c r="B20" s="81" t="s">
        <v>32</v>
      </c>
      <c r="C20" s="29"/>
      <c r="D20" s="29"/>
      <c r="E20" s="29"/>
      <c r="F20" s="29"/>
      <c r="G20" s="29"/>
    </row>
    <row r="21" spans="1:12" x14ac:dyDescent="0.25">
      <c r="A21" s="29" t="s">
        <v>47</v>
      </c>
      <c r="B21" s="84" t="s">
        <v>47</v>
      </c>
      <c r="C21" s="29" t="s">
        <v>36</v>
      </c>
      <c r="D21" s="29" t="s">
        <v>48</v>
      </c>
      <c r="E21" s="29"/>
      <c r="F21" s="29"/>
      <c r="G21" s="29"/>
    </row>
    <row r="22" spans="1:12" x14ac:dyDescent="0.25">
      <c r="A22" s="29"/>
      <c r="B22" s="81" t="s">
        <v>32</v>
      </c>
      <c r="C22" s="29"/>
      <c r="D22" s="29"/>
      <c r="E22" s="29"/>
      <c r="F22" s="29"/>
      <c r="G22" s="29"/>
    </row>
    <row r="23" spans="1:12" ht="13" x14ac:dyDescent="0.3">
      <c r="A23" s="29" t="s">
        <v>49</v>
      </c>
      <c r="B23" s="85" t="s">
        <v>49</v>
      </c>
      <c r="C23" s="29" t="s">
        <v>36</v>
      </c>
      <c r="D23" s="29" t="s">
        <v>50</v>
      </c>
      <c r="E23" s="29"/>
      <c r="F23" s="29"/>
      <c r="G23" s="29"/>
    </row>
    <row r="24" spans="1:12" x14ac:dyDescent="0.25">
      <c r="A24" s="29"/>
      <c r="B24" s="81" t="s">
        <v>32</v>
      </c>
      <c r="C24" s="29"/>
      <c r="D24" s="29"/>
      <c r="E24" s="29"/>
      <c r="F24" s="29"/>
      <c r="G24" s="29"/>
    </row>
    <row r="25" spans="1:12" x14ac:dyDescent="0.25">
      <c r="A25" s="29" t="s">
        <v>51</v>
      </c>
      <c r="B25" s="159" t="s">
        <v>52</v>
      </c>
      <c r="C25" s="29" t="s">
        <v>36</v>
      </c>
      <c r="D25" s="29" t="s">
        <v>53</v>
      </c>
      <c r="E25" s="29"/>
      <c r="F25" s="29"/>
      <c r="G25" s="29"/>
    </row>
    <row r="26" spans="1:12" x14ac:dyDescent="0.25">
      <c r="A26" s="29"/>
      <c r="B26" s="29" t="s">
        <v>32</v>
      </c>
      <c r="C26" s="29"/>
      <c r="D26" s="29"/>
      <c r="E26" s="29"/>
      <c r="F26" s="29"/>
      <c r="G26" s="29"/>
    </row>
    <row r="27" spans="1:12" x14ac:dyDescent="0.25">
      <c r="A27" s="29" t="s">
        <v>54</v>
      </c>
      <c r="B27" s="52" t="s">
        <v>55</v>
      </c>
      <c r="C27" s="29" t="s">
        <v>30</v>
      </c>
      <c r="D27" s="29" t="s">
        <v>56</v>
      </c>
      <c r="E27" s="29"/>
      <c r="F27" s="29"/>
      <c r="G27" s="29"/>
    </row>
    <row r="28" spans="1:12" x14ac:dyDescent="0.25">
      <c r="A28" s="29"/>
      <c r="B28" s="29" t="s">
        <v>32</v>
      </c>
      <c r="C28" s="29"/>
      <c r="D28" s="29"/>
      <c r="E28" s="29"/>
      <c r="F28" s="29"/>
      <c r="G28" s="29"/>
    </row>
    <row r="29" spans="1:12" ht="13" x14ac:dyDescent="0.25">
      <c r="A29" s="29" t="s">
        <v>10</v>
      </c>
      <c r="B29" s="31" t="s">
        <v>10</v>
      </c>
      <c r="C29" s="29" t="s">
        <v>36</v>
      </c>
      <c r="D29" s="29" t="s">
        <v>57</v>
      </c>
      <c r="E29" s="29"/>
      <c r="F29" s="29"/>
      <c r="G29" s="29"/>
    </row>
    <row r="30" spans="1:12" x14ac:dyDescent="0.25">
      <c r="A30" s="29"/>
      <c r="B30" s="32"/>
      <c r="C30" s="33"/>
      <c r="D30" s="29"/>
      <c r="E30" s="29"/>
      <c r="F30" s="29"/>
      <c r="G30" s="29"/>
    </row>
    <row r="31" spans="1:12" x14ac:dyDescent="0.25">
      <c r="A31" s="29"/>
      <c r="B31" s="29"/>
      <c r="C31" s="33" t="str">
        <f>SUBSTITUTE(A31, " ", "_")</f>
        <v/>
      </c>
      <c r="D31" s="29"/>
      <c r="E31" s="29"/>
      <c r="F31" s="29"/>
      <c r="G31"/>
      <c r="H31" s="27"/>
      <c r="I31" s="27"/>
      <c r="J31" s="27"/>
      <c r="K31" s="27"/>
      <c r="L31" s="27"/>
    </row>
    <row r="32" spans="1:12" ht="20" x14ac:dyDescent="0.25">
      <c r="B32" s="61" t="s">
        <v>368</v>
      </c>
      <c r="C32" s="61"/>
      <c r="D32" s="61"/>
      <c r="E32" s="61"/>
      <c r="F32" s="61"/>
      <c r="G32"/>
      <c r="H32" s="27"/>
      <c r="I32" s="27"/>
      <c r="J32" s="27"/>
      <c r="K32" s="27"/>
      <c r="L32" s="27"/>
    </row>
    <row r="33" spans="2:12" ht="13" x14ac:dyDescent="0.25">
      <c r="B33" s="62" t="s">
        <v>369</v>
      </c>
      <c r="C33" s="128" t="s">
        <v>58</v>
      </c>
      <c r="D33" s="128" t="s">
        <v>59</v>
      </c>
      <c r="E33" s="128" t="s">
        <v>60</v>
      </c>
      <c r="F33" s="62"/>
      <c r="G33"/>
      <c r="H33" s="27"/>
      <c r="I33" s="27"/>
      <c r="J33" s="27"/>
      <c r="K33" s="27"/>
      <c r="L33" s="27"/>
    </row>
    <row r="34" spans="2:12" x14ac:dyDescent="0.25">
      <c r="B34" s="64" t="s">
        <v>61</v>
      </c>
      <c r="C34" s="195">
        <v>0</v>
      </c>
      <c r="D34" s="195">
        <v>174</v>
      </c>
      <c r="E34" s="195">
        <v>229</v>
      </c>
      <c r="F34" s="532" t="s">
        <v>370</v>
      </c>
      <c r="G34" s="153"/>
      <c r="H34" s="27"/>
      <c r="I34" s="27"/>
      <c r="J34" s="27"/>
      <c r="K34" s="27"/>
      <c r="L34" s="27"/>
    </row>
    <row r="35" spans="2:12" x14ac:dyDescent="0.25">
      <c r="B35" s="34" t="s">
        <v>62</v>
      </c>
      <c r="C35" s="194">
        <v>118</v>
      </c>
      <c r="D35" s="194">
        <v>84</v>
      </c>
      <c r="E35" s="194">
        <v>163</v>
      </c>
      <c r="F35" s="532"/>
      <c r="G35" s="153"/>
      <c r="H35" s="27"/>
      <c r="I35" s="27"/>
      <c r="J35" s="27"/>
      <c r="K35" s="27"/>
      <c r="L35" s="27"/>
    </row>
    <row r="36" spans="2:12" x14ac:dyDescent="0.25">
      <c r="B36" s="34" t="s">
        <v>63</v>
      </c>
      <c r="C36" s="97">
        <v>67</v>
      </c>
      <c r="D36" s="97">
        <v>190</v>
      </c>
      <c r="E36" s="97">
        <v>173</v>
      </c>
      <c r="F36" s="532"/>
      <c r="G36" s="153"/>
      <c r="H36" s="27"/>
      <c r="I36" s="27"/>
      <c r="J36" s="27"/>
      <c r="K36" s="27"/>
      <c r="L36" s="27"/>
    </row>
    <row r="37" spans="2:12" x14ac:dyDescent="0.25">
      <c r="B37" s="34" t="s">
        <v>64</v>
      </c>
      <c r="C37" s="200">
        <v>255</v>
      </c>
      <c r="D37" s="200">
        <v>232</v>
      </c>
      <c r="E37" s="200">
        <v>56</v>
      </c>
      <c r="F37" s="532"/>
      <c r="G37"/>
      <c r="H37" s="27"/>
      <c r="I37" s="27"/>
      <c r="J37" s="27"/>
      <c r="K37" s="27"/>
      <c r="L37" s="27"/>
    </row>
    <row r="38" spans="2:12" x14ac:dyDescent="0.25">
      <c r="B38" s="34" t="s">
        <v>65</v>
      </c>
      <c r="C38" s="201">
        <v>237</v>
      </c>
      <c r="D38" s="201">
        <v>49</v>
      </c>
      <c r="E38" s="201">
        <v>36</v>
      </c>
      <c r="F38" s="532"/>
      <c r="G38"/>
      <c r="H38" s="27"/>
      <c r="I38" s="27"/>
      <c r="J38" s="27"/>
      <c r="K38" s="27"/>
      <c r="L38" s="27"/>
    </row>
    <row r="39" spans="2:12" x14ac:dyDescent="0.25">
      <c r="B39" s="34" t="s">
        <v>66</v>
      </c>
      <c r="C39" s="95">
        <v>25</v>
      </c>
      <c r="D39" s="95">
        <v>178</v>
      </c>
      <c r="E39" s="95">
        <v>78</v>
      </c>
      <c r="F39" s="532"/>
      <c r="G39"/>
      <c r="H39" s="27"/>
      <c r="I39" s="27"/>
      <c r="J39" s="27"/>
      <c r="K39" s="27"/>
      <c r="L39" s="27"/>
    </row>
    <row r="40" spans="2:12" x14ac:dyDescent="0.25">
      <c r="B40" s="34" t="s">
        <v>67</v>
      </c>
      <c r="C40" s="103">
        <v>189</v>
      </c>
      <c r="D40" s="103">
        <v>92</v>
      </c>
      <c r="E40" s="103">
        <v>163</v>
      </c>
      <c r="F40" s="532"/>
      <c r="G40"/>
      <c r="H40" s="27"/>
      <c r="I40" s="27"/>
      <c r="J40" s="27"/>
      <c r="K40" s="27"/>
      <c r="L40" s="27"/>
    </row>
    <row r="41" spans="2:12" x14ac:dyDescent="0.25">
      <c r="B41" s="34" t="s">
        <v>68</v>
      </c>
      <c r="C41" s="96">
        <v>65</v>
      </c>
      <c r="D41" s="96">
        <v>65</v>
      </c>
      <c r="E41" s="96">
        <v>65</v>
      </c>
      <c r="F41" s="532"/>
      <c r="G41"/>
      <c r="H41" s="27"/>
      <c r="I41" s="27"/>
      <c r="J41" s="27"/>
      <c r="K41" s="27"/>
      <c r="L41" s="27"/>
    </row>
    <row r="42" spans="2:12" x14ac:dyDescent="0.25">
      <c r="B42" s="34" t="s">
        <v>69</v>
      </c>
      <c r="C42" s="193">
        <v>255</v>
      </c>
      <c r="D42" s="193">
        <v>201</v>
      </c>
      <c r="E42" s="193">
        <v>29</v>
      </c>
      <c r="F42" s="532"/>
      <c r="G42"/>
      <c r="H42" s="27"/>
      <c r="I42" s="27"/>
      <c r="J42" s="27"/>
      <c r="K42" s="27"/>
      <c r="L42" s="27"/>
    </row>
    <row r="43" spans="2:12" x14ac:dyDescent="0.25">
      <c r="B43" s="35" t="s">
        <v>70</v>
      </c>
      <c r="C43" s="198">
        <v>210</v>
      </c>
      <c r="D43" s="198">
        <v>210</v>
      </c>
      <c r="E43" s="198">
        <v>210</v>
      </c>
      <c r="F43" s="532"/>
      <c r="G43"/>
      <c r="H43" s="27"/>
      <c r="I43" s="27"/>
      <c r="J43" s="27"/>
      <c r="K43" s="27"/>
      <c r="L43" s="27"/>
    </row>
    <row r="44" spans="2:12" x14ac:dyDescent="0.25">
      <c r="B44" s="36"/>
      <c r="C44" s="214">
        <v>0</v>
      </c>
      <c r="D44" s="214">
        <v>0</v>
      </c>
      <c r="E44" s="214">
        <v>0</v>
      </c>
      <c r="F44" s="533" t="s">
        <v>399</v>
      </c>
      <c r="G44"/>
      <c r="H44" s="27"/>
      <c r="I44" s="27"/>
      <c r="J44" s="27"/>
      <c r="K44" s="27"/>
      <c r="L44" s="27"/>
    </row>
    <row r="45" spans="2:12" x14ac:dyDescent="0.25">
      <c r="B45" s="36" t="s">
        <v>454</v>
      </c>
      <c r="C45" s="196">
        <v>179</v>
      </c>
      <c r="D45" s="196">
        <v>179</v>
      </c>
      <c r="E45" s="196">
        <v>179</v>
      </c>
      <c r="F45" s="534"/>
      <c r="G45"/>
      <c r="H45" s="27"/>
      <c r="I45" s="27"/>
      <c r="J45" s="27"/>
      <c r="K45" s="27"/>
      <c r="L45" s="27"/>
    </row>
    <row r="46" spans="2:12" x14ac:dyDescent="0.25">
      <c r="B46" s="36"/>
      <c r="C46" s="197">
        <v>192</v>
      </c>
      <c r="D46" s="197">
        <v>192</v>
      </c>
      <c r="E46" s="197">
        <v>192</v>
      </c>
      <c r="F46" s="534"/>
      <c r="G46"/>
      <c r="H46" s="27"/>
      <c r="I46" s="27"/>
      <c r="J46" s="27"/>
      <c r="K46" s="27"/>
      <c r="L46" s="27"/>
    </row>
    <row r="47" spans="2:12" x14ac:dyDescent="0.25">
      <c r="B47" s="37" t="s">
        <v>400</v>
      </c>
      <c r="C47" s="198">
        <v>210</v>
      </c>
      <c r="D47" s="198">
        <v>210</v>
      </c>
      <c r="E47" s="198">
        <v>210</v>
      </c>
      <c r="F47" s="535"/>
      <c r="G47"/>
      <c r="H47" s="27"/>
      <c r="I47" s="27"/>
      <c r="J47" s="27"/>
      <c r="K47" s="27"/>
      <c r="L47" s="27"/>
    </row>
    <row r="48" spans="2:12" x14ac:dyDescent="0.25">
      <c r="B48" s="70" t="s">
        <v>371</v>
      </c>
      <c r="C48" s="71"/>
      <c r="D48" s="71"/>
      <c r="E48" s="71"/>
      <c r="F48" s="71"/>
      <c r="G48"/>
      <c r="H48" s="27"/>
      <c r="I48" s="27"/>
      <c r="J48" s="27"/>
      <c r="K48" s="27"/>
      <c r="L48" s="27"/>
    </row>
    <row r="49" spans="7:12" x14ac:dyDescent="0.25">
      <c r="G49"/>
      <c r="H49" s="27"/>
      <c r="I49" s="27"/>
      <c r="J49" s="27"/>
      <c r="K49" s="27"/>
      <c r="L49" s="27"/>
    </row>
    <row r="50" spans="7:12" x14ac:dyDescent="0.25">
      <c r="G50"/>
      <c r="H50" s="27"/>
      <c r="I50" s="27"/>
      <c r="J50" s="27"/>
      <c r="K50" s="27"/>
      <c r="L50" s="27"/>
    </row>
    <row r="51" spans="7:12" x14ac:dyDescent="0.25">
      <c r="G51"/>
      <c r="H51" s="27"/>
      <c r="I51" s="27"/>
      <c r="J51" s="27"/>
      <c r="K51" s="27"/>
      <c r="L51" s="27"/>
    </row>
  </sheetData>
  <mergeCells count="2">
    <mergeCell ref="F34:F43"/>
    <mergeCell ref="F44:F47"/>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4">
    <tabColor theme="6"/>
  </sheetPr>
  <dimension ref="A1:AE66"/>
  <sheetViews>
    <sheetView showGridLines="0" zoomScaleNormal="100" zoomScalePageLayoutView="140" workbookViewId="0">
      <selection activeCell="A2" sqref="A2"/>
    </sheetView>
  </sheetViews>
  <sheetFormatPr defaultColWidth="8.81640625" defaultRowHeight="12.5" x14ac:dyDescent="0.25"/>
  <cols>
    <col min="1" max="1" width="4.1796875" style="25" customWidth="1"/>
    <col min="2" max="2" width="20.453125" style="25" customWidth="1"/>
    <col min="3" max="14" width="9.453125" style="25" customWidth="1"/>
    <col min="15" max="16384" width="8.81640625" style="25"/>
  </cols>
  <sheetData>
    <row r="1" spans="1:19" s="61" customFormat="1" ht="37.5" customHeight="1" x14ac:dyDescent="0.25">
      <c r="F1" s="61" t="s">
        <v>72</v>
      </c>
    </row>
    <row r="3" spans="1:19" ht="13" x14ac:dyDescent="0.3">
      <c r="A3" s="38"/>
      <c r="B3" s="57" t="s">
        <v>26</v>
      </c>
      <c r="C3" s="58"/>
      <c r="D3" s="58"/>
      <c r="E3" s="58"/>
      <c r="F3" s="58"/>
      <c r="G3" s="58"/>
      <c r="H3" s="58"/>
      <c r="I3" s="58"/>
    </row>
    <row r="4" spans="1:19" ht="13" x14ac:dyDescent="0.3">
      <c r="A4" s="38"/>
      <c r="B4" s="59" t="s">
        <v>27</v>
      </c>
      <c r="C4" s="58"/>
      <c r="D4" s="58"/>
      <c r="E4" s="58"/>
      <c r="F4" s="58"/>
      <c r="G4" s="58"/>
      <c r="H4" s="58"/>
      <c r="I4" s="58"/>
    </row>
    <row r="5" spans="1:19" ht="13" x14ac:dyDescent="0.3">
      <c r="A5" s="38"/>
      <c r="B5" s="59" t="s">
        <v>73</v>
      </c>
      <c r="C5" s="58"/>
      <c r="D5" s="58"/>
      <c r="E5" s="58"/>
      <c r="F5" s="58"/>
      <c r="G5" s="58"/>
      <c r="H5" s="58"/>
      <c r="I5" s="58"/>
    </row>
    <row r="6" spans="1:19" ht="13" x14ac:dyDescent="0.3">
      <c r="A6" s="38"/>
      <c r="B6" s="59"/>
      <c r="C6" s="58"/>
      <c r="D6" s="58"/>
      <c r="E6" s="58"/>
      <c r="F6" s="58"/>
      <c r="G6" s="58"/>
      <c r="H6" s="58"/>
      <c r="I6" s="58"/>
    </row>
    <row r="7" spans="1:19" ht="13" x14ac:dyDescent="0.3">
      <c r="A7" s="38"/>
    </row>
    <row r="8" spans="1:19" ht="13" x14ac:dyDescent="0.25">
      <c r="A8" s="207" t="s">
        <v>349</v>
      </c>
      <c r="H8" s="142" t="s">
        <v>350</v>
      </c>
    </row>
    <row r="9" spans="1:19" ht="13" x14ac:dyDescent="0.3">
      <c r="A9" s="38"/>
    </row>
    <row r="10" spans="1:19" ht="13" x14ac:dyDescent="0.3">
      <c r="A10" s="38"/>
      <c r="G10" s="38"/>
      <c r="H10" s="39"/>
      <c r="O10" s="72"/>
      <c r="P10" s="86"/>
    </row>
    <row r="11" spans="1:19" ht="13" x14ac:dyDescent="0.3">
      <c r="A11" s="38"/>
      <c r="G11" s="38"/>
      <c r="H11" s="39"/>
      <c r="O11" s="72"/>
      <c r="P11" s="72"/>
    </row>
    <row r="12" spans="1:19" ht="13" x14ac:dyDescent="0.3">
      <c r="A12" s="38"/>
      <c r="G12" s="38"/>
      <c r="H12" s="39"/>
      <c r="O12" s="72"/>
      <c r="P12" s="72"/>
    </row>
    <row r="13" spans="1:19" ht="13" x14ac:dyDescent="0.3">
      <c r="A13" s="38"/>
      <c r="G13" s="38"/>
      <c r="H13" s="39"/>
      <c r="O13" s="72"/>
      <c r="P13" s="148"/>
      <c r="Q13" s="144"/>
      <c r="R13" s="144"/>
      <c r="S13" s="144"/>
    </row>
    <row r="14" spans="1:19" ht="13" x14ac:dyDescent="0.3">
      <c r="A14" s="38"/>
      <c r="G14" s="38"/>
      <c r="H14" s="39"/>
      <c r="M14" s="142"/>
      <c r="O14" s="72"/>
      <c r="P14" s="143"/>
      <c r="Q14" s="144"/>
      <c r="R14" s="144"/>
      <c r="S14" s="144"/>
    </row>
    <row r="15" spans="1:19" ht="13" x14ac:dyDescent="0.3">
      <c r="A15" s="38"/>
      <c r="G15" s="38"/>
      <c r="H15" s="39"/>
      <c r="O15" s="72"/>
      <c r="P15" s="143"/>
      <c r="Q15" s="144"/>
      <c r="R15" s="144"/>
      <c r="S15" s="144"/>
    </row>
    <row r="16" spans="1:19" ht="13" x14ac:dyDescent="0.3">
      <c r="A16" s="38"/>
      <c r="G16" s="38"/>
      <c r="O16" s="72"/>
      <c r="P16" s="72"/>
    </row>
    <row r="17" spans="1:31" ht="13" x14ac:dyDescent="0.3">
      <c r="A17" s="38"/>
      <c r="G17" s="38"/>
      <c r="O17" s="86"/>
      <c r="P17" s="72"/>
    </row>
    <row r="18" spans="1:31" ht="13" x14ac:dyDescent="0.3">
      <c r="A18" s="38"/>
      <c r="G18" s="38"/>
      <c r="O18" s="72"/>
      <c r="P18" s="72"/>
      <c r="U18" s="153"/>
      <c r="V18" s="153"/>
      <c r="W18" s="153"/>
      <c r="X18" s="153"/>
      <c r="Y18" s="153"/>
      <c r="Z18" s="153"/>
      <c r="AA18" s="153"/>
      <c r="AB18" s="153"/>
      <c r="AC18" s="153"/>
      <c r="AD18" s="153"/>
      <c r="AE18" s="153"/>
    </row>
    <row r="19" spans="1:31" ht="13" x14ac:dyDescent="0.3">
      <c r="H19" s="38"/>
      <c r="O19" s="72"/>
      <c r="P19" s="72"/>
      <c r="U19" s="153"/>
      <c r="V19" s="153"/>
      <c r="W19" s="153"/>
      <c r="X19" s="153"/>
      <c r="Y19" s="153"/>
      <c r="Z19" s="153"/>
      <c r="AA19" s="153"/>
      <c r="AB19" s="153"/>
      <c r="AC19" s="153"/>
      <c r="AD19" s="153"/>
      <c r="AE19" s="153"/>
    </row>
    <row r="20" spans="1:31" x14ac:dyDescent="0.25">
      <c r="O20" s="72"/>
      <c r="P20" s="72"/>
      <c r="U20" s="153"/>
      <c r="V20" s="153"/>
      <c r="W20" s="153"/>
      <c r="X20" s="153"/>
      <c r="Y20" s="153"/>
      <c r="Z20" s="153"/>
      <c r="AA20" s="153"/>
      <c r="AB20" s="153"/>
      <c r="AC20" s="153"/>
      <c r="AD20" s="153"/>
      <c r="AE20" s="153"/>
    </row>
    <row r="21" spans="1:31" ht="13" x14ac:dyDescent="0.3">
      <c r="A21" s="38"/>
      <c r="O21" s="72"/>
      <c r="P21" s="72"/>
      <c r="S21" s="153"/>
      <c r="T21" s="153"/>
      <c r="U21" s="153"/>
      <c r="V21" s="153"/>
      <c r="W21" s="153"/>
      <c r="X21" s="153"/>
      <c r="Y21" s="153"/>
      <c r="Z21" s="153"/>
      <c r="AA21" s="153"/>
      <c r="AB21" s="153"/>
      <c r="AC21" s="153"/>
      <c r="AD21" s="153"/>
      <c r="AE21" s="153"/>
    </row>
    <row r="22" spans="1:31" ht="13" x14ac:dyDescent="0.3">
      <c r="A22" s="38"/>
      <c r="O22" s="72"/>
      <c r="P22" s="72"/>
      <c r="S22" s="153"/>
      <c r="T22" s="153"/>
      <c r="U22" s="153"/>
      <c r="V22" s="153"/>
      <c r="W22" s="153"/>
      <c r="X22" s="153"/>
      <c r="Y22" s="153"/>
      <c r="Z22" s="153"/>
      <c r="AA22" s="153"/>
      <c r="AB22" s="153"/>
      <c r="AC22" s="153"/>
      <c r="AD22" s="153"/>
      <c r="AE22" s="153"/>
    </row>
    <row r="23" spans="1:31" ht="13" x14ac:dyDescent="0.3">
      <c r="A23" s="38"/>
      <c r="S23" s="153"/>
      <c r="T23" s="153"/>
      <c r="U23" s="153"/>
      <c r="V23" s="153"/>
      <c r="W23" s="153"/>
      <c r="X23" s="153"/>
      <c r="Y23" s="153"/>
      <c r="Z23" s="153"/>
      <c r="AA23" s="153"/>
      <c r="AB23" s="153"/>
      <c r="AC23" s="153"/>
      <c r="AD23" s="153"/>
      <c r="AE23" s="153"/>
    </row>
    <row r="24" spans="1:31" ht="13" x14ac:dyDescent="0.3">
      <c r="A24" s="38"/>
      <c r="B24" s="38" t="s">
        <v>74</v>
      </c>
      <c r="C24" s="536" t="s">
        <v>75</v>
      </c>
      <c r="D24" s="536"/>
      <c r="E24" s="38"/>
      <c r="F24" s="38"/>
      <c r="S24" s="153"/>
      <c r="T24" s="153"/>
      <c r="U24" s="153"/>
      <c r="V24" s="153"/>
      <c r="W24" s="153"/>
      <c r="X24" s="153"/>
      <c r="Y24" s="153"/>
      <c r="Z24" s="153"/>
      <c r="AA24" s="153"/>
      <c r="AB24" s="153"/>
      <c r="AC24" s="153"/>
      <c r="AD24" s="153"/>
      <c r="AE24" s="153"/>
    </row>
    <row r="25" spans="1:31" ht="13" x14ac:dyDescent="0.3">
      <c r="A25" s="38"/>
      <c r="B25" s="38"/>
      <c r="C25" s="38"/>
      <c r="D25" s="38"/>
      <c r="E25" s="38"/>
      <c r="F25" s="38"/>
      <c r="S25" s="153"/>
      <c r="T25" s="153"/>
      <c r="U25" s="153"/>
      <c r="V25" s="153"/>
      <c r="W25" s="153"/>
      <c r="X25" s="153"/>
      <c r="Y25" s="153"/>
      <c r="Z25" s="153"/>
      <c r="AA25" s="153"/>
      <c r="AB25" s="153"/>
      <c r="AC25" s="153"/>
      <c r="AD25" s="153"/>
      <c r="AE25" s="153"/>
    </row>
    <row r="26" spans="1:31" ht="13" x14ac:dyDescent="0.25">
      <c r="A26" s="207" t="s">
        <v>6</v>
      </c>
      <c r="S26" s="153"/>
      <c r="T26" s="153"/>
      <c r="U26" s="153"/>
      <c r="V26" s="153"/>
      <c r="W26" s="153"/>
      <c r="X26" s="153"/>
      <c r="Y26" s="153"/>
      <c r="Z26" s="153"/>
      <c r="AA26" s="153"/>
      <c r="AB26" s="153"/>
      <c r="AC26" s="153"/>
      <c r="AD26" s="153"/>
      <c r="AE26" s="153"/>
    </row>
    <row r="27" spans="1:31" x14ac:dyDescent="0.25">
      <c r="S27" s="153"/>
      <c r="T27" s="153"/>
      <c r="U27" s="153"/>
      <c r="V27" s="153"/>
      <c r="W27" s="153"/>
      <c r="X27" s="153"/>
      <c r="Y27" s="153"/>
      <c r="Z27" s="153"/>
      <c r="AA27" s="153"/>
      <c r="AB27" s="153"/>
      <c r="AC27" s="153"/>
      <c r="AD27" s="153"/>
      <c r="AE27" s="153"/>
    </row>
    <row r="28" spans="1:31" ht="20" x14ac:dyDescent="0.25">
      <c r="B28" s="61" t="s">
        <v>76</v>
      </c>
      <c r="C28" s="61"/>
      <c r="D28" s="61"/>
      <c r="E28" s="61"/>
      <c r="F28" s="61"/>
      <c r="G28" s="61"/>
      <c r="H28" s="61"/>
      <c r="I28" s="61"/>
      <c r="J28" s="61"/>
      <c r="K28" s="61"/>
      <c r="L28" s="61"/>
      <c r="M28" s="61"/>
      <c r="N28" s="61"/>
      <c r="S28" s="153"/>
      <c r="T28" s="153"/>
      <c r="U28" s="153"/>
      <c r="V28" s="153"/>
      <c r="W28" s="153"/>
      <c r="X28" s="153"/>
      <c r="Y28" s="153"/>
      <c r="Z28" s="153"/>
      <c r="AA28" s="153"/>
      <c r="AB28" s="153"/>
      <c r="AC28" s="153"/>
      <c r="AD28" s="153"/>
      <c r="AE28" s="153"/>
    </row>
    <row r="29" spans="1:31" ht="13" x14ac:dyDescent="0.3">
      <c r="B29" s="62" t="s">
        <v>7</v>
      </c>
      <c r="C29" s="157" t="s">
        <v>8</v>
      </c>
      <c r="D29" s="156">
        <f>ROWS(B31:B44)</f>
        <v>14</v>
      </c>
      <c r="E29" s="157" t="s">
        <v>9</v>
      </c>
      <c r="F29" s="156">
        <f>COLUMNS(B30:N30)</f>
        <v>13</v>
      </c>
      <c r="G29" s="62" t="s">
        <v>77</v>
      </c>
      <c r="H29" s="62"/>
      <c r="I29" s="62"/>
      <c r="J29" s="68">
        <v>1</v>
      </c>
      <c r="K29" s="62"/>
      <c r="L29" s="62"/>
      <c r="M29" s="62"/>
      <c r="N29" s="62"/>
      <c r="S29" s="153"/>
      <c r="T29" s="153"/>
      <c r="U29" s="153"/>
      <c r="V29" s="153"/>
      <c r="W29" s="153"/>
      <c r="X29" s="153"/>
      <c r="Y29" s="153"/>
      <c r="Z29" s="153"/>
      <c r="AA29" s="153"/>
      <c r="AB29" s="153"/>
      <c r="AC29" s="153"/>
      <c r="AD29" s="153"/>
      <c r="AE29" s="153"/>
    </row>
    <row r="30" spans="1:31" ht="13" x14ac:dyDescent="0.25">
      <c r="B30" s="154"/>
      <c r="C30" s="172">
        <v>2015</v>
      </c>
      <c r="D30" s="173">
        <f t="shared" ref="D30:N30" si="0">C30+1</f>
        <v>2016</v>
      </c>
      <c r="E30" s="173">
        <f t="shared" si="0"/>
        <v>2017</v>
      </c>
      <c r="F30" s="173">
        <f t="shared" si="0"/>
        <v>2018</v>
      </c>
      <c r="G30" s="173">
        <f t="shared" si="0"/>
        <v>2019</v>
      </c>
      <c r="H30" s="173">
        <f t="shared" si="0"/>
        <v>2020</v>
      </c>
      <c r="I30" s="173">
        <f t="shared" si="0"/>
        <v>2021</v>
      </c>
      <c r="J30" s="173">
        <f t="shared" si="0"/>
        <v>2022</v>
      </c>
      <c r="K30" s="173">
        <f t="shared" si="0"/>
        <v>2023</v>
      </c>
      <c r="L30" s="173">
        <f t="shared" si="0"/>
        <v>2024</v>
      </c>
      <c r="M30" s="173">
        <f t="shared" si="0"/>
        <v>2025</v>
      </c>
      <c r="N30" s="173">
        <f t="shared" si="0"/>
        <v>2026</v>
      </c>
      <c r="S30" s="153"/>
      <c r="T30" s="153"/>
      <c r="U30" s="153"/>
      <c r="V30" s="153"/>
      <c r="W30" s="153"/>
      <c r="X30" s="153"/>
      <c r="Y30" s="153"/>
      <c r="Z30" s="153"/>
      <c r="AA30" s="153"/>
      <c r="AB30" s="153"/>
      <c r="AC30" s="153"/>
      <c r="AD30" s="153"/>
      <c r="AE30" s="153"/>
    </row>
    <row r="31" spans="1:31" x14ac:dyDescent="0.25">
      <c r="B31" s="135" t="s">
        <v>12</v>
      </c>
      <c r="C31" s="162">
        <f>C52 * $J$29</f>
        <v>273.602385445077</v>
      </c>
      <c r="D31" s="162">
        <f t="shared" ref="D31:N31" si="1">D52 * $J$29</f>
        <v>317.56248885071579</v>
      </c>
      <c r="E31" s="162">
        <f t="shared" si="1"/>
        <v>61.092920230930488</v>
      </c>
      <c r="F31" s="162">
        <f t="shared" si="1"/>
        <v>534.3577403771319</v>
      </c>
      <c r="G31" s="162">
        <f t="shared" si="1"/>
        <v>168.52159951406409</v>
      </c>
      <c r="H31" s="162">
        <f t="shared" si="1"/>
        <v>308.64156352528215</v>
      </c>
      <c r="I31" s="162">
        <f t="shared" si="1"/>
        <v>558.07225492569785</v>
      </c>
      <c r="J31" s="162">
        <f t="shared" si="1"/>
        <v>295.45272516093399</v>
      </c>
      <c r="K31" s="162">
        <f t="shared" si="1"/>
        <v>302.07590041537458</v>
      </c>
      <c r="L31" s="162">
        <f t="shared" si="1"/>
        <v>460.20692636640035</v>
      </c>
      <c r="M31" s="162">
        <f t="shared" si="1"/>
        <v>331.96301619541413</v>
      </c>
      <c r="N31" s="162">
        <f t="shared" si="1"/>
        <v>161.0125433516919</v>
      </c>
      <c r="S31" s="153"/>
      <c r="T31" s="153"/>
      <c r="U31" s="153"/>
      <c r="V31" s="153"/>
      <c r="W31" s="153"/>
      <c r="X31" s="153"/>
      <c r="Y31" s="153"/>
      <c r="Z31" s="153"/>
      <c r="AA31" s="153"/>
      <c r="AB31" s="153"/>
      <c r="AC31" s="153"/>
      <c r="AD31" s="153"/>
      <c r="AE31" s="153"/>
    </row>
    <row r="32" spans="1:31" x14ac:dyDescent="0.25">
      <c r="B32" s="135" t="s">
        <v>13</v>
      </c>
      <c r="C32" s="162">
        <f t="shared" ref="C32:N32" si="2">C53 * $J$29</f>
        <v>669.64638765888947</v>
      </c>
      <c r="D32" s="162">
        <f t="shared" si="2"/>
        <v>533.85574952397099</v>
      </c>
      <c r="E32" s="162">
        <f t="shared" si="2"/>
        <v>103.78834564168193</v>
      </c>
      <c r="F32" s="162">
        <f t="shared" si="2"/>
        <v>463.72732911222283</v>
      </c>
      <c r="G32" s="162">
        <f t="shared" si="2"/>
        <v>520.71699758344221</v>
      </c>
      <c r="H32" s="162">
        <f t="shared" si="2"/>
        <v>768.83725040100069</v>
      </c>
      <c r="I32" s="162">
        <f t="shared" si="2"/>
        <v>208.98005755077352</v>
      </c>
      <c r="J32" s="162">
        <f t="shared" si="2"/>
        <v>280.04308061221263</v>
      </c>
      <c r="K32" s="162">
        <f t="shared" si="2"/>
        <v>718.43829979482814</v>
      </c>
      <c r="L32" s="162">
        <f t="shared" si="2"/>
        <v>903.11029546399459</v>
      </c>
      <c r="M32" s="162">
        <f t="shared" si="2"/>
        <v>463.21804407982046</v>
      </c>
      <c r="N32" s="162">
        <f t="shared" si="2"/>
        <v>856.58123318390619</v>
      </c>
      <c r="S32" s="153"/>
      <c r="T32" s="153"/>
      <c r="U32" s="153"/>
      <c r="V32" s="153"/>
      <c r="W32" s="153"/>
      <c r="X32" s="153"/>
      <c r="Y32" s="153"/>
      <c r="Z32" s="153"/>
      <c r="AA32" s="153"/>
      <c r="AB32" s="153"/>
      <c r="AC32" s="153"/>
      <c r="AD32" s="153"/>
      <c r="AE32" s="153"/>
    </row>
    <row r="33" spans="1:31" x14ac:dyDescent="0.25">
      <c r="B33" s="135" t="s">
        <v>14</v>
      </c>
      <c r="C33" s="162">
        <f t="shared" ref="C33:N33" si="3">C54 * $J$29</f>
        <v>924.936390970758</v>
      </c>
      <c r="D33" s="162">
        <f t="shared" si="3"/>
        <v>628.48340474712529</v>
      </c>
      <c r="E33" s="162">
        <f t="shared" si="3"/>
        <v>473.41409461901253</v>
      </c>
      <c r="F33" s="162">
        <f t="shared" si="3"/>
        <v>342.90755066125087</v>
      </c>
      <c r="G33" s="162">
        <f t="shared" si="3"/>
        <v>441.10870090589316</v>
      </c>
      <c r="H33" s="162">
        <f t="shared" si="3"/>
        <v>240.72505902689733</v>
      </c>
      <c r="I33" s="162">
        <f t="shared" si="3"/>
        <v>588.39911888837264</v>
      </c>
      <c r="J33" s="162">
        <f t="shared" si="3"/>
        <v>216.04759930090688</v>
      </c>
      <c r="K33" s="162">
        <f t="shared" si="3"/>
        <v>739.56208235119107</v>
      </c>
      <c r="L33" s="162">
        <f t="shared" si="3"/>
        <v>654.45891419605084</v>
      </c>
      <c r="M33" s="165" t="s">
        <v>327</v>
      </c>
      <c r="N33" s="162">
        <f t="shared" si="3"/>
        <v>509.27175614027055</v>
      </c>
      <c r="S33" s="153"/>
      <c r="T33" s="153"/>
      <c r="U33" s="153"/>
      <c r="V33" s="153"/>
      <c r="W33" s="153"/>
      <c r="X33" s="153"/>
      <c r="Y33" s="153"/>
      <c r="Z33" s="153"/>
      <c r="AA33" s="153"/>
      <c r="AB33" s="153"/>
      <c r="AC33" s="153"/>
      <c r="AD33" s="153"/>
      <c r="AE33" s="153"/>
    </row>
    <row r="34" spans="1:31" x14ac:dyDescent="0.25">
      <c r="B34" s="135" t="s">
        <v>15</v>
      </c>
      <c r="C34" s="162">
        <f t="shared" ref="C34:N34" si="4">C55 * $J$29</f>
        <v>374.53016736179592</v>
      </c>
      <c r="D34" s="162">
        <f t="shared" si="4"/>
        <v>127.00771685719225</v>
      </c>
      <c r="E34" s="162">
        <f t="shared" si="4"/>
        <v>676.74154113247619</v>
      </c>
      <c r="F34" s="162">
        <f t="shared" si="4"/>
        <v>557.98653619032359</v>
      </c>
      <c r="G34" s="162">
        <f t="shared" si="4"/>
        <v>495.36778661795631</v>
      </c>
      <c r="H34" s="162">
        <f t="shared" si="4"/>
        <v>921.4821077090935</v>
      </c>
      <c r="I34" s="162">
        <f t="shared" si="4"/>
        <v>164.64410205763969</v>
      </c>
      <c r="J34" s="162">
        <f t="shared" si="4"/>
        <v>495.59431272686226</v>
      </c>
      <c r="K34" s="162">
        <f t="shared" si="4"/>
        <v>770.88210454016564</v>
      </c>
      <c r="L34" s="162">
        <f t="shared" si="4"/>
        <v>729.27362086259825</v>
      </c>
      <c r="M34" s="162">
        <f t="shared" si="4"/>
        <v>738.2979842638332</v>
      </c>
      <c r="N34" s="162">
        <f t="shared" si="4"/>
        <v>967.76665087848789</v>
      </c>
      <c r="S34" s="153"/>
      <c r="T34" s="153"/>
      <c r="U34" s="153"/>
      <c r="V34" s="153"/>
      <c r="W34" s="153"/>
      <c r="X34" s="153"/>
      <c r="Y34" s="153"/>
      <c r="Z34" s="153"/>
      <c r="AA34" s="153"/>
      <c r="AB34" s="153"/>
      <c r="AC34" s="153"/>
      <c r="AD34" s="153"/>
      <c r="AE34" s="153"/>
    </row>
    <row r="35" spans="1:31" x14ac:dyDescent="0.25">
      <c r="B35" s="135" t="s">
        <v>16</v>
      </c>
      <c r="C35" s="162">
        <f t="shared" ref="C35:N35" si="5">C56 * $J$29</f>
        <v>527.75951149830576</v>
      </c>
      <c r="D35" s="162">
        <f t="shared" si="5"/>
        <v>278.93234207579178</v>
      </c>
      <c r="E35" s="162">
        <f t="shared" si="5"/>
        <v>967.26244382935602</v>
      </c>
      <c r="F35" s="162">
        <f t="shared" si="5"/>
        <v>428.87281498548469</v>
      </c>
      <c r="G35" s="162">
        <f t="shared" si="5"/>
        <v>900.19233668929905</v>
      </c>
      <c r="H35" s="162">
        <f t="shared" si="5"/>
        <v>708.2710488833618</v>
      </c>
      <c r="I35" s="162">
        <f t="shared" si="5"/>
        <v>51.905491836001346</v>
      </c>
      <c r="J35" s="162">
        <f t="shared" si="5"/>
        <v>615.78184077937374</v>
      </c>
      <c r="K35" s="162">
        <f t="shared" si="5"/>
        <v>925.37111420302961</v>
      </c>
      <c r="L35" s="162">
        <f t="shared" si="5"/>
        <v>620.44464246415203</v>
      </c>
      <c r="M35" s="162">
        <f t="shared" si="5"/>
        <v>194.79838341220679</v>
      </c>
      <c r="N35" s="162">
        <f t="shared" si="5"/>
        <v>504.7316484433195</v>
      </c>
      <c r="S35" s="153"/>
      <c r="T35" s="153"/>
      <c r="U35" s="153"/>
      <c r="V35" s="153"/>
      <c r="W35" s="153"/>
      <c r="X35" s="153"/>
      <c r="Y35" s="153"/>
      <c r="Z35" s="153"/>
      <c r="AA35" s="153"/>
      <c r="AB35" s="153"/>
      <c r="AC35" s="153"/>
      <c r="AD35" s="153"/>
      <c r="AE35" s="153"/>
    </row>
    <row r="36" spans="1:31" x14ac:dyDescent="0.25">
      <c r="B36" s="135" t="s">
        <v>17</v>
      </c>
      <c r="C36" s="162">
        <f t="shared" ref="C36:M36" si="6">C57 * $J$29</f>
        <v>430.41291839546227</v>
      </c>
      <c r="D36" s="162">
        <f t="shared" si="6"/>
        <v>242.14324487635429</v>
      </c>
      <c r="E36" s="162">
        <f t="shared" si="6"/>
        <v>691.82751299878169</v>
      </c>
      <c r="F36" s="162">
        <f t="shared" si="6"/>
        <v>316.84927671776228</v>
      </c>
      <c r="G36" s="162">
        <f t="shared" si="6"/>
        <v>344.38860210299725</v>
      </c>
      <c r="H36" s="162">
        <f t="shared" si="6"/>
        <v>550.40900066259042</v>
      </c>
      <c r="I36" s="162">
        <f t="shared" si="6"/>
        <v>495.9888731664355</v>
      </c>
      <c r="J36" s="162">
        <f t="shared" si="6"/>
        <v>341.3608409632032</v>
      </c>
      <c r="K36" s="162">
        <f t="shared" si="6"/>
        <v>387.47275652086586</v>
      </c>
      <c r="L36" s="162">
        <f t="shared" si="6"/>
        <v>767.6225999975162</v>
      </c>
      <c r="M36" s="162">
        <f t="shared" si="6"/>
        <v>144.43504034161504</v>
      </c>
      <c r="N36" s="162">
        <f>N57 * $J$29</f>
        <v>851.93742001181238</v>
      </c>
      <c r="S36" s="153"/>
      <c r="T36" s="153"/>
      <c r="U36" s="153"/>
      <c r="V36" s="153"/>
      <c r="W36" s="153"/>
      <c r="X36" s="153"/>
      <c r="Y36" s="153"/>
      <c r="Z36" s="153"/>
      <c r="AA36" s="153"/>
      <c r="AB36" s="153"/>
      <c r="AC36" s="153"/>
      <c r="AD36" s="153"/>
      <c r="AE36" s="153"/>
    </row>
    <row r="37" spans="1:31" x14ac:dyDescent="0.25">
      <c r="B37" s="136" t="s">
        <v>18</v>
      </c>
      <c r="C37" s="162">
        <f t="shared" ref="C37:N37" si="7">C58 * $J$29</f>
        <v>611.38639434995252</v>
      </c>
      <c r="D37" s="162">
        <f t="shared" si="7"/>
        <v>781.53026147780827</v>
      </c>
      <c r="E37" s="162">
        <f t="shared" si="7"/>
        <v>982.95482405255973</v>
      </c>
      <c r="F37" s="162">
        <f t="shared" si="7"/>
        <v>307.90768808894398</v>
      </c>
      <c r="G37" s="162">
        <f t="shared" si="7"/>
        <v>549.31478913035494</v>
      </c>
      <c r="H37" s="162">
        <f t="shared" si="7"/>
        <v>257.92442616796717</v>
      </c>
      <c r="I37" s="162">
        <f t="shared" si="7"/>
        <v>527.33146728357099</v>
      </c>
      <c r="J37" s="162">
        <f t="shared" si="7"/>
        <v>44.28926888438167</v>
      </c>
      <c r="K37" s="162">
        <f t="shared" si="7"/>
        <v>780.30042856530247</v>
      </c>
      <c r="L37" s="162">
        <f t="shared" si="7"/>
        <v>395.6105073587064</v>
      </c>
      <c r="M37" s="162">
        <f t="shared" si="7"/>
        <v>74.734460143066059</v>
      </c>
      <c r="N37" s="162">
        <f t="shared" si="7"/>
        <v>126.41715763136607</v>
      </c>
      <c r="S37" s="153"/>
      <c r="T37" s="153"/>
      <c r="U37" s="153"/>
      <c r="V37" s="153"/>
      <c r="W37" s="153"/>
      <c r="X37" s="153"/>
      <c r="Y37" s="153"/>
      <c r="Z37" s="153"/>
      <c r="AA37" s="153"/>
      <c r="AB37" s="153"/>
      <c r="AC37" s="153"/>
      <c r="AD37" s="153"/>
      <c r="AE37" s="153"/>
    </row>
    <row r="38" spans="1:31" x14ac:dyDescent="0.25">
      <c r="B38" s="137" t="s">
        <v>19</v>
      </c>
      <c r="C38" s="162">
        <f t="shared" ref="C38:N38" si="8">C59 * $J$29</f>
        <v>788.83783772012873</v>
      </c>
      <c r="D38" s="162">
        <f t="shared" si="8"/>
        <v>116.53611879840631</v>
      </c>
      <c r="E38" s="162">
        <f t="shared" si="8"/>
        <v>288.702979766135</v>
      </c>
      <c r="F38" s="162">
        <f t="shared" si="8"/>
        <v>473.60675192127678</v>
      </c>
      <c r="G38" s="162">
        <f t="shared" si="8"/>
        <v>405.82046726114606</v>
      </c>
      <c r="H38" s="162">
        <f t="shared" si="8"/>
        <v>77.687915486277845</v>
      </c>
      <c r="I38" s="162">
        <f t="shared" si="8"/>
        <v>518.77021043369484</v>
      </c>
      <c r="J38" s="162">
        <f t="shared" si="8"/>
        <v>77.757040006663061</v>
      </c>
      <c r="K38" s="162">
        <f t="shared" si="8"/>
        <v>66.079727056596042</v>
      </c>
      <c r="L38" s="162">
        <f t="shared" si="8"/>
        <v>422.93439111102174</v>
      </c>
      <c r="M38" s="162">
        <f t="shared" si="8"/>
        <v>73.314297868259487</v>
      </c>
      <c r="N38" s="162">
        <f t="shared" si="8"/>
        <v>788.23580981534906</v>
      </c>
      <c r="S38" s="153"/>
      <c r="T38" s="153"/>
      <c r="U38" s="153"/>
      <c r="V38" s="153"/>
      <c r="W38" s="153"/>
      <c r="X38" s="153"/>
      <c r="Y38" s="153"/>
      <c r="Z38" s="153"/>
      <c r="AA38" s="153"/>
      <c r="AB38" s="153"/>
      <c r="AC38" s="153"/>
      <c r="AD38" s="153"/>
      <c r="AE38" s="153"/>
    </row>
    <row r="39" spans="1:31" x14ac:dyDescent="0.25">
      <c r="B39" s="136" t="s">
        <v>20</v>
      </c>
      <c r="C39" s="162">
        <f t="shared" ref="C39:N39" si="9">C60 * $J$29</f>
        <v>232.81393799778306</v>
      </c>
      <c r="D39" s="162">
        <f t="shared" si="9"/>
        <v>744.36003084427011</v>
      </c>
      <c r="E39" s="162">
        <f t="shared" si="9"/>
        <v>549.49558297702538</v>
      </c>
      <c r="F39" s="162">
        <f t="shared" si="9"/>
        <v>979.20888030807839</v>
      </c>
      <c r="G39" s="162">
        <f t="shared" si="9"/>
        <v>706.41088325944747</v>
      </c>
      <c r="H39" s="162">
        <f t="shared" si="9"/>
        <v>718.3950417144539</v>
      </c>
      <c r="I39" s="162">
        <f t="shared" si="9"/>
        <v>191.97840829830105</v>
      </c>
      <c r="J39" s="162">
        <f t="shared" si="9"/>
        <v>826.81366271902311</v>
      </c>
      <c r="K39" s="162">
        <f t="shared" si="9"/>
        <v>165.61703194712007</v>
      </c>
      <c r="L39" s="162">
        <f t="shared" si="9"/>
        <v>659.89313327878187</v>
      </c>
      <c r="M39" s="162">
        <f t="shared" si="9"/>
        <v>519.97700903298607</v>
      </c>
      <c r="N39" s="162">
        <f t="shared" si="9"/>
        <v>434.62837115366995</v>
      </c>
      <c r="S39" s="153"/>
      <c r="T39" s="153"/>
      <c r="U39" s="153"/>
      <c r="V39" s="153"/>
      <c r="W39" s="153"/>
      <c r="X39" s="153"/>
      <c r="Y39" s="153"/>
      <c r="Z39" s="153"/>
      <c r="AA39" s="153"/>
      <c r="AB39" s="153"/>
      <c r="AC39" s="153"/>
      <c r="AD39" s="153"/>
      <c r="AE39" s="153"/>
    </row>
    <row r="40" spans="1:31" x14ac:dyDescent="0.25">
      <c r="B40" s="137" t="s">
        <v>21</v>
      </c>
      <c r="C40" s="162">
        <f>C61 * $J$29</f>
        <v>174.52745358324162</v>
      </c>
      <c r="D40" s="162">
        <f>D61 * $J$29</f>
        <v>998.26490932482955</v>
      </c>
      <c r="E40" s="162">
        <f>E61 * $J$29</f>
        <v>66.146817113979623</v>
      </c>
      <c r="F40" s="163">
        <f>F61 * $J$29^2</f>
        <v>62.514730195582182</v>
      </c>
      <c r="G40" s="163">
        <f t="shared" ref="G40:N40" si="10">G61 * $J$29^2</f>
        <v>841.65060085281868</v>
      </c>
      <c r="H40" s="163">
        <f t="shared" si="10"/>
        <v>346.36882264243638</v>
      </c>
      <c r="I40" s="163">
        <f t="shared" si="10"/>
        <v>26.088610620533913</v>
      </c>
      <c r="J40" s="163">
        <f t="shared" si="10"/>
        <v>590.76688824844302</v>
      </c>
      <c r="K40" s="163">
        <f t="shared" si="10"/>
        <v>658.6564559422925</v>
      </c>
      <c r="L40" s="163">
        <f t="shared" si="10"/>
        <v>359.01495993494012</v>
      </c>
      <c r="M40" s="163">
        <f t="shared" si="10"/>
        <v>781.54069797202601</v>
      </c>
      <c r="N40" s="163">
        <f t="shared" si="10"/>
        <v>247.71001842351248</v>
      </c>
      <c r="S40" s="153"/>
      <c r="T40" s="153"/>
      <c r="U40" s="153"/>
      <c r="V40" s="153"/>
      <c r="W40" s="153"/>
      <c r="X40" s="153"/>
      <c r="Y40" s="153"/>
      <c r="Z40" s="153"/>
      <c r="AA40" s="153"/>
      <c r="AB40" s="153"/>
      <c r="AC40" s="153"/>
      <c r="AD40" s="153"/>
      <c r="AE40" s="153"/>
    </row>
    <row r="41" spans="1:31" x14ac:dyDescent="0.25">
      <c r="B41" s="136" t="s">
        <v>22</v>
      </c>
      <c r="C41" s="162">
        <f t="shared" ref="C41:N41" si="11">C62 * $J$29</f>
        <v>165.5224971026189</v>
      </c>
      <c r="D41" s="162">
        <f t="shared" si="11"/>
        <v>586.41887517139094</v>
      </c>
      <c r="E41" s="162">
        <f t="shared" si="11"/>
        <v>135.74768087898582</v>
      </c>
      <c r="F41" s="162">
        <f t="shared" si="11"/>
        <v>708.20146359366629</v>
      </c>
      <c r="G41" s="162">
        <f t="shared" si="11"/>
        <v>996.52009454913878</v>
      </c>
      <c r="H41" s="162">
        <f t="shared" si="11"/>
        <v>852.89378910746802</v>
      </c>
      <c r="I41" s="162">
        <f t="shared" si="11"/>
        <v>270.31757181602489</v>
      </c>
      <c r="J41" s="162">
        <f t="shared" si="11"/>
        <v>771.88886063325947</v>
      </c>
      <c r="K41" s="162">
        <f t="shared" si="11"/>
        <v>49.716937752620204</v>
      </c>
      <c r="L41" s="162">
        <f t="shared" si="11"/>
        <v>24.113094775792266</v>
      </c>
      <c r="M41" s="162">
        <f t="shared" si="11"/>
        <v>132.21980528294463</v>
      </c>
      <c r="N41" s="162">
        <f t="shared" si="11"/>
        <v>529.61897599082488</v>
      </c>
      <c r="S41" s="153"/>
      <c r="T41" s="153"/>
      <c r="U41" s="153"/>
      <c r="V41" s="153"/>
      <c r="W41" s="153"/>
      <c r="X41" s="153"/>
      <c r="Y41" s="153"/>
      <c r="Z41" s="153"/>
      <c r="AA41" s="153"/>
      <c r="AB41" s="153"/>
      <c r="AC41" s="153"/>
      <c r="AD41" s="153"/>
      <c r="AE41" s="153"/>
    </row>
    <row r="42" spans="1:31" x14ac:dyDescent="0.25">
      <c r="B42" s="137" t="s">
        <v>23</v>
      </c>
      <c r="C42" s="162">
        <f t="shared" ref="C42:N42" si="12">C63 * $J$29</f>
        <v>498.49283231972464</v>
      </c>
      <c r="D42" s="162">
        <f t="shared" si="12"/>
        <v>408.17174004913346</v>
      </c>
      <c r="E42" s="162">
        <f t="shared" si="12"/>
        <v>981.78164253459124</v>
      </c>
      <c r="F42" s="162">
        <f t="shared" si="12"/>
        <v>661.49548587308277</v>
      </c>
      <c r="G42" s="162">
        <f t="shared" si="12"/>
        <v>846.93310402818338</v>
      </c>
      <c r="H42" s="162">
        <f t="shared" si="12"/>
        <v>779.02142981739973</v>
      </c>
      <c r="I42" s="162">
        <f t="shared" si="12"/>
        <v>658.55100894467046</v>
      </c>
      <c r="J42" s="162">
        <f t="shared" si="12"/>
        <v>916.13907815099799</v>
      </c>
      <c r="K42" s="162">
        <f t="shared" si="12"/>
        <v>767.63112667916039</v>
      </c>
      <c r="L42" s="162">
        <f t="shared" si="12"/>
        <v>859.98210426725802</v>
      </c>
      <c r="M42" s="162">
        <f t="shared" si="12"/>
        <v>170.4284541164549</v>
      </c>
      <c r="N42" s="162">
        <f t="shared" si="12"/>
        <v>233.5291430526083</v>
      </c>
      <c r="S42" s="153"/>
      <c r="T42" s="153"/>
      <c r="U42" s="153"/>
      <c r="V42" s="153"/>
      <c r="W42" s="153"/>
      <c r="X42" s="153"/>
      <c r="Y42" s="153"/>
      <c r="Z42" s="153"/>
      <c r="AA42" s="153"/>
      <c r="AB42" s="153"/>
      <c r="AC42" s="153"/>
      <c r="AD42" s="153"/>
      <c r="AE42" s="153"/>
    </row>
    <row r="43" spans="1:31" x14ac:dyDescent="0.25">
      <c r="B43" s="136" t="s">
        <v>24</v>
      </c>
      <c r="C43" s="162">
        <f t="shared" ref="C43:N43" si="13">C64 * $J$29</f>
        <v>89.825260239679736</v>
      </c>
      <c r="D43" s="162">
        <f t="shared" si="13"/>
        <v>730.11900609401425</v>
      </c>
      <c r="E43" s="162">
        <f t="shared" si="13"/>
        <v>663.32924627339401</v>
      </c>
      <c r="F43" s="162">
        <f t="shared" si="13"/>
        <v>398.4418998120891</v>
      </c>
      <c r="G43" s="162">
        <f t="shared" si="13"/>
        <v>955.11029989535859</v>
      </c>
      <c r="H43" s="162">
        <f t="shared" si="13"/>
        <v>957.98044397516776</v>
      </c>
      <c r="I43" s="162">
        <f t="shared" si="13"/>
        <v>403.2965502828211</v>
      </c>
      <c r="J43" s="162">
        <f t="shared" si="13"/>
        <v>964.98245183243716</v>
      </c>
      <c r="K43" s="162">
        <f t="shared" si="13"/>
        <v>918.35802630522176</v>
      </c>
      <c r="L43" s="162">
        <f t="shared" si="13"/>
        <v>377.65071025658938</v>
      </c>
      <c r="M43" s="162">
        <f t="shared" si="13"/>
        <v>285.83085320077117</v>
      </c>
      <c r="N43" s="162">
        <f t="shared" si="13"/>
        <v>343.0902993289393</v>
      </c>
      <c r="S43" s="153"/>
      <c r="T43" s="153"/>
      <c r="U43" s="153"/>
      <c r="V43" s="153"/>
      <c r="W43" s="153"/>
      <c r="X43" s="153"/>
      <c r="Y43" s="153"/>
      <c r="Z43" s="153"/>
      <c r="AA43" s="153"/>
      <c r="AB43" s="153"/>
      <c r="AC43" s="153"/>
      <c r="AD43" s="153"/>
      <c r="AE43" s="153"/>
    </row>
    <row r="44" spans="1:31" ht="13" x14ac:dyDescent="0.25">
      <c r="B44" s="208" t="s">
        <v>25</v>
      </c>
      <c r="C44" s="209">
        <f>SUM(C31:C43)</f>
        <v>5762.2939746434176</v>
      </c>
      <c r="D44" s="209">
        <f t="shared" ref="D44:N44" si="14">SUM(D31:D43)</f>
        <v>6493.3858886910029</v>
      </c>
      <c r="E44" s="209">
        <f t="shared" si="14"/>
        <v>6642.2856320489091</v>
      </c>
      <c r="F44" s="209">
        <f t="shared" si="14"/>
        <v>6236.0781478368954</v>
      </c>
      <c r="G44" s="209">
        <f t="shared" si="14"/>
        <v>8172.0562623900996</v>
      </c>
      <c r="H44" s="209">
        <f t="shared" si="14"/>
        <v>7488.6378991193969</v>
      </c>
      <c r="I44" s="209">
        <f t="shared" si="14"/>
        <v>4664.3237261045379</v>
      </c>
      <c r="J44" s="209">
        <f t="shared" si="14"/>
        <v>6436.9176500186986</v>
      </c>
      <c r="K44" s="209">
        <f t="shared" si="14"/>
        <v>7250.1619920737694</v>
      </c>
      <c r="L44" s="209">
        <f t="shared" si="14"/>
        <v>7234.3159003338005</v>
      </c>
      <c r="M44" s="209">
        <f t="shared" si="14"/>
        <v>3910.7580459093974</v>
      </c>
      <c r="N44" s="209">
        <f t="shared" si="14"/>
        <v>6554.5310274057583</v>
      </c>
      <c r="S44" s="153"/>
      <c r="T44" s="153"/>
      <c r="U44" s="153"/>
      <c r="V44" s="153"/>
      <c r="W44" s="153"/>
      <c r="X44" s="153"/>
      <c r="Y44" s="153"/>
      <c r="Z44" s="153"/>
      <c r="AA44" s="153"/>
      <c r="AB44" s="153"/>
      <c r="AC44" s="153"/>
      <c r="AD44" s="153"/>
      <c r="AE44" s="153"/>
    </row>
    <row r="45" spans="1:31" x14ac:dyDescent="0.25">
      <c r="B45" s="91" t="s">
        <v>78</v>
      </c>
      <c r="C45" s="92"/>
      <c r="D45" s="92"/>
      <c r="E45" s="92"/>
      <c r="F45" s="92"/>
      <c r="G45" s="92"/>
      <c r="H45" s="92"/>
      <c r="I45" s="92"/>
      <c r="J45" s="92"/>
      <c r="K45" s="92"/>
      <c r="L45" s="92"/>
      <c r="M45" s="92"/>
      <c r="N45" s="92"/>
      <c r="S45" s="153"/>
      <c r="T45" s="153"/>
      <c r="U45" s="153"/>
      <c r="V45" s="153"/>
      <c r="W45" s="153"/>
      <c r="X45" s="153"/>
      <c r="Y45" s="153"/>
      <c r="Z45" s="153"/>
      <c r="AA45" s="153"/>
      <c r="AB45" s="153"/>
      <c r="AC45" s="153"/>
      <c r="AD45" s="153"/>
      <c r="AE45" s="153"/>
    </row>
    <row r="46" spans="1:31" x14ac:dyDescent="0.25">
      <c r="S46" s="153"/>
      <c r="T46" s="153"/>
      <c r="U46" s="153"/>
      <c r="V46" s="153"/>
      <c r="W46" s="153"/>
      <c r="X46" s="153"/>
      <c r="Y46" s="153"/>
      <c r="Z46" s="153"/>
      <c r="AA46" s="153"/>
      <c r="AB46" s="153"/>
      <c r="AC46" s="153"/>
      <c r="AD46" s="153"/>
      <c r="AE46" s="153"/>
    </row>
    <row r="47" spans="1:31" ht="13" x14ac:dyDescent="0.25">
      <c r="A47" s="142" t="s">
        <v>6</v>
      </c>
      <c r="S47" s="153"/>
      <c r="T47" s="153"/>
      <c r="U47" s="153"/>
      <c r="V47" s="153"/>
      <c r="W47" s="153"/>
      <c r="X47" s="153"/>
      <c r="Y47" s="153"/>
      <c r="Z47" s="153"/>
      <c r="AA47" s="153"/>
      <c r="AB47" s="153"/>
      <c r="AC47" s="153"/>
      <c r="AD47" s="153"/>
      <c r="AE47" s="153"/>
    </row>
    <row r="48" spans="1:31" x14ac:dyDescent="0.25">
      <c r="S48" s="153"/>
      <c r="T48" s="153"/>
      <c r="U48" s="153"/>
      <c r="V48" s="153"/>
      <c r="W48" s="153"/>
      <c r="X48" s="153"/>
      <c r="Y48" s="153"/>
      <c r="Z48" s="153"/>
      <c r="AA48" s="153"/>
      <c r="AB48" s="153"/>
      <c r="AC48" s="153"/>
      <c r="AD48" s="153"/>
      <c r="AE48" s="153"/>
    </row>
    <row r="49" spans="2:31" ht="20" x14ac:dyDescent="0.25">
      <c r="B49" s="61" t="s">
        <v>79</v>
      </c>
      <c r="C49" s="61"/>
      <c r="D49" s="61"/>
      <c r="E49" s="61"/>
      <c r="F49" s="61"/>
      <c r="G49" s="61"/>
      <c r="H49" s="61"/>
      <c r="I49" s="61"/>
      <c r="J49" s="61"/>
      <c r="K49" s="61"/>
      <c r="L49" s="61"/>
      <c r="M49" s="61"/>
      <c r="N49" s="61"/>
      <c r="S49" s="153"/>
      <c r="T49" s="153"/>
      <c r="U49" s="153"/>
      <c r="V49" s="153"/>
      <c r="W49" s="153"/>
      <c r="X49" s="153"/>
      <c r="Y49" s="153"/>
      <c r="Z49" s="153"/>
      <c r="AA49" s="153"/>
      <c r="AB49" s="153"/>
      <c r="AC49" s="153"/>
      <c r="AD49" s="153"/>
      <c r="AE49" s="153"/>
    </row>
    <row r="50" spans="2:31" ht="13" x14ac:dyDescent="0.25">
      <c r="B50" s="88" t="s">
        <v>7</v>
      </c>
      <c r="C50" s="157" t="s">
        <v>8</v>
      </c>
      <c r="D50" s="156">
        <f>ROWS(B52:B65)</f>
        <v>14</v>
      </c>
      <c r="E50" s="157" t="s">
        <v>9</v>
      </c>
      <c r="F50" s="156">
        <f>COLUMNS(B51:N51)</f>
        <v>13</v>
      </c>
      <c r="G50" s="90"/>
      <c r="H50" s="90"/>
      <c r="I50" s="90" t="s">
        <v>80</v>
      </c>
      <c r="J50" s="160" t="b">
        <f>COUNTA($C$31:$N$43)=COUNTA($C$52:$N$64)</f>
        <v>1</v>
      </c>
      <c r="K50" s="90"/>
      <c r="L50" s="90"/>
      <c r="M50" s="90"/>
      <c r="N50" s="90"/>
      <c r="S50" s="153"/>
      <c r="T50" s="153"/>
      <c r="U50" s="153"/>
      <c r="V50" s="153"/>
      <c r="W50" s="153"/>
      <c r="X50" s="153"/>
      <c r="Y50" s="153"/>
      <c r="Z50" s="153"/>
      <c r="AA50" s="153"/>
      <c r="AB50" s="153"/>
      <c r="AC50" s="153"/>
      <c r="AD50" s="153"/>
      <c r="AE50" s="153"/>
    </row>
    <row r="51" spans="2:31" ht="13" x14ac:dyDescent="0.25">
      <c r="B51" s="154"/>
      <c r="C51" s="129">
        <v>2015</v>
      </c>
      <c r="D51" s="161">
        <f t="shared" ref="D51:N51" si="15">C51+1</f>
        <v>2016</v>
      </c>
      <c r="E51" s="161">
        <f t="shared" si="15"/>
        <v>2017</v>
      </c>
      <c r="F51" s="161">
        <f t="shared" si="15"/>
        <v>2018</v>
      </c>
      <c r="G51" s="161">
        <f t="shared" si="15"/>
        <v>2019</v>
      </c>
      <c r="H51" s="161">
        <f t="shared" si="15"/>
        <v>2020</v>
      </c>
      <c r="I51" s="161">
        <f t="shared" si="15"/>
        <v>2021</v>
      </c>
      <c r="J51" s="161">
        <f t="shared" si="15"/>
        <v>2022</v>
      </c>
      <c r="K51" s="161">
        <f t="shared" si="15"/>
        <v>2023</v>
      </c>
      <c r="L51" s="161">
        <f t="shared" si="15"/>
        <v>2024</v>
      </c>
      <c r="M51" s="161">
        <f t="shared" si="15"/>
        <v>2025</v>
      </c>
      <c r="N51" s="161">
        <f t="shared" si="15"/>
        <v>2026</v>
      </c>
      <c r="S51" s="153"/>
      <c r="T51" s="153"/>
      <c r="U51" s="153"/>
      <c r="V51" s="153"/>
      <c r="W51" s="153"/>
      <c r="X51" s="153"/>
      <c r="Y51" s="153"/>
      <c r="Z51" s="153"/>
      <c r="AA51" s="153"/>
      <c r="AB51" s="153"/>
      <c r="AC51" s="153"/>
      <c r="AD51" s="153"/>
      <c r="AE51" s="153"/>
    </row>
    <row r="52" spans="2:31" x14ac:dyDescent="0.25">
      <c r="B52" s="135" t="s">
        <v>12</v>
      </c>
      <c r="C52" s="155">
        <v>273.602385445077</v>
      </c>
      <c r="D52" s="155">
        <v>317.56248885071579</v>
      </c>
      <c r="E52" s="155">
        <v>61.092920230930488</v>
      </c>
      <c r="F52" s="155">
        <v>534.3577403771319</v>
      </c>
      <c r="G52" s="155">
        <v>168.52159951406409</v>
      </c>
      <c r="H52" s="155">
        <v>308.64156352528215</v>
      </c>
      <c r="I52" s="155">
        <v>558.07225492569785</v>
      </c>
      <c r="J52" s="155">
        <v>295.45272516093399</v>
      </c>
      <c r="K52" s="155">
        <v>302.07590041537458</v>
      </c>
      <c r="L52" s="155">
        <v>460.20692636640035</v>
      </c>
      <c r="M52" s="155">
        <v>331.96301619541413</v>
      </c>
      <c r="N52" s="155">
        <v>161.0125433516919</v>
      </c>
      <c r="S52" s="153"/>
      <c r="T52" s="153"/>
      <c r="U52" s="153"/>
      <c r="V52" s="153"/>
      <c r="W52" s="153"/>
      <c r="X52" s="153"/>
      <c r="Y52" s="153"/>
      <c r="Z52" s="153"/>
      <c r="AA52" s="153"/>
      <c r="AB52" s="153"/>
      <c r="AC52" s="153"/>
      <c r="AD52" s="153"/>
      <c r="AE52" s="153"/>
    </row>
    <row r="53" spans="2:31" x14ac:dyDescent="0.25">
      <c r="B53" s="135" t="s">
        <v>13</v>
      </c>
      <c r="C53" s="155">
        <v>669.64638765888947</v>
      </c>
      <c r="D53" s="155">
        <v>533.85574952397099</v>
      </c>
      <c r="E53" s="155">
        <v>103.78834564168193</v>
      </c>
      <c r="F53" s="155">
        <v>463.72732911222283</v>
      </c>
      <c r="G53" s="155">
        <v>520.71699758344221</v>
      </c>
      <c r="H53" s="155">
        <v>768.83725040100069</v>
      </c>
      <c r="I53" s="155">
        <v>208.98005755077352</v>
      </c>
      <c r="J53" s="155">
        <v>280.04308061221263</v>
      </c>
      <c r="K53" s="155">
        <v>718.43829979482814</v>
      </c>
      <c r="L53" s="155">
        <v>903.11029546399459</v>
      </c>
      <c r="M53" s="155">
        <v>463.21804407982046</v>
      </c>
      <c r="N53" s="155">
        <v>856.58123318390619</v>
      </c>
      <c r="S53" s="153"/>
      <c r="T53" s="153"/>
      <c r="U53" s="153"/>
      <c r="V53" s="153"/>
      <c r="W53" s="153"/>
      <c r="X53" s="153"/>
      <c r="Y53" s="153"/>
      <c r="Z53" s="153"/>
      <c r="AA53" s="153"/>
      <c r="AB53" s="153"/>
      <c r="AC53" s="153"/>
      <c r="AD53" s="153"/>
      <c r="AE53" s="153"/>
    </row>
    <row r="54" spans="2:31" x14ac:dyDescent="0.25">
      <c r="B54" s="136" t="s">
        <v>14</v>
      </c>
      <c r="C54" s="155">
        <v>924.936390970758</v>
      </c>
      <c r="D54" s="155">
        <v>628.48340474712529</v>
      </c>
      <c r="E54" s="155">
        <v>473.41409461901253</v>
      </c>
      <c r="F54" s="155">
        <v>342.90755066125087</v>
      </c>
      <c r="G54" s="155">
        <v>441.10870090589316</v>
      </c>
      <c r="H54" s="155">
        <v>240.72505902689733</v>
      </c>
      <c r="I54" s="155">
        <v>588.39911888837264</v>
      </c>
      <c r="J54" s="155">
        <v>216.04759930090688</v>
      </c>
      <c r="K54" s="155">
        <v>739.56208235119107</v>
      </c>
      <c r="L54" s="155">
        <v>654.45891419605084</v>
      </c>
      <c r="M54" s="155">
        <v>142.79773092856752</v>
      </c>
      <c r="N54" s="155">
        <v>509.27175614027055</v>
      </c>
      <c r="S54" s="153"/>
      <c r="T54" s="153"/>
      <c r="U54" s="153"/>
      <c r="V54" s="153"/>
      <c r="W54" s="153"/>
      <c r="X54" s="153"/>
      <c r="Y54" s="153"/>
      <c r="Z54" s="153"/>
      <c r="AA54" s="153"/>
      <c r="AB54" s="153"/>
      <c r="AC54" s="153"/>
      <c r="AD54" s="153"/>
      <c r="AE54" s="153"/>
    </row>
    <row r="55" spans="2:31" x14ac:dyDescent="0.25">
      <c r="B55" s="137" t="s">
        <v>15</v>
      </c>
      <c r="C55" s="155">
        <v>374.53016736179592</v>
      </c>
      <c r="D55" s="155">
        <v>127.00771685719225</v>
      </c>
      <c r="E55" s="155">
        <v>676.74154113247619</v>
      </c>
      <c r="F55" s="155">
        <v>557.98653619032359</v>
      </c>
      <c r="G55" s="155">
        <v>495.36778661795631</v>
      </c>
      <c r="H55" s="155">
        <v>921.4821077090935</v>
      </c>
      <c r="I55" s="155">
        <v>164.64410205763969</v>
      </c>
      <c r="J55" s="155">
        <v>495.59431272686226</v>
      </c>
      <c r="K55" s="155">
        <v>770.88210454016564</v>
      </c>
      <c r="L55" s="155">
        <v>729.27362086259825</v>
      </c>
      <c r="M55" s="155">
        <v>738.2979842638332</v>
      </c>
      <c r="N55" s="155">
        <v>967.76665087848789</v>
      </c>
      <c r="S55" s="153"/>
      <c r="T55" s="153"/>
      <c r="U55" s="153"/>
      <c r="V55" s="153"/>
      <c r="W55" s="153"/>
      <c r="X55" s="153"/>
      <c r="Y55" s="153"/>
      <c r="Z55" s="153"/>
      <c r="AA55" s="153"/>
      <c r="AB55" s="153"/>
      <c r="AC55" s="153"/>
      <c r="AD55" s="153"/>
      <c r="AE55" s="153"/>
    </row>
    <row r="56" spans="2:31" x14ac:dyDescent="0.25">
      <c r="B56" s="136" t="s">
        <v>16</v>
      </c>
      <c r="C56" s="155">
        <v>527.75951149830576</v>
      </c>
      <c r="D56" s="155">
        <v>278.93234207579178</v>
      </c>
      <c r="E56" s="155">
        <v>967.26244382935602</v>
      </c>
      <c r="F56" s="155">
        <v>428.87281498548469</v>
      </c>
      <c r="G56" s="155">
        <v>900.19233668929905</v>
      </c>
      <c r="H56" s="155">
        <v>708.2710488833618</v>
      </c>
      <c r="I56" s="155">
        <v>51.905491836001346</v>
      </c>
      <c r="J56" s="155">
        <v>615.78184077937374</v>
      </c>
      <c r="K56" s="155">
        <v>925.37111420302961</v>
      </c>
      <c r="L56" s="155">
        <v>620.44464246415203</v>
      </c>
      <c r="M56" s="155">
        <v>194.79838341220679</v>
      </c>
      <c r="N56" s="155">
        <v>504.7316484433195</v>
      </c>
      <c r="S56" s="153"/>
      <c r="T56" s="153"/>
      <c r="U56" s="153"/>
      <c r="V56" s="153"/>
      <c r="W56" s="153"/>
      <c r="X56" s="153"/>
      <c r="Y56" s="153"/>
      <c r="Z56" s="153"/>
      <c r="AA56" s="153"/>
      <c r="AB56" s="153"/>
      <c r="AC56" s="153"/>
      <c r="AD56" s="153"/>
      <c r="AE56" s="153"/>
    </row>
    <row r="57" spans="2:31" x14ac:dyDescent="0.25">
      <c r="B57" s="137" t="s">
        <v>17</v>
      </c>
      <c r="C57" s="155">
        <v>430.41291839546227</v>
      </c>
      <c r="D57" s="155">
        <v>242.14324487635429</v>
      </c>
      <c r="E57" s="155">
        <v>691.82751299878169</v>
      </c>
      <c r="F57" s="155">
        <v>316.84927671776228</v>
      </c>
      <c r="G57" s="155">
        <v>344.38860210299725</v>
      </c>
      <c r="H57" s="155">
        <v>550.40900066259042</v>
      </c>
      <c r="I57" s="155">
        <v>495.9888731664355</v>
      </c>
      <c r="J57" s="155">
        <v>341.3608409632032</v>
      </c>
      <c r="K57" s="155">
        <v>387.47275652086586</v>
      </c>
      <c r="L57" s="155">
        <v>767.6225999975162</v>
      </c>
      <c r="M57" s="155">
        <v>144.43504034161504</v>
      </c>
      <c r="N57" s="155">
        <v>851.93742001181238</v>
      </c>
      <c r="S57" s="153"/>
      <c r="T57" s="153"/>
      <c r="U57" s="153"/>
      <c r="V57" s="153"/>
      <c r="W57" s="153"/>
      <c r="X57" s="153"/>
      <c r="Y57" s="153"/>
      <c r="Z57" s="153"/>
      <c r="AA57" s="153"/>
      <c r="AB57" s="153"/>
      <c r="AC57" s="153"/>
      <c r="AD57" s="153"/>
      <c r="AE57" s="153"/>
    </row>
    <row r="58" spans="2:31" x14ac:dyDescent="0.25">
      <c r="B58" s="136" t="s">
        <v>18</v>
      </c>
      <c r="C58" s="155">
        <v>611.38639434995252</v>
      </c>
      <c r="D58" s="155">
        <v>781.53026147780827</v>
      </c>
      <c r="E58" s="155">
        <v>982.95482405255973</v>
      </c>
      <c r="F58" s="155">
        <v>307.90768808894398</v>
      </c>
      <c r="G58" s="155">
        <v>549.31478913035494</v>
      </c>
      <c r="H58" s="155">
        <v>257.92442616796717</v>
      </c>
      <c r="I58" s="155">
        <v>527.33146728357099</v>
      </c>
      <c r="J58" s="155">
        <v>44.28926888438167</v>
      </c>
      <c r="K58" s="155">
        <v>780.30042856530247</v>
      </c>
      <c r="L58" s="155">
        <v>395.6105073587064</v>
      </c>
      <c r="M58" s="155">
        <v>74.734460143066059</v>
      </c>
      <c r="N58" s="155">
        <v>126.41715763136607</v>
      </c>
      <c r="S58" s="153"/>
      <c r="T58" s="153"/>
      <c r="U58" s="153"/>
      <c r="V58" s="153"/>
      <c r="W58" s="153"/>
      <c r="X58" s="153"/>
      <c r="Y58" s="153"/>
      <c r="Z58" s="153"/>
      <c r="AA58" s="153"/>
      <c r="AB58" s="153"/>
      <c r="AC58" s="153"/>
      <c r="AD58" s="153"/>
      <c r="AE58" s="153"/>
    </row>
    <row r="59" spans="2:31" x14ac:dyDescent="0.25">
      <c r="B59" s="137" t="s">
        <v>19</v>
      </c>
      <c r="C59" s="155">
        <v>788.83783772012873</v>
      </c>
      <c r="D59" s="155">
        <v>116.53611879840631</v>
      </c>
      <c r="E59" s="155">
        <v>288.702979766135</v>
      </c>
      <c r="F59" s="155">
        <v>473.60675192127678</v>
      </c>
      <c r="G59" s="155">
        <v>405.82046726114606</v>
      </c>
      <c r="H59" s="155">
        <v>77.687915486277845</v>
      </c>
      <c r="I59" s="155">
        <v>518.77021043369484</v>
      </c>
      <c r="J59" s="155">
        <v>77.757040006663061</v>
      </c>
      <c r="K59" s="155">
        <v>66.079727056596042</v>
      </c>
      <c r="L59" s="155">
        <v>422.93439111102174</v>
      </c>
      <c r="M59" s="155">
        <v>73.314297868259487</v>
      </c>
      <c r="N59" s="155">
        <v>788.23580981534906</v>
      </c>
      <c r="S59" s="153"/>
      <c r="T59" s="153"/>
      <c r="U59" s="153"/>
      <c r="V59" s="153"/>
      <c r="W59" s="153"/>
      <c r="X59" s="153"/>
      <c r="Y59" s="153"/>
      <c r="Z59" s="153"/>
      <c r="AA59" s="153"/>
      <c r="AB59" s="153"/>
      <c r="AC59" s="153"/>
      <c r="AD59" s="153"/>
      <c r="AE59" s="153"/>
    </row>
    <row r="60" spans="2:31" x14ac:dyDescent="0.25">
      <c r="B60" s="136" t="s">
        <v>20</v>
      </c>
      <c r="C60" s="155">
        <v>232.81393799778306</v>
      </c>
      <c r="D60" s="155">
        <v>744.36003084427011</v>
      </c>
      <c r="E60" s="155">
        <v>549.49558297702538</v>
      </c>
      <c r="F60" s="155">
        <v>979.20888030807839</v>
      </c>
      <c r="G60" s="155">
        <v>706.41088325944747</v>
      </c>
      <c r="H60" s="155">
        <v>718.3950417144539</v>
      </c>
      <c r="I60" s="155">
        <v>191.97840829830105</v>
      </c>
      <c r="J60" s="155">
        <v>826.81366271902311</v>
      </c>
      <c r="K60" s="155">
        <v>165.61703194712007</v>
      </c>
      <c r="L60" s="155">
        <v>659.89313327878187</v>
      </c>
      <c r="M60" s="155">
        <v>519.97700903298607</v>
      </c>
      <c r="N60" s="155">
        <v>434.62837115366995</v>
      </c>
      <c r="S60" s="153"/>
      <c r="T60" s="153"/>
      <c r="U60" s="153"/>
      <c r="V60" s="153"/>
      <c r="W60" s="153"/>
      <c r="X60" s="153"/>
      <c r="Y60" s="153"/>
      <c r="Z60" s="153"/>
      <c r="AA60" s="153"/>
      <c r="AB60" s="153"/>
      <c r="AC60" s="153"/>
      <c r="AD60" s="153"/>
      <c r="AE60" s="153"/>
    </row>
    <row r="61" spans="2:31" x14ac:dyDescent="0.25">
      <c r="B61" s="137" t="s">
        <v>21</v>
      </c>
      <c r="C61" s="155">
        <v>174.52745358324162</v>
      </c>
      <c r="D61" s="155">
        <v>998.26490932482955</v>
      </c>
      <c r="E61" s="155">
        <v>66.146817113979623</v>
      </c>
      <c r="F61" s="155">
        <v>62.514730195582182</v>
      </c>
      <c r="G61" s="155">
        <v>841.65060085281868</v>
      </c>
      <c r="H61" s="155">
        <v>346.36882264243638</v>
      </c>
      <c r="I61" s="155">
        <v>26.088610620533913</v>
      </c>
      <c r="J61" s="155">
        <v>590.76688824844302</v>
      </c>
      <c r="K61" s="155">
        <v>658.6564559422925</v>
      </c>
      <c r="L61" s="155">
        <v>359.01495993494012</v>
      </c>
      <c r="M61" s="155">
        <v>781.54069797202601</v>
      </c>
      <c r="N61" s="155">
        <v>247.71001842351248</v>
      </c>
      <c r="S61" s="153"/>
      <c r="T61" s="153"/>
      <c r="U61" s="153"/>
      <c r="V61" s="153"/>
      <c r="W61" s="153"/>
      <c r="X61" s="153"/>
      <c r="Y61" s="153"/>
      <c r="Z61" s="153"/>
      <c r="AA61" s="153"/>
      <c r="AB61" s="153"/>
      <c r="AC61" s="153"/>
      <c r="AD61" s="153"/>
      <c r="AE61" s="153"/>
    </row>
    <row r="62" spans="2:31" x14ac:dyDescent="0.25">
      <c r="B62" s="136" t="s">
        <v>22</v>
      </c>
      <c r="C62" s="155">
        <v>165.5224971026189</v>
      </c>
      <c r="D62" s="155">
        <v>586.41887517139094</v>
      </c>
      <c r="E62" s="155">
        <v>135.74768087898582</v>
      </c>
      <c r="F62" s="155">
        <v>708.20146359366629</v>
      </c>
      <c r="G62" s="155">
        <v>996.52009454913878</v>
      </c>
      <c r="H62" s="155">
        <v>852.89378910746802</v>
      </c>
      <c r="I62" s="155">
        <v>270.31757181602489</v>
      </c>
      <c r="J62" s="155">
        <v>771.88886063325947</v>
      </c>
      <c r="K62" s="155">
        <v>49.716937752620204</v>
      </c>
      <c r="L62" s="155">
        <v>24.113094775792266</v>
      </c>
      <c r="M62" s="155">
        <v>132.21980528294463</v>
      </c>
      <c r="N62" s="155">
        <v>529.61897599082488</v>
      </c>
      <c r="S62" s="153"/>
      <c r="T62" s="153"/>
      <c r="U62" s="153"/>
      <c r="V62" s="153"/>
      <c r="W62" s="153"/>
      <c r="X62" s="153"/>
      <c r="Y62" s="153"/>
      <c r="Z62" s="153"/>
      <c r="AA62" s="153"/>
      <c r="AB62" s="153"/>
      <c r="AC62" s="153"/>
      <c r="AD62" s="153"/>
      <c r="AE62" s="153"/>
    </row>
    <row r="63" spans="2:31" x14ac:dyDescent="0.25">
      <c r="B63" s="137" t="s">
        <v>23</v>
      </c>
      <c r="C63" s="155">
        <v>498.49283231972464</v>
      </c>
      <c r="D63" s="155">
        <v>408.17174004913346</v>
      </c>
      <c r="E63" s="155">
        <v>981.78164253459124</v>
      </c>
      <c r="F63" s="155">
        <v>661.49548587308277</v>
      </c>
      <c r="G63" s="155">
        <v>846.93310402818338</v>
      </c>
      <c r="H63" s="155">
        <v>779.02142981739973</v>
      </c>
      <c r="I63" s="155">
        <v>658.55100894467046</v>
      </c>
      <c r="J63" s="155">
        <v>916.13907815099799</v>
      </c>
      <c r="K63" s="155">
        <v>767.63112667916039</v>
      </c>
      <c r="L63" s="155">
        <v>859.98210426725802</v>
      </c>
      <c r="M63" s="155">
        <v>170.4284541164549</v>
      </c>
      <c r="N63" s="155">
        <v>233.5291430526083</v>
      </c>
      <c r="S63" s="153"/>
      <c r="T63" s="153"/>
      <c r="U63" s="153"/>
      <c r="V63" s="153"/>
      <c r="W63" s="153"/>
      <c r="X63" s="153"/>
      <c r="Y63" s="153"/>
      <c r="Z63" s="153"/>
      <c r="AA63" s="153"/>
      <c r="AB63" s="153"/>
      <c r="AC63" s="153"/>
      <c r="AD63" s="153"/>
      <c r="AE63" s="153"/>
    </row>
    <row r="64" spans="2:31" x14ac:dyDescent="0.25">
      <c r="B64" s="136" t="s">
        <v>24</v>
      </c>
      <c r="C64" s="155">
        <v>89.825260239679736</v>
      </c>
      <c r="D64" s="155">
        <v>730.11900609401425</v>
      </c>
      <c r="E64" s="155">
        <v>663.32924627339401</v>
      </c>
      <c r="F64" s="155">
        <v>398.4418998120891</v>
      </c>
      <c r="G64" s="155">
        <v>955.11029989535859</v>
      </c>
      <c r="H64" s="155">
        <v>957.98044397516776</v>
      </c>
      <c r="I64" s="155">
        <v>403.2965502828211</v>
      </c>
      <c r="J64" s="155">
        <v>964.98245183243716</v>
      </c>
      <c r="K64" s="155">
        <v>918.35802630522176</v>
      </c>
      <c r="L64" s="155">
        <v>377.65071025658938</v>
      </c>
      <c r="M64" s="155">
        <v>285.83085320077117</v>
      </c>
      <c r="N64" s="155">
        <v>343.0902993289393</v>
      </c>
      <c r="S64" s="153"/>
      <c r="T64" s="153"/>
      <c r="U64" s="153"/>
      <c r="V64" s="153"/>
      <c r="W64" s="153"/>
      <c r="X64" s="153"/>
      <c r="Y64" s="153"/>
      <c r="Z64" s="153"/>
      <c r="AA64" s="153"/>
      <c r="AB64" s="153"/>
      <c r="AC64" s="153"/>
      <c r="AD64" s="153"/>
      <c r="AE64" s="153"/>
    </row>
    <row r="65" spans="2:27" ht="13" x14ac:dyDescent="0.25">
      <c r="B65" s="138" t="s">
        <v>25</v>
      </c>
      <c r="C65" s="164">
        <f>SUM(C52:C64)</f>
        <v>5762.2939746434176</v>
      </c>
      <c r="D65" s="164">
        <f t="shared" ref="D65:N65" si="16">SUM(D52:D64)</f>
        <v>6493.3858886910029</v>
      </c>
      <c r="E65" s="164">
        <f t="shared" si="16"/>
        <v>6642.2856320489091</v>
      </c>
      <c r="F65" s="164">
        <f t="shared" si="16"/>
        <v>6236.0781478368954</v>
      </c>
      <c r="G65" s="164">
        <f t="shared" si="16"/>
        <v>8172.0562623900996</v>
      </c>
      <c r="H65" s="164">
        <f t="shared" si="16"/>
        <v>7488.6378991193969</v>
      </c>
      <c r="I65" s="164">
        <f t="shared" si="16"/>
        <v>4664.3237261045379</v>
      </c>
      <c r="J65" s="164">
        <f t="shared" si="16"/>
        <v>6436.9176500186986</v>
      </c>
      <c r="K65" s="164">
        <f t="shared" si="16"/>
        <v>7250.1619920737694</v>
      </c>
      <c r="L65" s="164">
        <f t="shared" si="16"/>
        <v>7234.3159003338005</v>
      </c>
      <c r="M65" s="164">
        <f t="shared" si="16"/>
        <v>4053.5557768379649</v>
      </c>
      <c r="N65" s="164">
        <f t="shared" si="16"/>
        <v>6554.5310274057583</v>
      </c>
      <c r="S65" s="153"/>
      <c r="T65" s="153"/>
      <c r="U65" s="153"/>
      <c r="V65" s="153"/>
      <c r="W65" s="153"/>
      <c r="X65" s="153"/>
      <c r="Y65" s="153"/>
      <c r="Z65" s="153"/>
      <c r="AA65" s="153"/>
    </row>
    <row r="66" spans="2:27" x14ac:dyDescent="0.25">
      <c r="B66" s="70" t="s">
        <v>78</v>
      </c>
      <c r="C66" s="71"/>
      <c r="D66" s="71"/>
      <c r="E66" s="71"/>
      <c r="F66" s="71"/>
      <c r="G66" s="71"/>
      <c r="H66" s="71"/>
      <c r="I66" s="71"/>
      <c r="J66" s="71"/>
      <c r="K66" s="71"/>
      <c r="L66" s="71"/>
      <c r="M66" s="71"/>
      <c r="N66" s="71"/>
      <c r="S66" s="153"/>
      <c r="T66" s="153"/>
      <c r="U66" s="153"/>
      <c r="V66" s="153"/>
      <c r="W66" s="153"/>
      <c r="X66" s="153"/>
      <c r="Y66" s="153"/>
      <c r="Z66" s="153"/>
      <c r="AA66" s="153"/>
    </row>
  </sheetData>
  <mergeCells count="1">
    <mergeCell ref="C24:D24"/>
  </mergeCells>
  <conditionalFormatting sqref="J50">
    <cfRule type="expression" dxfId="131" priority="61" stopIfTrue="1">
      <formula>INDIRECT("RC",0)</formula>
    </cfRule>
  </conditionalFormatting>
  <conditionalFormatting sqref="J50">
    <cfRule type="expression" dxfId="130" priority="62" stopIfTrue="1">
      <formula>NOT(INDIRECT("RC",0))</formula>
    </cfRule>
  </conditionalFormatting>
  <conditionalFormatting sqref="C52:N64">
    <cfRule type="expression" dxfId="129" priority="43" stopIfTrue="1">
      <formula>MOD(ROW(),2)=1</formula>
    </cfRule>
    <cfRule type="expression" dxfId="128" priority="44" stopIfTrue="1">
      <formula>MOD(ROW(),2)=0</formula>
    </cfRule>
  </conditionalFormatting>
  <conditionalFormatting sqref="B31:B36">
    <cfRule type="expression" dxfId="127" priority="4" stopIfTrue="1">
      <formula>MOD(ROW(),2)=1</formula>
    </cfRule>
    <cfRule type="expression" dxfId="126" priority="5" stopIfTrue="1">
      <formula>MOD(ROW(),2)=0</formula>
    </cfRule>
  </conditionalFormatting>
  <conditionalFormatting sqref="C31:N43">
    <cfRule type="expression" dxfId="125" priority="3" stopIfTrue="1">
      <formula>MOD(ROW(),2)=1</formula>
    </cfRule>
    <cfRule type="expression" dxfId="124" priority="6" stopIfTrue="1">
      <formula>MOD(ROW(),2)=0</formula>
    </cfRule>
  </conditionalFormatting>
  <conditionalFormatting sqref="B52:B53">
    <cfRule type="expression" dxfId="123" priority="1" stopIfTrue="1">
      <formula>MOD(ROW(),2)=1</formula>
    </cfRule>
    <cfRule type="expression" dxfId="122" priority="2" stopIfTrue="1">
      <formula>MOD(ROW(),2)=0</formula>
    </cfRule>
  </conditionalFormatting>
  <dataValidations disablePrompts="1" count="2">
    <dataValidation type="list" allowBlank="1" showInputMessage="1" showErrorMessage="1" sqref="J29" xr:uid="{00000000-0002-0000-1C00-000000000000}">
      <formula1>"1,2"</formula1>
    </dataValidation>
    <dataValidation type="list" allowBlank="1" showInputMessage="1" showErrorMessage="1" sqref="C24:D24" xr:uid="{00000000-0002-0000-1C00-000001000000}">
      <formula1>"Dropdown1,Dropdown2"</formula1>
    </dataValidation>
  </dataValidations>
  <pageMargins left="0.7" right="0.7" top="0.75" bottom="0.75" header="0.3" footer="0.3"/>
  <pageSetup paperSize="9" orientation="landscape"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
    <tabColor theme="6"/>
  </sheetPr>
  <dimension ref="A1:XAS279"/>
  <sheetViews>
    <sheetView showGridLines="0" zoomScaleNormal="100" workbookViewId="0">
      <selection activeCell="A2" sqref="A2"/>
    </sheetView>
  </sheetViews>
  <sheetFormatPr defaultRowHeight="12.5" x14ac:dyDescent="0.25"/>
  <cols>
    <col min="1" max="1" width="7.1796875" customWidth="1"/>
    <col min="2" max="2" width="18.54296875" bestFit="1" customWidth="1"/>
    <col min="3" max="3" width="20.26953125" bestFit="1" customWidth="1"/>
    <col min="4" max="4" width="20.26953125" style="153" customWidth="1"/>
    <col min="15" max="15" width="11.1796875" customWidth="1"/>
  </cols>
  <sheetData>
    <row r="1" spans="1:16" s="61" customFormat="1" ht="37.5" customHeight="1" x14ac:dyDescent="0.25">
      <c r="G1" s="61" t="s">
        <v>351</v>
      </c>
    </row>
    <row r="2" spans="1:16" s="153" customFormat="1" x14ac:dyDescent="0.25"/>
    <row r="3" spans="1:16" x14ac:dyDescent="0.25">
      <c r="A3" s="153"/>
      <c r="C3" s="153"/>
      <c r="D3"/>
      <c r="E3" s="153"/>
    </row>
    <row r="4" spans="1:16" x14ac:dyDescent="0.25">
      <c r="A4" s="153"/>
      <c r="B4" s="153"/>
      <c r="C4" s="153"/>
      <c r="D4"/>
      <c r="E4" s="153"/>
    </row>
    <row r="5" spans="1:16" ht="20" x14ac:dyDescent="0.25">
      <c r="A5" s="153"/>
      <c r="B5" s="223"/>
      <c r="C5" s="224"/>
      <c r="D5" s="224"/>
      <c r="E5" s="27"/>
      <c r="F5" s="27"/>
    </row>
    <row r="6" spans="1:16" ht="20" x14ac:dyDescent="0.25">
      <c r="A6" s="153"/>
      <c r="B6" s="216" t="s">
        <v>335</v>
      </c>
      <c r="C6" s="219"/>
      <c r="D6" s="219"/>
      <c r="E6" s="167"/>
      <c r="F6" s="167"/>
      <c r="G6" s="167"/>
      <c r="H6" s="167"/>
      <c r="I6" s="167"/>
      <c r="J6" s="167"/>
      <c r="K6" s="167"/>
      <c r="L6" s="167"/>
      <c r="M6" s="167"/>
      <c r="N6" s="167"/>
      <c r="O6" s="167"/>
      <c r="P6" s="167"/>
    </row>
    <row r="7" spans="1:16" ht="13" x14ac:dyDescent="0.25">
      <c r="A7" s="153"/>
      <c r="B7" s="65" t="s">
        <v>336</v>
      </c>
      <c r="C7" s="220" t="s">
        <v>337</v>
      </c>
      <c r="D7" s="220"/>
      <c r="E7" s="167"/>
      <c r="F7" s="167"/>
      <c r="G7" s="167"/>
      <c r="H7" s="167"/>
      <c r="I7" s="167"/>
      <c r="J7" s="167"/>
      <c r="K7" s="167"/>
      <c r="L7" s="167"/>
      <c r="M7" s="167"/>
      <c r="N7" s="167"/>
      <c r="O7" s="167"/>
      <c r="P7" s="167"/>
    </row>
    <row r="8" spans="1:16" x14ac:dyDescent="0.25">
      <c r="A8" s="153"/>
      <c r="B8" s="225">
        <v>2010</v>
      </c>
      <c r="C8" s="227">
        <v>84.3</v>
      </c>
      <c r="D8" s="227"/>
      <c r="E8" s="167"/>
      <c r="F8" s="167"/>
      <c r="G8" s="167"/>
      <c r="H8" s="167"/>
      <c r="I8" s="167"/>
      <c r="J8" s="167"/>
      <c r="K8" s="167"/>
      <c r="L8" s="167"/>
      <c r="M8" s="167"/>
      <c r="N8" s="167"/>
      <c r="O8" s="167"/>
      <c r="P8" s="167"/>
    </row>
    <row r="9" spans="1:16" x14ac:dyDescent="0.25">
      <c r="A9" s="153"/>
      <c r="B9" s="221">
        <v>2011</v>
      </c>
      <c r="C9" s="228">
        <v>89.5</v>
      </c>
      <c r="D9" s="199"/>
      <c r="E9" s="167"/>
      <c r="F9" s="167"/>
      <c r="G9" s="167"/>
      <c r="H9" s="167"/>
      <c r="I9" s="167"/>
      <c r="J9" s="167"/>
      <c r="K9" s="167"/>
      <c r="L9" s="167"/>
      <c r="M9" s="167"/>
      <c r="N9" s="167"/>
      <c r="O9" s="167"/>
      <c r="P9" s="167"/>
    </row>
    <row r="10" spans="1:16" x14ac:dyDescent="0.25">
      <c r="A10" s="153"/>
      <c r="B10" s="217">
        <v>2012</v>
      </c>
      <c r="C10" s="199">
        <v>78.8</v>
      </c>
      <c r="D10" s="199"/>
      <c r="E10" s="167"/>
      <c r="F10" s="167"/>
      <c r="G10" s="167"/>
      <c r="H10" s="167"/>
      <c r="I10" s="167"/>
      <c r="J10" s="167"/>
      <c r="K10" s="167"/>
      <c r="L10" s="167"/>
      <c r="M10" s="167"/>
      <c r="N10" s="167"/>
      <c r="O10" s="167"/>
      <c r="P10" s="167"/>
    </row>
    <row r="11" spans="1:16" x14ac:dyDescent="0.25">
      <c r="A11" s="153"/>
      <c r="B11" s="217">
        <v>2013</v>
      </c>
      <c r="C11" s="199">
        <v>76.900000000000006</v>
      </c>
      <c r="D11" s="199"/>
      <c r="E11" s="167"/>
      <c r="F11" s="167"/>
      <c r="G11" s="167"/>
      <c r="H11" s="167"/>
      <c r="I11" s="167"/>
      <c r="J11" s="167"/>
      <c r="K11" s="167"/>
      <c r="L11" s="167"/>
      <c r="M11" s="167"/>
      <c r="N11" s="167"/>
      <c r="O11" s="167"/>
      <c r="P11" s="167"/>
    </row>
    <row r="12" spans="1:16" x14ac:dyDescent="0.25">
      <c r="A12" s="153"/>
      <c r="B12" s="217">
        <v>2014</v>
      </c>
      <c r="C12" s="199">
        <v>70.099999999999994</v>
      </c>
      <c r="D12" s="199"/>
      <c r="E12" s="167"/>
      <c r="F12" s="167"/>
      <c r="G12" s="167"/>
      <c r="H12" s="167"/>
      <c r="I12" s="167"/>
      <c r="J12" s="167"/>
      <c r="K12" s="167"/>
      <c r="L12" s="167"/>
      <c r="M12" s="167"/>
      <c r="N12" s="167"/>
      <c r="O12" s="167"/>
      <c r="P12" s="167"/>
    </row>
    <row r="13" spans="1:16" x14ac:dyDescent="0.25">
      <c r="A13" s="153"/>
      <c r="B13" s="226">
        <v>2015</v>
      </c>
      <c r="C13" s="229">
        <v>57.6</v>
      </c>
      <c r="D13" s="229"/>
      <c r="E13" s="153"/>
    </row>
    <row r="14" spans="1:16" x14ac:dyDescent="0.25">
      <c r="A14" s="153"/>
      <c r="B14" s="226">
        <v>2016</v>
      </c>
      <c r="C14" s="229">
        <v>50.2</v>
      </c>
      <c r="D14" s="229"/>
      <c r="E14" s="153"/>
    </row>
    <row r="15" spans="1:16" ht="13" x14ac:dyDescent="0.3">
      <c r="A15" s="153"/>
      <c r="B15" s="218"/>
      <c r="C15" s="71"/>
      <c r="D15" s="222"/>
      <c r="E15" s="153"/>
    </row>
    <row r="16" spans="1:16" ht="13" x14ac:dyDescent="0.3">
      <c r="A16" s="153"/>
      <c r="B16" s="170"/>
      <c r="C16" s="169"/>
      <c r="D16"/>
      <c r="E16" s="153"/>
    </row>
    <row r="17" spans="1:17" x14ac:dyDescent="0.25">
      <c r="A17" s="153"/>
      <c r="D17"/>
      <c r="E17" s="153"/>
    </row>
    <row r="18" spans="1:17" x14ac:dyDescent="0.25">
      <c r="A18" s="153"/>
      <c r="D18"/>
      <c r="E18" s="153"/>
    </row>
    <row r="19" spans="1:17" x14ac:dyDescent="0.25">
      <c r="A19" s="153"/>
      <c r="D19"/>
      <c r="E19" s="153"/>
    </row>
    <row r="20" spans="1:17" x14ac:dyDescent="0.25">
      <c r="A20" s="153"/>
      <c r="D20"/>
      <c r="E20" s="153"/>
    </row>
    <row r="21" spans="1:17" x14ac:dyDescent="0.25">
      <c r="A21" s="153"/>
      <c r="D21"/>
      <c r="E21" s="153"/>
    </row>
    <row r="22" spans="1:17" x14ac:dyDescent="0.25">
      <c r="A22" s="153"/>
      <c r="D22"/>
      <c r="E22" s="153"/>
    </row>
    <row r="23" spans="1:17" x14ac:dyDescent="0.25">
      <c r="A23" s="153"/>
      <c r="D23"/>
      <c r="E23" s="153"/>
    </row>
    <row r="24" spans="1:17" x14ac:dyDescent="0.25">
      <c r="A24" s="153"/>
      <c r="D24"/>
      <c r="E24" s="153"/>
    </row>
    <row r="25" spans="1:17" x14ac:dyDescent="0.25">
      <c r="A25" s="153"/>
      <c r="D25"/>
      <c r="E25" s="153"/>
    </row>
    <row r="26" spans="1:17" x14ac:dyDescent="0.25">
      <c r="A26" s="153"/>
      <c r="D26"/>
      <c r="E26" s="153"/>
    </row>
    <row r="27" spans="1:17" ht="20" x14ac:dyDescent="0.25">
      <c r="A27" s="153"/>
      <c r="B27" s="216" t="s">
        <v>338</v>
      </c>
      <c r="C27" s="219"/>
      <c r="D27" s="219"/>
      <c r="E27" s="153"/>
      <c r="Q27" s="153"/>
    </row>
    <row r="28" spans="1:17" ht="13" x14ac:dyDescent="0.25">
      <c r="A28" s="153"/>
      <c r="B28" s="65" t="s">
        <v>336</v>
      </c>
      <c r="C28" s="220" t="s">
        <v>337</v>
      </c>
      <c r="D28" s="220" t="s">
        <v>339</v>
      </c>
      <c r="E28" s="153"/>
    </row>
    <row r="29" spans="1:17" x14ac:dyDescent="0.25">
      <c r="A29" s="153"/>
      <c r="B29" s="217">
        <v>2010</v>
      </c>
      <c r="C29" s="199">
        <v>84.3</v>
      </c>
      <c r="D29" s="231">
        <v>1084.368148</v>
      </c>
      <c r="E29" s="153"/>
    </row>
    <row r="30" spans="1:17" x14ac:dyDescent="0.25">
      <c r="A30" s="153"/>
      <c r="B30" s="217">
        <v>2011</v>
      </c>
      <c r="C30" s="199">
        <v>89.5</v>
      </c>
      <c r="D30" s="231">
        <v>1095.627536</v>
      </c>
      <c r="E30" s="153"/>
    </row>
    <row r="31" spans="1:17" x14ac:dyDescent="0.25">
      <c r="A31" s="153"/>
      <c r="B31" s="217">
        <v>2012</v>
      </c>
      <c r="C31" s="199">
        <v>78.8</v>
      </c>
      <c r="D31" s="231">
        <v>1016.4584180000001</v>
      </c>
      <c r="E31" s="153"/>
    </row>
    <row r="32" spans="1:17" x14ac:dyDescent="0.25">
      <c r="A32" s="153"/>
      <c r="B32" s="217">
        <v>2013</v>
      </c>
      <c r="C32" s="199">
        <v>76.900000000000006</v>
      </c>
      <c r="D32" s="231">
        <v>984.84177899999997</v>
      </c>
      <c r="E32" s="153"/>
    </row>
    <row r="33" spans="1:5" x14ac:dyDescent="0.25">
      <c r="A33" s="153"/>
      <c r="B33" s="217">
        <v>2014</v>
      </c>
      <c r="C33" s="199">
        <v>70.099999999999994</v>
      </c>
      <c r="D33" s="231">
        <v>1000.048758</v>
      </c>
      <c r="E33" s="153"/>
    </row>
    <row r="34" spans="1:5" x14ac:dyDescent="0.25">
      <c r="A34" s="153"/>
      <c r="B34" s="217">
        <v>2015</v>
      </c>
      <c r="C34" s="199">
        <v>57.6</v>
      </c>
      <c r="D34" s="231">
        <v>896.940563</v>
      </c>
      <c r="E34" s="153"/>
    </row>
    <row r="35" spans="1:5" x14ac:dyDescent="0.25">
      <c r="A35" s="153"/>
      <c r="B35" s="226">
        <v>2016</v>
      </c>
      <c r="C35" s="229">
        <v>50.2</v>
      </c>
      <c r="D35" s="229">
        <v>739</v>
      </c>
      <c r="E35" s="153"/>
    </row>
    <row r="36" spans="1:5" x14ac:dyDescent="0.25">
      <c r="A36" s="153"/>
      <c r="B36" s="230"/>
      <c r="C36" s="222"/>
      <c r="D36" s="222"/>
      <c r="E36" s="153"/>
    </row>
    <row r="37" spans="1:5" x14ac:dyDescent="0.25">
      <c r="A37" s="153"/>
      <c r="D37"/>
      <c r="E37" s="153"/>
    </row>
    <row r="38" spans="1:5" x14ac:dyDescent="0.25">
      <c r="A38" s="153"/>
      <c r="D38"/>
      <c r="E38" s="153"/>
    </row>
    <row r="39" spans="1:5" x14ac:dyDescent="0.25">
      <c r="A39" s="153"/>
      <c r="D39"/>
      <c r="E39" s="153"/>
    </row>
    <row r="40" spans="1:5" x14ac:dyDescent="0.25">
      <c r="A40" s="153"/>
      <c r="D40"/>
      <c r="E40" s="153"/>
    </row>
    <row r="41" spans="1:5" x14ac:dyDescent="0.25">
      <c r="A41" s="153"/>
      <c r="D41"/>
      <c r="E41" s="153"/>
    </row>
    <row r="42" spans="1:5" x14ac:dyDescent="0.25">
      <c r="A42" s="153"/>
      <c r="D42"/>
      <c r="E42" s="153"/>
    </row>
    <row r="43" spans="1:5" x14ac:dyDescent="0.25">
      <c r="A43" s="153"/>
      <c r="D43"/>
      <c r="E43" s="153"/>
    </row>
    <row r="44" spans="1:5" x14ac:dyDescent="0.25">
      <c r="A44" s="153"/>
      <c r="D44"/>
      <c r="E44" s="153"/>
    </row>
    <row r="45" spans="1:5" x14ac:dyDescent="0.25">
      <c r="A45" s="153"/>
      <c r="D45"/>
      <c r="E45" s="153"/>
    </row>
    <row r="46" spans="1:5" x14ac:dyDescent="0.25">
      <c r="A46" s="153"/>
      <c r="D46"/>
      <c r="E46" s="153"/>
    </row>
    <row r="47" spans="1:5" x14ac:dyDescent="0.25">
      <c r="A47" s="153"/>
      <c r="D47"/>
      <c r="E47" s="153"/>
    </row>
    <row r="48" spans="1:5" x14ac:dyDescent="0.25">
      <c r="A48" s="153"/>
      <c r="D48"/>
      <c r="E48" s="153"/>
    </row>
    <row r="49" spans="1:5" ht="20" x14ac:dyDescent="0.25">
      <c r="A49" s="153"/>
      <c r="B49" s="216" t="s">
        <v>340</v>
      </c>
      <c r="C49" s="219"/>
      <c r="D49" s="219"/>
      <c r="E49" s="153"/>
    </row>
    <row r="50" spans="1:5" ht="13" x14ac:dyDescent="0.25">
      <c r="A50" s="153"/>
      <c r="B50" s="65" t="s">
        <v>341</v>
      </c>
      <c r="C50" s="65" t="s">
        <v>342</v>
      </c>
      <c r="D50" s="220"/>
      <c r="E50" s="153"/>
    </row>
    <row r="51" spans="1:5" x14ac:dyDescent="0.25">
      <c r="A51" s="153"/>
      <c r="B51" s="135" t="s">
        <v>245</v>
      </c>
      <c r="C51" s="199">
        <v>258</v>
      </c>
      <c r="D51" s="199"/>
      <c r="E51" s="153"/>
    </row>
    <row r="52" spans="1:5" x14ac:dyDescent="0.25">
      <c r="A52" s="153"/>
      <c r="B52" s="135" t="s">
        <v>244</v>
      </c>
      <c r="C52" s="199">
        <v>188</v>
      </c>
      <c r="D52" s="199"/>
      <c r="E52" s="153"/>
    </row>
    <row r="53" spans="1:5" x14ac:dyDescent="0.25">
      <c r="A53" s="153"/>
      <c r="B53" s="135" t="s">
        <v>343</v>
      </c>
      <c r="C53" s="199">
        <v>73</v>
      </c>
      <c r="D53" s="199"/>
      <c r="E53" s="153"/>
    </row>
    <row r="54" spans="1:5" x14ac:dyDescent="0.25">
      <c r="A54" s="153"/>
      <c r="B54" s="135" t="s">
        <v>344</v>
      </c>
      <c r="C54" s="199">
        <v>67</v>
      </c>
      <c r="D54" s="199"/>
      <c r="E54" s="153"/>
    </row>
    <row r="55" spans="1:5" x14ac:dyDescent="0.25">
      <c r="A55" s="153"/>
      <c r="B55" s="135" t="s">
        <v>246</v>
      </c>
      <c r="C55" s="199">
        <v>17</v>
      </c>
      <c r="D55" s="199"/>
      <c r="E55" s="153"/>
    </row>
    <row r="56" spans="1:5" x14ac:dyDescent="0.25">
      <c r="A56" s="153"/>
      <c r="B56" s="135"/>
      <c r="C56" s="199"/>
      <c r="D56" s="199"/>
      <c r="E56" s="153"/>
    </row>
    <row r="57" spans="1:5" x14ac:dyDescent="0.25">
      <c r="A57" s="153"/>
      <c r="B57" s="135" t="s">
        <v>345</v>
      </c>
      <c r="C57" s="199">
        <v>354</v>
      </c>
      <c r="D57" s="199"/>
      <c r="E57" s="153"/>
    </row>
    <row r="58" spans="1:5" x14ac:dyDescent="0.25">
      <c r="A58" s="153"/>
      <c r="B58" s="230"/>
      <c r="C58" s="222"/>
      <c r="D58" s="222"/>
      <c r="E58" s="153"/>
    </row>
    <row r="59" spans="1:5" x14ac:dyDescent="0.25">
      <c r="A59" s="153"/>
      <c r="D59"/>
      <c r="E59" s="153"/>
    </row>
    <row r="60" spans="1:5" x14ac:dyDescent="0.25">
      <c r="A60" s="153"/>
      <c r="E60" s="153"/>
    </row>
    <row r="61" spans="1:5" x14ac:dyDescent="0.25">
      <c r="A61" s="153"/>
      <c r="E61" s="153"/>
    </row>
    <row r="62" spans="1:5" x14ac:dyDescent="0.25">
      <c r="A62" s="153"/>
      <c r="E62" s="153"/>
    </row>
    <row r="63" spans="1:5" x14ac:dyDescent="0.25">
      <c r="A63" s="153"/>
      <c r="E63" s="153"/>
    </row>
    <row r="64" spans="1:5" x14ac:dyDescent="0.25">
      <c r="A64" s="153"/>
      <c r="E64" s="153"/>
    </row>
    <row r="65" spans="1:12 16269:16269" x14ac:dyDescent="0.25">
      <c r="A65" s="153"/>
      <c r="E65" s="153"/>
    </row>
    <row r="66" spans="1:12 16269:16269" x14ac:dyDescent="0.25">
      <c r="A66" s="153"/>
      <c r="E66" s="153"/>
    </row>
    <row r="67" spans="1:12 16269:16269" ht="20" x14ac:dyDescent="0.25">
      <c r="A67" s="153"/>
      <c r="B67" s="216" t="s">
        <v>346</v>
      </c>
      <c r="C67" s="219"/>
      <c r="D67" s="219"/>
      <c r="E67" s="153"/>
    </row>
    <row r="68" spans="1:12 16269:16269" ht="13" x14ac:dyDescent="0.25">
      <c r="A68" s="153"/>
      <c r="B68" s="65" t="s">
        <v>294</v>
      </c>
      <c r="C68" s="220" t="s">
        <v>348</v>
      </c>
      <c r="D68" s="220" t="s">
        <v>347</v>
      </c>
      <c r="E68" s="153"/>
    </row>
    <row r="69" spans="1:12 16269:16269" ht="15.5" x14ac:dyDescent="0.25">
      <c r="A69" s="153"/>
      <c r="B69" s="232">
        <v>36556</v>
      </c>
      <c r="C69" s="231">
        <v>583082</v>
      </c>
      <c r="D69" s="231">
        <v>583.08199999999999</v>
      </c>
      <c r="E69" s="153"/>
      <c r="J69" s="233" t="s">
        <v>411</v>
      </c>
    </row>
    <row r="70" spans="1:12 16269:16269" x14ac:dyDescent="0.25">
      <c r="A70" s="153"/>
      <c r="B70" s="232">
        <v>36585</v>
      </c>
      <c r="C70" s="231">
        <v>731349</v>
      </c>
      <c r="D70" s="231">
        <v>731.34900000000005</v>
      </c>
      <c r="E70" s="153"/>
    </row>
    <row r="71" spans="1:12 16269:16269" s="153" customFormat="1" x14ac:dyDescent="0.25">
      <c r="B71" s="232">
        <v>36616</v>
      </c>
      <c r="C71" s="231">
        <v>834060</v>
      </c>
      <c r="D71" s="231">
        <v>834.06</v>
      </c>
      <c r="F71" s="171"/>
      <c r="G71" s="169">
        <v>2</v>
      </c>
      <c r="H71" s="169">
        <v>3</v>
      </c>
      <c r="I71" s="169">
        <v>4</v>
      </c>
      <c r="J71" s="169">
        <v>5</v>
      </c>
      <c r="K71" s="169">
        <v>6</v>
      </c>
      <c r="L71" s="169">
        <v>7</v>
      </c>
    </row>
    <row r="72" spans="1:12 16269:16269" x14ac:dyDescent="0.25">
      <c r="A72" s="153"/>
      <c r="B72" s="232">
        <v>36646</v>
      </c>
      <c r="C72" s="231">
        <v>727079</v>
      </c>
      <c r="D72" s="231">
        <v>727.07899999999995</v>
      </c>
      <c r="E72" s="153"/>
      <c r="F72" s="168"/>
      <c r="G72" s="168"/>
      <c r="H72" s="168"/>
      <c r="I72" s="168"/>
      <c r="J72" s="168"/>
      <c r="K72" s="168"/>
      <c r="L72" s="168"/>
      <c r="XAS72" s="153"/>
    </row>
    <row r="73" spans="1:12 16269:16269" x14ac:dyDescent="0.25">
      <c r="A73" s="153"/>
      <c r="B73" s="232">
        <v>36677</v>
      </c>
      <c r="C73" s="231">
        <v>791619</v>
      </c>
      <c r="D73" s="231">
        <v>791.61900000000003</v>
      </c>
      <c r="E73" s="153"/>
      <c r="F73" s="168"/>
      <c r="G73" s="168"/>
      <c r="H73" s="168"/>
      <c r="I73" s="168"/>
      <c r="J73" s="168"/>
      <c r="K73" s="168"/>
      <c r="L73" s="168"/>
    </row>
    <row r="74" spans="1:12 16269:16269" x14ac:dyDescent="0.25">
      <c r="A74" s="153"/>
      <c r="B74" s="232">
        <v>36707</v>
      </c>
      <c r="C74" s="231">
        <v>780133</v>
      </c>
      <c r="D74" s="231">
        <v>780.13300000000004</v>
      </c>
      <c r="E74" s="153"/>
      <c r="F74" s="168"/>
      <c r="G74" s="168"/>
      <c r="H74" s="168"/>
      <c r="I74" s="168"/>
      <c r="J74" s="168"/>
      <c r="K74" s="168"/>
      <c r="L74" s="168"/>
    </row>
    <row r="75" spans="1:12 16269:16269" x14ac:dyDescent="0.25">
      <c r="A75" s="153"/>
      <c r="B75" s="232">
        <v>36738</v>
      </c>
      <c r="C75" s="231">
        <v>692486</v>
      </c>
      <c r="D75" s="231">
        <v>692.48599999999999</v>
      </c>
      <c r="E75" s="153"/>
      <c r="F75" s="168"/>
      <c r="G75" s="168"/>
      <c r="H75" s="168"/>
      <c r="I75" s="168"/>
      <c r="J75" s="168"/>
      <c r="K75" s="168"/>
      <c r="L75" s="168"/>
    </row>
    <row r="76" spans="1:12 16269:16269" x14ac:dyDescent="0.25">
      <c r="A76" s="153"/>
      <c r="B76" s="232">
        <v>36769</v>
      </c>
      <c r="C76" s="231">
        <v>740253</v>
      </c>
      <c r="D76" s="231">
        <v>740.25300000000004</v>
      </c>
      <c r="E76" s="153"/>
      <c r="F76" s="168"/>
      <c r="G76" s="168"/>
      <c r="H76" s="168"/>
      <c r="I76" s="168"/>
      <c r="J76" s="168"/>
      <c r="K76" s="168"/>
      <c r="L76" s="168"/>
    </row>
    <row r="77" spans="1:12 16269:16269" x14ac:dyDescent="0.25">
      <c r="A77" s="153"/>
      <c r="B77" s="232">
        <v>36799</v>
      </c>
      <c r="C77" s="231">
        <v>728546</v>
      </c>
      <c r="D77" s="231">
        <v>728.54600000000005</v>
      </c>
      <c r="E77" s="153"/>
      <c r="F77" s="168"/>
      <c r="G77" s="168"/>
      <c r="H77" s="168"/>
      <c r="I77" s="168"/>
      <c r="J77" s="168"/>
      <c r="K77" s="168"/>
      <c r="L77" s="168"/>
    </row>
    <row r="78" spans="1:12 16269:16269" x14ac:dyDescent="0.25">
      <c r="A78" s="153"/>
      <c r="B78" s="232">
        <v>36830</v>
      </c>
      <c r="C78" s="231">
        <v>658815</v>
      </c>
      <c r="D78" s="231">
        <v>658.81500000000005</v>
      </c>
      <c r="E78" s="153"/>
      <c r="F78" s="168"/>
      <c r="G78" s="168"/>
      <c r="H78" s="168"/>
      <c r="I78" s="168"/>
      <c r="J78" s="168"/>
      <c r="K78" s="168"/>
      <c r="L78" s="168"/>
    </row>
    <row r="79" spans="1:12 16269:16269" x14ac:dyDescent="0.25">
      <c r="A79" s="153"/>
      <c r="B79" s="232">
        <v>36860</v>
      </c>
      <c r="C79" s="231">
        <v>630488</v>
      </c>
      <c r="D79" s="231">
        <v>630.48800000000006</v>
      </c>
      <c r="E79" s="153"/>
      <c r="F79" s="168"/>
      <c r="G79" s="168"/>
      <c r="H79" s="168"/>
      <c r="I79" s="168"/>
      <c r="J79" s="168"/>
      <c r="K79" s="168"/>
      <c r="L79" s="168"/>
    </row>
    <row r="80" spans="1:12 16269:16269" x14ac:dyDescent="0.25">
      <c r="A80" s="153"/>
      <c r="B80" s="232">
        <v>36891</v>
      </c>
      <c r="C80" s="231">
        <v>627215</v>
      </c>
      <c r="D80" s="231">
        <v>627.21500000000003</v>
      </c>
      <c r="E80" s="153"/>
      <c r="F80" s="168"/>
      <c r="G80" s="168"/>
      <c r="H80" s="168"/>
      <c r="I80" s="168"/>
      <c r="J80" s="168"/>
      <c r="K80" s="168"/>
      <c r="L80" s="168"/>
    </row>
    <row r="81" spans="1:12" x14ac:dyDescent="0.25">
      <c r="A81" s="153"/>
      <c r="B81" s="232">
        <v>36922</v>
      </c>
      <c r="C81" s="231">
        <v>573878</v>
      </c>
      <c r="D81" s="231">
        <v>573.87800000000004</v>
      </c>
      <c r="E81" s="153"/>
      <c r="F81" s="168"/>
      <c r="G81" s="168"/>
      <c r="H81" s="168"/>
      <c r="I81" s="168"/>
      <c r="J81" s="168"/>
      <c r="K81" s="168"/>
      <c r="L81" s="168"/>
    </row>
    <row r="82" spans="1:12" x14ac:dyDescent="0.25">
      <c r="A82" s="153"/>
      <c r="B82" s="232">
        <v>36950</v>
      </c>
      <c r="C82" s="231">
        <v>655104</v>
      </c>
      <c r="D82" s="231">
        <v>655.10400000000004</v>
      </c>
      <c r="E82" s="153"/>
      <c r="F82" s="168"/>
      <c r="G82" s="168"/>
      <c r="H82" s="168"/>
      <c r="I82" s="168"/>
      <c r="J82" s="168"/>
      <c r="K82" s="168"/>
      <c r="L82" s="168"/>
    </row>
    <row r="83" spans="1:12" x14ac:dyDescent="0.25">
      <c r="A83" s="153"/>
      <c r="B83" s="232">
        <v>36981</v>
      </c>
      <c r="C83" s="231">
        <v>808024</v>
      </c>
      <c r="D83" s="231">
        <v>808.024</v>
      </c>
      <c r="E83" s="153"/>
      <c r="F83" s="168"/>
      <c r="G83" s="168"/>
      <c r="H83" s="168"/>
      <c r="I83" s="168"/>
      <c r="J83" s="168"/>
      <c r="K83" s="168"/>
      <c r="L83" s="168"/>
    </row>
    <row r="84" spans="1:12" x14ac:dyDescent="0.25">
      <c r="A84" s="153"/>
      <c r="B84" s="232">
        <v>37011</v>
      </c>
      <c r="C84" s="231">
        <v>659604</v>
      </c>
      <c r="D84" s="231">
        <v>659.60400000000004</v>
      </c>
      <c r="E84" s="153"/>
      <c r="F84" s="168"/>
      <c r="G84" s="168"/>
      <c r="H84" s="168"/>
      <c r="I84" s="168"/>
      <c r="J84" s="168"/>
      <c r="K84" s="168"/>
      <c r="L84" s="168"/>
    </row>
    <row r="85" spans="1:12" x14ac:dyDescent="0.25">
      <c r="A85" s="153"/>
      <c r="B85" s="232">
        <v>37042</v>
      </c>
      <c r="C85" s="231">
        <v>788154</v>
      </c>
      <c r="D85" s="231">
        <v>788.154</v>
      </c>
      <c r="E85" s="153"/>
      <c r="F85" s="168"/>
      <c r="G85" s="168"/>
      <c r="H85" s="168"/>
      <c r="I85" s="168"/>
      <c r="J85" s="168"/>
      <c r="K85" s="168"/>
      <c r="L85" s="168"/>
    </row>
    <row r="86" spans="1:12" x14ac:dyDescent="0.25">
      <c r="A86" s="153"/>
      <c r="B86" s="232">
        <v>37072</v>
      </c>
      <c r="C86" s="231">
        <v>809225</v>
      </c>
      <c r="D86" s="231">
        <v>809.22500000000002</v>
      </c>
      <c r="E86" s="153"/>
      <c r="F86" s="168"/>
      <c r="G86" s="168"/>
      <c r="H86" s="168"/>
      <c r="I86" s="168"/>
      <c r="J86" s="168"/>
      <c r="K86" s="168"/>
      <c r="L86" s="168"/>
    </row>
    <row r="87" spans="1:12" x14ac:dyDescent="0.25">
      <c r="A87" s="153"/>
      <c r="B87" s="232">
        <v>37103</v>
      </c>
      <c r="C87" s="231">
        <v>681033</v>
      </c>
      <c r="D87" s="231">
        <v>681.03300000000002</v>
      </c>
      <c r="E87" s="153"/>
      <c r="F87" s="168"/>
      <c r="G87" s="168"/>
      <c r="H87" s="168"/>
      <c r="I87" s="168"/>
      <c r="J87" s="168"/>
      <c r="K87" s="168"/>
      <c r="L87" s="168"/>
    </row>
    <row r="88" spans="1:12" x14ac:dyDescent="0.25">
      <c r="A88" s="153"/>
      <c r="B88" s="232">
        <v>37134</v>
      </c>
      <c r="C88" s="231">
        <v>708688</v>
      </c>
      <c r="D88" s="231">
        <v>708.68799999999999</v>
      </c>
      <c r="E88" s="153"/>
      <c r="F88" s="168"/>
      <c r="G88" s="168"/>
      <c r="H88" s="168"/>
      <c r="I88" s="168"/>
      <c r="J88" s="168"/>
      <c r="K88" s="168"/>
      <c r="L88" s="168"/>
    </row>
    <row r="89" spans="1:12" x14ac:dyDescent="0.25">
      <c r="A89" s="153"/>
      <c r="B89" s="232">
        <v>37164</v>
      </c>
      <c r="C89" s="231">
        <v>649229</v>
      </c>
      <c r="D89" s="231">
        <v>649.22900000000004</v>
      </c>
      <c r="E89" s="153"/>
      <c r="F89" s="168"/>
      <c r="G89" s="168"/>
      <c r="H89" s="168"/>
      <c r="I89" s="168"/>
      <c r="J89" s="168"/>
      <c r="K89" s="168"/>
      <c r="L89" s="168"/>
    </row>
    <row r="90" spans="1:12" x14ac:dyDescent="0.25">
      <c r="A90" s="153"/>
      <c r="B90" s="232">
        <v>37195</v>
      </c>
      <c r="C90" s="231">
        <v>909756</v>
      </c>
      <c r="D90" s="231">
        <v>909.75599999999997</v>
      </c>
      <c r="E90" s="153"/>
      <c r="F90" s="168"/>
      <c r="G90" s="168"/>
      <c r="H90" s="168"/>
      <c r="I90" s="168"/>
      <c r="J90" s="168"/>
      <c r="K90" s="168"/>
      <c r="L90" s="168"/>
    </row>
    <row r="91" spans="1:12" x14ac:dyDescent="0.25">
      <c r="A91" s="153"/>
      <c r="B91" s="232">
        <v>37225</v>
      </c>
      <c r="C91" s="231">
        <v>722769</v>
      </c>
      <c r="D91" s="231">
        <v>722.76900000000001</v>
      </c>
      <c r="E91" s="153"/>
      <c r="F91" s="168"/>
      <c r="G91" s="168"/>
      <c r="H91" s="168"/>
      <c r="I91" s="168"/>
      <c r="J91" s="168"/>
      <c r="K91" s="168"/>
      <c r="L91" s="168"/>
    </row>
    <row r="92" spans="1:12" x14ac:dyDescent="0.25">
      <c r="A92" s="153"/>
      <c r="B92" s="232">
        <v>37256</v>
      </c>
      <c r="C92" s="231">
        <v>736423</v>
      </c>
      <c r="D92" s="231">
        <v>736.423</v>
      </c>
      <c r="E92" s="153"/>
      <c r="F92" s="168"/>
      <c r="G92" s="168"/>
      <c r="H92" s="168"/>
      <c r="I92" s="168"/>
      <c r="J92" s="168"/>
      <c r="K92" s="168"/>
      <c r="L92" s="168"/>
    </row>
    <row r="93" spans="1:12" x14ac:dyDescent="0.25">
      <c r="A93" s="153"/>
      <c r="B93" s="232">
        <v>37287</v>
      </c>
      <c r="C93" s="231">
        <v>582916</v>
      </c>
      <c r="D93" s="231">
        <v>582.91600000000005</v>
      </c>
      <c r="E93" s="153"/>
      <c r="F93" s="168"/>
      <c r="G93" s="168"/>
      <c r="H93" s="168"/>
      <c r="I93" s="168"/>
      <c r="J93" s="168"/>
      <c r="K93" s="168"/>
      <c r="L93" s="168"/>
    </row>
    <row r="94" spans="1:12" x14ac:dyDescent="0.25">
      <c r="A94" s="153"/>
      <c r="B94" s="232">
        <v>37315</v>
      </c>
      <c r="C94" s="231">
        <v>683576</v>
      </c>
      <c r="D94" s="231">
        <v>683.57600000000002</v>
      </c>
      <c r="E94" s="153"/>
      <c r="F94" s="168"/>
      <c r="G94" s="168"/>
      <c r="H94" s="168"/>
      <c r="I94" s="168"/>
      <c r="J94" s="168"/>
      <c r="K94" s="168"/>
      <c r="L94" s="168"/>
    </row>
    <row r="95" spans="1:12" x14ac:dyDescent="0.25">
      <c r="A95" s="153"/>
      <c r="B95" s="232">
        <v>37346</v>
      </c>
      <c r="C95" s="231">
        <v>773509</v>
      </c>
      <c r="D95" s="231">
        <v>773.50900000000001</v>
      </c>
      <c r="E95" s="153"/>
      <c r="F95" s="168"/>
      <c r="G95" s="168"/>
      <c r="H95" s="168"/>
      <c r="I95" s="168"/>
      <c r="J95" s="168"/>
      <c r="K95" s="168"/>
      <c r="L95" s="168"/>
    </row>
    <row r="96" spans="1:12" x14ac:dyDescent="0.25">
      <c r="A96" s="153"/>
      <c r="B96" s="232">
        <v>37376</v>
      </c>
      <c r="C96" s="231">
        <v>726236</v>
      </c>
      <c r="D96" s="231">
        <v>726.23599999999999</v>
      </c>
      <c r="E96" s="153"/>
      <c r="F96" s="168"/>
      <c r="G96" s="168"/>
      <c r="H96" s="168"/>
      <c r="I96" s="168"/>
      <c r="J96" s="168"/>
      <c r="K96" s="168"/>
      <c r="L96" s="168"/>
    </row>
    <row r="97" spans="1:12" x14ac:dyDescent="0.25">
      <c r="A97" s="153"/>
      <c r="B97" s="232">
        <v>37407</v>
      </c>
      <c r="C97" s="231">
        <v>746438</v>
      </c>
      <c r="D97" s="231">
        <v>746.43799999999999</v>
      </c>
      <c r="E97" s="153"/>
      <c r="F97" s="168"/>
      <c r="G97" s="168"/>
      <c r="H97" s="168"/>
      <c r="I97" s="168"/>
      <c r="J97" s="168"/>
      <c r="K97" s="168"/>
      <c r="L97" s="168"/>
    </row>
    <row r="98" spans="1:12" x14ac:dyDescent="0.25">
      <c r="A98" s="153"/>
      <c r="B98" s="232">
        <v>37437</v>
      </c>
      <c r="C98" s="231">
        <v>775205</v>
      </c>
      <c r="D98" s="231">
        <v>775.20500000000004</v>
      </c>
      <c r="E98" s="153"/>
      <c r="F98" s="168"/>
      <c r="G98" s="168"/>
      <c r="H98" s="168"/>
      <c r="I98" s="168"/>
      <c r="J98" s="168"/>
      <c r="K98" s="168"/>
      <c r="L98" s="168"/>
    </row>
    <row r="99" spans="1:12" x14ac:dyDescent="0.25">
      <c r="A99" s="153"/>
      <c r="B99" s="232">
        <v>37468</v>
      </c>
      <c r="C99" s="231">
        <v>783624</v>
      </c>
      <c r="D99" s="231">
        <v>783.62400000000002</v>
      </c>
      <c r="E99" s="153"/>
      <c r="F99" s="168"/>
      <c r="G99" s="168"/>
      <c r="H99" s="168"/>
      <c r="I99" s="168"/>
      <c r="J99" s="168"/>
      <c r="K99" s="168"/>
      <c r="L99" s="168"/>
    </row>
    <row r="100" spans="1:12" x14ac:dyDescent="0.25">
      <c r="A100" s="153"/>
      <c r="B100" s="232">
        <v>37499</v>
      </c>
      <c r="C100" s="231">
        <v>875790</v>
      </c>
      <c r="D100" s="231">
        <v>875.79</v>
      </c>
      <c r="E100" s="153"/>
      <c r="F100" s="168"/>
      <c r="G100" s="168"/>
      <c r="H100" s="168"/>
      <c r="I100" s="168"/>
      <c r="J100" s="168"/>
      <c r="K100" s="168"/>
      <c r="L100" s="168"/>
    </row>
    <row r="101" spans="1:12" x14ac:dyDescent="0.25">
      <c r="A101" s="153"/>
      <c r="B101" s="232">
        <v>37529</v>
      </c>
      <c r="C101" s="231">
        <v>622187</v>
      </c>
      <c r="D101" s="231">
        <v>622.18700000000001</v>
      </c>
      <c r="E101" s="153"/>
      <c r="F101" s="168"/>
      <c r="G101" s="168"/>
      <c r="H101" s="168"/>
      <c r="I101" s="168"/>
      <c r="J101" s="168"/>
      <c r="K101" s="168"/>
      <c r="L101" s="168"/>
    </row>
    <row r="102" spans="1:12" x14ac:dyDescent="0.25">
      <c r="A102" s="153"/>
      <c r="B102" s="232">
        <v>37560</v>
      </c>
      <c r="C102" s="231">
        <v>695167</v>
      </c>
      <c r="D102" s="231">
        <v>695.16700000000003</v>
      </c>
      <c r="E102" s="153"/>
      <c r="F102" s="168"/>
      <c r="G102" s="168"/>
      <c r="H102" s="168"/>
      <c r="I102" s="168"/>
      <c r="J102" s="168"/>
      <c r="K102" s="168"/>
      <c r="L102" s="168"/>
    </row>
    <row r="103" spans="1:12" x14ac:dyDescent="0.25">
      <c r="A103" s="153"/>
      <c r="B103" s="232">
        <v>37590</v>
      </c>
      <c r="C103" s="231">
        <v>629607</v>
      </c>
      <c r="D103" s="231">
        <v>629.60699999999997</v>
      </c>
      <c r="E103" s="153"/>
      <c r="F103" s="168"/>
      <c r="G103" s="168"/>
      <c r="H103" s="168"/>
      <c r="I103" s="168"/>
      <c r="J103" s="168"/>
      <c r="K103" s="168"/>
      <c r="L103" s="168"/>
    </row>
    <row r="104" spans="1:12" x14ac:dyDescent="0.25">
      <c r="A104" s="153"/>
      <c r="B104" s="232">
        <v>37621</v>
      </c>
      <c r="C104" s="231">
        <v>815158</v>
      </c>
      <c r="D104" s="231">
        <v>815.15800000000002</v>
      </c>
      <c r="E104" s="153"/>
      <c r="F104" s="168"/>
      <c r="G104" s="168"/>
      <c r="H104" s="168"/>
      <c r="I104" s="168"/>
      <c r="J104" s="168"/>
      <c r="K104" s="168"/>
      <c r="L104" s="168"/>
    </row>
    <row r="105" spans="1:12" x14ac:dyDescent="0.25">
      <c r="A105" s="153"/>
      <c r="B105" s="232">
        <v>37652</v>
      </c>
      <c r="C105" s="231">
        <v>544618</v>
      </c>
      <c r="D105" s="231">
        <v>544.61800000000005</v>
      </c>
      <c r="E105" s="153"/>
      <c r="F105" s="168"/>
      <c r="G105" s="168"/>
      <c r="H105" s="168"/>
      <c r="I105" s="168"/>
      <c r="J105" s="168"/>
      <c r="K105" s="168"/>
      <c r="L105" s="168"/>
    </row>
    <row r="106" spans="1:12" x14ac:dyDescent="0.25">
      <c r="A106" s="153"/>
      <c r="B106" s="232">
        <v>37680</v>
      </c>
      <c r="C106" s="231">
        <v>637584</v>
      </c>
      <c r="D106" s="231">
        <v>637.58399999999995</v>
      </c>
      <c r="E106" s="153"/>
      <c r="F106" s="168"/>
      <c r="G106" s="168"/>
      <c r="H106" s="168"/>
      <c r="I106" s="168"/>
      <c r="J106" s="168"/>
      <c r="K106" s="168"/>
      <c r="L106" s="168"/>
    </row>
    <row r="107" spans="1:12" x14ac:dyDescent="0.25">
      <c r="A107" s="153"/>
      <c r="B107" s="232">
        <v>37711</v>
      </c>
      <c r="C107" s="231">
        <v>757516</v>
      </c>
      <c r="D107" s="231">
        <v>757.51599999999996</v>
      </c>
      <c r="E107" s="153"/>
      <c r="F107" s="168"/>
      <c r="G107" s="168"/>
      <c r="H107" s="168"/>
      <c r="I107" s="168"/>
      <c r="J107" s="168"/>
      <c r="K107" s="168"/>
      <c r="L107" s="168"/>
    </row>
    <row r="108" spans="1:12" x14ac:dyDescent="0.25">
      <c r="A108" s="153"/>
      <c r="B108" s="232">
        <v>37741</v>
      </c>
      <c r="C108" s="231">
        <v>754861</v>
      </c>
      <c r="D108" s="231">
        <v>754.86099999999999</v>
      </c>
      <c r="E108" s="153"/>
      <c r="F108" s="168"/>
      <c r="G108" s="168"/>
      <c r="H108" s="168"/>
      <c r="I108" s="168"/>
      <c r="J108" s="168"/>
      <c r="K108" s="168"/>
      <c r="L108" s="168"/>
    </row>
    <row r="109" spans="1:12" x14ac:dyDescent="0.25">
      <c r="A109" s="153"/>
      <c r="B109" s="232">
        <v>37772</v>
      </c>
      <c r="C109" s="231">
        <v>845966</v>
      </c>
      <c r="D109" s="231">
        <v>845.96600000000001</v>
      </c>
      <c r="E109" s="153"/>
      <c r="F109" s="168"/>
      <c r="G109" s="168"/>
      <c r="H109" s="168"/>
      <c r="I109" s="168"/>
      <c r="J109" s="168"/>
      <c r="K109" s="168"/>
      <c r="L109" s="168"/>
    </row>
    <row r="110" spans="1:12" x14ac:dyDescent="0.25">
      <c r="A110" s="153"/>
      <c r="B110" s="232">
        <v>37802</v>
      </c>
      <c r="C110" s="231">
        <v>785910</v>
      </c>
      <c r="D110" s="231">
        <v>785.91</v>
      </c>
      <c r="E110" s="153"/>
      <c r="F110" s="168"/>
      <c r="G110" s="168"/>
      <c r="H110" s="168"/>
      <c r="I110" s="168"/>
      <c r="J110" s="168"/>
      <c r="K110" s="168"/>
      <c r="L110" s="168"/>
    </row>
    <row r="111" spans="1:12" x14ac:dyDescent="0.25">
      <c r="A111" s="153"/>
      <c r="B111" s="232">
        <v>37833</v>
      </c>
      <c r="C111" s="231">
        <v>830231</v>
      </c>
      <c r="D111" s="231">
        <v>830.23099999999999</v>
      </c>
      <c r="E111" s="153"/>
      <c r="F111" s="168"/>
      <c r="G111" s="168"/>
      <c r="H111" s="168"/>
      <c r="I111" s="168"/>
      <c r="J111" s="168"/>
      <c r="K111" s="168"/>
      <c r="L111" s="168"/>
    </row>
    <row r="112" spans="1:12" x14ac:dyDescent="0.25">
      <c r="A112" s="153"/>
      <c r="B112" s="232">
        <v>37864</v>
      </c>
      <c r="C112" s="231">
        <v>890396</v>
      </c>
      <c r="D112" s="231">
        <v>890.39599999999996</v>
      </c>
      <c r="E112" s="153"/>
      <c r="F112" s="168"/>
      <c r="G112" s="168"/>
      <c r="H112" s="168"/>
      <c r="I112" s="168"/>
      <c r="J112" s="168"/>
      <c r="K112" s="168"/>
      <c r="L112" s="168"/>
    </row>
    <row r="113" spans="1:12" x14ac:dyDescent="0.25">
      <c r="A113" s="153"/>
      <c r="B113" s="232">
        <v>37894</v>
      </c>
      <c r="C113" s="231">
        <v>705196</v>
      </c>
      <c r="D113" s="231">
        <v>705.19600000000003</v>
      </c>
      <c r="E113" s="153"/>
      <c r="F113" s="168"/>
      <c r="G113" s="168"/>
      <c r="H113" s="168"/>
      <c r="I113" s="168"/>
      <c r="J113" s="168"/>
      <c r="K113" s="168"/>
      <c r="L113" s="168"/>
    </row>
    <row r="114" spans="1:12" x14ac:dyDescent="0.25">
      <c r="A114" s="153"/>
      <c r="B114" s="232">
        <v>37925</v>
      </c>
      <c r="C114" s="231">
        <v>729464</v>
      </c>
      <c r="D114" s="231">
        <v>729.46400000000006</v>
      </c>
      <c r="E114" s="153"/>
      <c r="F114" s="168"/>
      <c r="G114" s="168"/>
      <c r="H114" s="168"/>
      <c r="I114" s="168"/>
      <c r="J114" s="168"/>
      <c r="K114" s="168"/>
      <c r="L114" s="168"/>
    </row>
    <row r="115" spans="1:12" x14ac:dyDescent="0.25">
      <c r="A115" s="153"/>
      <c r="B115" s="232">
        <v>37955</v>
      </c>
      <c r="C115" s="231">
        <v>700491</v>
      </c>
      <c r="D115" s="231">
        <v>700.49099999999999</v>
      </c>
      <c r="E115" s="153"/>
      <c r="F115" s="168"/>
      <c r="G115" s="168"/>
      <c r="H115" s="168"/>
      <c r="I115" s="168"/>
      <c r="J115" s="168"/>
      <c r="K115" s="168"/>
      <c r="L115" s="168"/>
    </row>
    <row r="116" spans="1:12" x14ac:dyDescent="0.25">
      <c r="A116" s="153"/>
      <c r="B116" s="232">
        <v>37986</v>
      </c>
      <c r="C116" s="231">
        <v>847757</v>
      </c>
      <c r="D116" s="231">
        <v>847.75699999999995</v>
      </c>
      <c r="E116" s="153"/>
      <c r="F116" s="168"/>
      <c r="G116" s="168"/>
      <c r="H116" s="168"/>
      <c r="I116" s="168"/>
      <c r="J116" s="168"/>
      <c r="K116" s="168"/>
      <c r="L116" s="168"/>
    </row>
    <row r="117" spans="1:12" x14ac:dyDescent="0.25">
      <c r="A117" s="153"/>
      <c r="B117" s="232">
        <v>38017</v>
      </c>
      <c r="C117" s="231">
        <v>627418</v>
      </c>
      <c r="D117" s="231">
        <v>627.41800000000001</v>
      </c>
      <c r="E117" s="153"/>
      <c r="F117" s="168"/>
      <c r="G117" s="168"/>
      <c r="H117" s="168"/>
      <c r="I117" s="168"/>
      <c r="J117" s="168"/>
      <c r="K117" s="168"/>
      <c r="L117" s="168"/>
    </row>
    <row r="118" spans="1:12" x14ac:dyDescent="0.25">
      <c r="A118" s="153"/>
      <c r="B118" s="232">
        <v>38046</v>
      </c>
      <c r="C118" s="231">
        <v>692743</v>
      </c>
      <c r="D118" s="231">
        <v>692.74300000000005</v>
      </c>
      <c r="E118" s="153"/>
      <c r="F118" s="168"/>
      <c r="G118" s="168"/>
      <c r="H118" s="168"/>
      <c r="I118" s="168"/>
      <c r="J118" s="168"/>
      <c r="K118" s="168"/>
      <c r="L118" s="168"/>
    </row>
    <row r="119" spans="1:12" x14ac:dyDescent="0.25">
      <c r="A119" s="153"/>
      <c r="B119" s="232">
        <v>38077</v>
      </c>
      <c r="C119" s="231">
        <v>811525</v>
      </c>
      <c r="D119" s="231">
        <v>811.52499999999998</v>
      </c>
      <c r="E119" s="153"/>
      <c r="F119" s="168"/>
      <c r="G119" s="168"/>
      <c r="H119" s="168"/>
      <c r="I119" s="168"/>
      <c r="J119" s="168"/>
      <c r="K119" s="168"/>
      <c r="L119" s="168"/>
    </row>
    <row r="120" spans="1:12" x14ac:dyDescent="0.25">
      <c r="A120" s="153"/>
      <c r="B120" s="232">
        <v>38107</v>
      </c>
      <c r="C120" s="231">
        <v>776479</v>
      </c>
      <c r="D120" s="231">
        <v>776.47900000000004</v>
      </c>
      <c r="E120" s="153"/>
      <c r="F120" s="168"/>
      <c r="G120" s="168"/>
      <c r="H120" s="168"/>
      <c r="I120" s="168"/>
      <c r="J120" s="168"/>
      <c r="K120" s="168"/>
      <c r="L120" s="168"/>
    </row>
    <row r="121" spans="1:12" x14ac:dyDescent="0.25">
      <c r="A121" s="153"/>
      <c r="B121" s="232">
        <v>38138</v>
      </c>
      <c r="C121" s="231">
        <v>884305</v>
      </c>
      <c r="D121" s="231">
        <v>884.30499999999995</v>
      </c>
      <c r="E121" s="153"/>
      <c r="F121" s="168"/>
      <c r="G121" s="168"/>
      <c r="H121" s="168"/>
      <c r="I121" s="168"/>
      <c r="J121" s="168"/>
      <c r="K121" s="168"/>
      <c r="L121" s="168"/>
    </row>
    <row r="122" spans="1:12" x14ac:dyDescent="0.25">
      <c r="A122" s="153"/>
      <c r="B122" s="232">
        <v>38168</v>
      </c>
      <c r="C122" s="231">
        <v>774824</v>
      </c>
      <c r="D122" s="231">
        <v>774.82399999999996</v>
      </c>
      <c r="E122" s="153"/>
      <c r="F122" s="168"/>
      <c r="G122" s="168"/>
      <c r="H122" s="168"/>
      <c r="I122" s="168"/>
      <c r="J122" s="168"/>
      <c r="K122" s="168"/>
      <c r="L122" s="168"/>
    </row>
    <row r="123" spans="1:12" x14ac:dyDescent="0.25">
      <c r="A123" s="153"/>
      <c r="B123" s="232">
        <v>38199</v>
      </c>
      <c r="C123" s="231">
        <v>870744</v>
      </c>
      <c r="D123" s="231">
        <v>870.74400000000003</v>
      </c>
      <c r="E123" s="153"/>
      <c r="F123" s="168"/>
      <c r="G123" s="168"/>
      <c r="H123" s="168"/>
      <c r="I123" s="168"/>
      <c r="J123" s="168"/>
      <c r="K123" s="168"/>
      <c r="L123" s="168"/>
    </row>
    <row r="124" spans="1:12" x14ac:dyDescent="0.25">
      <c r="A124" s="153"/>
      <c r="B124" s="232">
        <v>38230</v>
      </c>
      <c r="C124" s="231">
        <v>789902</v>
      </c>
      <c r="D124" s="231">
        <v>789.90200000000004</v>
      </c>
      <c r="E124" s="153"/>
      <c r="F124" s="168"/>
      <c r="G124" s="168"/>
      <c r="H124" s="168"/>
      <c r="I124" s="168"/>
      <c r="J124" s="168"/>
      <c r="K124" s="168"/>
      <c r="L124" s="168"/>
    </row>
    <row r="125" spans="1:12" x14ac:dyDescent="0.25">
      <c r="A125" s="153"/>
      <c r="B125" s="232">
        <v>38260</v>
      </c>
      <c r="C125" s="231">
        <v>829446</v>
      </c>
      <c r="D125" s="231">
        <v>829.44600000000003</v>
      </c>
      <c r="E125" s="153"/>
      <c r="F125" s="168"/>
      <c r="G125" s="168"/>
      <c r="H125" s="168"/>
      <c r="I125" s="168"/>
      <c r="J125" s="168"/>
      <c r="K125" s="168"/>
      <c r="L125" s="168"/>
    </row>
    <row r="126" spans="1:12" x14ac:dyDescent="0.25">
      <c r="A126" s="153"/>
      <c r="B126" s="232">
        <v>38291</v>
      </c>
      <c r="C126" s="231">
        <v>748491</v>
      </c>
      <c r="D126" s="231">
        <v>748.49099999999999</v>
      </c>
      <c r="E126" s="153"/>
      <c r="F126" s="168"/>
      <c r="G126" s="168"/>
      <c r="H126" s="168"/>
      <c r="I126" s="168"/>
      <c r="J126" s="168"/>
      <c r="K126" s="168"/>
      <c r="L126" s="168"/>
    </row>
    <row r="127" spans="1:12" x14ac:dyDescent="0.25">
      <c r="A127" s="153"/>
      <c r="B127" s="232">
        <v>38321</v>
      </c>
      <c r="C127" s="231">
        <v>680016</v>
      </c>
      <c r="D127" s="231">
        <v>680.01599999999996</v>
      </c>
      <c r="E127" s="153"/>
      <c r="F127" s="168"/>
      <c r="G127" s="168"/>
      <c r="H127" s="168"/>
      <c r="I127" s="168"/>
      <c r="J127" s="168"/>
      <c r="K127" s="168"/>
      <c r="L127" s="168"/>
    </row>
    <row r="128" spans="1:12" x14ac:dyDescent="0.25">
      <c r="A128" s="153"/>
      <c r="B128" s="232">
        <v>38352</v>
      </c>
      <c r="C128" s="231">
        <v>888076</v>
      </c>
      <c r="D128" s="231">
        <v>888.07600000000002</v>
      </c>
      <c r="E128" s="153"/>
      <c r="F128" s="168"/>
      <c r="G128" s="168"/>
      <c r="H128" s="168"/>
      <c r="I128" s="168"/>
      <c r="J128" s="168"/>
      <c r="K128" s="168"/>
      <c r="L128" s="168"/>
    </row>
    <row r="129" spans="1:12" x14ac:dyDescent="0.25">
      <c r="A129" s="153"/>
      <c r="B129" s="232">
        <v>38383</v>
      </c>
      <c r="C129" s="231">
        <v>575215</v>
      </c>
      <c r="D129" s="231">
        <v>575.21500000000003</v>
      </c>
      <c r="E129" s="153"/>
      <c r="F129" s="168"/>
      <c r="G129" s="168"/>
      <c r="H129" s="168"/>
      <c r="I129" s="168"/>
      <c r="J129" s="168"/>
      <c r="K129" s="168"/>
      <c r="L129" s="168"/>
    </row>
    <row r="130" spans="1:12" x14ac:dyDescent="0.25">
      <c r="A130" s="153"/>
      <c r="B130" s="232">
        <v>38411</v>
      </c>
      <c r="C130" s="231">
        <v>681243</v>
      </c>
      <c r="D130" s="231">
        <v>681.24300000000005</v>
      </c>
      <c r="E130" s="153"/>
      <c r="F130" s="168"/>
      <c r="G130" s="168"/>
      <c r="H130" s="168"/>
      <c r="I130" s="168"/>
      <c r="J130" s="168"/>
      <c r="K130" s="168"/>
      <c r="L130" s="168"/>
    </row>
    <row r="131" spans="1:12" x14ac:dyDescent="0.25">
      <c r="A131" s="153"/>
      <c r="B131" s="232">
        <v>38442</v>
      </c>
      <c r="C131" s="231">
        <v>856306</v>
      </c>
      <c r="D131" s="231">
        <v>856.30600000000004</v>
      </c>
      <c r="E131" s="153"/>
      <c r="F131" s="168"/>
      <c r="G131" s="168"/>
      <c r="H131" s="168"/>
      <c r="I131" s="168"/>
      <c r="J131" s="168"/>
      <c r="K131" s="168"/>
      <c r="L131" s="168"/>
    </row>
    <row r="132" spans="1:12" x14ac:dyDescent="0.25">
      <c r="A132" s="153"/>
      <c r="B132" s="232">
        <v>38472</v>
      </c>
      <c r="C132" s="231">
        <v>787746</v>
      </c>
      <c r="D132" s="231">
        <v>787.74599999999998</v>
      </c>
      <c r="E132" s="153"/>
      <c r="F132" s="168"/>
      <c r="G132" s="168"/>
      <c r="H132" s="168"/>
      <c r="I132" s="168"/>
      <c r="J132" s="168"/>
      <c r="K132" s="168"/>
      <c r="L132" s="168"/>
    </row>
    <row r="133" spans="1:12" x14ac:dyDescent="0.25">
      <c r="A133" s="153"/>
      <c r="B133" s="232">
        <v>38503</v>
      </c>
      <c r="C133" s="231">
        <v>808088</v>
      </c>
      <c r="D133" s="231">
        <v>808.08799999999997</v>
      </c>
      <c r="E133" s="153"/>
      <c r="F133" s="168"/>
      <c r="G133" s="168"/>
      <c r="H133" s="168"/>
      <c r="I133" s="168"/>
      <c r="J133" s="168"/>
      <c r="K133" s="168"/>
      <c r="L133" s="168"/>
    </row>
    <row r="134" spans="1:12" x14ac:dyDescent="0.25">
      <c r="A134" s="153"/>
      <c r="B134" s="232">
        <v>38533</v>
      </c>
      <c r="C134" s="231">
        <v>969628</v>
      </c>
      <c r="D134" s="231">
        <v>969.62800000000004</v>
      </c>
      <c r="E134" s="153"/>
      <c r="F134" s="168"/>
      <c r="G134" s="168"/>
      <c r="H134" s="168"/>
      <c r="I134" s="168"/>
      <c r="J134" s="168"/>
      <c r="K134" s="168"/>
      <c r="L134" s="168"/>
    </row>
    <row r="135" spans="1:12" x14ac:dyDescent="0.25">
      <c r="A135" s="153"/>
      <c r="B135" s="232">
        <v>38564</v>
      </c>
      <c r="C135" s="231">
        <v>1094126</v>
      </c>
      <c r="D135" s="231">
        <v>1094.126</v>
      </c>
      <c r="E135" s="153"/>
      <c r="F135" s="168"/>
      <c r="G135" s="168"/>
      <c r="H135" s="168"/>
      <c r="I135" s="168"/>
      <c r="J135" s="168"/>
      <c r="K135" s="168"/>
      <c r="L135" s="168"/>
    </row>
    <row r="136" spans="1:12" x14ac:dyDescent="0.25">
      <c r="A136" s="153"/>
      <c r="B136" s="232">
        <v>38595</v>
      </c>
      <c r="C136" s="231">
        <v>783407</v>
      </c>
      <c r="D136" s="231">
        <v>783.40700000000004</v>
      </c>
      <c r="E136" s="153"/>
      <c r="F136" s="168"/>
      <c r="G136" s="168"/>
      <c r="H136" s="168"/>
      <c r="I136" s="168"/>
      <c r="J136" s="168"/>
      <c r="K136" s="168"/>
      <c r="L136" s="168"/>
    </row>
    <row r="137" spans="1:12" x14ac:dyDescent="0.25">
      <c r="A137" s="153"/>
      <c r="B137" s="232">
        <v>38625</v>
      </c>
      <c r="C137" s="231">
        <v>681344</v>
      </c>
      <c r="D137" s="231">
        <v>681.34400000000005</v>
      </c>
      <c r="E137" s="153"/>
      <c r="F137" s="168"/>
      <c r="G137" s="168"/>
      <c r="H137" s="168"/>
      <c r="I137" s="168"/>
      <c r="J137" s="168"/>
      <c r="K137" s="168"/>
      <c r="L137" s="168"/>
    </row>
    <row r="138" spans="1:12" x14ac:dyDescent="0.25">
      <c r="A138" s="153"/>
      <c r="B138" s="232">
        <v>38656</v>
      </c>
      <c r="C138" s="231">
        <v>583468</v>
      </c>
      <c r="D138" s="231">
        <v>583.46799999999996</v>
      </c>
      <c r="E138" s="153"/>
      <c r="F138" s="168"/>
      <c r="G138" s="168"/>
      <c r="H138" s="168"/>
      <c r="I138" s="168"/>
      <c r="J138" s="168"/>
      <c r="K138" s="168"/>
      <c r="L138" s="168"/>
    </row>
    <row r="139" spans="1:12" x14ac:dyDescent="0.25">
      <c r="A139" s="153"/>
      <c r="B139" s="232">
        <v>38686</v>
      </c>
      <c r="C139" s="231">
        <v>622093</v>
      </c>
      <c r="D139" s="231">
        <v>622.09299999999996</v>
      </c>
      <c r="E139" s="153"/>
      <c r="F139" s="168"/>
      <c r="G139" s="168"/>
      <c r="H139" s="168"/>
      <c r="I139" s="168"/>
      <c r="J139" s="168"/>
      <c r="K139" s="168"/>
      <c r="L139" s="168"/>
    </row>
    <row r="140" spans="1:12" x14ac:dyDescent="0.25">
      <c r="A140" s="153"/>
      <c r="B140" s="232">
        <v>38717</v>
      </c>
      <c r="C140" s="231">
        <v>859940</v>
      </c>
      <c r="D140" s="231">
        <v>859.94</v>
      </c>
      <c r="E140" s="153"/>
      <c r="F140" s="168"/>
      <c r="G140" s="168"/>
      <c r="H140" s="168"/>
      <c r="I140" s="168"/>
      <c r="J140" s="168"/>
      <c r="K140" s="168"/>
      <c r="L140" s="168"/>
    </row>
    <row r="141" spans="1:12" x14ac:dyDescent="0.25">
      <c r="A141" s="153"/>
      <c r="B141" s="232">
        <v>38748</v>
      </c>
      <c r="C141" s="231">
        <v>582613</v>
      </c>
      <c r="D141" s="231">
        <v>582.61300000000006</v>
      </c>
      <c r="E141" s="153"/>
      <c r="F141" s="168"/>
      <c r="G141" s="168"/>
      <c r="H141" s="168"/>
      <c r="I141" s="168"/>
      <c r="J141" s="168"/>
      <c r="K141" s="168"/>
      <c r="L141" s="168"/>
    </row>
    <row r="142" spans="1:12" x14ac:dyDescent="0.25">
      <c r="A142" s="153"/>
      <c r="B142" s="232">
        <v>38776</v>
      </c>
      <c r="C142" s="231">
        <v>687571</v>
      </c>
      <c r="D142" s="231">
        <v>687.57100000000003</v>
      </c>
      <c r="E142" s="153"/>
      <c r="F142" s="168"/>
      <c r="G142" s="168"/>
      <c r="H142" s="168"/>
      <c r="I142" s="168"/>
      <c r="J142" s="168"/>
      <c r="K142" s="168"/>
      <c r="L142" s="168"/>
    </row>
    <row r="143" spans="1:12" x14ac:dyDescent="0.25">
      <c r="A143" s="153"/>
      <c r="B143" s="232">
        <v>38807</v>
      </c>
      <c r="C143" s="231">
        <v>835216</v>
      </c>
      <c r="D143" s="231">
        <v>835.21600000000001</v>
      </c>
      <c r="E143" s="153"/>
      <c r="F143" s="168"/>
      <c r="G143" s="168"/>
      <c r="H143" s="168"/>
      <c r="I143" s="168"/>
      <c r="J143" s="168"/>
      <c r="K143" s="168"/>
      <c r="L143" s="168"/>
    </row>
    <row r="144" spans="1:12" x14ac:dyDescent="0.25">
      <c r="A144" s="153"/>
      <c r="B144" s="232">
        <v>38837</v>
      </c>
      <c r="C144" s="231">
        <v>734758</v>
      </c>
      <c r="D144" s="231">
        <v>734.75800000000004</v>
      </c>
      <c r="E144" s="153"/>
      <c r="F144" s="168"/>
      <c r="G144" s="168"/>
      <c r="H144" s="168"/>
      <c r="I144" s="168"/>
      <c r="J144" s="168"/>
      <c r="K144" s="168"/>
      <c r="L144" s="168"/>
    </row>
    <row r="145" spans="1:12" x14ac:dyDescent="0.25">
      <c r="A145" s="153"/>
      <c r="B145" s="232">
        <v>38868</v>
      </c>
      <c r="C145" s="231">
        <v>755597</v>
      </c>
      <c r="D145" s="231">
        <v>755.59699999999998</v>
      </c>
      <c r="E145" s="153"/>
      <c r="F145" s="168"/>
      <c r="G145" s="168"/>
      <c r="H145" s="168"/>
      <c r="I145" s="168"/>
      <c r="J145" s="168"/>
      <c r="K145" s="168"/>
      <c r="L145" s="168"/>
    </row>
    <row r="146" spans="1:12" x14ac:dyDescent="0.25">
      <c r="A146" s="153"/>
      <c r="B146" s="232">
        <v>38898</v>
      </c>
      <c r="C146" s="231">
        <v>781900</v>
      </c>
      <c r="D146" s="231">
        <v>781.9</v>
      </c>
      <c r="E146" s="153"/>
      <c r="F146" s="168"/>
      <c r="G146" s="168"/>
      <c r="H146" s="168"/>
      <c r="I146" s="168"/>
      <c r="J146" s="168"/>
      <c r="K146" s="168"/>
      <c r="L146" s="168"/>
    </row>
    <row r="147" spans="1:12" x14ac:dyDescent="0.25">
      <c r="A147" s="153"/>
      <c r="B147" s="232">
        <v>38929</v>
      </c>
      <c r="C147" s="231">
        <v>775373</v>
      </c>
      <c r="D147" s="231">
        <v>775.37300000000005</v>
      </c>
      <c r="E147" s="153"/>
      <c r="F147" s="168"/>
      <c r="G147" s="168"/>
      <c r="H147" s="168"/>
      <c r="I147" s="168"/>
      <c r="J147" s="168"/>
      <c r="K147" s="168"/>
      <c r="L147" s="168"/>
    </row>
    <row r="148" spans="1:12" x14ac:dyDescent="0.25">
      <c r="A148" s="153"/>
      <c r="B148" s="232">
        <v>38960</v>
      </c>
      <c r="C148" s="231">
        <v>766611</v>
      </c>
      <c r="D148" s="231">
        <v>766.61099999999999</v>
      </c>
      <c r="E148" s="153"/>
      <c r="F148" s="168"/>
      <c r="G148" s="168"/>
      <c r="H148" s="168"/>
      <c r="I148" s="168"/>
      <c r="J148" s="168"/>
      <c r="K148" s="168"/>
      <c r="L148" s="168"/>
    </row>
    <row r="149" spans="1:12" x14ac:dyDescent="0.25">
      <c r="A149" s="153"/>
      <c r="B149" s="232">
        <v>38990</v>
      </c>
      <c r="C149" s="231">
        <v>717922</v>
      </c>
      <c r="D149" s="231">
        <v>717.92200000000003</v>
      </c>
      <c r="E149" s="153"/>
      <c r="F149" s="168"/>
      <c r="G149" s="168"/>
      <c r="H149" s="168"/>
      <c r="I149" s="168"/>
      <c r="J149" s="168"/>
      <c r="K149" s="168"/>
      <c r="L149" s="168"/>
    </row>
    <row r="150" spans="1:12" x14ac:dyDescent="0.25">
      <c r="A150" s="153"/>
      <c r="B150" s="232">
        <v>39021</v>
      </c>
      <c r="C150" s="231">
        <v>669748</v>
      </c>
      <c r="D150" s="231">
        <v>669.74800000000005</v>
      </c>
      <c r="E150" s="153"/>
      <c r="F150" s="168"/>
      <c r="G150" s="168"/>
      <c r="H150" s="168"/>
      <c r="I150" s="168"/>
      <c r="J150" s="168"/>
      <c r="K150" s="168"/>
      <c r="L150" s="168"/>
    </row>
    <row r="151" spans="1:12" x14ac:dyDescent="0.25">
      <c r="A151" s="153"/>
      <c r="B151" s="232">
        <v>39051</v>
      </c>
      <c r="C151" s="231">
        <v>660823</v>
      </c>
      <c r="D151" s="231">
        <v>660.82299999999998</v>
      </c>
      <c r="E151" s="153"/>
      <c r="F151" s="168"/>
      <c r="G151" s="168"/>
      <c r="H151" s="168"/>
      <c r="I151" s="168"/>
      <c r="J151" s="168"/>
      <c r="K151" s="168"/>
      <c r="L151" s="168"/>
    </row>
    <row r="152" spans="1:12" x14ac:dyDescent="0.25">
      <c r="A152" s="153"/>
      <c r="B152" s="232">
        <v>39082</v>
      </c>
      <c r="C152" s="231">
        <v>781742</v>
      </c>
      <c r="D152" s="231">
        <v>781.74199999999996</v>
      </c>
      <c r="E152" s="153"/>
      <c r="F152" s="168"/>
      <c r="G152" s="168"/>
      <c r="H152" s="168"/>
      <c r="I152" s="168"/>
      <c r="J152" s="168"/>
      <c r="K152" s="168"/>
      <c r="L152" s="168"/>
    </row>
    <row r="153" spans="1:12" x14ac:dyDescent="0.25">
      <c r="A153" s="153"/>
      <c r="B153" s="232">
        <v>39113</v>
      </c>
      <c r="C153" s="231">
        <v>581002</v>
      </c>
      <c r="D153" s="231">
        <v>581.00199999999995</v>
      </c>
      <c r="E153" s="153"/>
      <c r="F153" s="168"/>
      <c r="G153" s="168"/>
      <c r="H153" s="168"/>
      <c r="I153" s="168"/>
      <c r="J153" s="168"/>
      <c r="K153" s="168"/>
      <c r="L153" s="168"/>
    </row>
    <row r="154" spans="1:12" x14ac:dyDescent="0.25">
      <c r="A154" s="153"/>
      <c r="B154" s="232">
        <v>39141</v>
      </c>
      <c r="C154" s="231">
        <v>690502</v>
      </c>
      <c r="D154" s="231">
        <v>690.50199999999995</v>
      </c>
      <c r="E154" s="153"/>
      <c r="F154" s="168"/>
      <c r="G154" s="168"/>
      <c r="H154" s="168"/>
      <c r="I154" s="168"/>
      <c r="J154" s="168"/>
      <c r="K154" s="168"/>
      <c r="L154" s="168"/>
    </row>
    <row r="155" spans="1:12" x14ac:dyDescent="0.25">
      <c r="A155" s="153"/>
      <c r="B155" s="232">
        <v>39172</v>
      </c>
      <c r="C155" s="231">
        <v>817833</v>
      </c>
      <c r="D155" s="231">
        <v>817.83299999999997</v>
      </c>
      <c r="E155" s="153"/>
      <c r="F155" s="168"/>
      <c r="G155" s="168"/>
      <c r="H155" s="168"/>
      <c r="I155" s="168"/>
      <c r="J155" s="168"/>
      <c r="K155" s="168"/>
      <c r="L155" s="168"/>
    </row>
    <row r="156" spans="1:12" x14ac:dyDescent="0.25">
      <c r="A156" s="153"/>
      <c r="B156" s="232">
        <v>39202</v>
      </c>
      <c r="C156" s="231">
        <v>710682</v>
      </c>
      <c r="D156" s="231">
        <v>710.68200000000002</v>
      </c>
      <c r="E156" s="153"/>
      <c r="F156" s="168"/>
      <c r="G156" s="168"/>
      <c r="H156" s="168"/>
      <c r="I156" s="168"/>
      <c r="J156" s="168"/>
      <c r="K156" s="168"/>
      <c r="L156" s="168"/>
    </row>
    <row r="157" spans="1:12" x14ac:dyDescent="0.25">
      <c r="A157" s="153"/>
      <c r="B157" s="232">
        <v>39233</v>
      </c>
      <c r="C157" s="231">
        <v>780811</v>
      </c>
      <c r="D157" s="231">
        <v>780.81100000000004</v>
      </c>
      <c r="E157" s="153"/>
      <c r="F157" s="168"/>
      <c r="G157" s="168"/>
      <c r="H157" s="168"/>
      <c r="I157" s="168"/>
      <c r="J157" s="168"/>
      <c r="K157" s="168"/>
      <c r="L157" s="168"/>
    </row>
    <row r="158" spans="1:12" x14ac:dyDescent="0.25">
      <c r="A158" s="153"/>
      <c r="B158" s="232">
        <v>39263</v>
      </c>
      <c r="C158" s="231">
        <v>729467</v>
      </c>
      <c r="D158" s="231">
        <v>729.46699999999998</v>
      </c>
      <c r="E158" s="153"/>
      <c r="F158" s="168"/>
      <c r="G158" s="168"/>
      <c r="H158" s="168"/>
      <c r="I158" s="168"/>
      <c r="J158" s="168"/>
      <c r="K158" s="168"/>
      <c r="L158" s="168"/>
    </row>
    <row r="159" spans="1:12" x14ac:dyDescent="0.25">
      <c r="A159" s="153"/>
      <c r="B159" s="232">
        <v>39294</v>
      </c>
      <c r="C159" s="231">
        <v>683699</v>
      </c>
      <c r="D159" s="231">
        <v>683.69899999999996</v>
      </c>
      <c r="E159" s="153"/>
      <c r="F159" s="168"/>
      <c r="G159" s="168"/>
      <c r="H159" s="168"/>
      <c r="I159" s="168"/>
      <c r="J159" s="168"/>
      <c r="K159" s="168"/>
      <c r="L159" s="168"/>
    </row>
    <row r="160" spans="1:12" x14ac:dyDescent="0.25">
      <c r="A160" s="153"/>
      <c r="B160" s="232">
        <v>39325</v>
      </c>
      <c r="C160" s="231">
        <v>790083</v>
      </c>
      <c r="D160" s="231">
        <v>790.08299999999997</v>
      </c>
      <c r="E160" s="153"/>
      <c r="F160" s="168"/>
      <c r="G160" s="168"/>
      <c r="H160" s="168"/>
      <c r="I160" s="168"/>
      <c r="J160" s="168"/>
      <c r="K160" s="168"/>
      <c r="L160" s="168"/>
    </row>
    <row r="161" spans="1:12" x14ac:dyDescent="0.25">
      <c r="A161" s="153"/>
      <c r="B161" s="232">
        <v>39355</v>
      </c>
      <c r="C161" s="231">
        <v>697100</v>
      </c>
      <c r="D161" s="231">
        <v>697.1</v>
      </c>
      <c r="E161" s="153"/>
      <c r="F161" s="168"/>
      <c r="G161" s="168"/>
      <c r="H161" s="168"/>
      <c r="I161" s="168"/>
      <c r="J161" s="168"/>
      <c r="K161" s="168"/>
      <c r="L161" s="168"/>
    </row>
    <row r="162" spans="1:12" x14ac:dyDescent="0.25">
      <c r="A162" s="153"/>
      <c r="B162" s="232">
        <v>39386</v>
      </c>
      <c r="C162" s="231">
        <v>665340</v>
      </c>
      <c r="D162" s="231">
        <v>665.34</v>
      </c>
      <c r="E162" s="153"/>
      <c r="F162" s="168"/>
      <c r="G162" s="168"/>
      <c r="H162" s="168"/>
      <c r="I162" s="168"/>
      <c r="J162" s="168"/>
      <c r="K162" s="168"/>
      <c r="L162" s="168"/>
    </row>
    <row r="163" spans="1:12" x14ac:dyDescent="0.25">
      <c r="A163" s="153"/>
      <c r="B163" s="232">
        <v>39416</v>
      </c>
      <c r="C163" s="231">
        <v>607818</v>
      </c>
      <c r="D163" s="231">
        <v>607.81799999999998</v>
      </c>
      <c r="E163" s="153"/>
      <c r="F163" s="168"/>
      <c r="G163" s="168"/>
      <c r="H163" s="168"/>
      <c r="I163" s="168"/>
      <c r="J163" s="168"/>
      <c r="K163" s="168"/>
      <c r="L163" s="168"/>
    </row>
    <row r="164" spans="1:12" x14ac:dyDescent="0.25">
      <c r="A164" s="153"/>
      <c r="B164" s="232">
        <v>39447</v>
      </c>
      <c r="C164" s="231">
        <v>752074</v>
      </c>
      <c r="D164" s="231">
        <v>752.07399999999996</v>
      </c>
      <c r="E164" s="153"/>
      <c r="F164" s="168"/>
      <c r="G164" s="168"/>
      <c r="H164" s="168"/>
      <c r="I164" s="168"/>
      <c r="J164" s="168"/>
      <c r="K164" s="168"/>
      <c r="L164" s="168"/>
    </row>
    <row r="165" spans="1:12" x14ac:dyDescent="0.25">
      <c r="A165" s="153"/>
      <c r="B165" s="232">
        <v>39478</v>
      </c>
      <c r="C165" s="231">
        <v>539192</v>
      </c>
      <c r="D165" s="231">
        <v>539.19200000000001</v>
      </c>
      <c r="E165" s="153"/>
      <c r="F165" s="168"/>
      <c r="G165" s="168"/>
      <c r="H165" s="168"/>
      <c r="I165" s="168"/>
      <c r="J165" s="168"/>
      <c r="K165" s="168"/>
      <c r="L165" s="168"/>
    </row>
    <row r="166" spans="1:12" x14ac:dyDescent="0.25">
      <c r="A166" s="153"/>
      <c r="B166" s="232">
        <v>39507</v>
      </c>
      <c r="C166" s="231">
        <v>610975</v>
      </c>
      <c r="D166" s="231">
        <v>610.97500000000002</v>
      </c>
      <c r="E166" s="153"/>
      <c r="F166" s="168"/>
      <c r="G166" s="168"/>
      <c r="H166" s="168"/>
      <c r="I166" s="168"/>
      <c r="J166" s="168"/>
      <c r="K166" s="168"/>
      <c r="L166" s="168"/>
    </row>
    <row r="167" spans="1:12" x14ac:dyDescent="0.25">
      <c r="A167" s="153"/>
      <c r="B167" s="232">
        <v>39538</v>
      </c>
      <c r="C167" s="231">
        <v>666867</v>
      </c>
      <c r="D167" s="231">
        <v>666.86699999999996</v>
      </c>
      <c r="E167" s="153"/>
      <c r="F167" s="168"/>
      <c r="G167" s="168"/>
      <c r="H167" s="168"/>
      <c r="I167" s="168"/>
      <c r="J167" s="168"/>
      <c r="K167" s="168"/>
      <c r="L167" s="168"/>
    </row>
    <row r="168" spans="1:12" x14ac:dyDescent="0.25">
      <c r="A168" s="153"/>
      <c r="B168" s="232">
        <v>39568</v>
      </c>
      <c r="C168" s="231">
        <v>582055</v>
      </c>
      <c r="D168" s="231">
        <v>582.05499999999995</v>
      </c>
      <c r="E168" s="153"/>
      <c r="F168" s="168"/>
      <c r="G168" s="168"/>
      <c r="H168" s="168"/>
      <c r="I168" s="168"/>
      <c r="J168" s="168"/>
      <c r="K168" s="168"/>
      <c r="L168" s="168"/>
    </row>
    <row r="169" spans="1:12" x14ac:dyDescent="0.25">
      <c r="A169" s="153"/>
      <c r="B169" s="232">
        <v>39599</v>
      </c>
      <c r="C169" s="231">
        <v>593758</v>
      </c>
      <c r="D169" s="231">
        <v>593.75800000000004</v>
      </c>
      <c r="E169" s="153"/>
      <c r="F169" s="168"/>
      <c r="G169" s="168"/>
      <c r="H169" s="168"/>
      <c r="I169" s="168"/>
      <c r="J169" s="168"/>
      <c r="K169" s="168"/>
      <c r="L169" s="168"/>
    </row>
    <row r="170" spans="1:12" x14ac:dyDescent="0.25">
      <c r="A170" s="153"/>
      <c r="B170" s="232">
        <v>39629</v>
      </c>
      <c r="C170" s="231">
        <v>520635</v>
      </c>
      <c r="D170" s="231">
        <v>520.63499999999999</v>
      </c>
      <c r="E170" s="153"/>
      <c r="F170" s="168"/>
      <c r="G170" s="168"/>
      <c r="H170" s="168"/>
      <c r="I170" s="168"/>
      <c r="J170" s="168"/>
      <c r="K170" s="168"/>
      <c r="L170" s="168"/>
    </row>
    <row r="171" spans="1:12" x14ac:dyDescent="0.25">
      <c r="A171" s="153"/>
      <c r="B171" s="232">
        <v>39660</v>
      </c>
      <c r="C171" s="231">
        <v>512841</v>
      </c>
      <c r="D171" s="231">
        <v>512.84100000000001</v>
      </c>
      <c r="E171" s="153"/>
      <c r="F171" s="168"/>
      <c r="G171" s="168"/>
      <c r="H171" s="168"/>
      <c r="I171" s="168"/>
      <c r="J171" s="168"/>
      <c r="K171" s="168"/>
      <c r="L171" s="168"/>
    </row>
    <row r="172" spans="1:12" x14ac:dyDescent="0.25">
      <c r="A172" s="153"/>
      <c r="B172" s="232">
        <v>39691</v>
      </c>
      <c r="C172" s="231">
        <v>616089</v>
      </c>
      <c r="D172" s="231">
        <v>616.08900000000006</v>
      </c>
      <c r="E172" s="153"/>
      <c r="F172" s="168"/>
      <c r="G172" s="168"/>
      <c r="H172" s="168"/>
      <c r="I172" s="168"/>
      <c r="J172" s="168"/>
      <c r="K172" s="168"/>
      <c r="L172" s="168"/>
    </row>
    <row r="173" spans="1:12" x14ac:dyDescent="0.25">
      <c r="A173" s="153"/>
      <c r="B173" s="232">
        <v>39721</v>
      </c>
      <c r="C173" s="231">
        <v>486897</v>
      </c>
      <c r="D173" s="231">
        <v>486.89699999999999</v>
      </c>
      <c r="E173" s="153"/>
      <c r="F173" s="168"/>
      <c r="G173" s="168"/>
      <c r="H173" s="168"/>
      <c r="I173" s="168"/>
      <c r="J173" s="168"/>
      <c r="K173" s="168"/>
      <c r="L173" s="168"/>
    </row>
    <row r="174" spans="1:12" x14ac:dyDescent="0.25">
      <c r="A174" s="153"/>
      <c r="B174" s="232">
        <v>39752</v>
      </c>
      <c r="C174" s="231">
        <v>408627</v>
      </c>
      <c r="D174" s="231">
        <v>408.62700000000001</v>
      </c>
      <c r="E174" s="153"/>
      <c r="F174" s="168"/>
      <c r="G174" s="168"/>
      <c r="H174" s="168"/>
      <c r="I174" s="168"/>
      <c r="J174" s="168"/>
      <c r="K174" s="168"/>
      <c r="L174" s="168"/>
    </row>
    <row r="175" spans="1:12" x14ac:dyDescent="0.25">
      <c r="A175" s="153"/>
      <c r="B175" s="232">
        <v>39782</v>
      </c>
      <c r="C175" s="231">
        <v>387623</v>
      </c>
      <c r="D175" s="231">
        <v>387.62299999999999</v>
      </c>
      <c r="E175" s="153"/>
      <c r="F175" s="168"/>
      <c r="G175" s="168"/>
      <c r="H175" s="168"/>
      <c r="I175" s="168"/>
      <c r="J175" s="168"/>
      <c r="K175" s="168"/>
      <c r="L175" s="168"/>
    </row>
    <row r="176" spans="1:12" x14ac:dyDescent="0.25">
      <c r="A176" s="153"/>
      <c r="B176" s="232">
        <v>39813</v>
      </c>
      <c r="C176" s="231">
        <v>471268</v>
      </c>
      <c r="D176" s="231">
        <v>471.26799999999997</v>
      </c>
      <c r="E176" s="153"/>
      <c r="F176" s="168"/>
      <c r="G176" s="168"/>
      <c r="H176" s="168"/>
      <c r="I176" s="168"/>
      <c r="J176" s="168"/>
      <c r="K176" s="168"/>
      <c r="L176" s="168"/>
    </row>
    <row r="177" spans="1:12" x14ac:dyDescent="0.25">
      <c r="A177" s="153"/>
      <c r="B177" s="232">
        <v>39844</v>
      </c>
      <c r="C177" s="231">
        <v>341247</v>
      </c>
      <c r="D177" s="231">
        <v>341.24700000000001</v>
      </c>
      <c r="E177" s="153"/>
      <c r="F177" s="168"/>
      <c r="G177" s="168"/>
      <c r="H177" s="168"/>
      <c r="I177" s="168"/>
      <c r="J177" s="168"/>
      <c r="K177" s="168"/>
      <c r="L177" s="168"/>
    </row>
    <row r="178" spans="1:12" x14ac:dyDescent="0.25">
      <c r="A178" s="153"/>
      <c r="B178" s="232">
        <v>39872</v>
      </c>
      <c r="C178" s="231">
        <v>345680</v>
      </c>
      <c r="D178" s="231">
        <v>345.68</v>
      </c>
      <c r="E178" s="153"/>
      <c r="F178" s="168"/>
      <c r="G178" s="168"/>
      <c r="H178" s="168"/>
      <c r="I178" s="168"/>
      <c r="J178" s="168"/>
      <c r="K178" s="168"/>
      <c r="L178" s="168"/>
    </row>
    <row r="179" spans="1:12" x14ac:dyDescent="0.25">
      <c r="A179" s="153"/>
      <c r="B179" s="232">
        <v>39903</v>
      </c>
      <c r="C179" s="231">
        <v>410262</v>
      </c>
      <c r="D179" s="231">
        <v>410.262</v>
      </c>
      <c r="E179" s="153"/>
      <c r="F179" s="168"/>
      <c r="G179" s="168"/>
      <c r="H179" s="168"/>
      <c r="I179" s="168"/>
      <c r="J179" s="168"/>
      <c r="K179" s="168"/>
      <c r="L179" s="168"/>
    </row>
    <row r="180" spans="1:12" x14ac:dyDescent="0.25">
      <c r="A180" s="153"/>
      <c r="B180" s="232">
        <v>39933</v>
      </c>
      <c r="C180" s="231">
        <v>390371</v>
      </c>
      <c r="D180" s="231">
        <v>390.37099999999998</v>
      </c>
      <c r="E180" s="153"/>
      <c r="F180" s="168"/>
      <c r="G180" s="168"/>
      <c r="H180" s="168"/>
      <c r="I180" s="168"/>
      <c r="J180" s="168"/>
      <c r="K180" s="168"/>
      <c r="L180" s="168"/>
    </row>
    <row r="181" spans="1:12" x14ac:dyDescent="0.25">
      <c r="A181" s="153"/>
      <c r="B181" s="232">
        <v>39964</v>
      </c>
      <c r="C181" s="231">
        <v>442709</v>
      </c>
      <c r="D181" s="231">
        <v>442.709</v>
      </c>
      <c r="E181" s="153"/>
      <c r="F181" s="168"/>
      <c r="G181" s="168"/>
      <c r="H181" s="168"/>
      <c r="I181" s="168"/>
      <c r="J181" s="168"/>
      <c r="K181" s="168"/>
      <c r="L181" s="168"/>
    </row>
    <row r="182" spans="1:12" x14ac:dyDescent="0.25">
      <c r="A182" s="153"/>
      <c r="B182" s="232">
        <v>39994</v>
      </c>
      <c r="C182" s="231">
        <v>404039</v>
      </c>
      <c r="D182" s="231">
        <v>404.03899999999999</v>
      </c>
      <c r="E182" s="153"/>
      <c r="F182" s="168"/>
      <c r="G182" s="168"/>
      <c r="H182" s="168"/>
      <c r="I182" s="168"/>
      <c r="J182" s="168"/>
      <c r="K182" s="168"/>
      <c r="L182" s="168"/>
    </row>
    <row r="183" spans="1:12" x14ac:dyDescent="0.25">
      <c r="A183" s="153"/>
      <c r="B183" s="232">
        <v>40025</v>
      </c>
      <c r="C183" s="231">
        <v>449215</v>
      </c>
      <c r="D183" s="231">
        <v>449.21499999999997</v>
      </c>
      <c r="E183" s="153"/>
      <c r="F183" s="168"/>
      <c r="G183" s="168"/>
      <c r="H183" s="168"/>
      <c r="I183" s="168"/>
      <c r="J183" s="168"/>
      <c r="K183" s="168"/>
      <c r="L183" s="168"/>
    </row>
    <row r="184" spans="1:12" x14ac:dyDescent="0.25">
      <c r="A184" s="153"/>
      <c r="B184" s="232">
        <v>40056</v>
      </c>
      <c r="C184" s="231">
        <v>541315</v>
      </c>
      <c r="D184" s="231">
        <v>541.31500000000005</v>
      </c>
      <c r="E184" s="153"/>
      <c r="F184" s="168"/>
      <c r="G184" s="168"/>
      <c r="H184" s="168"/>
      <c r="I184" s="168"/>
      <c r="J184" s="168"/>
      <c r="K184" s="168"/>
      <c r="L184" s="168"/>
    </row>
    <row r="185" spans="1:12" x14ac:dyDescent="0.25">
      <c r="A185" s="153"/>
      <c r="B185" s="232">
        <v>40086</v>
      </c>
      <c r="C185" s="231">
        <v>348637</v>
      </c>
      <c r="D185" s="231">
        <v>348.637</v>
      </c>
      <c r="E185" s="153"/>
      <c r="F185" s="168"/>
      <c r="G185" s="168"/>
      <c r="H185" s="168"/>
      <c r="I185" s="168"/>
      <c r="J185" s="168"/>
      <c r="K185" s="168"/>
      <c r="L185" s="168"/>
    </row>
    <row r="186" spans="1:12" x14ac:dyDescent="0.25">
      <c r="A186" s="153"/>
      <c r="B186" s="232">
        <v>40117</v>
      </c>
      <c r="C186" s="231">
        <v>413112</v>
      </c>
      <c r="D186" s="231">
        <v>413.11200000000002</v>
      </c>
      <c r="E186" s="153"/>
      <c r="F186" s="168"/>
      <c r="G186" s="168"/>
      <c r="H186" s="168"/>
      <c r="I186" s="168"/>
      <c r="J186" s="168"/>
      <c r="K186" s="168"/>
      <c r="L186" s="168"/>
    </row>
    <row r="187" spans="1:12" x14ac:dyDescent="0.25">
      <c r="A187" s="153"/>
      <c r="B187" s="232">
        <v>40147</v>
      </c>
      <c r="C187" s="231">
        <v>375618</v>
      </c>
      <c r="D187" s="231">
        <v>375.61799999999999</v>
      </c>
      <c r="E187" s="153"/>
      <c r="F187" s="168"/>
      <c r="G187" s="168"/>
      <c r="H187" s="168"/>
      <c r="I187" s="168"/>
      <c r="J187" s="168"/>
      <c r="K187" s="168"/>
      <c r="L187" s="168"/>
    </row>
    <row r="188" spans="1:12" x14ac:dyDescent="0.25">
      <c r="A188" s="153"/>
      <c r="B188" s="232">
        <v>40178</v>
      </c>
      <c r="C188" s="231">
        <v>520722</v>
      </c>
      <c r="D188" s="231">
        <v>520.72199999999998</v>
      </c>
      <c r="E188" s="153"/>
      <c r="F188" s="168"/>
      <c r="G188" s="168"/>
      <c r="H188" s="168"/>
      <c r="I188" s="168"/>
      <c r="J188" s="168"/>
      <c r="K188" s="168"/>
      <c r="L188" s="168"/>
    </row>
    <row r="189" spans="1:12" x14ac:dyDescent="0.25">
      <c r="A189" s="153"/>
      <c r="B189" s="232">
        <v>40209</v>
      </c>
      <c r="C189" s="231">
        <v>339241</v>
      </c>
      <c r="D189" s="231">
        <v>339.24099999999999</v>
      </c>
      <c r="E189" s="153"/>
      <c r="F189" s="168"/>
      <c r="G189" s="168"/>
      <c r="H189" s="168"/>
      <c r="I189" s="168"/>
      <c r="J189" s="168"/>
      <c r="K189" s="168"/>
      <c r="L189" s="168"/>
    </row>
    <row r="190" spans="1:12" x14ac:dyDescent="0.25">
      <c r="A190" s="153"/>
      <c r="B190" s="232">
        <v>40237</v>
      </c>
      <c r="C190" s="231">
        <v>382533</v>
      </c>
      <c r="D190" s="231">
        <v>382.53300000000002</v>
      </c>
      <c r="E190" s="153"/>
      <c r="F190" s="168"/>
      <c r="G190" s="168"/>
      <c r="H190" s="168"/>
      <c r="I190" s="168"/>
      <c r="J190" s="168"/>
      <c r="K190" s="168"/>
      <c r="L190" s="168"/>
    </row>
    <row r="191" spans="1:12" x14ac:dyDescent="0.25">
      <c r="A191" s="153"/>
      <c r="B191" s="232">
        <v>40268</v>
      </c>
      <c r="C191" s="231">
        <v>530646</v>
      </c>
      <c r="D191" s="231">
        <v>530.64599999999996</v>
      </c>
      <c r="E191" s="153"/>
      <c r="F191" s="168"/>
      <c r="G191" s="168"/>
      <c r="H191" s="168"/>
      <c r="I191" s="168"/>
      <c r="J191" s="168"/>
      <c r="K191" s="168"/>
      <c r="L191" s="168"/>
    </row>
    <row r="192" spans="1:12" x14ac:dyDescent="0.25">
      <c r="A192" s="153"/>
      <c r="B192" s="232">
        <v>40298</v>
      </c>
      <c r="C192" s="231">
        <v>486900</v>
      </c>
      <c r="D192" s="231">
        <v>486.9</v>
      </c>
      <c r="E192" s="153"/>
      <c r="F192" s="168"/>
      <c r="G192" s="168"/>
      <c r="H192" s="168"/>
      <c r="I192" s="168"/>
      <c r="J192" s="168"/>
      <c r="K192" s="168"/>
      <c r="L192" s="168"/>
    </row>
    <row r="193" spans="1:12" x14ac:dyDescent="0.25">
      <c r="A193" s="153"/>
      <c r="B193" s="232">
        <v>40329</v>
      </c>
      <c r="C193" s="231">
        <v>547389</v>
      </c>
      <c r="D193" s="231">
        <v>547.38900000000001</v>
      </c>
      <c r="E193" s="153"/>
      <c r="F193" s="168"/>
      <c r="G193" s="168"/>
      <c r="H193" s="168"/>
      <c r="I193" s="168"/>
      <c r="J193" s="168"/>
      <c r="K193" s="168"/>
      <c r="L193" s="168"/>
    </row>
    <row r="194" spans="1:12" x14ac:dyDescent="0.25">
      <c r="A194" s="153"/>
      <c r="B194" s="232">
        <v>40359</v>
      </c>
      <c r="C194" s="231">
        <v>491599</v>
      </c>
      <c r="D194" s="231">
        <v>491.59899999999999</v>
      </c>
      <c r="E194" s="153"/>
      <c r="F194" s="168"/>
      <c r="G194" s="168"/>
      <c r="H194" s="168"/>
      <c r="I194" s="168"/>
      <c r="J194" s="168"/>
      <c r="K194" s="168"/>
      <c r="L194" s="168"/>
    </row>
    <row r="195" spans="1:12" x14ac:dyDescent="0.25">
      <c r="A195" s="153"/>
      <c r="B195" s="232">
        <v>40390</v>
      </c>
      <c r="C195" s="231">
        <v>537392</v>
      </c>
      <c r="D195" s="231">
        <v>537.39200000000005</v>
      </c>
      <c r="E195" s="153"/>
      <c r="F195" s="168"/>
      <c r="G195" s="168"/>
      <c r="H195" s="168"/>
      <c r="I195" s="168"/>
      <c r="J195" s="168"/>
      <c r="K195" s="168"/>
      <c r="L195" s="168"/>
    </row>
    <row r="196" spans="1:12" x14ac:dyDescent="0.25">
      <c r="A196" s="153"/>
      <c r="B196" s="232">
        <v>40421</v>
      </c>
      <c r="C196" s="231">
        <v>498925</v>
      </c>
      <c r="D196" s="231">
        <v>498.92500000000001</v>
      </c>
      <c r="E196" s="153"/>
      <c r="F196" s="168"/>
      <c r="G196" s="168"/>
      <c r="H196" s="168"/>
      <c r="I196" s="168"/>
      <c r="J196" s="168"/>
      <c r="K196" s="168"/>
      <c r="L196" s="168"/>
    </row>
    <row r="197" spans="1:12" x14ac:dyDescent="0.25">
      <c r="A197" s="153"/>
      <c r="B197" s="232">
        <v>40451</v>
      </c>
      <c r="C197" s="231">
        <v>485805</v>
      </c>
      <c r="D197" s="231">
        <v>485.80500000000001</v>
      </c>
      <c r="E197" s="153"/>
      <c r="F197" s="168"/>
      <c r="G197" s="168"/>
      <c r="H197" s="168"/>
      <c r="I197" s="168"/>
      <c r="J197" s="168"/>
      <c r="K197" s="168"/>
      <c r="L197" s="168"/>
    </row>
    <row r="198" spans="1:12" x14ac:dyDescent="0.25">
      <c r="A198" s="153"/>
      <c r="B198" s="232">
        <v>40482</v>
      </c>
      <c r="C198" s="231">
        <v>508570</v>
      </c>
      <c r="D198" s="231">
        <v>508.57</v>
      </c>
      <c r="E198" s="153"/>
      <c r="F198" s="168"/>
      <c r="G198" s="168"/>
      <c r="H198" s="168"/>
      <c r="I198" s="168"/>
      <c r="J198" s="168"/>
      <c r="K198" s="168"/>
      <c r="L198" s="168"/>
    </row>
    <row r="199" spans="1:12" x14ac:dyDescent="0.25">
      <c r="A199" s="153"/>
      <c r="B199" s="232">
        <v>40512</v>
      </c>
      <c r="C199" s="231">
        <v>472981</v>
      </c>
      <c r="D199" s="231">
        <v>472.98099999999999</v>
      </c>
      <c r="E199" s="153"/>
      <c r="F199" s="168"/>
      <c r="G199" s="168"/>
      <c r="H199" s="168"/>
      <c r="I199" s="168"/>
      <c r="J199" s="168"/>
      <c r="K199" s="168"/>
      <c r="L199" s="168"/>
    </row>
    <row r="200" spans="1:12" x14ac:dyDescent="0.25">
      <c r="A200" s="153"/>
      <c r="B200" s="232">
        <v>40543</v>
      </c>
      <c r="C200" s="231">
        <v>629892</v>
      </c>
      <c r="D200" s="231">
        <v>629.89200000000005</v>
      </c>
      <c r="E200" s="153"/>
      <c r="F200" s="168"/>
      <c r="G200" s="168"/>
      <c r="H200" s="168"/>
      <c r="I200" s="168"/>
      <c r="J200" s="168"/>
      <c r="K200" s="168"/>
      <c r="L200" s="168"/>
    </row>
    <row r="201" spans="1:12" x14ac:dyDescent="0.25">
      <c r="A201" s="153"/>
      <c r="B201" s="232">
        <v>40574</v>
      </c>
      <c r="C201" s="231">
        <v>436542</v>
      </c>
      <c r="D201" s="231">
        <v>436.54199999999997</v>
      </c>
      <c r="E201" s="153"/>
      <c r="F201" s="168"/>
      <c r="G201" s="168"/>
      <c r="H201" s="168"/>
      <c r="I201" s="168"/>
      <c r="J201" s="168"/>
      <c r="K201" s="168"/>
      <c r="L201" s="168"/>
    </row>
    <row r="202" spans="1:12" x14ac:dyDescent="0.25">
      <c r="A202" s="153"/>
      <c r="B202" s="232">
        <v>40602</v>
      </c>
      <c r="C202" s="231">
        <v>507268</v>
      </c>
      <c r="D202" s="231">
        <v>507.26799999999997</v>
      </c>
      <c r="E202" s="153"/>
      <c r="F202" s="168"/>
      <c r="G202" s="168"/>
      <c r="H202" s="168"/>
      <c r="I202" s="168"/>
      <c r="J202" s="168"/>
      <c r="K202" s="168"/>
      <c r="L202" s="168"/>
    </row>
    <row r="203" spans="1:12" x14ac:dyDescent="0.25">
      <c r="A203" s="153"/>
      <c r="B203" s="232">
        <v>40633</v>
      </c>
      <c r="C203" s="231">
        <v>599604</v>
      </c>
      <c r="D203" s="231">
        <v>599.60400000000004</v>
      </c>
      <c r="E203" s="153"/>
      <c r="F203" s="168"/>
      <c r="G203" s="168"/>
      <c r="H203" s="168"/>
      <c r="I203" s="168"/>
      <c r="J203" s="168"/>
      <c r="K203" s="168"/>
      <c r="L203" s="168"/>
    </row>
    <row r="204" spans="1:12" x14ac:dyDescent="0.25">
      <c r="A204" s="153"/>
      <c r="B204" s="232">
        <v>40663</v>
      </c>
      <c r="C204" s="231">
        <v>555665</v>
      </c>
      <c r="D204" s="231">
        <v>555.66499999999996</v>
      </c>
      <c r="E204" s="153"/>
      <c r="F204" s="168"/>
      <c r="G204" s="168"/>
      <c r="H204" s="168"/>
      <c r="I204" s="168"/>
      <c r="J204" s="168"/>
      <c r="K204" s="168"/>
      <c r="L204" s="168"/>
    </row>
    <row r="205" spans="1:12" x14ac:dyDescent="0.25">
      <c r="A205" s="153"/>
      <c r="B205" s="232">
        <v>40694</v>
      </c>
      <c r="C205" s="231">
        <v>522751</v>
      </c>
      <c r="D205" s="231">
        <v>522.75099999999998</v>
      </c>
      <c r="E205" s="153"/>
      <c r="F205" s="168"/>
      <c r="G205" s="168"/>
      <c r="H205" s="168"/>
      <c r="I205" s="168"/>
      <c r="J205" s="168"/>
      <c r="K205" s="168"/>
      <c r="L205" s="168"/>
    </row>
    <row r="206" spans="1:12" x14ac:dyDescent="0.25">
      <c r="A206" s="153"/>
      <c r="B206" s="232">
        <v>40724</v>
      </c>
      <c r="C206" s="231">
        <v>532632</v>
      </c>
      <c r="D206" s="231">
        <v>532.63199999999995</v>
      </c>
      <c r="E206" s="153"/>
      <c r="F206" s="168"/>
      <c r="G206" s="168"/>
      <c r="H206" s="168"/>
      <c r="I206" s="168"/>
      <c r="J206" s="168"/>
      <c r="K206" s="168"/>
      <c r="L206" s="168"/>
    </row>
    <row r="207" spans="1:12" x14ac:dyDescent="0.25">
      <c r="A207" s="153"/>
      <c r="B207" s="232">
        <v>40755</v>
      </c>
      <c r="C207" s="231">
        <v>560302</v>
      </c>
      <c r="D207" s="231">
        <v>560.30200000000002</v>
      </c>
      <c r="E207" s="153"/>
      <c r="F207" s="168"/>
      <c r="G207" s="168"/>
      <c r="H207" s="168"/>
      <c r="I207" s="168"/>
      <c r="J207" s="168"/>
      <c r="K207" s="168"/>
      <c r="L207" s="168"/>
    </row>
    <row r="208" spans="1:12" x14ac:dyDescent="0.25">
      <c r="A208" s="153"/>
      <c r="B208" s="232">
        <v>40786</v>
      </c>
      <c r="C208" s="231">
        <v>571137</v>
      </c>
      <c r="D208" s="231">
        <v>571.13699999999994</v>
      </c>
      <c r="E208" s="153"/>
      <c r="F208" s="168"/>
      <c r="G208" s="168"/>
      <c r="H208" s="168"/>
      <c r="I208" s="168"/>
      <c r="J208" s="168"/>
      <c r="K208" s="168"/>
      <c r="L208" s="168"/>
    </row>
    <row r="209" spans="1:12" x14ac:dyDescent="0.25">
      <c r="A209" s="153"/>
      <c r="B209" s="232">
        <v>40816</v>
      </c>
      <c r="C209" s="231">
        <v>574235</v>
      </c>
      <c r="D209" s="231">
        <v>574.23500000000001</v>
      </c>
      <c r="E209" s="153"/>
      <c r="F209" s="168"/>
      <c r="G209" s="168"/>
      <c r="H209" s="168"/>
      <c r="I209" s="168"/>
      <c r="J209" s="168"/>
      <c r="K209" s="168"/>
      <c r="L209" s="168"/>
    </row>
    <row r="210" spans="1:12" x14ac:dyDescent="0.25">
      <c r="A210" s="153"/>
      <c r="B210" s="232">
        <v>40847</v>
      </c>
      <c r="C210" s="231">
        <v>548799</v>
      </c>
      <c r="D210" s="231">
        <v>548.79899999999998</v>
      </c>
      <c r="E210" s="153"/>
      <c r="F210" s="168"/>
      <c r="G210" s="168"/>
      <c r="H210" s="168"/>
      <c r="I210" s="168"/>
      <c r="J210" s="168"/>
      <c r="K210" s="168"/>
      <c r="L210" s="168"/>
    </row>
    <row r="211" spans="1:12" x14ac:dyDescent="0.25">
      <c r="A211" s="153"/>
      <c r="B211" s="232">
        <v>40877</v>
      </c>
      <c r="C211" s="231">
        <v>539181</v>
      </c>
      <c r="D211" s="231">
        <v>539.18100000000004</v>
      </c>
      <c r="E211" s="153"/>
      <c r="F211" s="168"/>
      <c r="G211" s="168"/>
      <c r="H211" s="168"/>
      <c r="I211" s="168"/>
      <c r="J211" s="168"/>
      <c r="K211" s="168"/>
      <c r="L211" s="168"/>
    </row>
    <row r="212" spans="1:12" x14ac:dyDescent="0.25">
      <c r="A212" s="153"/>
      <c r="B212" s="232">
        <v>40908</v>
      </c>
      <c r="C212" s="231">
        <v>695268</v>
      </c>
      <c r="D212" s="231">
        <v>695.26800000000003</v>
      </c>
      <c r="E212" s="153"/>
      <c r="F212" s="168"/>
      <c r="G212" s="168"/>
      <c r="H212" s="168"/>
      <c r="I212" s="168"/>
      <c r="J212" s="168"/>
      <c r="K212" s="168"/>
      <c r="L212" s="168"/>
    </row>
    <row r="213" spans="1:12" x14ac:dyDescent="0.25">
      <c r="A213" s="153"/>
      <c r="B213" s="232">
        <v>40939</v>
      </c>
      <c r="C213" s="231">
        <v>452564</v>
      </c>
      <c r="D213" s="231">
        <v>452.56400000000002</v>
      </c>
      <c r="E213" s="153"/>
      <c r="F213" s="168"/>
      <c r="G213" s="168"/>
      <c r="H213" s="168"/>
      <c r="I213" s="168"/>
      <c r="J213" s="168"/>
      <c r="K213" s="168"/>
      <c r="L213" s="168"/>
    </row>
    <row r="214" spans="1:12" x14ac:dyDescent="0.25">
      <c r="A214" s="153"/>
      <c r="B214" s="232">
        <v>40968</v>
      </c>
      <c r="C214" s="231">
        <v>546185</v>
      </c>
      <c r="D214" s="231">
        <v>546.18499999999995</v>
      </c>
      <c r="E214" s="153"/>
      <c r="F214" s="168"/>
      <c r="G214" s="168"/>
      <c r="H214" s="168"/>
      <c r="I214" s="168"/>
      <c r="J214" s="168"/>
      <c r="K214" s="168"/>
      <c r="L214" s="168"/>
    </row>
    <row r="215" spans="1:12" x14ac:dyDescent="0.25">
      <c r="A215" s="153"/>
      <c r="B215" s="232">
        <v>40999</v>
      </c>
      <c r="C215" s="231">
        <v>652775</v>
      </c>
      <c r="D215" s="231">
        <v>652.77499999999998</v>
      </c>
      <c r="E215" s="153"/>
      <c r="F215" s="168"/>
      <c r="G215" s="168"/>
      <c r="H215" s="168"/>
      <c r="I215" s="168"/>
      <c r="J215" s="168"/>
      <c r="K215" s="168"/>
      <c r="L215" s="168"/>
    </row>
    <row r="216" spans="1:12" x14ac:dyDescent="0.25">
      <c r="A216" s="153"/>
      <c r="B216" s="232">
        <v>41029</v>
      </c>
      <c r="C216" s="231">
        <v>561644</v>
      </c>
      <c r="D216" s="231">
        <v>561.64400000000001</v>
      </c>
      <c r="E216" s="153"/>
      <c r="F216" s="168"/>
      <c r="G216" s="168"/>
      <c r="H216" s="168"/>
      <c r="I216" s="168"/>
      <c r="J216" s="168"/>
      <c r="K216" s="168"/>
      <c r="L216" s="168"/>
    </row>
    <row r="217" spans="1:12" x14ac:dyDescent="0.25">
      <c r="A217" s="153"/>
      <c r="B217" s="232">
        <v>41060</v>
      </c>
      <c r="C217" s="231">
        <v>657535</v>
      </c>
      <c r="D217" s="231">
        <v>657.53499999999997</v>
      </c>
      <c r="E217" s="153"/>
      <c r="F217" s="168"/>
      <c r="G217" s="168"/>
      <c r="H217" s="168"/>
      <c r="I217" s="168"/>
      <c r="J217" s="168"/>
      <c r="K217" s="168"/>
      <c r="L217" s="168"/>
    </row>
    <row r="218" spans="1:12" x14ac:dyDescent="0.25">
      <c r="A218" s="153"/>
      <c r="B218" s="232">
        <v>41090</v>
      </c>
      <c r="C218" s="231">
        <v>636273</v>
      </c>
      <c r="D218" s="231">
        <v>636.27300000000002</v>
      </c>
      <c r="E218" s="153"/>
      <c r="F218" s="168"/>
      <c r="G218" s="168"/>
      <c r="H218" s="168"/>
      <c r="I218" s="168"/>
      <c r="J218" s="168"/>
      <c r="K218" s="168"/>
      <c r="L218" s="168"/>
    </row>
    <row r="219" spans="1:12" x14ac:dyDescent="0.25">
      <c r="A219" s="153"/>
      <c r="B219" s="232">
        <v>41121</v>
      </c>
      <c r="C219" s="231">
        <v>580460</v>
      </c>
      <c r="D219" s="231">
        <v>580.46</v>
      </c>
      <c r="E219" s="153"/>
      <c r="F219" s="168"/>
      <c r="G219" s="168"/>
      <c r="H219" s="168"/>
      <c r="I219" s="168"/>
      <c r="J219" s="168"/>
      <c r="K219" s="168"/>
      <c r="L219" s="168"/>
    </row>
    <row r="220" spans="1:12" x14ac:dyDescent="0.25">
      <c r="A220" s="153"/>
      <c r="B220" s="232">
        <v>41152</v>
      </c>
      <c r="C220" s="231">
        <v>646332</v>
      </c>
      <c r="D220" s="231">
        <v>646.33199999999999</v>
      </c>
      <c r="E220" s="153"/>
      <c r="F220" s="168"/>
      <c r="G220" s="168"/>
      <c r="H220" s="168"/>
      <c r="I220" s="168"/>
      <c r="J220" s="168"/>
      <c r="K220" s="168"/>
      <c r="L220" s="168"/>
    </row>
    <row r="221" spans="1:12" x14ac:dyDescent="0.25">
      <c r="A221" s="153"/>
      <c r="B221" s="232">
        <v>41182</v>
      </c>
      <c r="C221" s="231">
        <v>598836</v>
      </c>
      <c r="D221" s="231">
        <v>598.83600000000001</v>
      </c>
      <c r="E221" s="153"/>
      <c r="F221" s="168"/>
      <c r="G221" s="168"/>
      <c r="H221" s="168"/>
      <c r="I221" s="168"/>
      <c r="J221" s="168"/>
      <c r="K221" s="168"/>
      <c r="L221" s="168"/>
    </row>
    <row r="222" spans="1:12" x14ac:dyDescent="0.25">
      <c r="A222" s="153"/>
      <c r="B222" s="232">
        <v>41213</v>
      </c>
      <c r="C222" s="231">
        <v>557576</v>
      </c>
      <c r="D222" s="231">
        <v>557.57600000000002</v>
      </c>
      <c r="E222" s="153"/>
      <c r="F222" s="168"/>
      <c r="G222" s="168"/>
      <c r="H222" s="168"/>
      <c r="I222" s="168"/>
      <c r="J222" s="168"/>
      <c r="K222" s="168"/>
      <c r="L222" s="168"/>
    </row>
    <row r="223" spans="1:12" x14ac:dyDescent="0.25">
      <c r="A223" s="153"/>
      <c r="B223" s="232">
        <v>41243</v>
      </c>
      <c r="C223" s="231">
        <v>588964</v>
      </c>
      <c r="D223" s="231">
        <v>588.96400000000006</v>
      </c>
      <c r="E223" s="153"/>
      <c r="F223" s="168"/>
      <c r="G223" s="168"/>
      <c r="H223" s="168"/>
      <c r="I223" s="168"/>
      <c r="J223" s="168"/>
      <c r="K223" s="168"/>
      <c r="L223" s="168"/>
    </row>
    <row r="224" spans="1:12" x14ac:dyDescent="0.25">
      <c r="A224" s="153"/>
      <c r="B224" s="232">
        <v>41274</v>
      </c>
      <c r="C224" s="231">
        <v>719533</v>
      </c>
      <c r="D224" s="231">
        <v>719.53300000000002</v>
      </c>
      <c r="E224" s="153"/>
      <c r="F224" s="168"/>
      <c r="G224" s="168"/>
      <c r="H224" s="168"/>
      <c r="I224" s="168"/>
      <c r="J224" s="168"/>
      <c r="K224" s="168"/>
      <c r="L224" s="168"/>
    </row>
    <row r="225" spans="1:12" x14ac:dyDescent="0.25">
      <c r="A225" s="153"/>
      <c r="B225" s="232">
        <v>41305</v>
      </c>
      <c r="C225" s="231">
        <v>517949</v>
      </c>
      <c r="D225" s="231">
        <v>517.94899999999996</v>
      </c>
      <c r="E225" s="153"/>
      <c r="F225" s="168"/>
      <c r="G225" s="168"/>
      <c r="H225" s="168"/>
      <c r="I225" s="168"/>
      <c r="J225" s="168"/>
      <c r="K225" s="168"/>
      <c r="L225" s="168"/>
    </row>
    <row r="226" spans="1:12" x14ac:dyDescent="0.25">
      <c r="A226" s="153"/>
      <c r="B226" s="232">
        <v>41333</v>
      </c>
      <c r="C226" s="231">
        <v>588706</v>
      </c>
      <c r="D226" s="231">
        <v>588.70600000000002</v>
      </c>
      <c r="E226" s="153"/>
      <c r="F226" s="168"/>
      <c r="G226" s="168"/>
      <c r="H226" s="168"/>
      <c r="I226" s="168"/>
      <c r="J226" s="168"/>
      <c r="K226" s="168"/>
      <c r="L226" s="168"/>
    </row>
    <row r="227" spans="1:12" x14ac:dyDescent="0.25">
      <c r="A227" s="153"/>
      <c r="B227" s="232">
        <v>41364</v>
      </c>
      <c r="C227" s="231">
        <v>710302</v>
      </c>
      <c r="D227" s="231">
        <v>710.30200000000002</v>
      </c>
      <c r="E227" s="153"/>
      <c r="F227" s="168"/>
      <c r="G227" s="168"/>
      <c r="H227" s="168"/>
      <c r="I227" s="168"/>
      <c r="J227" s="168"/>
      <c r="K227" s="168"/>
      <c r="L227" s="168"/>
    </row>
    <row r="228" spans="1:12" x14ac:dyDescent="0.25">
      <c r="A228" s="153"/>
      <c r="B228" s="232">
        <v>41394</v>
      </c>
      <c r="C228" s="231">
        <v>642923</v>
      </c>
      <c r="D228" s="231">
        <v>642.923</v>
      </c>
      <c r="E228" s="153"/>
      <c r="F228" s="168"/>
      <c r="G228" s="168"/>
      <c r="H228" s="168"/>
      <c r="I228" s="168"/>
      <c r="J228" s="168"/>
      <c r="K228" s="168"/>
      <c r="L228" s="168"/>
    </row>
    <row r="229" spans="1:12" x14ac:dyDescent="0.25">
      <c r="A229" s="153"/>
      <c r="B229" s="232">
        <v>41425</v>
      </c>
      <c r="C229" s="231">
        <v>730586</v>
      </c>
      <c r="D229" s="231">
        <v>730.58600000000001</v>
      </c>
      <c r="E229" s="153"/>
      <c r="F229" s="168"/>
      <c r="G229" s="168"/>
      <c r="H229" s="168"/>
      <c r="I229" s="168"/>
      <c r="J229" s="168"/>
      <c r="K229" s="168"/>
      <c r="L229" s="168"/>
    </row>
    <row r="230" spans="1:12" x14ac:dyDescent="0.25">
      <c r="A230" s="153"/>
      <c r="B230" s="232">
        <v>41455</v>
      </c>
      <c r="C230" s="231">
        <v>709369</v>
      </c>
      <c r="D230" s="231">
        <v>709.36900000000003</v>
      </c>
      <c r="E230" s="153"/>
      <c r="F230" s="168"/>
      <c r="G230" s="168"/>
      <c r="H230" s="168"/>
      <c r="I230" s="168"/>
      <c r="J230" s="168"/>
      <c r="K230" s="168"/>
      <c r="L230" s="168"/>
    </row>
    <row r="231" spans="1:12" x14ac:dyDescent="0.25">
      <c r="A231" s="153"/>
      <c r="B231" s="232">
        <v>41486</v>
      </c>
      <c r="C231" s="231">
        <v>669190</v>
      </c>
      <c r="D231" s="231">
        <v>669.19</v>
      </c>
      <c r="E231" s="153"/>
      <c r="F231" s="168"/>
      <c r="G231" s="168"/>
      <c r="H231" s="168"/>
      <c r="I231" s="168"/>
      <c r="J231" s="168"/>
      <c r="K231" s="168"/>
      <c r="L231" s="168"/>
    </row>
    <row r="232" spans="1:12" x14ac:dyDescent="0.25">
      <c r="A232" s="153"/>
      <c r="B232" s="232">
        <v>41517</v>
      </c>
      <c r="C232" s="231">
        <v>763486</v>
      </c>
      <c r="D232" s="231">
        <v>763.48599999999999</v>
      </c>
      <c r="E232" s="153"/>
      <c r="F232" s="168"/>
      <c r="G232" s="168"/>
      <c r="H232" s="168"/>
      <c r="I232" s="168"/>
      <c r="J232" s="168"/>
      <c r="K232" s="168"/>
      <c r="L232" s="168"/>
    </row>
    <row r="233" spans="1:12" x14ac:dyDescent="0.25">
      <c r="A233" s="153"/>
      <c r="B233" s="232">
        <v>41547</v>
      </c>
      <c r="C233" s="231">
        <v>580634</v>
      </c>
      <c r="D233" s="231">
        <v>580.63400000000001</v>
      </c>
      <c r="E233" s="153"/>
      <c r="F233" s="168"/>
      <c r="G233" s="168"/>
      <c r="H233" s="168"/>
      <c r="I233" s="168"/>
      <c r="J233" s="168"/>
      <c r="K233" s="168"/>
      <c r="L233" s="168"/>
    </row>
    <row r="234" spans="1:12" x14ac:dyDescent="0.25">
      <c r="A234" s="153"/>
      <c r="B234" s="232">
        <v>41578</v>
      </c>
      <c r="C234" s="231">
        <v>637682</v>
      </c>
      <c r="D234" s="231">
        <v>637.68200000000002</v>
      </c>
      <c r="E234" s="153"/>
      <c r="F234" s="168"/>
      <c r="G234" s="168"/>
      <c r="H234" s="168"/>
      <c r="I234" s="168"/>
      <c r="J234" s="168"/>
      <c r="K234" s="168"/>
      <c r="L234" s="168"/>
    </row>
    <row r="235" spans="1:12" x14ac:dyDescent="0.25">
      <c r="A235" s="153"/>
      <c r="B235" s="232">
        <v>41608</v>
      </c>
      <c r="C235" s="231">
        <v>656743</v>
      </c>
      <c r="D235" s="231">
        <v>656.74300000000005</v>
      </c>
      <c r="E235" s="153"/>
      <c r="F235" s="168"/>
      <c r="G235" s="168"/>
      <c r="H235" s="168"/>
      <c r="I235" s="168"/>
      <c r="J235" s="168"/>
      <c r="K235" s="168"/>
      <c r="L235" s="168"/>
    </row>
    <row r="236" spans="1:12" x14ac:dyDescent="0.25">
      <c r="A236" s="153"/>
      <c r="B236" s="232">
        <v>41639</v>
      </c>
      <c r="C236" s="231">
        <v>738777</v>
      </c>
      <c r="D236" s="231">
        <v>738.77700000000004</v>
      </c>
      <c r="E236" s="153"/>
      <c r="F236" s="168"/>
      <c r="G236" s="168"/>
      <c r="H236" s="168"/>
      <c r="I236" s="168"/>
      <c r="J236" s="168"/>
      <c r="K236" s="168"/>
      <c r="L236" s="168"/>
    </row>
    <row r="237" spans="1:12" x14ac:dyDescent="0.25">
      <c r="A237" s="153"/>
      <c r="B237" s="232">
        <v>41670</v>
      </c>
      <c r="C237" s="231">
        <v>530995</v>
      </c>
      <c r="D237" s="231">
        <v>530.995</v>
      </c>
      <c r="E237" s="153"/>
      <c r="F237" s="168"/>
      <c r="G237" s="168"/>
      <c r="H237" s="168"/>
      <c r="I237" s="168"/>
      <c r="J237" s="168"/>
      <c r="K237" s="168"/>
      <c r="L237" s="168"/>
    </row>
    <row r="238" spans="1:12" x14ac:dyDescent="0.25">
      <c r="A238" s="153"/>
      <c r="B238" s="232">
        <v>41698</v>
      </c>
      <c r="C238" s="231">
        <v>623880</v>
      </c>
      <c r="D238" s="231">
        <v>623.88</v>
      </c>
      <c r="E238" s="153"/>
      <c r="F238" s="168"/>
      <c r="G238" s="168"/>
      <c r="H238" s="168"/>
      <c r="I238" s="168"/>
      <c r="J238" s="168"/>
      <c r="K238" s="168"/>
      <c r="L238" s="168"/>
    </row>
    <row r="239" spans="1:12" x14ac:dyDescent="0.25">
      <c r="A239" s="153"/>
      <c r="B239" s="232">
        <v>41729</v>
      </c>
      <c r="C239" s="231">
        <v>790160</v>
      </c>
      <c r="D239" s="231">
        <v>790.16</v>
      </c>
      <c r="E239" s="153"/>
      <c r="F239" s="168"/>
      <c r="G239" s="168"/>
      <c r="H239" s="168"/>
      <c r="I239" s="168"/>
      <c r="J239" s="168"/>
      <c r="K239" s="168"/>
      <c r="L239" s="168"/>
    </row>
    <row r="240" spans="1:12" x14ac:dyDescent="0.25">
      <c r="A240" s="153"/>
      <c r="B240" s="232">
        <v>41759</v>
      </c>
      <c r="C240" s="231">
        <v>725943</v>
      </c>
      <c r="D240" s="231">
        <v>725.94299999999998</v>
      </c>
      <c r="E240" s="153"/>
      <c r="F240" s="168"/>
      <c r="G240" s="168"/>
      <c r="H240" s="168"/>
      <c r="I240" s="168"/>
      <c r="J240" s="168"/>
      <c r="K240" s="168"/>
      <c r="L240" s="168"/>
    </row>
    <row r="241" spans="1:12" x14ac:dyDescent="0.25">
      <c r="A241" s="153"/>
      <c r="B241" s="232">
        <v>41790</v>
      </c>
      <c r="C241" s="231">
        <v>826528</v>
      </c>
      <c r="D241" s="231">
        <v>826.52800000000002</v>
      </c>
      <c r="E241" s="153"/>
      <c r="F241" s="168"/>
      <c r="G241" s="168"/>
      <c r="H241" s="168"/>
      <c r="I241" s="168"/>
      <c r="J241" s="168"/>
      <c r="K241" s="168"/>
      <c r="L241" s="168"/>
    </row>
    <row r="242" spans="1:12" x14ac:dyDescent="0.25">
      <c r="A242" s="153"/>
      <c r="B242" s="232">
        <v>41820</v>
      </c>
      <c r="C242" s="231">
        <v>730329</v>
      </c>
      <c r="D242" s="231">
        <v>730.32899999999995</v>
      </c>
      <c r="E242" s="153"/>
      <c r="F242" s="168"/>
      <c r="G242" s="168"/>
      <c r="H242" s="168"/>
      <c r="I242" s="168"/>
      <c r="J242" s="168"/>
      <c r="K242" s="168"/>
      <c r="L242" s="168"/>
    </row>
    <row r="243" spans="1:12" x14ac:dyDescent="0.25">
      <c r="A243" s="153"/>
      <c r="B243" s="232">
        <v>41851</v>
      </c>
      <c r="C243" s="231">
        <v>758001</v>
      </c>
      <c r="D243" s="231">
        <v>758.00099999999998</v>
      </c>
      <c r="E243" s="153"/>
      <c r="F243" s="168"/>
      <c r="G243" s="168"/>
      <c r="H243" s="168"/>
      <c r="I243" s="168"/>
      <c r="J243" s="168"/>
      <c r="K243" s="168"/>
      <c r="L243" s="168"/>
    </row>
    <row r="244" spans="1:12" x14ac:dyDescent="0.25">
      <c r="A244" s="153"/>
      <c r="B244" s="232">
        <v>41882</v>
      </c>
      <c r="C244" s="231">
        <v>831028</v>
      </c>
      <c r="D244" s="231">
        <v>831.02800000000002</v>
      </c>
      <c r="E244" s="153"/>
      <c r="F244" s="168"/>
      <c r="G244" s="168"/>
      <c r="H244" s="168"/>
      <c r="I244" s="168"/>
      <c r="J244" s="168"/>
      <c r="K244" s="168"/>
      <c r="L244" s="168"/>
    </row>
    <row r="245" spans="1:12" x14ac:dyDescent="0.25">
      <c r="A245" s="153"/>
      <c r="B245" s="232">
        <v>41912</v>
      </c>
      <c r="C245" s="231">
        <v>676427</v>
      </c>
      <c r="D245" s="231">
        <v>676.42700000000002</v>
      </c>
      <c r="E245" s="153"/>
      <c r="F245" s="168"/>
      <c r="G245" s="168"/>
      <c r="H245" s="168"/>
      <c r="I245" s="168"/>
      <c r="J245" s="168"/>
      <c r="K245" s="168"/>
      <c r="L245" s="168"/>
    </row>
    <row r="246" spans="1:12" x14ac:dyDescent="0.25">
      <c r="A246" s="153"/>
      <c r="B246" s="232">
        <v>41943</v>
      </c>
      <c r="C246" s="231">
        <v>695630</v>
      </c>
      <c r="D246" s="231">
        <v>695.63</v>
      </c>
      <c r="E246" s="153"/>
      <c r="F246" s="168"/>
      <c r="G246" s="168"/>
      <c r="H246" s="168"/>
      <c r="I246" s="168"/>
      <c r="J246" s="168"/>
      <c r="K246" s="168"/>
      <c r="L246" s="168"/>
    </row>
    <row r="247" spans="1:12" x14ac:dyDescent="0.25">
      <c r="A247" s="153"/>
      <c r="B247" s="232">
        <v>41973</v>
      </c>
      <c r="C247" s="231">
        <v>717135</v>
      </c>
      <c r="D247" s="231">
        <v>717.13499999999999</v>
      </c>
      <c r="E247" s="153"/>
      <c r="F247" s="168"/>
      <c r="G247" s="168"/>
      <c r="H247" s="168"/>
      <c r="I247" s="168"/>
      <c r="J247" s="168"/>
      <c r="K247" s="168"/>
      <c r="L247" s="168"/>
    </row>
    <row r="248" spans="1:12" x14ac:dyDescent="0.25">
      <c r="A248" s="153"/>
      <c r="B248" s="232">
        <v>42004</v>
      </c>
      <c r="C248" s="231">
        <v>841764</v>
      </c>
      <c r="D248" s="231">
        <v>841.76400000000001</v>
      </c>
      <c r="E248" s="153"/>
      <c r="F248" s="168"/>
      <c r="G248" s="168"/>
      <c r="H248" s="168"/>
      <c r="I248" s="168"/>
      <c r="J248" s="168"/>
      <c r="K248" s="168"/>
      <c r="L248" s="168"/>
    </row>
    <row r="249" spans="1:12" x14ac:dyDescent="0.25">
      <c r="A249" s="153"/>
      <c r="B249" s="232">
        <v>42035</v>
      </c>
      <c r="C249" s="231">
        <v>631509</v>
      </c>
      <c r="D249" s="231">
        <v>631.50900000000001</v>
      </c>
      <c r="E249" s="153"/>
      <c r="F249" s="168"/>
      <c r="G249" s="168"/>
      <c r="H249" s="168"/>
      <c r="I249" s="168"/>
      <c r="J249" s="168"/>
      <c r="K249" s="168"/>
      <c r="L249" s="168"/>
    </row>
    <row r="250" spans="1:12" x14ac:dyDescent="0.25">
      <c r="A250" s="153"/>
      <c r="B250" s="232">
        <v>42063</v>
      </c>
      <c r="C250" s="231">
        <v>694690</v>
      </c>
      <c r="D250" s="231">
        <v>694.69</v>
      </c>
      <c r="E250" s="153"/>
      <c r="F250" s="168"/>
      <c r="G250" s="168"/>
      <c r="H250" s="168"/>
      <c r="I250" s="168"/>
      <c r="J250" s="168"/>
      <c r="K250" s="168"/>
      <c r="L250" s="168"/>
    </row>
    <row r="251" spans="1:12" x14ac:dyDescent="0.25">
      <c r="A251" s="153"/>
      <c r="B251" s="232">
        <v>42094</v>
      </c>
      <c r="C251" s="231">
        <v>826456</v>
      </c>
      <c r="D251" s="231">
        <v>826.45600000000002</v>
      </c>
      <c r="E251" s="153"/>
      <c r="F251" s="168"/>
      <c r="G251" s="168"/>
      <c r="H251" s="168"/>
      <c r="I251" s="168"/>
      <c r="J251" s="168"/>
      <c r="K251" s="168"/>
      <c r="L251" s="168"/>
    </row>
    <row r="252" spans="1:12" x14ac:dyDescent="0.25">
      <c r="A252" s="153"/>
      <c r="B252" s="232">
        <v>42124</v>
      </c>
      <c r="C252" s="231">
        <v>800092</v>
      </c>
      <c r="D252" s="231">
        <v>800.09199999999998</v>
      </c>
      <c r="E252" s="153"/>
      <c r="F252" s="168"/>
      <c r="G252" s="168"/>
      <c r="H252" s="168"/>
      <c r="I252" s="168"/>
      <c r="J252" s="168"/>
      <c r="K252" s="168"/>
      <c r="L252" s="168"/>
    </row>
    <row r="253" spans="1:12" x14ac:dyDescent="0.25">
      <c r="A253" s="153"/>
      <c r="B253" s="232">
        <v>42155</v>
      </c>
      <c r="C253" s="231">
        <v>881742</v>
      </c>
      <c r="D253" s="231">
        <v>881.74199999999996</v>
      </c>
      <c r="E253" s="153"/>
      <c r="F253" s="168"/>
      <c r="G253" s="168"/>
      <c r="H253" s="168"/>
      <c r="I253" s="168"/>
      <c r="J253" s="168"/>
      <c r="K253" s="168"/>
      <c r="L253" s="168"/>
    </row>
    <row r="254" spans="1:12" x14ac:dyDescent="0.25">
      <c r="A254" s="153"/>
      <c r="B254" s="232">
        <v>42185</v>
      </c>
      <c r="C254" s="231">
        <v>810991</v>
      </c>
      <c r="D254" s="231">
        <v>810.99099999999999</v>
      </c>
      <c r="E254" s="153"/>
      <c r="F254" s="168"/>
      <c r="G254" s="168"/>
      <c r="H254" s="168"/>
      <c r="I254" s="168"/>
      <c r="J254" s="168"/>
      <c r="K254" s="168"/>
      <c r="L254" s="168"/>
    </row>
    <row r="255" spans="1:12" x14ac:dyDescent="0.25">
      <c r="A255" s="153"/>
      <c r="B255" s="232">
        <v>42216</v>
      </c>
      <c r="C255" s="231">
        <v>859650</v>
      </c>
      <c r="D255" s="231">
        <v>859.65</v>
      </c>
      <c r="E255" s="153"/>
      <c r="F255" s="168"/>
      <c r="G255" s="168"/>
      <c r="H255" s="168"/>
      <c r="I255" s="168"/>
      <c r="J255" s="168"/>
      <c r="K255" s="168"/>
      <c r="L255" s="168"/>
    </row>
    <row r="256" spans="1:12" x14ac:dyDescent="0.25">
      <c r="A256" s="153"/>
      <c r="B256" s="232">
        <v>42247</v>
      </c>
      <c r="C256" s="231">
        <v>898625</v>
      </c>
      <c r="D256" s="231">
        <v>898.625</v>
      </c>
      <c r="E256" s="153"/>
      <c r="F256" s="168"/>
      <c r="G256" s="168"/>
      <c r="H256" s="168"/>
      <c r="I256" s="168"/>
      <c r="J256" s="168"/>
      <c r="K256" s="168"/>
      <c r="L256" s="168"/>
    </row>
    <row r="257" spans="1:12" x14ac:dyDescent="0.25">
      <c r="A257" s="153"/>
      <c r="B257" s="232">
        <v>42277</v>
      </c>
      <c r="C257" s="231">
        <v>836381</v>
      </c>
      <c r="D257" s="231">
        <v>836.38099999999997</v>
      </c>
      <c r="E257" s="153"/>
      <c r="F257" s="168"/>
      <c r="G257" s="168"/>
      <c r="H257" s="168"/>
      <c r="I257" s="168"/>
      <c r="J257" s="168"/>
      <c r="K257" s="168"/>
      <c r="L257" s="168"/>
    </row>
    <row r="258" spans="1:12" x14ac:dyDescent="0.25">
      <c r="A258" s="153"/>
      <c r="B258" s="232">
        <v>42308</v>
      </c>
      <c r="C258" s="231">
        <v>845248</v>
      </c>
      <c r="D258" s="231">
        <v>845.24800000000005</v>
      </c>
      <c r="E258" s="153"/>
      <c r="F258" s="168"/>
      <c r="G258" s="168"/>
      <c r="H258" s="168"/>
      <c r="I258" s="168"/>
      <c r="J258" s="168"/>
      <c r="K258" s="168"/>
      <c r="L258" s="168"/>
    </row>
    <row r="259" spans="1:12" x14ac:dyDescent="0.25">
      <c r="A259" s="153"/>
      <c r="B259" s="232">
        <v>42338</v>
      </c>
      <c r="C259" s="231">
        <v>783709</v>
      </c>
      <c r="D259" s="231">
        <v>783.70899999999995</v>
      </c>
      <c r="E259" s="153"/>
      <c r="F259" s="168"/>
      <c r="G259" s="168"/>
      <c r="H259" s="168"/>
      <c r="I259" s="168"/>
      <c r="J259" s="168"/>
      <c r="K259" s="168"/>
      <c r="L259" s="168"/>
    </row>
    <row r="260" spans="1:12" x14ac:dyDescent="0.25">
      <c r="A260" s="153"/>
      <c r="B260" s="232">
        <v>42369</v>
      </c>
      <c r="C260" s="231">
        <v>999918</v>
      </c>
      <c r="D260" s="231">
        <v>999.91800000000001</v>
      </c>
      <c r="E260" s="153"/>
      <c r="F260" s="168"/>
      <c r="G260" s="168"/>
      <c r="H260" s="168"/>
      <c r="I260" s="168"/>
      <c r="J260" s="168"/>
      <c r="K260" s="168"/>
      <c r="L260" s="168"/>
    </row>
    <row r="261" spans="1:12" x14ac:dyDescent="0.25">
      <c r="A261" s="153"/>
      <c r="B261" s="232">
        <v>42400</v>
      </c>
      <c r="C261" s="231">
        <v>670345</v>
      </c>
      <c r="D261" s="231">
        <v>670.34500000000003</v>
      </c>
      <c r="E261" s="153"/>
      <c r="F261" s="168"/>
      <c r="G261" s="168"/>
      <c r="H261" s="168"/>
      <c r="I261" s="168"/>
      <c r="J261" s="168"/>
      <c r="K261" s="168"/>
      <c r="L261" s="168"/>
    </row>
    <row r="262" spans="1:12" x14ac:dyDescent="0.25">
      <c r="A262" s="153"/>
      <c r="B262" s="232">
        <v>42429</v>
      </c>
      <c r="C262" s="231">
        <v>779547</v>
      </c>
      <c r="D262" s="231">
        <v>779.54700000000003</v>
      </c>
      <c r="E262" s="153"/>
      <c r="F262" s="168"/>
      <c r="G262" s="168"/>
      <c r="H262" s="168"/>
      <c r="I262" s="168"/>
      <c r="J262" s="168"/>
      <c r="K262" s="168"/>
      <c r="L262" s="168"/>
    </row>
    <row r="263" spans="1:12" x14ac:dyDescent="0.25">
      <c r="A263" s="153"/>
      <c r="B263" s="232">
        <v>42460</v>
      </c>
      <c r="C263" s="231">
        <v>918435</v>
      </c>
      <c r="D263" s="231">
        <v>918.43499999999995</v>
      </c>
      <c r="E263" s="153"/>
      <c r="F263" s="168"/>
      <c r="G263" s="168"/>
      <c r="H263" s="168"/>
      <c r="I263" s="168"/>
      <c r="J263" s="168"/>
      <c r="K263" s="168"/>
      <c r="L263" s="168"/>
    </row>
    <row r="264" spans="1:12" x14ac:dyDescent="0.25">
      <c r="A264" s="153"/>
      <c r="B264" s="232">
        <v>42490</v>
      </c>
      <c r="C264" s="231">
        <v>887315</v>
      </c>
      <c r="D264" s="231">
        <v>887.31500000000005</v>
      </c>
      <c r="E264" s="153"/>
      <c r="F264" s="168"/>
      <c r="G264" s="168"/>
      <c r="H264" s="168"/>
      <c r="I264" s="168"/>
      <c r="J264" s="168"/>
      <c r="K264" s="168"/>
      <c r="L264" s="168"/>
    </row>
    <row r="265" spans="1:12" x14ac:dyDescent="0.25">
      <c r="A265" s="153"/>
      <c r="B265" s="232">
        <v>42521</v>
      </c>
      <c r="C265" s="231">
        <v>899721</v>
      </c>
      <c r="D265" s="231">
        <v>899.721</v>
      </c>
      <c r="E265" s="153"/>
      <c r="F265" s="168"/>
      <c r="G265" s="168"/>
      <c r="H265" s="168"/>
      <c r="I265" s="168"/>
      <c r="J265" s="168"/>
      <c r="K265" s="168"/>
      <c r="L265" s="168"/>
    </row>
    <row r="266" spans="1:12" x14ac:dyDescent="0.25">
      <c r="A266" s="153"/>
      <c r="B266" s="232">
        <v>42551</v>
      </c>
      <c r="C266" s="231">
        <v>902792</v>
      </c>
      <c r="D266" s="231">
        <v>902.79200000000003</v>
      </c>
      <c r="E266" s="153"/>
      <c r="F266" s="168"/>
      <c r="G266" s="168"/>
      <c r="H266" s="168"/>
      <c r="I266" s="168"/>
      <c r="J266" s="168"/>
      <c r="K266" s="168"/>
      <c r="L266" s="168"/>
    </row>
    <row r="267" spans="1:12" x14ac:dyDescent="0.25">
      <c r="A267" s="153"/>
      <c r="B267" s="232">
        <v>42582</v>
      </c>
      <c r="C267" s="231">
        <v>925097</v>
      </c>
      <c r="D267" s="231">
        <v>925.09699999999998</v>
      </c>
      <c r="E267" s="153"/>
      <c r="F267" s="168"/>
      <c r="G267" s="168"/>
      <c r="H267" s="168"/>
      <c r="I267" s="168"/>
      <c r="J267" s="168"/>
      <c r="K267" s="168"/>
      <c r="L267" s="168"/>
    </row>
    <row r="268" spans="1:12" x14ac:dyDescent="0.25">
      <c r="A268" s="153"/>
      <c r="B268" s="232">
        <v>42613</v>
      </c>
      <c r="C268" s="231">
        <v>926567</v>
      </c>
      <c r="D268" s="231">
        <v>926.56700000000001</v>
      </c>
      <c r="E268" s="153"/>
      <c r="F268" s="168"/>
      <c r="G268" s="168"/>
      <c r="H268" s="168"/>
      <c r="I268" s="168"/>
      <c r="J268" s="168"/>
      <c r="K268" s="168"/>
      <c r="L268" s="168"/>
    </row>
    <row r="269" spans="1:12" x14ac:dyDescent="0.25">
      <c r="A269" s="153"/>
      <c r="B269" s="232">
        <v>42643</v>
      </c>
      <c r="C269" s="231">
        <v>873649</v>
      </c>
      <c r="D269" s="231">
        <v>873.649</v>
      </c>
      <c r="E269" s="153"/>
      <c r="F269" s="168"/>
      <c r="G269" s="168"/>
      <c r="H269" s="168"/>
      <c r="I269" s="168"/>
      <c r="J269" s="168"/>
      <c r="K269" s="168"/>
      <c r="L269" s="168"/>
    </row>
    <row r="270" spans="1:12" x14ac:dyDescent="0.25">
      <c r="A270" s="153"/>
      <c r="B270" s="232">
        <v>42674</v>
      </c>
      <c r="C270" s="231">
        <v>859659</v>
      </c>
      <c r="D270" s="231">
        <v>859.65899999999999</v>
      </c>
      <c r="E270" s="153"/>
      <c r="F270" s="168"/>
      <c r="G270" s="168"/>
      <c r="H270" s="168"/>
      <c r="I270" s="168"/>
      <c r="J270" s="168"/>
      <c r="K270" s="168"/>
      <c r="L270" s="168"/>
    </row>
    <row r="271" spans="1:12" x14ac:dyDescent="0.25">
      <c r="A271" s="153"/>
      <c r="B271" s="232">
        <v>42704</v>
      </c>
      <c r="C271" s="231">
        <v>863415</v>
      </c>
      <c r="D271" s="231">
        <v>863.41499999999996</v>
      </c>
      <c r="E271" s="153"/>
      <c r="F271" s="168"/>
      <c r="G271" s="168"/>
      <c r="H271" s="168"/>
      <c r="I271" s="168"/>
      <c r="J271" s="168"/>
      <c r="K271" s="168"/>
      <c r="L271" s="168"/>
    </row>
    <row r="272" spans="1:12" x14ac:dyDescent="0.25">
      <c r="A272" s="153"/>
      <c r="B272" s="232">
        <v>42735</v>
      </c>
      <c r="C272" s="231">
        <v>1080063</v>
      </c>
      <c r="D272" s="231">
        <v>1080.0630000000001</v>
      </c>
      <c r="E272" s="153"/>
      <c r="F272" s="168"/>
      <c r="G272" s="168"/>
      <c r="H272" s="168"/>
      <c r="I272" s="168"/>
      <c r="J272" s="168"/>
      <c r="K272" s="168"/>
      <c r="L272" s="168"/>
    </row>
    <row r="273" spans="1:12" x14ac:dyDescent="0.25">
      <c r="A273" s="153"/>
      <c r="B273" s="232">
        <v>42766</v>
      </c>
      <c r="C273" s="231">
        <v>726293</v>
      </c>
      <c r="D273" s="231">
        <v>726.29300000000001</v>
      </c>
      <c r="E273" s="153"/>
      <c r="F273" s="168"/>
      <c r="G273" s="168"/>
      <c r="H273" s="168"/>
      <c r="I273" s="168"/>
      <c r="J273" s="168"/>
      <c r="K273" s="168"/>
      <c r="L273" s="168"/>
    </row>
    <row r="274" spans="1:12" x14ac:dyDescent="0.25">
      <c r="A274" s="153"/>
      <c r="B274" s="230"/>
      <c r="C274" s="222"/>
      <c r="D274" s="222"/>
      <c r="E274" s="153"/>
      <c r="F274" s="168"/>
      <c r="G274" s="168"/>
      <c r="H274" s="168"/>
      <c r="I274" s="168"/>
      <c r="J274" s="168"/>
      <c r="K274" s="168"/>
      <c r="L274" s="168"/>
    </row>
    <row r="275" spans="1:12" x14ac:dyDescent="0.25">
      <c r="A275" s="153"/>
      <c r="D275"/>
      <c r="E275" s="153"/>
      <c r="F275" s="168"/>
      <c r="G275" s="168"/>
      <c r="H275" s="168"/>
      <c r="I275" s="168"/>
      <c r="J275" s="168"/>
      <c r="K275" s="168"/>
      <c r="L275" s="168"/>
    </row>
    <row r="276" spans="1:12" x14ac:dyDescent="0.25">
      <c r="A276" s="153"/>
      <c r="D276"/>
      <c r="E276" s="153"/>
      <c r="F276" s="168"/>
      <c r="G276" s="168"/>
      <c r="H276" s="168"/>
      <c r="I276" s="168"/>
      <c r="J276" s="168"/>
      <c r="K276" s="168"/>
      <c r="L276" s="168"/>
    </row>
    <row r="277" spans="1:12" x14ac:dyDescent="0.25">
      <c r="A277" s="153"/>
    </row>
    <row r="278" spans="1:12" x14ac:dyDescent="0.25">
      <c r="A278" s="153"/>
    </row>
    <row r="279" spans="1:12" x14ac:dyDescent="0.25">
      <c r="A279" s="153"/>
    </row>
  </sheetData>
  <conditionalFormatting sqref="B29:B35">
    <cfRule type="expression" dxfId="121" priority="22" stopIfTrue="1">
      <formula>MOD(ROW(),2)=1</formula>
    </cfRule>
    <cfRule type="expression" dxfId="120" priority="75" stopIfTrue="1">
      <formula>MOD(ROW(),2)=0</formula>
    </cfRule>
  </conditionalFormatting>
  <conditionalFormatting sqref="C29:D35">
    <cfRule type="expression" dxfId="119" priority="21" stopIfTrue="1">
      <formula>MOD(ROW(),2)=1</formula>
    </cfRule>
    <cfRule type="expression" dxfId="118" priority="76" stopIfTrue="1">
      <formula>MOD(ROW(),2)=0</formula>
    </cfRule>
  </conditionalFormatting>
  <conditionalFormatting sqref="B8:B14">
    <cfRule type="expression" dxfId="117" priority="20" stopIfTrue="1">
      <formula>MOD(ROW(),2)=1</formula>
    </cfRule>
    <cfRule type="expression" dxfId="116" priority="77" stopIfTrue="1">
      <formula>MOD(ROW(),2)=0</formula>
    </cfRule>
  </conditionalFormatting>
  <conditionalFormatting sqref="C8:D14">
    <cfRule type="expression" dxfId="115" priority="19" stopIfTrue="1">
      <formula>MOD(ROW(),2)=1</formula>
    </cfRule>
    <cfRule type="expression" dxfId="114" priority="78" stopIfTrue="1">
      <formula>MOD(ROW(),2)=0</formula>
    </cfRule>
  </conditionalFormatting>
  <conditionalFormatting sqref="B51:B57">
    <cfRule type="expression" dxfId="113" priority="18" stopIfTrue="1">
      <formula>MOD(ROW(),2)=1</formula>
    </cfRule>
    <cfRule type="expression" dxfId="112" priority="79" stopIfTrue="1">
      <formula>MOD(ROW(),2)=0</formula>
    </cfRule>
  </conditionalFormatting>
  <conditionalFormatting sqref="C51:D57">
    <cfRule type="expression" dxfId="111" priority="17" stopIfTrue="1">
      <formula>MOD(ROW(),2)=1</formula>
    </cfRule>
    <cfRule type="expression" dxfId="110" priority="80" stopIfTrue="1">
      <formula>MOD(ROW(),2)=0</formula>
    </cfRule>
  </conditionalFormatting>
  <conditionalFormatting sqref="B69:B273">
    <cfRule type="expression" dxfId="109" priority="16" stopIfTrue="1">
      <formula>MOD(ROW(),2)=1</formula>
    </cfRule>
    <cfRule type="expression" dxfId="108" priority="81" stopIfTrue="1">
      <formula>MOD(ROW(),2)=0</formula>
    </cfRule>
  </conditionalFormatting>
  <conditionalFormatting sqref="C69:C273">
    <cfRule type="expression" dxfId="107" priority="15" stopIfTrue="1">
      <formula>MOD(ROW(),2)=1</formula>
    </cfRule>
    <cfRule type="expression" dxfId="106" priority="82" stopIfTrue="1">
      <formula>MOD(ROW(),2)=0</formula>
    </cfRule>
  </conditionalFormatting>
  <conditionalFormatting sqref="D69:D273">
    <cfRule type="expression" dxfId="105" priority="1" stopIfTrue="1">
      <formula>MOD(ROW(),2)=1</formula>
    </cfRule>
    <cfRule type="expression" dxfId="104" priority="2" stopIfTrue="1">
      <formula>MOD(ROW(),2)=0</formula>
    </cfRule>
  </conditionalFormatting>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5">
    <tabColor theme="6"/>
  </sheetPr>
  <dimension ref="A1:M168"/>
  <sheetViews>
    <sheetView showGridLines="0" zoomScaleNormal="100" zoomScalePageLayoutView="147" workbookViewId="0">
      <selection activeCell="A2" sqref="A2"/>
    </sheetView>
  </sheetViews>
  <sheetFormatPr defaultColWidth="8.81640625" defaultRowHeight="12.5" x14ac:dyDescent="0.25"/>
  <cols>
    <col min="1" max="1" width="3.26953125" style="27" customWidth="1"/>
    <col min="2" max="2" width="20.453125" style="27" customWidth="1"/>
    <col min="3" max="14" width="8.81640625" style="27"/>
    <col min="15" max="15" width="11.26953125" style="27" bestFit="1" customWidth="1"/>
    <col min="16" max="16384" width="8.81640625" style="27"/>
  </cols>
  <sheetData>
    <row r="1" spans="1:13" s="61" customFormat="1" ht="38.15" customHeight="1" x14ac:dyDescent="0.25">
      <c r="F1" s="61" t="s">
        <v>81</v>
      </c>
    </row>
    <row r="3" spans="1:13" ht="13" x14ac:dyDescent="0.3">
      <c r="A3" s="38"/>
      <c r="B3" s="57" t="s">
        <v>82</v>
      </c>
      <c r="C3" s="59"/>
      <c r="D3" s="59"/>
      <c r="E3" s="59"/>
      <c r="F3" s="59"/>
      <c r="G3" s="59"/>
      <c r="H3" s="59"/>
      <c r="I3" s="59"/>
      <c r="J3" s="59"/>
      <c r="K3" s="59"/>
      <c r="L3" s="59"/>
      <c r="M3" s="59"/>
    </row>
    <row r="4" spans="1:13" ht="13" x14ac:dyDescent="0.3">
      <c r="A4" s="38"/>
      <c r="B4" s="59" t="s">
        <v>375</v>
      </c>
      <c r="C4" s="59"/>
      <c r="D4" s="59"/>
      <c r="E4" s="59"/>
      <c r="F4" s="59"/>
      <c r="G4" s="59"/>
      <c r="H4" s="59"/>
      <c r="I4" s="59"/>
      <c r="J4" s="59"/>
      <c r="K4" s="59"/>
      <c r="L4" s="59"/>
      <c r="M4" s="59"/>
    </row>
    <row r="5" spans="1:13" ht="13" x14ac:dyDescent="0.3">
      <c r="A5" s="38"/>
      <c r="B5" s="149" t="s">
        <v>376</v>
      </c>
      <c r="C5" s="59"/>
      <c r="D5" s="59"/>
      <c r="E5" s="59"/>
      <c r="F5" s="59"/>
      <c r="G5" s="59"/>
      <c r="H5" s="59"/>
      <c r="I5" s="59"/>
      <c r="J5" s="59"/>
      <c r="K5" s="59"/>
      <c r="L5" s="59"/>
      <c r="M5" s="59"/>
    </row>
    <row r="6" spans="1:13" ht="13" x14ac:dyDescent="0.3">
      <c r="A6" s="38"/>
      <c r="B6" s="149"/>
      <c r="C6" s="59"/>
      <c r="D6" s="59"/>
      <c r="E6" s="59"/>
      <c r="F6" s="59"/>
      <c r="G6" s="59"/>
      <c r="H6" s="59"/>
      <c r="I6" s="59"/>
      <c r="J6" s="59"/>
      <c r="K6" s="59"/>
      <c r="L6" s="59"/>
      <c r="M6" s="59"/>
    </row>
    <row r="7" spans="1:13" ht="13" x14ac:dyDescent="0.3">
      <c r="A7" s="38"/>
      <c r="B7" s="57" t="s">
        <v>83</v>
      </c>
      <c r="C7" s="59"/>
      <c r="D7" s="59"/>
      <c r="E7" s="59"/>
      <c r="F7" s="59"/>
      <c r="G7" s="59"/>
      <c r="H7" s="59"/>
      <c r="I7" s="59"/>
      <c r="J7" s="59"/>
      <c r="K7" s="59"/>
      <c r="L7" s="59"/>
      <c r="M7" s="59"/>
    </row>
    <row r="8" spans="1:13" ht="13" x14ac:dyDescent="0.3">
      <c r="A8" s="38"/>
      <c r="B8" s="150" t="s">
        <v>84</v>
      </c>
      <c r="C8" s="59"/>
      <c r="D8" s="59"/>
      <c r="E8" s="59"/>
      <c r="F8" s="59"/>
      <c r="G8" s="59"/>
      <c r="H8" s="59"/>
      <c r="I8" s="59"/>
      <c r="J8" s="59"/>
      <c r="K8" s="59"/>
      <c r="L8" s="59"/>
      <c r="M8" s="59"/>
    </row>
    <row r="9" spans="1:13" ht="13" x14ac:dyDescent="0.3">
      <c r="A9" s="38"/>
      <c r="B9" s="150" t="s">
        <v>85</v>
      </c>
      <c r="C9" s="59"/>
      <c r="D9" s="59"/>
      <c r="E9" s="59"/>
      <c r="F9" s="59"/>
      <c r="G9" s="59"/>
      <c r="H9" s="59"/>
      <c r="I9" s="59"/>
      <c r="J9" s="59"/>
      <c r="K9" s="59"/>
      <c r="L9" s="59"/>
      <c r="M9" s="59"/>
    </row>
    <row r="10" spans="1:13" ht="13" x14ac:dyDescent="0.3">
      <c r="A10" s="38"/>
      <c r="B10" s="151" t="s">
        <v>86</v>
      </c>
      <c r="C10" s="59"/>
      <c r="D10" s="59"/>
      <c r="E10" s="59"/>
      <c r="F10" s="59"/>
      <c r="G10" s="59"/>
      <c r="H10" s="59"/>
      <c r="I10" s="59"/>
      <c r="J10" s="59"/>
      <c r="K10" s="59"/>
      <c r="L10" s="59"/>
      <c r="M10" s="59"/>
    </row>
    <row r="11" spans="1:13" ht="13" x14ac:dyDescent="0.3">
      <c r="A11" s="38"/>
      <c r="B11" s="150" t="s">
        <v>273</v>
      </c>
      <c r="C11" s="59"/>
      <c r="D11" s="59"/>
      <c r="E11" s="59"/>
      <c r="F11" s="59"/>
      <c r="G11" s="59"/>
      <c r="H11" s="59"/>
      <c r="I11" s="59"/>
      <c r="J11" s="59"/>
      <c r="K11" s="59"/>
      <c r="L11" s="59"/>
      <c r="M11" s="59"/>
    </row>
    <row r="12" spans="1:13" ht="13" x14ac:dyDescent="0.3">
      <c r="A12" s="38"/>
      <c r="B12" s="158" t="s">
        <v>455</v>
      </c>
      <c r="C12" s="299"/>
      <c r="D12" s="300" t="s">
        <v>456</v>
      </c>
      <c r="E12" s="152"/>
      <c r="F12" s="152"/>
      <c r="G12" s="152"/>
      <c r="H12" s="152"/>
      <c r="I12" s="152"/>
      <c r="J12" s="152"/>
      <c r="K12" s="152"/>
      <c r="L12" s="152"/>
      <c r="M12" s="152"/>
    </row>
    <row r="13" spans="1:13" ht="13" x14ac:dyDescent="0.3">
      <c r="A13" s="38"/>
      <c r="B13" s="57" t="s">
        <v>87</v>
      </c>
      <c r="C13" s="59"/>
      <c r="D13" s="59"/>
      <c r="E13" s="59"/>
      <c r="F13" s="59"/>
      <c r="G13" s="59"/>
      <c r="H13" s="59"/>
      <c r="I13" s="59"/>
      <c r="J13" s="59"/>
      <c r="K13" s="59"/>
      <c r="L13" s="59"/>
      <c r="M13" s="59"/>
    </row>
    <row r="14" spans="1:13" ht="13.5" thickBot="1" x14ac:dyDescent="0.35">
      <c r="A14" s="38"/>
      <c r="B14" s="150" t="s">
        <v>326</v>
      </c>
      <c r="C14" s="59"/>
      <c r="D14" s="59"/>
      <c r="E14" s="59"/>
      <c r="F14" s="59"/>
      <c r="G14" s="59"/>
      <c r="H14" s="59"/>
      <c r="I14" s="59"/>
      <c r="J14" s="59"/>
      <c r="K14" s="59"/>
      <c r="L14" s="59"/>
      <c r="M14" s="59"/>
    </row>
    <row r="15" spans="1:13" ht="13" x14ac:dyDescent="0.3">
      <c r="A15" s="38"/>
      <c r="B15" s="38"/>
      <c r="C15" s="38"/>
      <c r="D15" s="38"/>
      <c r="E15" s="38"/>
      <c r="F15" s="38"/>
      <c r="G15" s="38"/>
      <c r="H15" s="38"/>
      <c r="I15" s="38"/>
      <c r="J15" s="38"/>
    </row>
    <row r="16" spans="1:13" ht="13" x14ac:dyDescent="0.3">
      <c r="A16" s="38"/>
      <c r="B16" s="152" t="s">
        <v>325</v>
      </c>
      <c r="C16" s="152"/>
      <c r="D16" s="152"/>
      <c r="E16" s="152"/>
      <c r="F16" s="152"/>
      <c r="G16" s="152"/>
      <c r="H16" s="152"/>
      <c r="I16" s="152"/>
      <c r="J16" s="152"/>
      <c r="K16" s="152"/>
      <c r="L16" s="152"/>
      <c r="M16" s="152"/>
    </row>
    <row r="17" spans="1:13" ht="13" x14ac:dyDescent="0.3">
      <c r="A17" s="38"/>
      <c r="B17" s="158" t="s">
        <v>410</v>
      </c>
      <c r="C17" s="152"/>
      <c r="D17" s="152"/>
      <c r="E17" s="152"/>
      <c r="F17" s="152"/>
      <c r="G17" s="152"/>
      <c r="H17" s="152"/>
      <c r="I17" s="152"/>
      <c r="J17" s="152"/>
      <c r="K17" s="152"/>
      <c r="L17" s="152"/>
      <c r="M17" s="152"/>
    </row>
    <row r="18" spans="1:13" ht="13" x14ac:dyDescent="0.3">
      <c r="A18" s="38"/>
      <c r="B18" s="158" t="s">
        <v>356</v>
      </c>
      <c r="C18" s="152"/>
      <c r="D18" s="152"/>
      <c r="E18" s="152"/>
      <c r="F18" s="152"/>
      <c r="G18" s="152"/>
      <c r="H18" s="152"/>
      <c r="I18" s="152"/>
      <c r="J18" s="152"/>
      <c r="K18" s="152"/>
      <c r="L18" s="152"/>
      <c r="M18" s="152"/>
    </row>
    <row r="19" spans="1:13" ht="13" x14ac:dyDescent="0.3">
      <c r="A19" s="38"/>
      <c r="B19" s="158"/>
      <c r="C19" s="152"/>
      <c r="D19" s="152"/>
      <c r="E19" s="152"/>
      <c r="F19" s="152"/>
      <c r="G19" s="152"/>
      <c r="H19" s="152"/>
      <c r="I19" s="152"/>
      <c r="J19" s="152"/>
      <c r="K19" s="152"/>
      <c r="L19" s="152"/>
      <c r="M19" s="152"/>
    </row>
    <row r="20" spans="1:13" ht="13" x14ac:dyDescent="0.3">
      <c r="A20" s="38"/>
      <c r="B20" s="158"/>
      <c r="C20" s="152"/>
      <c r="D20" s="152"/>
      <c r="E20" s="152"/>
      <c r="F20" s="152"/>
      <c r="G20" s="152"/>
      <c r="H20" s="152"/>
      <c r="I20" s="152"/>
      <c r="J20" s="152"/>
      <c r="K20" s="152"/>
      <c r="L20" s="152"/>
      <c r="M20" s="152"/>
    </row>
    <row r="21" spans="1:13" ht="13" x14ac:dyDescent="0.3">
      <c r="A21" s="38"/>
      <c r="B21" s="38"/>
      <c r="C21" s="38"/>
      <c r="D21" s="38"/>
      <c r="E21" s="38"/>
      <c r="F21" s="38"/>
      <c r="G21" s="38"/>
      <c r="H21" s="38"/>
      <c r="I21" s="38"/>
      <c r="J21" s="38"/>
    </row>
    <row r="22" spans="1:13" ht="12.75" customHeight="1" x14ac:dyDescent="0.25">
      <c r="A22" s="537" t="s">
        <v>357</v>
      </c>
      <c r="B22" s="537"/>
      <c r="C22" s="537"/>
      <c r="D22" s="537"/>
      <c r="E22" s="537"/>
      <c r="F22" s="537"/>
      <c r="G22" s="537"/>
      <c r="H22" s="537"/>
      <c r="I22" s="537"/>
    </row>
    <row r="23" spans="1:13" ht="12.75" customHeight="1" x14ac:dyDescent="0.25">
      <c r="A23" s="537"/>
      <c r="B23" s="537"/>
      <c r="C23" s="537"/>
      <c r="D23" s="537"/>
      <c r="E23" s="537"/>
      <c r="F23" s="537"/>
      <c r="G23" s="537"/>
      <c r="H23" s="537"/>
      <c r="I23" s="537"/>
    </row>
    <row r="24" spans="1:13" x14ac:dyDescent="0.25">
      <c r="A24" s="537"/>
      <c r="B24" s="537"/>
      <c r="C24" s="537"/>
      <c r="D24" s="537"/>
      <c r="E24" s="537"/>
      <c r="F24" s="537"/>
      <c r="G24" s="537"/>
      <c r="H24" s="537"/>
      <c r="I24" s="537"/>
    </row>
    <row r="25" spans="1:13" ht="13" x14ac:dyDescent="0.3">
      <c r="A25" s="38"/>
    </row>
    <row r="26" spans="1:13" ht="13" x14ac:dyDescent="0.3">
      <c r="A26" s="38"/>
      <c r="B26" s="87" t="s">
        <v>386</v>
      </c>
    </row>
    <row r="27" spans="1:13" ht="13" x14ac:dyDescent="0.3">
      <c r="A27" s="38"/>
      <c r="B27" s="87" t="s">
        <v>328</v>
      </c>
    </row>
    <row r="28" spans="1:13" ht="13" x14ac:dyDescent="0.3">
      <c r="A28" s="38"/>
      <c r="B28" s="87" t="s">
        <v>329</v>
      </c>
    </row>
    <row r="29" spans="1:13" ht="13" x14ac:dyDescent="0.3">
      <c r="A29" s="38"/>
      <c r="B29" s="87"/>
    </row>
    <row r="30" spans="1:13" ht="13" x14ac:dyDescent="0.3">
      <c r="A30" s="38"/>
      <c r="I30" s="86"/>
    </row>
    <row r="31" spans="1:13" ht="13" x14ac:dyDescent="0.3">
      <c r="A31" s="38"/>
      <c r="I31" s="72"/>
    </row>
    <row r="32" spans="1:13" ht="13" x14ac:dyDescent="0.3">
      <c r="A32" s="38"/>
      <c r="I32" s="143"/>
    </row>
    <row r="33" spans="1:10" ht="13" x14ac:dyDescent="0.3">
      <c r="A33" s="38"/>
      <c r="I33" s="143"/>
      <c r="J33" s="144"/>
    </row>
    <row r="34" spans="1:10" ht="13" x14ac:dyDescent="0.3">
      <c r="A34" s="38"/>
      <c r="I34" s="143"/>
    </row>
    <row r="35" spans="1:10" ht="13" x14ac:dyDescent="0.3">
      <c r="A35" s="38"/>
      <c r="I35" s="143"/>
    </row>
    <row r="36" spans="1:10" ht="13" x14ac:dyDescent="0.3">
      <c r="A36" s="38"/>
    </row>
    <row r="37" spans="1:10" ht="13" x14ac:dyDescent="0.3">
      <c r="A37" s="38"/>
      <c r="I37" s="145"/>
    </row>
    <row r="38" spans="1:10" ht="13" x14ac:dyDescent="0.3">
      <c r="A38" s="38"/>
    </row>
    <row r="39" spans="1:10" ht="13" x14ac:dyDescent="0.3">
      <c r="A39" s="38"/>
    </row>
    <row r="40" spans="1:10" ht="13" x14ac:dyDescent="0.3">
      <c r="A40" s="38"/>
    </row>
    <row r="41" spans="1:10" ht="13" x14ac:dyDescent="0.3">
      <c r="A41" s="38"/>
    </row>
    <row r="42" spans="1:10" ht="13" x14ac:dyDescent="0.3">
      <c r="A42" s="38"/>
    </row>
    <row r="43" spans="1:10" ht="13" x14ac:dyDescent="0.3">
      <c r="A43" s="38"/>
    </row>
    <row r="44" spans="1:10" x14ac:dyDescent="0.25">
      <c r="A44" s="537" t="s">
        <v>358</v>
      </c>
      <c r="B44" s="537"/>
      <c r="C44" s="537"/>
      <c r="D44" s="537"/>
      <c r="E44" s="537"/>
      <c r="F44" s="537"/>
      <c r="G44" s="537"/>
      <c r="H44" s="537"/>
      <c r="I44" s="537"/>
    </row>
    <row r="45" spans="1:10" x14ac:dyDescent="0.25">
      <c r="A45" s="537"/>
      <c r="B45" s="537"/>
      <c r="C45" s="537"/>
      <c r="D45" s="537"/>
      <c r="E45" s="537"/>
      <c r="F45" s="537"/>
      <c r="G45" s="537"/>
      <c r="H45" s="537"/>
      <c r="I45" s="537"/>
    </row>
    <row r="46" spans="1:10" x14ac:dyDescent="0.25">
      <c r="A46" s="537"/>
      <c r="B46" s="537"/>
      <c r="C46" s="537"/>
      <c r="D46" s="537"/>
      <c r="E46" s="537"/>
      <c r="F46" s="537"/>
      <c r="G46" s="537"/>
      <c r="H46" s="537"/>
      <c r="I46" s="537"/>
    </row>
    <row r="48" spans="1:10" ht="13" x14ac:dyDescent="0.3">
      <c r="B48" s="87" t="s">
        <v>301</v>
      </c>
    </row>
    <row r="49" spans="2:2" ht="13" x14ac:dyDescent="0.3">
      <c r="B49" s="87" t="s">
        <v>302</v>
      </c>
    </row>
    <row r="50" spans="2:2" ht="13" x14ac:dyDescent="0.3">
      <c r="B50" s="87" t="s">
        <v>303</v>
      </c>
    </row>
    <row r="51" spans="2:2" ht="13" x14ac:dyDescent="0.3">
      <c r="B51" s="87" t="s">
        <v>330</v>
      </c>
    </row>
    <row r="52" spans="2:2" ht="12.75" customHeight="1" x14ac:dyDescent="0.25"/>
    <row r="53" spans="2:2" ht="12.75" customHeight="1" x14ac:dyDescent="0.25"/>
    <row r="54" spans="2:2" ht="12.75" customHeight="1" x14ac:dyDescent="0.25"/>
    <row r="56" spans="2:2" ht="12.75" customHeight="1" x14ac:dyDescent="0.25"/>
    <row r="57" spans="2:2" ht="12.75" customHeight="1" x14ac:dyDescent="0.25"/>
    <row r="58" spans="2:2" ht="12.75" customHeight="1" x14ac:dyDescent="0.25"/>
    <row r="59" spans="2:2" ht="12.75" customHeight="1" x14ac:dyDescent="0.25"/>
    <row r="60" spans="2:2" ht="12.75" customHeight="1" x14ac:dyDescent="0.25"/>
    <row r="61" spans="2:2" ht="12.75" customHeight="1" x14ac:dyDescent="0.25"/>
    <row r="62" spans="2:2" ht="12.75" customHeight="1" x14ac:dyDescent="0.25"/>
    <row r="63" spans="2:2" ht="12.75" customHeight="1" x14ac:dyDescent="0.25"/>
    <row r="64" spans="2:2" ht="12.75" customHeight="1" x14ac:dyDescent="0.25"/>
    <row r="65" spans="1:9" ht="12.75" customHeight="1" x14ac:dyDescent="0.25"/>
    <row r="66" spans="1:9" ht="12.75" customHeight="1" x14ac:dyDescent="0.25"/>
    <row r="67" spans="1:9" x14ac:dyDescent="0.25">
      <c r="A67" s="537" t="s">
        <v>359</v>
      </c>
      <c r="B67" s="537"/>
      <c r="C67" s="537"/>
      <c r="D67" s="537"/>
      <c r="E67" s="537"/>
      <c r="F67" s="537"/>
      <c r="G67" s="537"/>
      <c r="H67" s="537"/>
      <c r="I67" s="537"/>
    </row>
    <row r="68" spans="1:9" x14ac:dyDescent="0.25">
      <c r="A68" s="537"/>
      <c r="B68" s="537"/>
      <c r="C68" s="537"/>
      <c r="D68" s="537"/>
      <c r="E68" s="537"/>
      <c r="F68" s="537"/>
      <c r="G68" s="537"/>
      <c r="H68" s="537"/>
      <c r="I68" s="537"/>
    </row>
    <row r="69" spans="1:9" x14ac:dyDescent="0.25">
      <c r="A69" s="537"/>
      <c r="B69" s="537"/>
      <c r="C69" s="537"/>
      <c r="D69" s="537"/>
      <c r="E69" s="537"/>
      <c r="F69" s="537"/>
      <c r="G69" s="537"/>
      <c r="H69" s="537"/>
      <c r="I69" s="537"/>
    </row>
    <row r="71" spans="1:9" ht="13" x14ac:dyDescent="0.3">
      <c r="B71" s="87" t="s">
        <v>304</v>
      </c>
    </row>
    <row r="72" spans="1:9" ht="13" x14ac:dyDescent="0.3">
      <c r="B72" s="87" t="s">
        <v>305</v>
      </c>
    </row>
    <row r="73" spans="1:9" ht="13" x14ac:dyDescent="0.3">
      <c r="B73" s="87" t="s">
        <v>306</v>
      </c>
    </row>
    <row r="74" spans="1:9" ht="13" x14ac:dyDescent="0.3">
      <c r="B74" s="87" t="s">
        <v>331</v>
      </c>
    </row>
    <row r="75" spans="1:9" ht="13" x14ac:dyDescent="0.3">
      <c r="B75" s="87" t="s">
        <v>307</v>
      </c>
    </row>
    <row r="77" spans="1:9" x14ac:dyDescent="0.25">
      <c r="B77" s="40" t="s">
        <v>88</v>
      </c>
      <c r="C77" s="41"/>
      <c r="D77" s="41"/>
      <c r="E77" s="41"/>
      <c r="F77" s="42"/>
      <c r="G77" s="27" t="s">
        <v>89</v>
      </c>
    </row>
    <row r="78" spans="1:9" x14ac:dyDescent="0.25">
      <c r="B78" s="43"/>
      <c r="C78" s="44"/>
      <c r="D78" s="44"/>
      <c r="E78" s="44"/>
      <c r="F78" s="45"/>
    </row>
    <row r="79" spans="1:9" x14ac:dyDescent="0.25">
      <c r="B79" s="43"/>
      <c r="C79" s="44">
        <v>2013</v>
      </c>
      <c r="D79" s="44">
        <v>2014</v>
      </c>
      <c r="E79" s="44">
        <v>2015</v>
      </c>
      <c r="F79" s="45">
        <v>2016</v>
      </c>
    </row>
    <row r="80" spans="1:9" x14ac:dyDescent="0.25">
      <c r="B80" s="43" t="s">
        <v>90</v>
      </c>
      <c r="C80" s="44">
        <v>10</v>
      </c>
      <c r="D80" s="44">
        <v>20</v>
      </c>
      <c r="E80" s="44">
        <v>40</v>
      </c>
      <c r="F80" s="45">
        <v>80</v>
      </c>
    </row>
    <row r="81" spans="1:9" x14ac:dyDescent="0.25">
      <c r="B81" s="43" t="s">
        <v>91</v>
      </c>
      <c r="C81" s="44">
        <v>10</v>
      </c>
      <c r="D81" s="44">
        <v>20</v>
      </c>
      <c r="E81" s="44">
        <v>40</v>
      </c>
      <c r="F81" s="45">
        <v>80</v>
      </c>
    </row>
    <row r="82" spans="1:9" x14ac:dyDescent="0.25">
      <c r="B82" s="43" t="s">
        <v>92</v>
      </c>
      <c r="C82" s="44">
        <v>5</v>
      </c>
      <c r="D82" s="44">
        <v>10</v>
      </c>
      <c r="E82" s="44">
        <v>20</v>
      </c>
      <c r="F82" s="45">
        <v>40</v>
      </c>
    </row>
    <row r="83" spans="1:9" x14ac:dyDescent="0.25">
      <c r="B83" s="43" t="s">
        <v>93</v>
      </c>
      <c r="C83" s="44">
        <v>2</v>
      </c>
      <c r="D83" s="44">
        <v>4</v>
      </c>
      <c r="E83" s="44">
        <v>8</v>
      </c>
      <c r="F83" s="45">
        <v>16</v>
      </c>
    </row>
    <row r="84" spans="1:9" x14ac:dyDescent="0.25">
      <c r="B84" s="43" t="s">
        <v>94</v>
      </c>
      <c r="C84" s="44">
        <v>5</v>
      </c>
      <c r="D84" s="44">
        <v>10</v>
      </c>
      <c r="E84" s="44">
        <v>20</v>
      </c>
      <c r="F84" s="45">
        <v>40</v>
      </c>
    </row>
    <row r="85" spans="1:9" x14ac:dyDescent="0.25">
      <c r="B85" s="43" t="s">
        <v>95</v>
      </c>
      <c r="C85" s="44">
        <v>4</v>
      </c>
      <c r="D85" s="44">
        <v>8</v>
      </c>
      <c r="E85" s="44">
        <v>16</v>
      </c>
      <c r="F85" s="45">
        <v>32</v>
      </c>
    </row>
    <row r="86" spans="1:9" x14ac:dyDescent="0.25">
      <c r="B86" s="43" t="s">
        <v>25</v>
      </c>
      <c r="C86" s="44"/>
      <c r="D86" s="44">
        <f>SUM(D80:D85)</f>
        <v>72</v>
      </c>
      <c r="E86" s="44">
        <f>SUM(E80:E85)</f>
        <v>144</v>
      </c>
      <c r="F86" s="45">
        <f>SUM(F80:F85)</f>
        <v>288</v>
      </c>
    </row>
    <row r="87" spans="1:9" x14ac:dyDescent="0.25">
      <c r="B87" s="46"/>
      <c r="C87" s="47"/>
      <c r="D87" s="47"/>
      <c r="E87" s="47"/>
      <c r="F87" s="48"/>
    </row>
    <row r="89" spans="1:9" x14ac:dyDescent="0.25">
      <c r="A89" s="537" t="s">
        <v>360</v>
      </c>
      <c r="B89" s="537"/>
      <c r="C89" s="537"/>
      <c r="D89" s="537"/>
      <c r="E89" s="537"/>
      <c r="F89" s="537"/>
      <c r="G89" s="537"/>
      <c r="H89" s="537"/>
      <c r="I89" s="537"/>
    </row>
    <row r="90" spans="1:9" x14ac:dyDescent="0.25">
      <c r="A90" s="537"/>
      <c r="B90" s="537"/>
      <c r="C90" s="537"/>
      <c r="D90" s="537"/>
      <c r="E90" s="537"/>
      <c r="F90" s="537"/>
      <c r="G90" s="537"/>
      <c r="H90" s="537"/>
      <c r="I90" s="537"/>
    </row>
    <row r="91" spans="1:9" x14ac:dyDescent="0.25">
      <c r="A91" s="537"/>
      <c r="B91" s="537"/>
      <c r="C91" s="537"/>
      <c r="D91" s="537"/>
      <c r="E91" s="537"/>
      <c r="F91" s="537"/>
      <c r="G91" s="537"/>
      <c r="H91" s="537"/>
      <c r="I91" s="537"/>
    </row>
    <row r="93" spans="1:9" ht="13" x14ac:dyDescent="0.3">
      <c r="B93" s="87" t="s">
        <v>308</v>
      </c>
    </row>
    <row r="94" spans="1:9" ht="13" x14ac:dyDescent="0.3">
      <c r="B94" s="87" t="s">
        <v>309</v>
      </c>
    </row>
    <row r="95" spans="1:9" ht="13" x14ac:dyDescent="0.3">
      <c r="B95" s="87" t="s">
        <v>310</v>
      </c>
    </row>
    <row r="97" spans="1:9" ht="13" x14ac:dyDescent="0.3">
      <c r="B97" s="139" t="s">
        <v>96</v>
      </c>
    </row>
    <row r="99" spans="1:9" x14ac:dyDescent="0.25">
      <c r="A99" s="537" t="s">
        <v>361</v>
      </c>
      <c r="B99" s="537"/>
      <c r="C99" s="537"/>
      <c r="D99" s="537"/>
      <c r="E99" s="537"/>
      <c r="F99" s="537"/>
      <c r="G99" s="537"/>
      <c r="H99" s="537"/>
      <c r="I99" s="537"/>
    </row>
    <row r="100" spans="1:9" x14ac:dyDescent="0.25">
      <c r="A100" s="537"/>
      <c r="B100" s="537"/>
      <c r="C100" s="537"/>
      <c r="D100" s="537"/>
      <c r="E100" s="537"/>
      <c r="F100" s="537"/>
      <c r="G100" s="537"/>
      <c r="H100" s="537"/>
      <c r="I100" s="537"/>
    </row>
    <row r="101" spans="1:9" x14ac:dyDescent="0.25">
      <c r="A101" s="537"/>
      <c r="B101" s="537"/>
      <c r="C101" s="537"/>
      <c r="D101" s="537"/>
      <c r="E101" s="537"/>
      <c r="F101" s="537"/>
      <c r="G101" s="537"/>
      <c r="H101" s="537"/>
      <c r="I101" s="537"/>
    </row>
    <row r="103" spans="1:9" ht="13" x14ac:dyDescent="0.3">
      <c r="B103" s="87" t="s">
        <v>311</v>
      </c>
    </row>
    <row r="104" spans="1:9" ht="13" x14ac:dyDescent="0.3">
      <c r="B104" s="87" t="s">
        <v>312</v>
      </c>
    </row>
    <row r="105" spans="1:9" ht="13" x14ac:dyDescent="0.3">
      <c r="B105" s="87" t="s">
        <v>332</v>
      </c>
    </row>
    <row r="107" spans="1:9" ht="13" x14ac:dyDescent="0.3">
      <c r="B107" s="139" t="s">
        <v>272</v>
      </c>
    </row>
    <row r="108" spans="1:9" ht="13" x14ac:dyDescent="0.3">
      <c r="B108" s="38"/>
    </row>
    <row r="109" spans="1:9" x14ac:dyDescent="0.25">
      <c r="C109" s="53">
        <v>1</v>
      </c>
      <c r="D109" s="54">
        <v>0</v>
      </c>
    </row>
    <row r="110" spans="1:9" x14ac:dyDescent="0.25">
      <c r="C110" s="55">
        <v>0</v>
      </c>
      <c r="D110" s="56">
        <v>1</v>
      </c>
    </row>
    <row r="112" spans="1:9" x14ac:dyDescent="0.25">
      <c r="A112" s="537" t="s">
        <v>362</v>
      </c>
      <c r="B112" s="537"/>
      <c r="C112" s="537"/>
      <c r="D112" s="537"/>
      <c r="E112" s="537"/>
      <c r="F112" s="537"/>
      <c r="G112" s="537"/>
      <c r="H112" s="537"/>
      <c r="I112" s="537"/>
    </row>
    <row r="113" spans="1:9" x14ac:dyDescent="0.25">
      <c r="A113" s="537"/>
      <c r="B113" s="537"/>
      <c r="C113" s="537"/>
      <c r="D113" s="537"/>
      <c r="E113" s="537"/>
      <c r="F113" s="537"/>
      <c r="G113" s="537"/>
      <c r="H113" s="537"/>
      <c r="I113" s="537"/>
    </row>
    <row r="114" spans="1:9" x14ac:dyDescent="0.25">
      <c r="A114" s="537"/>
      <c r="B114" s="537"/>
      <c r="C114" s="537"/>
      <c r="D114" s="537"/>
      <c r="E114" s="537"/>
      <c r="F114" s="537"/>
      <c r="G114" s="537"/>
      <c r="H114" s="537"/>
      <c r="I114" s="537"/>
    </row>
    <row r="116" spans="1:9" ht="13" x14ac:dyDescent="0.3">
      <c r="B116" s="87" t="s">
        <v>313</v>
      </c>
    </row>
    <row r="117" spans="1:9" ht="13" x14ac:dyDescent="0.3">
      <c r="B117" s="87" t="s">
        <v>314</v>
      </c>
    </row>
    <row r="118" spans="1:9" ht="13" x14ac:dyDescent="0.3">
      <c r="B118" s="87" t="s">
        <v>315</v>
      </c>
    </row>
    <row r="120" spans="1:9" ht="13" x14ac:dyDescent="0.3">
      <c r="B120" s="139" t="s">
        <v>97</v>
      </c>
    </row>
    <row r="122" spans="1:9" x14ac:dyDescent="0.25">
      <c r="A122" s="537" t="s">
        <v>363</v>
      </c>
      <c r="B122" s="537"/>
      <c r="C122" s="537"/>
      <c r="D122" s="537"/>
      <c r="E122" s="537"/>
      <c r="F122" s="537"/>
      <c r="G122" s="537"/>
      <c r="H122" s="537"/>
      <c r="I122" s="537"/>
    </row>
    <row r="123" spans="1:9" x14ac:dyDescent="0.25">
      <c r="A123" s="537"/>
      <c r="B123" s="537"/>
      <c r="C123" s="537"/>
      <c r="D123" s="537"/>
      <c r="E123" s="537"/>
      <c r="F123" s="537"/>
      <c r="G123" s="537"/>
      <c r="H123" s="537"/>
      <c r="I123" s="537"/>
    </row>
    <row r="124" spans="1:9" x14ac:dyDescent="0.25">
      <c r="A124" s="537"/>
      <c r="B124" s="537"/>
      <c r="C124" s="537"/>
      <c r="D124" s="537"/>
      <c r="E124" s="537"/>
      <c r="F124" s="537"/>
      <c r="G124" s="537"/>
      <c r="H124" s="537"/>
      <c r="I124" s="537"/>
    </row>
    <row r="126" spans="1:9" ht="13" x14ac:dyDescent="0.3">
      <c r="B126" s="87" t="s">
        <v>316</v>
      </c>
    </row>
    <row r="127" spans="1:9" ht="13" x14ac:dyDescent="0.3">
      <c r="B127" s="87" t="s">
        <v>317</v>
      </c>
    </row>
    <row r="129" spans="1:9" ht="13" x14ac:dyDescent="0.3">
      <c r="B129" s="139" t="s">
        <v>98</v>
      </c>
    </row>
    <row r="131" spans="1:9" x14ac:dyDescent="0.25">
      <c r="A131" s="537" t="s">
        <v>364</v>
      </c>
      <c r="B131" s="537"/>
      <c r="C131" s="537"/>
      <c r="D131" s="537"/>
      <c r="E131" s="537"/>
      <c r="F131" s="537"/>
      <c r="G131" s="537"/>
      <c r="H131" s="537"/>
      <c r="I131" s="537"/>
    </row>
    <row r="132" spans="1:9" x14ac:dyDescent="0.25">
      <c r="A132" s="537"/>
      <c r="B132" s="537"/>
      <c r="C132" s="537"/>
      <c r="D132" s="537"/>
      <c r="E132" s="537"/>
      <c r="F132" s="537"/>
      <c r="G132" s="537"/>
      <c r="H132" s="537"/>
      <c r="I132" s="537"/>
    </row>
    <row r="133" spans="1:9" x14ac:dyDescent="0.25">
      <c r="A133" s="537"/>
      <c r="B133" s="537"/>
      <c r="C133" s="537"/>
      <c r="D133" s="537"/>
      <c r="E133" s="537"/>
      <c r="F133" s="537"/>
      <c r="G133" s="537"/>
      <c r="H133" s="537"/>
      <c r="I133" s="537"/>
    </row>
    <row r="135" spans="1:9" ht="13" x14ac:dyDescent="0.3">
      <c r="B135" s="87" t="s">
        <v>318</v>
      </c>
    </row>
    <row r="136" spans="1:9" ht="13" x14ac:dyDescent="0.3">
      <c r="B136" s="87" t="s">
        <v>317</v>
      </c>
    </row>
    <row r="137" spans="1:9" ht="13" x14ac:dyDescent="0.3">
      <c r="B137" s="87" t="s">
        <v>319</v>
      </c>
    </row>
    <row r="139" spans="1:9" ht="13" x14ac:dyDescent="0.3">
      <c r="B139" s="139" t="s">
        <v>99</v>
      </c>
    </row>
    <row r="141" spans="1:9" x14ac:dyDescent="0.25">
      <c r="A141" s="537" t="s">
        <v>365</v>
      </c>
      <c r="B141" s="537"/>
      <c r="C141" s="537"/>
      <c r="D141" s="537"/>
      <c r="E141" s="537"/>
      <c r="F141" s="537"/>
      <c r="G141" s="537"/>
      <c r="H141" s="537"/>
      <c r="I141" s="537"/>
    </row>
    <row r="142" spans="1:9" x14ac:dyDescent="0.25">
      <c r="A142" s="537"/>
      <c r="B142" s="537"/>
      <c r="C142" s="537"/>
      <c r="D142" s="537"/>
      <c r="E142" s="537"/>
      <c r="F142" s="537"/>
      <c r="G142" s="537"/>
      <c r="H142" s="537"/>
      <c r="I142" s="537"/>
    </row>
    <row r="143" spans="1:9" x14ac:dyDescent="0.25">
      <c r="A143" s="537"/>
      <c r="B143" s="537"/>
      <c r="C143" s="537"/>
      <c r="D143" s="537"/>
      <c r="E143" s="537"/>
      <c r="F143" s="537"/>
      <c r="G143" s="537"/>
      <c r="H143" s="537"/>
      <c r="I143" s="537"/>
    </row>
    <row r="145" spans="1:9" ht="13" x14ac:dyDescent="0.3">
      <c r="B145" s="87" t="s">
        <v>320</v>
      </c>
    </row>
    <row r="146" spans="1:9" ht="13" x14ac:dyDescent="0.3">
      <c r="B146" s="87" t="s">
        <v>317</v>
      </c>
    </row>
    <row r="147" spans="1:9" ht="13" x14ac:dyDescent="0.3">
      <c r="B147" s="87" t="s">
        <v>321</v>
      </c>
    </row>
    <row r="149" spans="1:9" ht="13" x14ac:dyDescent="0.3">
      <c r="B149" s="139" t="s">
        <v>290</v>
      </c>
    </row>
    <row r="151" spans="1:9" x14ac:dyDescent="0.25">
      <c r="A151" s="537" t="s">
        <v>366</v>
      </c>
      <c r="B151" s="537"/>
      <c r="C151" s="537"/>
      <c r="D151" s="537"/>
      <c r="E151" s="537"/>
      <c r="F151" s="537"/>
      <c r="G151" s="537"/>
      <c r="H151" s="537"/>
      <c r="I151" s="537"/>
    </row>
    <row r="152" spans="1:9" x14ac:dyDescent="0.25">
      <c r="A152" s="537"/>
      <c r="B152" s="537"/>
      <c r="C152" s="537"/>
      <c r="D152" s="537"/>
      <c r="E152" s="537"/>
      <c r="F152" s="537"/>
      <c r="G152" s="537"/>
      <c r="H152" s="537"/>
      <c r="I152" s="537"/>
    </row>
    <row r="153" spans="1:9" x14ac:dyDescent="0.25">
      <c r="A153" s="537"/>
      <c r="B153" s="537"/>
      <c r="C153" s="537"/>
      <c r="D153" s="537"/>
      <c r="E153" s="537"/>
      <c r="F153" s="537"/>
      <c r="G153" s="537"/>
      <c r="H153" s="537"/>
      <c r="I153" s="537"/>
    </row>
    <row r="155" spans="1:9" ht="13" x14ac:dyDescent="0.3">
      <c r="B155" s="87" t="s">
        <v>322</v>
      </c>
    </row>
    <row r="156" spans="1:9" ht="13" x14ac:dyDescent="0.3">
      <c r="B156" s="87" t="s">
        <v>317</v>
      </c>
    </row>
    <row r="157" spans="1:9" ht="13" x14ac:dyDescent="0.3">
      <c r="B157" s="87" t="s">
        <v>323</v>
      </c>
    </row>
    <row r="159" spans="1:9" ht="13" x14ac:dyDescent="0.3">
      <c r="B159" s="139" t="s">
        <v>291</v>
      </c>
    </row>
    <row r="161" spans="1:9" x14ac:dyDescent="0.25">
      <c r="A161" s="537" t="s">
        <v>367</v>
      </c>
      <c r="B161" s="537"/>
      <c r="C161" s="537"/>
      <c r="D161" s="537"/>
      <c r="E161" s="537"/>
      <c r="F161" s="537"/>
      <c r="G161" s="537"/>
      <c r="H161" s="537"/>
      <c r="I161" s="537"/>
    </row>
    <row r="162" spans="1:9" x14ac:dyDescent="0.25">
      <c r="A162" s="537"/>
      <c r="B162" s="537"/>
      <c r="C162" s="537"/>
      <c r="D162" s="537"/>
      <c r="E162" s="537"/>
      <c r="F162" s="537"/>
      <c r="G162" s="537"/>
      <c r="H162" s="537"/>
      <c r="I162" s="537"/>
    </row>
    <row r="163" spans="1:9" x14ac:dyDescent="0.25">
      <c r="A163" s="537"/>
      <c r="B163" s="537"/>
      <c r="C163" s="537"/>
      <c r="D163" s="537"/>
      <c r="E163" s="537"/>
      <c r="F163" s="537"/>
      <c r="G163" s="537"/>
      <c r="H163" s="537"/>
      <c r="I163" s="537"/>
    </row>
    <row r="165" spans="1:9" ht="13" x14ac:dyDescent="0.3">
      <c r="B165" s="87" t="s">
        <v>333</v>
      </c>
    </row>
    <row r="166" spans="1:9" ht="13" x14ac:dyDescent="0.3">
      <c r="B166" s="87" t="s">
        <v>334</v>
      </c>
    </row>
    <row r="168" spans="1:9" ht="13" x14ac:dyDescent="0.3">
      <c r="B168" s="139" t="s">
        <v>100</v>
      </c>
    </row>
  </sheetData>
  <mergeCells count="11">
    <mergeCell ref="A161:I163"/>
    <mergeCell ref="A151:I153"/>
    <mergeCell ref="A131:I133"/>
    <mergeCell ref="A141:I143"/>
    <mergeCell ref="A22:I24"/>
    <mergeCell ref="A44:I46"/>
    <mergeCell ref="A67:I69"/>
    <mergeCell ref="A89:I91"/>
    <mergeCell ref="A112:I114"/>
    <mergeCell ref="A122:I124"/>
    <mergeCell ref="A99:I101"/>
  </mergeCells>
  <hyperlinks>
    <hyperlink ref="D12" r:id="rId1" xr:uid="{00000000-0004-0000-1E00-000000000000}"/>
  </hyperlinks>
  <pageMargins left="0.7" right="0.7" top="0.75" bottom="0.75" header="0.3" footer="0.3"/>
  <pageSetup paperSize="9" orientation="landscape"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6">
    <tabColor theme="1"/>
  </sheetPr>
  <dimension ref="A1:T141"/>
  <sheetViews>
    <sheetView showGridLines="0" topLeftCell="A79" zoomScaleNormal="100" zoomScalePageLayoutView="153" workbookViewId="0">
      <selection activeCell="J137" sqref="J137"/>
    </sheetView>
  </sheetViews>
  <sheetFormatPr defaultColWidth="8.81640625" defaultRowHeight="12.5" x14ac:dyDescent="0.25"/>
  <cols>
    <col min="1" max="1" width="10.7265625" style="25" customWidth="1"/>
    <col min="2" max="2" width="20.453125" style="25" customWidth="1"/>
    <col min="3" max="3" width="18.54296875" style="25" customWidth="1"/>
    <col min="4" max="7" width="16.453125" style="25" customWidth="1"/>
    <col min="8" max="10" width="12.81640625" style="25" customWidth="1"/>
    <col min="11" max="11" width="17.26953125" style="25" customWidth="1"/>
    <col min="12" max="12" width="23.453125" style="25" customWidth="1"/>
    <col min="13" max="13" width="14.26953125" style="25" customWidth="1"/>
    <col min="14" max="16384" width="8.81640625" style="25"/>
  </cols>
  <sheetData>
    <row r="1" spans="1:14" s="61" customFormat="1" ht="38.15" customHeight="1" x14ac:dyDescent="0.25">
      <c r="C1" s="61" t="s">
        <v>101</v>
      </c>
      <c r="H1" s="61" t="s">
        <v>324</v>
      </c>
    </row>
    <row r="3" spans="1:14" ht="14" x14ac:dyDescent="0.3">
      <c r="A3" s="205" t="s">
        <v>298</v>
      </c>
      <c r="B3" s="26" t="s">
        <v>4</v>
      </c>
      <c r="C3" s="153"/>
      <c r="D3" s="30"/>
      <c r="E3" s="27"/>
      <c r="F3" s="27"/>
    </row>
    <row r="4" spans="1:14" ht="13" x14ac:dyDescent="0.3">
      <c r="A4" s="205" t="s">
        <v>299</v>
      </c>
      <c r="B4" s="28" t="s">
        <v>3</v>
      </c>
      <c r="C4" s="153"/>
      <c r="E4" s="27"/>
    </row>
    <row r="5" spans="1:14" ht="13" x14ac:dyDescent="0.3">
      <c r="A5" s="205" t="s">
        <v>300</v>
      </c>
      <c r="B5" s="28" t="s">
        <v>2</v>
      </c>
      <c r="C5" s="153"/>
    </row>
    <row r="6" spans="1:14" x14ac:dyDescent="0.25">
      <c r="A6" s="206" t="s">
        <v>1</v>
      </c>
      <c r="B6" s="153"/>
      <c r="C6" s="153"/>
    </row>
    <row r="8" spans="1:14" ht="13" x14ac:dyDescent="0.3">
      <c r="A8" s="38"/>
      <c r="B8" s="57" t="s">
        <v>26</v>
      </c>
      <c r="C8" s="58"/>
      <c r="D8" s="58"/>
      <c r="E8" s="58"/>
      <c r="F8" s="58"/>
      <c r="G8" s="58"/>
      <c r="H8" s="58"/>
      <c r="I8" s="58"/>
      <c r="J8" s="58"/>
      <c r="K8" s="58"/>
      <c r="L8" s="58"/>
      <c r="M8" s="58"/>
      <c r="N8" s="30"/>
    </row>
    <row r="9" spans="1:14" ht="13" x14ac:dyDescent="0.3">
      <c r="A9" s="38"/>
      <c r="B9" s="59" t="s">
        <v>102</v>
      </c>
      <c r="C9" s="58"/>
      <c r="D9" s="58"/>
      <c r="E9" s="58"/>
      <c r="F9" s="58"/>
      <c r="G9" s="58"/>
      <c r="H9" s="58"/>
      <c r="I9" s="58"/>
      <c r="J9" s="58"/>
      <c r="K9" s="58"/>
      <c r="L9" s="58"/>
      <c r="M9" s="58"/>
      <c r="N9" s="30"/>
    </row>
    <row r="10" spans="1:14" ht="13" x14ac:dyDescent="0.3">
      <c r="A10" s="38"/>
      <c r="B10" s="59" t="s">
        <v>372</v>
      </c>
      <c r="C10" s="58"/>
      <c r="D10" s="58"/>
      <c r="E10" s="58"/>
      <c r="F10" s="58"/>
      <c r="G10" s="58"/>
      <c r="H10" s="58"/>
      <c r="I10" s="58"/>
      <c r="J10" s="58"/>
      <c r="K10" s="58"/>
      <c r="L10" s="58"/>
      <c r="M10" s="58"/>
      <c r="N10" s="30"/>
    </row>
    <row r="11" spans="1:14" ht="13" x14ac:dyDescent="0.3">
      <c r="A11" s="38"/>
      <c r="B11" s="59" t="s">
        <v>103</v>
      </c>
      <c r="C11" s="58"/>
      <c r="D11" s="58"/>
      <c r="E11" s="58"/>
      <c r="F11" s="58"/>
      <c r="G11" s="58"/>
      <c r="H11" s="58"/>
      <c r="I11" s="58"/>
      <c r="J11" s="58"/>
      <c r="K11" s="58"/>
      <c r="L11" s="58"/>
      <c r="M11" s="58"/>
      <c r="N11" s="30"/>
    </row>
    <row r="12" spans="1:14" ht="13" x14ac:dyDescent="0.3">
      <c r="A12" s="38"/>
      <c r="B12" s="59" t="s">
        <v>373</v>
      </c>
      <c r="C12" s="58"/>
      <c r="D12" s="58"/>
      <c r="E12" s="58"/>
      <c r="F12" s="58"/>
      <c r="G12" s="58"/>
      <c r="H12" s="58"/>
      <c r="I12" s="58"/>
      <c r="J12" s="58"/>
      <c r="K12" s="58"/>
      <c r="L12" s="58"/>
      <c r="M12" s="58"/>
      <c r="N12" s="30"/>
    </row>
    <row r="13" spans="1:14" ht="13" x14ac:dyDescent="0.3">
      <c r="A13" s="38"/>
      <c r="N13" s="30"/>
    </row>
    <row r="14" spans="1:14" ht="13" x14ac:dyDescent="0.3">
      <c r="A14" s="38" t="s">
        <v>6</v>
      </c>
      <c r="N14" s="30"/>
    </row>
    <row r="16" spans="1:14" ht="20" x14ac:dyDescent="0.25">
      <c r="B16" s="61" t="s">
        <v>374</v>
      </c>
      <c r="C16" s="61"/>
      <c r="D16" s="89"/>
      <c r="E16" s="61"/>
      <c r="F16" s="61"/>
      <c r="G16" s="61"/>
      <c r="H16" s="61"/>
      <c r="I16" s="61"/>
      <c r="J16" s="61"/>
      <c r="K16" s="61"/>
      <c r="L16" s="61"/>
      <c r="M16" s="61"/>
    </row>
    <row r="17" spans="2:20" ht="13" x14ac:dyDescent="0.25">
      <c r="B17" s="65" t="s">
        <v>8</v>
      </c>
      <c r="C17" s="166">
        <f>ROWS($B$19:$J$140)</f>
        <v>122</v>
      </c>
      <c r="D17" s="65"/>
      <c r="E17" s="65"/>
      <c r="F17" s="65"/>
      <c r="G17" s="65"/>
      <c r="H17" s="65"/>
      <c r="I17" s="65"/>
      <c r="J17" s="65"/>
      <c r="K17" s="65"/>
      <c r="L17" s="130"/>
      <c r="M17" s="131"/>
    </row>
    <row r="18" spans="2:20" ht="27" customHeight="1" x14ac:dyDescent="0.25">
      <c r="B18" s="74" t="s">
        <v>104</v>
      </c>
      <c r="C18" s="74" t="s">
        <v>105</v>
      </c>
      <c r="D18" s="74" t="s">
        <v>106</v>
      </c>
      <c r="E18" s="74" t="s">
        <v>107</v>
      </c>
      <c r="F18" s="74" t="s">
        <v>108</v>
      </c>
      <c r="G18" s="74" t="s">
        <v>109</v>
      </c>
      <c r="H18" s="74" t="s">
        <v>276</v>
      </c>
      <c r="I18" s="74" t="s">
        <v>110</v>
      </c>
      <c r="J18" s="74" t="s">
        <v>111</v>
      </c>
      <c r="K18" s="74" t="s">
        <v>453</v>
      </c>
      <c r="L18" s="126" t="s">
        <v>112</v>
      </c>
      <c r="M18" s="126" t="s">
        <v>113</v>
      </c>
      <c r="P18" s="153"/>
      <c r="Q18" s="153"/>
      <c r="R18" s="153"/>
      <c r="S18" s="153"/>
      <c r="T18" s="153"/>
    </row>
    <row r="19" spans="2:20" ht="12.75" customHeight="1" x14ac:dyDescent="0.3">
      <c r="B19" s="135" t="s">
        <v>93</v>
      </c>
      <c r="C19" s="135" t="s">
        <v>93</v>
      </c>
      <c r="D19" s="135" t="s">
        <v>114</v>
      </c>
      <c r="E19" s="135"/>
      <c r="F19" s="135"/>
      <c r="G19" s="135"/>
      <c r="H19" s="135" t="s">
        <v>115</v>
      </c>
      <c r="I19" s="135" t="s">
        <v>116</v>
      </c>
      <c r="J19" s="135" t="s">
        <v>116</v>
      </c>
      <c r="K19" s="235" t="s">
        <v>412</v>
      </c>
      <c r="L19" s="147" t="s">
        <v>118</v>
      </c>
      <c r="M19" s="543" t="s">
        <v>119</v>
      </c>
      <c r="N19" s="86"/>
      <c r="P19" s="153"/>
      <c r="Q19" s="153"/>
      <c r="R19" s="153"/>
      <c r="S19" s="153"/>
      <c r="T19" s="153"/>
    </row>
    <row r="20" spans="2:20" ht="13" x14ac:dyDescent="0.3">
      <c r="B20" s="135" t="s">
        <v>120</v>
      </c>
      <c r="C20" s="135" t="s">
        <v>121</v>
      </c>
      <c r="D20" s="135" t="s">
        <v>122</v>
      </c>
      <c r="E20" s="135"/>
      <c r="F20" s="135"/>
      <c r="G20" s="135"/>
      <c r="H20" s="135" t="s">
        <v>115</v>
      </c>
      <c r="I20" s="135" t="s">
        <v>123</v>
      </c>
      <c r="J20" s="135" t="s">
        <v>123</v>
      </c>
      <c r="K20" s="236" t="s">
        <v>413</v>
      </c>
      <c r="L20" s="147" t="s">
        <v>118</v>
      </c>
      <c r="M20" s="539"/>
      <c r="N20" s="72"/>
      <c r="P20" s="153"/>
      <c r="Q20" s="153"/>
      <c r="R20" s="153"/>
      <c r="S20" s="153"/>
      <c r="T20" s="153"/>
    </row>
    <row r="21" spans="2:20" ht="13" x14ac:dyDescent="0.3">
      <c r="B21" s="135" t="s">
        <v>90</v>
      </c>
      <c r="C21" s="135" t="s">
        <v>90</v>
      </c>
      <c r="D21" s="135" t="s">
        <v>124</v>
      </c>
      <c r="E21" s="135" t="s">
        <v>125</v>
      </c>
      <c r="F21" s="135" t="s">
        <v>126</v>
      </c>
      <c r="G21" s="135"/>
      <c r="H21" s="135" t="s">
        <v>127</v>
      </c>
      <c r="I21" s="135" t="s">
        <v>128</v>
      </c>
      <c r="J21" s="135" t="s">
        <v>128</v>
      </c>
      <c r="K21" s="237" t="s">
        <v>414</v>
      </c>
      <c r="L21" s="147" t="s">
        <v>118</v>
      </c>
      <c r="M21" s="539"/>
      <c r="N21" s="72"/>
      <c r="P21" s="153"/>
      <c r="Q21" s="153"/>
      <c r="R21" s="153"/>
      <c r="S21" s="153"/>
      <c r="T21" s="153"/>
    </row>
    <row r="22" spans="2:20" ht="13" x14ac:dyDescent="0.3">
      <c r="B22" s="135" t="s">
        <v>90</v>
      </c>
      <c r="C22" s="135" t="s">
        <v>90</v>
      </c>
      <c r="D22" s="135" t="s">
        <v>129</v>
      </c>
      <c r="E22" s="135" t="s">
        <v>130</v>
      </c>
      <c r="F22" s="135" t="s">
        <v>131</v>
      </c>
      <c r="G22" s="135"/>
      <c r="H22" s="135" t="s">
        <v>127</v>
      </c>
      <c r="I22" s="135" t="s">
        <v>127</v>
      </c>
      <c r="J22" s="135" t="s">
        <v>127</v>
      </c>
      <c r="K22" s="238" t="s">
        <v>414</v>
      </c>
      <c r="L22" s="147" t="s">
        <v>132</v>
      </c>
      <c r="M22" s="539"/>
      <c r="N22" s="72"/>
      <c r="P22" s="153"/>
      <c r="Q22" s="153"/>
      <c r="R22" s="153"/>
      <c r="S22" s="153"/>
      <c r="T22" s="153"/>
    </row>
    <row r="23" spans="2:20" ht="13" x14ac:dyDescent="0.3">
      <c r="B23" s="135" t="s">
        <v>90</v>
      </c>
      <c r="C23" s="135" t="s">
        <v>90</v>
      </c>
      <c r="D23" s="135" t="s">
        <v>133</v>
      </c>
      <c r="E23" s="135" t="s">
        <v>134</v>
      </c>
      <c r="F23" s="135"/>
      <c r="G23" s="135"/>
      <c r="H23" s="135" t="s">
        <v>135</v>
      </c>
      <c r="I23" s="135" t="s">
        <v>135</v>
      </c>
      <c r="J23" s="135" t="s">
        <v>135</v>
      </c>
      <c r="K23" s="239" t="s">
        <v>415</v>
      </c>
      <c r="L23" s="147" t="s">
        <v>136</v>
      </c>
      <c r="M23" s="539"/>
      <c r="P23" s="153"/>
      <c r="Q23" s="153"/>
      <c r="R23" s="153"/>
      <c r="S23" s="153"/>
      <c r="T23" s="153"/>
    </row>
    <row r="24" spans="2:20" ht="13" x14ac:dyDescent="0.3">
      <c r="B24" s="135" t="s">
        <v>90</v>
      </c>
      <c r="C24" s="135" t="s">
        <v>137</v>
      </c>
      <c r="D24" s="135"/>
      <c r="E24" s="135"/>
      <c r="F24" s="135"/>
      <c r="G24" s="135"/>
      <c r="H24" s="135" t="b">
        <v>0</v>
      </c>
      <c r="I24" s="135" t="s">
        <v>138</v>
      </c>
      <c r="J24" s="135" t="b">
        <v>0</v>
      </c>
      <c r="K24" s="240" t="s">
        <v>416</v>
      </c>
      <c r="L24" s="147" t="s">
        <v>118</v>
      </c>
      <c r="M24" s="539"/>
      <c r="N24" s="72"/>
      <c r="P24" s="153"/>
      <c r="Q24" s="153"/>
      <c r="R24" s="153"/>
      <c r="S24" s="153"/>
      <c r="T24" s="153"/>
    </row>
    <row r="25" spans="2:20" ht="13" x14ac:dyDescent="0.3">
      <c r="B25" s="135" t="s">
        <v>90</v>
      </c>
      <c r="C25" s="135" t="s">
        <v>90</v>
      </c>
      <c r="D25" s="135" t="s">
        <v>139</v>
      </c>
      <c r="E25" s="135"/>
      <c r="F25" s="135"/>
      <c r="G25" s="135"/>
      <c r="H25" s="135" t="b">
        <v>0</v>
      </c>
      <c r="I25" s="135" t="s">
        <v>140</v>
      </c>
      <c r="J25" s="135" t="s">
        <v>140</v>
      </c>
      <c r="K25" s="241" t="s">
        <v>414</v>
      </c>
      <c r="L25" s="147" t="s">
        <v>141</v>
      </c>
      <c r="M25" s="539"/>
      <c r="N25" s="72"/>
      <c r="P25" s="153"/>
      <c r="Q25" s="153"/>
      <c r="R25" s="153"/>
      <c r="S25" s="153"/>
      <c r="T25" s="153"/>
    </row>
    <row r="26" spans="2:20" ht="13" x14ac:dyDescent="0.3">
      <c r="B26" s="135" t="s">
        <v>90</v>
      </c>
      <c r="C26" s="135" t="s">
        <v>137</v>
      </c>
      <c r="D26" s="135"/>
      <c r="E26" s="135"/>
      <c r="F26" s="135"/>
      <c r="G26" s="135"/>
      <c r="H26" s="135" t="b">
        <v>0</v>
      </c>
      <c r="I26" s="135" t="s">
        <v>142</v>
      </c>
      <c r="J26" s="135" t="b">
        <v>0</v>
      </c>
      <c r="K26" s="242" t="s">
        <v>416</v>
      </c>
      <c r="L26" s="147" t="s">
        <v>118</v>
      </c>
      <c r="M26" s="539"/>
      <c r="N26" s="72"/>
      <c r="P26" s="153"/>
      <c r="Q26" s="153"/>
      <c r="R26" s="153"/>
      <c r="S26" s="153"/>
      <c r="T26" s="153"/>
    </row>
    <row r="27" spans="2:20" ht="13" x14ac:dyDescent="0.3">
      <c r="B27" s="135" t="s">
        <v>143</v>
      </c>
      <c r="C27" s="135" t="s">
        <v>144</v>
      </c>
      <c r="D27" s="135" t="s">
        <v>145</v>
      </c>
      <c r="E27" s="135"/>
      <c r="F27" s="135"/>
      <c r="G27" s="135"/>
      <c r="H27" s="135" t="s">
        <v>284</v>
      </c>
      <c r="I27" s="135"/>
      <c r="J27" s="135"/>
      <c r="K27" s="243" t="s">
        <v>417</v>
      </c>
      <c r="L27" s="147" t="s">
        <v>118</v>
      </c>
      <c r="M27" s="539"/>
      <c r="N27" s="72"/>
      <c r="P27" s="153"/>
      <c r="Q27" s="153"/>
      <c r="R27" s="153"/>
      <c r="S27" s="153"/>
      <c r="T27" s="153"/>
    </row>
    <row r="28" spans="2:20" ht="13" x14ac:dyDescent="0.3">
      <c r="B28" s="135" t="s">
        <v>146</v>
      </c>
      <c r="C28" s="135" t="s">
        <v>147</v>
      </c>
      <c r="D28" s="135" t="s">
        <v>148</v>
      </c>
      <c r="E28" s="135" t="s">
        <v>149</v>
      </c>
      <c r="F28" s="135" t="s">
        <v>150</v>
      </c>
      <c r="G28" s="135" t="s">
        <v>151</v>
      </c>
      <c r="H28" s="135" t="s">
        <v>146</v>
      </c>
      <c r="I28" s="135" t="s">
        <v>146</v>
      </c>
      <c r="J28" s="135" t="s">
        <v>146</v>
      </c>
      <c r="K28" s="244" t="s">
        <v>412</v>
      </c>
      <c r="L28" s="147" t="s">
        <v>118</v>
      </c>
      <c r="M28" s="539"/>
      <c r="N28" s="86"/>
      <c r="P28" s="153"/>
      <c r="Q28" s="153"/>
      <c r="R28" s="153"/>
      <c r="S28" s="153"/>
      <c r="T28" s="153"/>
    </row>
    <row r="29" spans="2:20" ht="13" x14ac:dyDescent="0.3">
      <c r="B29" s="135" t="s">
        <v>152</v>
      </c>
      <c r="C29" s="135" t="s">
        <v>285</v>
      </c>
      <c r="D29" s="135"/>
      <c r="E29" s="135"/>
      <c r="F29" s="135"/>
      <c r="G29" s="135"/>
      <c r="H29" s="135" t="s">
        <v>274</v>
      </c>
      <c r="I29" s="135"/>
      <c r="J29" s="135"/>
      <c r="K29" s="245" t="s">
        <v>418</v>
      </c>
      <c r="L29" s="147" t="s">
        <v>118</v>
      </c>
      <c r="M29" s="539"/>
      <c r="N29" s="72"/>
      <c r="P29" s="153"/>
      <c r="Q29" s="153"/>
      <c r="R29" s="153"/>
      <c r="S29" s="153"/>
      <c r="T29" s="153"/>
    </row>
    <row r="30" spans="2:20" ht="13" x14ac:dyDescent="0.3">
      <c r="B30" s="135" t="s">
        <v>91</v>
      </c>
      <c r="C30" s="135" t="s">
        <v>91</v>
      </c>
      <c r="D30" s="135" t="s">
        <v>153</v>
      </c>
      <c r="E30" s="135" t="s">
        <v>154</v>
      </c>
      <c r="F30" s="135" t="s">
        <v>155</v>
      </c>
      <c r="G30" s="135" t="s">
        <v>156</v>
      </c>
      <c r="H30" s="135" t="s">
        <v>157</v>
      </c>
      <c r="I30" s="135" t="s">
        <v>157</v>
      </c>
      <c r="J30" s="135" t="s">
        <v>158</v>
      </c>
      <c r="K30" s="246" t="s">
        <v>419</v>
      </c>
      <c r="L30" s="147" t="s">
        <v>118</v>
      </c>
      <c r="M30" s="539"/>
      <c r="N30" s="72"/>
      <c r="P30" s="153"/>
      <c r="Q30" s="153"/>
      <c r="R30" s="153"/>
      <c r="S30" s="153"/>
      <c r="T30" s="153"/>
    </row>
    <row r="31" spans="2:20" ht="13" x14ac:dyDescent="0.3">
      <c r="B31" s="135" t="s">
        <v>91</v>
      </c>
      <c r="C31" s="135" t="s">
        <v>91</v>
      </c>
      <c r="D31" s="135"/>
      <c r="E31" s="135"/>
      <c r="F31" s="135"/>
      <c r="G31" s="135"/>
      <c r="H31" s="135" t="s">
        <v>157</v>
      </c>
      <c r="I31" s="135" t="s">
        <v>159</v>
      </c>
      <c r="J31" s="135" t="s">
        <v>159</v>
      </c>
      <c r="K31" s="247" t="s">
        <v>419</v>
      </c>
      <c r="L31" s="147" t="s">
        <v>160</v>
      </c>
      <c r="M31" s="539"/>
      <c r="N31" s="72"/>
      <c r="P31" s="153"/>
      <c r="Q31" s="153"/>
      <c r="R31" s="153"/>
      <c r="S31" s="153"/>
      <c r="T31" s="153"/>
    </row>
    <row r="32" spans="2:20" ht="13" x14ac:dyDescent="0.3">
      <c r="B32" s="135" t="s">
        <v>91</v>
      </c>
      <c r="C32" s="135" t="s">
        <v>91</v>
      </c>
      <c r="D32" s="135"/>
      <c r="E32" s="135"/>
      <c r="F32" s="135"/>
      <c r="G32" s="135"/>
      <c r="H32" s="135" t="s">
        <v>161</v>
      </c>
      <c r="I32" s="135" t="s">
        <v>162</v>
      </c>
      <c r="J32" s="135" t="s">
        <v>162</v>
      </c>
      <c r="K32" s="248" t="s">
        <v>420</v>
      </c>
      <c r="L32" s="147" t="s">
        <v>136</v>
      </c>
      <c r="M32" s="539"/>
      <c r="N32" s="72"/>
      <c r="P32" s="153"/>
      <c r="Q32" s="153"/>
      <c r="R32" s="153"/>
      <c r="S32" s="153"/>
      <c r="T32" s="153"/>
    </row>
    <row r="33" spans="2:20" ht="13" x14ac:dyDescent="0.3">
      <c r="B33" s="135" t="s">
        <v>91</v>
      </c>
      <c r="C33" s="135" t="s">
        <v>163</v>
      </c>
      <c r="D33" s="135" t="s">
        <v>164</v>
      </c>
      <c r="E33" s="135" t="s">
        <v>165</v>
      </c>
      <c r="F33" s="135"/>
      <c r="G33" s="135"/>
      <c r="H33" s="135" t="b">
        <v>0</v>
      </c>
      <c r="I33" s="135" t="s">
        <v>166</v>
      </c>
      <c r="J33" s="135" t="b">
        <v>0</v>
      </c>
      <c r="K33" s="249" t="s">
        <v>420</v>
      </c>
      <c r="L33" s="147" t="s">
        <v>118</v>
      </c>
      <c r="M33" s="539"/>
      <c r="N33" s="72"/>
      <c r="P33" s="153"/>
      <c r="Q33" s="153"/>
      <c r="R33" s="153"/>
      <c r="S33" s="153"/>
      <c r="T33" s="153"/>
    </row>
    <row r="34" spans="2:20" ht="13" x14ac:dyDescent="0.3">
      <c r="B34" s="135" t="s">
        <v>91</v>
      </c>
      <c r="C34" s="135" t="s">
        <v>91</v>
      </c>
      <c r="D34" s="135"/>
      <c r="E34" s="135"/>
      <c r="F34" s="135"/>
      <c r="G34" s="135"/>
      <c r="H34" s="135" t="s">
        <v>161</v>
      </c>
      <c r="I34" s="135" t="s">
        <v>161</v>
      </c>
      <c r="J34" s="135" t="s">
        <v>161</v>
      </c>
      <c r="K34" s="250" t="s">
        <v>420</v>
      </c>
      <c r="L34" s="147" t="s">
        <v>141</v>
      </c>
      <c r="M34" s="539"/>
      <c r="N34" s="72"/>
      <c r="P34" s="153"/>
      <c r="Q34" s="153"/>
      <c r="R34" s="153"/>
      <c r="S34" s="153"/>
      <c r="T34" s="153"/>
    </row>
    <row r="35" spans="2:20" ht="13" x14ac:dyDescent="0.3">
      <c r="B35" s="135" t="s">
        <v>91</v>
      </c>
      <c r="C35" s="135" t="s">
        <v>163</v>
      </c>
      <c r="D35" s="135"/>
      <c r="E35" s="135"/>
      <c r="F35" s="135"/>
      <c r="G35" s="135"/>
      <c r="H35" s="135" t="b">
        <v>0</v>
      </c>
      <c r="I35" s="135" t="s">
        <v>167</v>
      </c>
      <c r="J35" s="135" t="b">
        <v>0</v>
      </c>
      <c r="K35" s="249" t="s">
        <v>420</v>
      </c>
      <c r="L35" s="147" t="s">
        <v>118</v>
      </c>
      <c r="M35" s="539"/>
      <c r="N35" s="72"/>
      <c r="P35" s="153"/>
      <c r="Q35" s="153"/>
      <c r="R35" s="153"/>
      <c r="S35" s="153"/>
      <c r="T35" s="153"/>
    </row>
    <row r="36" spans="2:20" ht="13" x14ac:dyDescent="0.3">
      <c r="B36" s="135" t="s">
        <v>91</v>
      </c>
      <c r="C36" s="135" t="s">
        <v>91</v>
      </c>
      <c r="D36" s="135" t="s">
        <v>168</v>
      </c>
      <c r="E36" s="135" t="s">
        <v>169</v>
      </c>
      <c r="F36" s="135" t="s">
        <v>170</v>
      </c>
      <c r="G36" s="135"/>
      <c r="H36" s="135" t="s">
        <v>171</v>
      </c>
      <c r="I36" s="135" t="s">
        <v>171</v>
      </c>
      <c r="J36" s="135" t="s">
        <v>171</v>
      </c>
      <c r="K36" s="251" t="s">
        <v>420</v>
      </c>
      <c r="L36" s="147" t="s">
        <v>132</v>
      </c>
      <c r="M36" s="539"/>
      <c r="N36" s="72"/>
      <c r="P36" s="153"/>
      <c r="Q36" s="153"/>
      <c r="R36" s="153"/>
      <c r="S36" s="153"/>
      <c r="T36" s="153"/>
    </row>
    <row r="37" spans="2:20" ht="13" x14ac:dyDescent="0.3">
      <c r="B37" s="135" t="s">
        <v>172</v>
      </c>
      <c r="C37" s="135" t="s">
        <v>172</v>
      </c>
      <c r="D37" s="135"/>
      <c r="E37" s="135"/>
      <c r="F37" s="135"/>
      <c r="G37" s="135"/>
      <c r="H37" s="135" t="s">
        <v>173</v>
      </c>
      <c r="I37" s="135" t="s">
        <v>173</v>
      </c>
      <c r="J37" s="135" t="s">
        <v>173</v>
      </c>
      <c r="K37" s="252" t="s">
        <v>421</v>
      </c>
      <c r="L37" s="147" t="s">
        <v>118</v>
      </c>
      <c r="M37" s="539"/>
      <c r="N37" s="72"/>
      <c r="P37" s="153"/>
      <c r="Q37" s="153"/>
      <c r="R37" s="153"/>
      <c r="S37" s="153"/>
      <c r="T37" s="153"/>
    </row>
    <row r="38" spans="2:20" ht="13" x14ac:dyDescent="0.3">
      <c r="B38" s="135" t="s">
        <v>90</v>
      </c>
      <c r="C38" s="135" t="s">
        <v>90</v>
      </c>
      <c r="D38" s="135"/>
      <c r="E38" s="135"/>
      <c r="F38" s="135"/>
      <c r="G38" s="135"/>
      <c r="H38" s="135" t="s">
        <v>135</v>
      </c>
      <c r="I38" s="135" t="s">
        <v>174</v>
      </c>
      <c r="J38" s="135" t="b">
        <v>0</v>
      </c>
      <c r="K38" s="253" t="s">
        <v>415</v>
      </c>
      <c r="L38" s="147" t="s">
        <v>118</v>
      </c>
      <c r="M38" s="539"/>
      <c r="N38" s="72"/>
      <c r="P38" s="153"/>
      <c r="Q38" s="153"/>
      <c r="R38" s="153"/>
      <c r="S38" s="153"/>
      <c r="T38" s="153"/>
    </row>
    <row r="39" spans="2:20" ht="13" x14ac:dyDescent="0.3">
      <c r="B39" s="135" t="s">
        <v>90</v>
      </c>
      <c r="C39" s="135" t="s">
        <v>137</v>
      </c>
      <c r="D39" s="135"/>
      <c r="E39" s="135"/>
      <c r="F39" s="135"/>
      <c r="G39" s="135"/>
      <c r="H39" s="135" t="b">
        <v>0</v>
      </c>
      <c r="I39" s="135" t="s">
        <v>175</v>
      </c>
      <c r="J39" s="135" t="b">
        <v>0</v>
      </c>
      <c r="K39" s="254" t="s">
        <v>415</v>
      </c>
      <c r="L39" s="147" t="s">
        <v>118</v>
      </c>
      <c r="M39" s="539"/>
      <c r="N39" s="72"/>
    </row>
    <row r="40" spans="2:20" ht="13" x14ac:dyDescent="0.3">
      <c r="B40" s="135" t="s">
        <v>176</v>
      </c>
      <c r="C40" s="135" t="s">
        <v>177</v>
      </c>
      <c r="D40" s="135" t="s">
        <v>178</v>
      </c>
      <c r="E40" s="135"/>
      <c r="F40" s="135"/>
      <c r="G40" s="135"/>
      <c r="H40" s="135" t="s">
        <v>179</v>
      </c>
      <c r="I40" s="135" t="s">
        <v>180</v>
      </c>
      <c r="J40" s="135" t="s">
        <v>180</v>
      </c>
      <c r="K40" s="255" t="s">
        <v>422</v>
      </c>
      <c r="L40" s="147" t="s">
        <v>118</v>
      </c>
      <c r="M40" s="539"/>
      <c r="N40" s="72"/>
    </row>
    <row r="41" spans="2:20" ht="13" x14ac:dyDescent="0.3">
      <c r="B41" s="135" t="s">
        <v>176</v>
      </c>
      <c r="C41" s="135" t="s">
        <v>181</v>
      </c>
      <c r="D41" s="135" t="s">
        <v>182</v>
      </c>
      <c r="E41" s="135"/>
      <c r="F41" s="135"/>
      <c r="G41" s="135"/>
      <c r="H41" s="135" t="s">
        <v>179</v>
      </c>
      <c r="I41" s="135" t="s">
        <v>183</v>
      </c>
      <c r="J41" s="135" t="s">
        <v>183</v>
      </c>
      <c r="K41" s="256" t="s">
        <v>423</v>
      </c>
      <c r="L41" s="147" t="s">
        <v>118</v>
      </c>
      <c r="M41" s="539"/>
      <c r="N41" s="72"/>
    </row>
    <row r="42" spans="2:20" ht="13" x14ac:dyDescent="0.3">
      <c r="B42" s="135" t="s">
        <v>176</v>
      </c>
      <c r="C42" s="135" t="s">
        <v>184</v>
      </c>
      <c r="D42" s="135" t="s">
        <v>185</v>
      </c>
      <c r="E42" s="135"/>
      <c r="F42" s="135"/>
      <c r="G42" s="135"/>
      <c r="H42" s="135" t="s">
        <v>277</v>
      </c>
      <c r="I42" s="135"/>
      <c r="J42" s="135"/>
      <c r="K42" s="257" t="s">
        <v>422</v>
      </c>
      <c r="L42" s="147" t="s">
        <v>118</v>
      </c>
      <c r="M42" s="539"/>
      <c r="N42" s="72"/>
    </row>
    <row r="43" spans="2:20" ht="13" x14ac:dyDescent="0.3">
      <c r="B43" s="135" t="s">
        <v>186</v>
      </c>
      <c r="C43" s="135" t="s">
        <v>186</v>
      </c>
      <c r="D43" s="135"/>
      <c r="E43" s="135"/>
      <c r="F43" s="135"/>
      <c r="G43" s="135"/>
      <c r="H43" s="135" t="s">
        <v>289</v>
      </c>
      <c r="I43" s="135" t="s">
        <v>188</v>
      </c>
      <c r="J43" s="135" t="s">
        <v>188</v>
      </c>
      <c r="K43" s="258" t="s">
        <v>424</v>
      </c>
      <c r="L43" s="147" t="s">
        <v>118</v>
      </c>
      <c r="M43" s="539"/>
      <c r="N43" s="72"/>
    </row>
    <row r="44" spans="2:20" ht="13" x14ac:dyDescent="0.3">
      <c r="B44" s="135" t="s">
        <v>186</v>
      </c>
      <c r="C44" s="135" t="s">
        <v>186</v>
      </c>
      <c r="D44" s="135"/>
      <c r="E44" s="135"/>
      <c r="F44" s="135"/>
      <c r="G44" s="135"/>
      <c r="H44" s="135" t="s">
        <v>187</v>
      </c>
      <c r="I44" s="135" t="s">
        <v>187</v>
      </c>
      <c r="J44" s="135" t="s">
        <v>189</v>
      </c>
      <c r="K44" s="259" t="s">
        <v>425</v>
      </c>
      <c r="L44" s="147" t="s">
        <v>160</v>
      </c>
      <c r="M44" s="539"/>
      <c r="N44" s="72"/>
    </row>
    <row r="45" spans="2:20" ht="13" x14ac:dyDescent="0.3">
      <c r="B45" s="135" t="s">
        <v>186</v>
      </c>
      <c r="C45" s="135" t="s">
        <v>186</v>
      </c>
      <c r="D45" s="135"/>
      <c r="E45" s="135"/>
      <c r="F45" s="135"/>
      <c r="G45" s="135"/>
      <c r="H45" s="135" t="s">
        <v>187</v>
      </c>
      <c r="I45" s="135" t="s">
        <v>190</v>
      </c>
      <c r="J45" s="135" t="s">
        <v>191</v>
      </c>
      <c r="K45" s="260" t="s">
        <v>424</v>
      </c>
      <c r="L45" s="147" t="s">
        <v>132</v>
      </c>
      <c r="M45" s="539"/>
      <c r="N45" s="72"/>
    </row>
    <row r="46" spans="2:20" ht="13" x14ac:dyDescent="0.3">
      <c r="B46" s="135" t="s">
        <v>186</v>
      </c>
      <c r="C46" s="135" t="s">
        <v>192</v>
      </c>
      <c r="D46" s="135"/>
      <c r="E46" s="135"/>
      <c r="F46" s="135"/>
      <c r="G46" s="135"/>
      <c r="H46" s="135"/>
      <c r="I46" s="135" t="s">
        <v>193</v>
      </c>
      <c r="J46" s="135" t="b">
        <v>0</v>
      </c>
      <c r="K46" s="261" t="s">
        <v>425</v>
      </c>
      <c r="L46" s="147" t="s">
        <v>141</v>
      </c>
      <c r="M46" s="539"/>
      <c r="N46" s="72"/>
    </row>
    <row r="47" spans="2:20" ht="13" x14ac:dyDescent="0.3">
      <c r="B47" s="135" t="s">
        <v>186</v>
      </c>
      <c r="C47" s="135" t="s">
        <v>186</v>
      </c>
      <c r="D47" s="135"/>
      <c r="E47" s="135"/>
      <c r="F47" s="135"/>
      <c r="G47" s="135"/>
      <c r="H47" s="135" t="s">
        <v>194</v>
      </c>
      <c r="I47" s="135" t="s">
        <v>194</v>
      </c>
      <c r="J47" s="135" t="s">
        <v>195</v>
      </c>
      <c r="K47" s="260" t="s">
        <v>424</v>
      </c>
      <c r="L47" s="147" t="s">
        <v>136</v>
      </c>
      <c r="M47" s="539"/>
      <c r="N47" s="72"/>
    </row>
    <row r="48" spans="2:20" ht="13" x14ac:dyDescent="0.3">
      <c r="B48" s="135" t="s">
        <v>186</v>
      </c>
      <c r="C48" s="135" t="s">
        <v>192</v>
      </c>
      <c r="D48" s="135"/>
      <c r="E48" s="135"/>
      <c r="F48" s="135"/>
      <c r="G48" s="135"/>
      <c r="H48" s="135"/>
      <c r="I48" s="135" t="s">
        <v>196</v>
      </c>
      <c r="J48" s="135" t="b">
        <v>0</v>
      </c>
      <c r="K48" s="261" t="s">
        <v>425</v>
      </c>
      <c r="L48" s="147" t="s">
        <v>118</v>
      </c>
      <c r="M48" s="539"/>
      <c r="N48" s="72"/>
    </row>
    <row r="49" spans="2:14" ht="13" x14ac:dyDescent="0.3">
      <c r="B49" s="135" t="s">
        <v>186</v>
      </c>
      <c r="C49" s="135" t="s">
        <v>186</v>
      </c>
      <c r="D49" s="135"/>
      <c r="E49" s="135"/>
      <c r="F49" s="135"/>
      <c r="G49" s="135"/>
      <c r="H49" s="135"/>
      <c r="I49" s="135" t="s">
        <v>197</v>
      </c>
      <c r="J49" s="135" t="b">
        <v>0</v>
      </c>
      <c r="K49" s="262" t="s">
        <v>425</v>
      </c>
      <c r="L49" s="147" t="s">
        <v>118</v>
      </c>
      <c r="M49" s="539"/>
      <c r="N49" s="72"/>
    </row>
    <row r="50" spans="2:14" ht="13" x14ac:dyDescent="0.3">
      <c r="B50" s="135" t="s">
        <v>186</v>
      </c>
      <c r="C50" s="135" t="s">
        <v>192</v>
      </c>
      <c r="D50" s="135"/>
      <c r="E50" s="135"/>
      <c r="F50" s="135"/>
      <c r="G50" s="135"/>
      <c r="H50" s="135"/>
      <c r="I50" s="135" t="s">
        <v>198</v>
      </c>
      <c r="J50" s="135" t="b">
        <v>0</v>
      </c>
      <c r="K50" s="263" t="s">
        <v>425</v>
      </c>
      <c r="L50" s="147" t="s">
        <v>118</v>
      </c>
      <c r="M50" s="539"/>
      <c r="N50" s="72"/>
    </row>
    <row r="51" spans="2:14" ht="13" x14ac:dyDescent="0.3">
      <c r="B51" s="135" t="s">
        <v>199</v>
      </c>
      <c r="C51" s="135" t="s">
        <v>200</v>
      </c>
      <c r="D51" s="135" t="s">
        <v>201</v>
      </c>
      <c r="E51" s="135"/>
      <c r="F51" s="135"/>
      <c r="G51" s="135"/>
      <c r="H51" s="135" t="s">
        <v>202</v>
      </c>
      <c r="I51" s="135" t="s">
        <v>203</v>
      </c>
      <c r="J51" s="135" t="s">
        <v>203</v>
      </c>
      <c r="K51" s="264" t="s">
        <v>417</v>
      </c>
      <c r="L51" s="147" t="s">
        <v>118</v>
      </c>
      <c r="M51" s="539"/>
      <c r="N51" s="72"/>
    </row>
    <row r="52" spans="2:14" ht="13" x14ac:dyDescent="0.3">
      <c r="B52" s="135" t="s">
        <v>199</v>
      </c>
      <c r="C52" s="135" t="s">
        <v>204</v>
      </c>
      <c r="D52" s="135" t="s">
        <v>205</v>
      </c>
      <c r="E52" s="135"/>
      <c r="F52" s="135"/>
      <c r="G52" s="135"/>
      <c r="H52" s="135" t="s">
        <v>202</v>
      </c>
      <c r="I52" s="135" t="s">
        <v>206</v>
      </c>
      <c r="J52" s="135" t="b">
        <v>0</v>
      </c>
      <c r="K52" s="265" t="s">
        <v>417</v>
      </c>
      <c r="L52" s="147" t="s">
        <v>118</v>
      </c>
      <c r="M52" s="539"/>
      <c r="N52" s="72"/>
    </row>
    <row r="53" spans="2:14" ht="13" x14ac:dyDescent="0.3">
      <c r="B53" s="135" t="s">
        <v>92</v>
      </c>
      <c r="C53" s="135" t="s">
        <v>92</v>
      </c>
      <c r="D53" s="135" t="s">
        <v>207</v>
      </c>
      <c r="E53" s="135"/>
      <c r="F53" s="135"/>
      <c r="G53" s="135"/>
      <c r="H53" s="135" t="s">
        <v>208</v>
      </c>
      <c r="I53" s="135" t="s">
        <v>208</v>
      </c>
      <c r="J53" s="135" t="s">
        <v>208</v>
      </c>
      <c r="K53" s="266" t="s">
        <v>426</v>
      </c>
      <c r="L53" s="147" t="s">
        <v>118</v>
      </c>
      <c r="M53" s="539"/>
      <c r="N53" s="72"/>
    </row>
    <row r="54" spans="2:14" ht="13" x14ac:dyDescent="0.3">
      <c r="B54" s="135" t="s">
        <v>92</v>
      </c>
      <c r="C54" s="135" t="s">
        <v>209</v>
      </c>
      <c r="D54" s="135"/>
      <c r="E54" s="135"/>
      <c r="F54" s="135"/>
      <c r="G54" s="135"/>
      <c r="H54" s="135"/>
      <c r="I54" s="135" t="s">
        <v>210</v>
      </c>
      <c r="J54" s="135" t="b">
        <v>0</v>
      </c>
      <c r="K54" s="267" t="s">
        <v>426</v>
      </c>
      <c r="L54" s="147" t="s">
        <v>118</v>
      </c>
      <c r="M54" s="539"/>
      <c r="N54" s="72"/>
    </row>
    <row r="55" spans="2:14" ht="13" x14ac:dyDescent="0.3">
      <c r="B55" s="135" t="s">
        <v>211</v>
      </c>
      <c r="C55" s="135" t="s">
        <v>211</v>
      </c>
      <c r="D55" s="135" t="s">
        <v>212</v>
      </c>
      <c r="E55" s="135" t="s">
        <v>213</v>
      </c>
      <c r="F55" s="135" t="s">
        <v>214</v>
      </c>
      <c r="G55" s="135"/>
      <c r="H55" s="135" t="s">
        <v>215</v>
      </c>
      <c r="I55" s="135" t="s">
        <v>215</v>
      </c>
      <c r="J55" s="135" t="s">
        <v>216</v>
      </c>
      <c r="K55" s="268" t="s">
        <v>427</v>
      </c>
      <c r="L55" s="147" t="s">
        <v>118</v>
      </c>
      <c r="M55" s="539"/>
      <c r="N55" s="72"/>
    </row>
    <row r="56" spans="2:14" ht="13" x14ac:dyDescent="0.3">
      <c r="B56" s="135" t="s">
        <v>95</v>
      </c>
      <c r="C56" s="135" t="s">
        <v>217</v>
      </c>
      <c r="D56" s="135" t="s">
        <v>218</v>
      </c>
      <c r="E56" s="135" t="s">
        <v>219</v>
      </c>
      <c r="F56" s="135" t="s">
        <v>220</v>
      </c>
      <c r="G56" s="135" t="s">
        <v>221</v>
      </c>
      <c r="H56" s="135" t="s">
        <v>222</v>
      </c>
      <c r="I56" s="135" t="s">
        <v>222</v>
      </c>
      <c r="J56" s="135" t="s">
        <v>222</v>
      </c>
      <c r="K56" s="269" t="s">
        <v>428</v>
      </c>
      <c r="L56" s="147" t="s">
        <v>118</v>
      </c>
      <c r="M56" s="539"/>
      <c r="N56" s="72"/>
    </row>
    <row r="57" spans="2:14" ht="13" x14ac:dyDescent="0.3">
      <c r="B57" s="135" t="s">
        <v>95</v>
      </c>
      <c r="C57" s="135" t="s">
        <v>223</v>
      </c>
      <c r="D57" s="135" t="s">
        <v>224</v>
      </c>
      <c r="E57" s="135" t="s">
        <v>225</v>
      </c>
      <c r="F57" s="135" t="s">
        <v>226</v>
      </c>
      <c r="G57" s="135" t="s">
        <v>227</v>
      </c>
      <c r="H57" s="135" t="s">
        <v>228</v>
      </c>
      <c r="I57" s="135" t="s">
        <v>228</v>
      </c>
      <c r="J57" s="135" t="s">
        <v>228</v>
      </c>
      <c r="K57" s="270" t="s">
        <v>429</v>
      </c>
      <c r="L57" s="147" t="s">
        <v>118</v>
      </c>
      <c r="M57" s="539"/>
      <c r="N57" s="72"/>
    </row>
    <row r="58" spans="2:14" ht="13" x14ac:dyDescent="0.3">
      <c r="B58" s="135" t="s">
        <v>95</v>
      </c>
      <c r="C58" s="135" t="s">
        <v>229</v>
      </c>
      <c r="D58" s="135" t="s">
        <v>230</v>
      </c>
      <c r="E58" s="135"/>
      <c r="F58" s="135"/>
      <c r="G58" s="135"/>
      <c r="H58" s="135" t="s">
        <v>231</v>
      </c>
      <c r="I58" s="135" t="s">
        <v>231</v>
      </c>
      <c r="J58" s="135" t="s">
        <v>231</v>
      </c>
      <c r="K58" s="271" t="s">
        <v>430</v>
      </c>
      <c r="L58" s="147" t="s">
        <v>118</v>
      </c>
      <c r="M58" s="539"/>
      <c r="N58" s="72"/>
    </row>
    <row r="59" spans="2:14" ht="13" x14ac:dyDescent="0.3">
      <c r="B59" s="135" t="s">
        <v>232</v>
      </c>
      <c r="C59" s="135" t="s">
        <v>233</v>
      </c>
      <c r="D59" s="135" t="s">
        <v>274</v>
      </c>
      <c r="E59" s="135"/>
      <c r="F59" s="135"/>
      <c r="G59" s="135"/>
      <c r="H59" s="135" t="s">
        <v>275</v>
      </c>
      <c r="I59" s="135"/>
      <c r="J59" s="135"/>
      <c r="K59" s="272" t="s">
        <v>431</v>
      </c>
      <c r="L59" s="147" t="s">
        <v>118</v>
      </c>
      <c r="M59" s="539"/>
      <c r="N59" s="72"/>
    </row>
    <row r="60" spans="2:14" ht="13" x14ac:dyDescent="0.3">
      <c r="B60" s="135" t="s">
        <v>234</v>
      </c>
      <c r="C60" s="135" t="s">
        <v>234</v>
      </c>
      <c r="D60" s="135" t="s">
        <v>235</v>
      </c>
      <c r="E60" s="135"/>
      <c r="F60" s="135"/>
      <c r="G60" s="135"/>
      <c r="H60" s="135" t="s">
        <v>278</v>
      </c>
      <c r="I60" s="135" t="s">
        <v>236</v>
      </c>
      <c r="J60" s="135" t="b">
        <v>0</v>
      </c>
      <c r="K60" s="273" t="s">
        <v>418</v>
      </c>
      <c r="L60" s="147" t="s">
        <v>118</v>
      </c>
      <c r="M60" s="539"/>
      <c r="N60" s="72"/>
    </row>
    <row r="61" spans="2:14" s="30" customFormat="1" ht="13" x14ac:dyDescent="0.3">
      <c r="B61" s="135" t="s">
        <v>377</v>
      </c>
      <c r="C61" s="135" t="s">
        <v>378</v>
      </c>
      <c r="D61" s="135" t="s">
        <v>394</v>
      </c>
      <c r="E61" s="135"/>
      <c r="F61" s="135"/>
      <c r="G61" s="135"/>
      <c r="H61" s="135"/>
      <c r="I61" s="135"/>
      <c r="J61" s="135"/>
      <c r="K61" s="276" t="s">
        <v>412</v>
      </c>
      <c r="L61" s="147" t="s">
        <v>118</v>
      </c>
      <c r="M61" s="539"/>
      <c r="N61" s="72"/>
    </row>
    <row r="62" spans="2:14" ht="13" x14ac:dyDescent="0.3">
      <c r="B62" s="135" t="s">
        <v>380</v>
      </c>
      <c r="C62" s="135"/>
      <c r="D62" s="135"/>
      <c r="E62" s="135"/>
      <c r="F62" s="135"/>
      <c r="G62" s="135"/>
      <c r="H62" s="135" t="s">
        <v>237</v>
      </c>
      <c r="I62" s="135" t="s">
        <v>237</v>
      </c>
      <c r="J62" s="135" t="s">
        <v>237</v>
      </c>
      <c r="K62" s="270" t="s">
        <v>432</v>
      </c>
      <c r="L62" s="147" t="s">
        <v>118</v>
      </c>
      <c r="M62" s="539"/>
      <c r="N62" s="72"/>
    </row>
    <row r="63" spans="2:14" ht="13" x14ac:dyDescent="0.3">
      <c r="B63" s="234" t="s">
        <v>381</v>
      </c>
      <c r="C63" s="234"/>
      <c r="D63" s="234"/>
      <c r="E63" s="234"/>
      <c r="F63" s="234"/>
      <c r="G63" s="234"/>
      <c r="H63" s="234" t="s">
        <v>238</v>
      </c>
      <c r="I63" s="234" t="s">
        <v>238</v>
      </c>
      <c r="J63" s="234" t="s">
        <v>238</v>
      </c>
      <c r="K63" s="277" t="s">
        <v>433</v>
      </c>
      <c r="L63" s="147" t="s">
        <v>118</v>
      </c>
      <c r="M63" s="540"/>
      <c r="N63" s="72"/>
    </row>
    <row r="64" spans="2:14" ht="12.75" customHeight="1" x14ac:dyDescent="0.3">
      <c r="B64" s="135" t="s">
        <v>382</v>
      </c>
      <c r="C64" s="135"/>
      <c r="D64" s="135"/>
      <c r="E64" s="135"/>
      <c r="F64" s="135"/>
      <c r="G64" s="135"/>
      <c r="H64" s="135"/>
      <c r="I64" s="135"/>
      <c r="J64" s="135"/>
      <c r="K64" s="278" t="s">
        <v>422</v>
      </c>
      <c r="L64" s="147" t="s">
        <v>118</v>
      </c>
      <c r="M64" s="538" t="s">
        <v>239</v>
      </c>
      <c r="N64" s="72"/>
    </row>
    <row r="65" spans="2:15" ht="13" x14ac:dyDescent="0.3">
      <c r="B65" s="135" t="s">
        <v>383</v>
      </c>
      <c r="C65" s="135" t="s">
        <v>384</v>
      </c>
      <c r="D65" s="135" t="s">
        <v>385</v>
      </c>
      <c r="E65" s="135"/>
      <c r="F65" s="135"/>
      <c r="G65" s="135"/>
      <c r="H65" s="135"/>
      <c r="I65" s="135"/>
      <c r="J65" s="135"/>
      <c r="K65" s="274" t="s">
        <v>434</v>
      </c>
      <c r="L65" s="147" t="s">
        <v>118</v>
      </c>
      <c r="M65" s="539"/>
      <c r="N65" s="72"/>
    </row>
    <row r="66" spans="2:15" ht="13" x14ac:dyDescent="0.3">
      <c r="B66" s="135" t="s">
        <v>379</v>
      </c>
      <c r="C66" s="135"/>
      <c r="D66" s="135"/>
      <c r="E66" s="135"/>
      <c r="F66" s="135"/>
      <c r="G66" s="135"/>
      <c r="H66" s="135"/>
      <c r="I66" s="135"/>
      <c r="J66" s="135"/>
      <c r="K66" s="279" t="s">
        <v>432</v>
      </c>
      <c r="L66" s="147" t="s">
        <v>118</v>
      </c>
      <c r="M66" s="539"/>
      <c r="N66" s="72"/>
    </row>
    <row r="67" spans="2:15" ht="13" x14ac:dyDescent="0.3">
      <c r="B67" s="234" t="s">
        <v>391</v>
      </c>
      <c r="C67" s="234"/>
      <c r="D67" s="234"/>
      <c r="E67" s="234"/>
      <c r="F67" s="234"/>
      <c r="G67" s="234"/>
      <c r="H67" s="234"/>
      <c r="I67" s="234"/>
      <c r="J67" s="234"/>
      <c r="K67" s="280" t="s">
        <v>426</v>
      </c>
      <c r="L67" s="147" t="s">
        <v>118</v>
      </c>
      <c r="M67" s="540"/>
      <c r="N67" s="72"/>
    </row>
    <row r="68" spans="2:15" ht="13" x14ac:dyDescent="0.3">
      <c r="B68" s="135" t="s">
        <v>392</v>
      </c>
      <c r="C68" s="135"/>
      <c r="D68" s="135"/>
      <c r="E68" s="135"/>
      <c r="F68" s="135"/>
      <c r="G68" s="135"/>
      <c r="H68" s="135"/>
      <c r="I68" s="135"/>
      <c r="J68" s="135"/>
      <c r="K68" s="281" t="s">
        <v>435</v>
      </c>
      <c r="L68" s="147" t="s">
        <v>118</v>
      </c>
      <c r="M68" s="538" t="s">
        <v>240</v>
      </c>
      <c r="N68" s="72"/>
    </row>
    <row r="69" spans="2:15" ht="13" x14ac:dyDescent="0.3">
      <c r="B69" s="135" t="s">
        <v>398</v>
      </c>
      <c r="C69" s="135"/>
      <c r="D69" s="135"/>
      <c r="E69" s="135"/>
      <c r="F69" s="135"/>
      <c r="G69" s="135"/>
      <c r="H69" s="135"/>
      <c r="I69" s="135"/>
      <c r="J69" s="135"/>
      <c r="K69" s="282" t="s">
        <v>426</v>
      </c>
      <c r="L69" s="147" t="s">
        <v>118</v>
      </c>
      <c r="M69" s="539"/>
      <c r="N69" s="72"/>
    </row>
    <row r="70" spans="2:15" ht="13" x14ac:dyDescent="0.3">
      <c r="B70" s="135" t="s">
        <v>393</v>
      </c>
      <c r="C70" s="135"/>
      <c r="D70" s="135"/>
      <c r="E70" s="135"/>
      <c r="F70" s="135"/>
      <c r="G70" s="135"/>
      <c r="H70" s="135"/>
      <c r="I70" s="135"/>
      <c r="J70" s="135"/>
      <c r="K70" s="283" t="s">
        <v>436</v>
      </c>
      <c r="L70" s="147" t="s">
        <v>118</v>
      </c>
      <c r="M70" s="539"/>
      <c r="N70" s="72"/>
    </row>
    <row r="71" spans="2:15" ht="13" x14ac:dyDescent="0.3">
      <c r="B71" s="135" t="s">
        <v>242</v>
      </c>
      <c r="C71" s="135"/>
      <c r="D71" s="135"/>
      <c r="E71" s="135"/>
      <c r="F71" s="135"/>
      <c r="G71" s="135"/>
      <c r="H71" s="135"/>
      <c r="I71" s="135"/>
      <c r="J71" s="135"/>
      <c r="K71" s="284" t="s">
        <v>435</v>
      </c>
      <c r="L71" s="147" t="s">
        <v>118</v>
      </c>
      <c r="M71" s="539"/>
      <c r="N71" s="72"/>
    </row>
    <row r="72" spans="2:15" s="30" customFormat="1" ht="13" x14ac:dyDescent="0.3">
      <c r="B72" s="135" t="s">
        <v>244</v>
      </c>
      <c r="C72" s="135"/>
      <c r="D72" s="135"/>
      <c r="E72" s="135"/>
      <c r="F72" s="135"/>
      <c r="G72" s="135"/>
      <c r="H72" s="135"/>
      <c r="I72" s="135"/>
      <c r="J72" s="135"/>
      <c r="K72" s="266" t="s">
        <v>437</v>
      </c>
      <c r="L72" s="147" t="s">
        <v>118</v>
      </c>
      <c r="M72" s="539"/>
      <c r="N72" s="86"/>
    </row>
    <row r="73" spans="2:15" ht="13" x14ac:dyDescent="0.3">
      <c r="B73" s="135" t="s">
        <v>245</v>
      </c>
      <c r="C73" s="135"/>
      <c r="D73" s="135"/>
      <c r="E73" s="135"/>
      <c r="F73" s="135"/>
      <c r="G73" s="135"/>
      <c r="H73" s="135"/>
      <c r="I73" s="135"/>
      <c r="J73" s="135"/>
      <c r="K73" s="252" t="s">
        <v>428</v>
      </c>
      <c r="L73" s="147" t="s">
        <v>118</v>
      </c>
      <c r="M73" s="539"/>
      <c r="N73" s="72"/>
    </row>
    <row r="74" spans="2:15" ht="13" x14ac:dyDescent="0.3">
      <c r="B74" s="135" t="s">
        <v>246</v>
      </c>
      <c r="C74" s="135"/>
      <c r="D74" s="135"/>
      <c r="E74" s="135"/>
      <c r="F74" s="135"/>
      <c r="G74" s="135"/>
      <c r="H74" s="135"/>
      <c r="I74" s="135"/>
      <c r="J74" s="135"/>
      <c r="K74" s="285" t="s">
        <v>426</v>
      </c>
      <c r="L74" s="147" t="s">
        <v>118</v>
      </c>
      <c r="M74" s="538" t="s">
        <v>241</v>
      </c>
      <c r="N74" s="72"/>
    </row>
    <row r="75" spans="2:15" ht="13" x14ac:dyDescent="0.3">
      <c r="B75" s="135" t="s">
        <v>247</v>
      </c>
      <c r="C75" s="135"/>
      <c r="D75" s="135"/>
      <c r="E75" s="135"/>
      <c r="F75" s="135"/>
      <c r="G75" s="135"/>
      <c r="H75" s="135"/>
      <c r="I75" s="135"/>
      <c r="J75" s="135"/>
      <c r="K75" s="264" t="s">
        <v>417</v>
      </c>
      <c r="L75" s="147" t="s">
        <v>118</v>
      </c>
      <c r="M75" s="539"/>
      <c r="N75" s="72"/>
      <c r="O75" s="153"/>
    </row>
    <row r="76" spans="2:15" ht="13" x14ac:dyDescent="0.3">
      <c r="B76" s="234" t="s">
        <v>248</v>
      </c>
      <c r="C76" s="234" t="s">
        <v>286</v>
      </c>
      <c r="D76" s="234"/>
      <c r="E76" s="234"/>
      <c r="F76" s="234"/>
      <c r="G76" s="234"/>
      <c r="H76" s="234"/>
      <c r="I76" s="234"/>
      <c r="J76" s="234"/>
      <c r="K76" s="286" t="s">
        <v>413</v>
      </c>
      <c r="L76" s="147" t="s">
        <v>118</v>
      </c>
      <c r="M76" s="540"/>
      <c r="N76" s="72"/>
      <c r="O76" s="153"/>
    </row>
    <row r="77" spans="2:15" s="153" customFormat="1" ht="13" x14ac:dyDescent="0.3">
      <c r="B77" s="135" t="s">
        <v>249</v>
      </c>
      <c r="C77" s="135"/>
      <c r="D77" s="135"/>
      <c r="E77" s="135"/>
      <c r="F77" s="135"/>
      <c r="G77" s="135"/>
      <c r="H77" s="135"/>
      <c r="I77" s="135"/>
      <c r="J77" s="135"/>
      <c r="K77" s="287" t="s">
        <v>438</v>
      </c>
      <c r="L77" s="210" t="s">
        <v>118</v>
      </c>
      <c r="M77" s="538" t="s">
        <v>243</v>
      </c>
      <c r="N77" s="72"/>
    </row>
    <row r="78" spans="2:15" s="153" customFormat="1" ht="13" x14ac:dyDescent="0.3">
      <c r="B78" s="135" t="s">
        <v>71</v>
      </c>
      <c r="C78" s="135" t="s">
        <v>250</v>
      </c>
      <c r="D78" s="135" t="s">
        <v>251</v>
      </c>
      <c r="E78" s="135" t="s">
        <v>395</v>
      </c>
      <c r="F78" s="135" t="s">
        <v>396</v>
      </c>
      <c r="G78" s="135"/>
      <c r="H78" s="135"/>
      <c r="I78" s="135"/>
      <c r="J78" s="135"/>
      <c r="K78" s="275" t="s">
        <v>429</v>
      </c>
      <c r="L78" s="147" t="s">
        <v>118</v>
      </c>
      <c r="M78" s="539"/>
      <c r="N78" s="72"/>
    </row>
    <row r="79" spans="2:15" s="153" customFormat="1" ht="13" x14ac:dyDescent="0.3">
      <c r="B79" s="135" t="s">
        <v>397</v>
      </c>
      <c r="C79" s="135"/>
      <c r="D79" s="135"/>
      <c r="E79" s="135"/>
      <c r="F79" s="135"/>
      <c r="G79" s="135"/>
      <c r="H79" s="135"/>
      <c r="I79" s="135"/>
      <c r="J79" s="135"/>
      <c r="K79" s="255" t="s">
        <v>428</v>
      </c>
      <c r="L79" s="147" t="s">
        <v>118</v>
      </c>
      <c r="M79" s="539"/>
      <c r="N79" s="72"/>
    </row>
    <row r="80" spans="2:15" s="153" customFormat="1" ht="13" x14ac:dyDescent="0.3">
      <c r="B80" s="135" t="s">
        <v>252</v>
      </c>
      <c r="C80" s="135"/>
      <c r="D80" s="135"/>
      <c r="E80" s="135"/>
      <c r="F80" s="135"/>
      <c r="G80" s="135"/>
      <c r="H80" s="135"/>
      <c r="I80" s="135"/>
      <c r="J80" s="135"/>
      <c r="K80" s="288" t="s">
        <v>439</v>
      </c>
      <c r="L80" s="147" t="s">
        <v>118</v>
      </c>
      <c r="M80" s="539"/>
      <c r="N80" s="72"/>
    </row>
    <row r="81" spans="1:15" s="153" customFormat="1" ht="13" x14ac:dyDescent="0.3">
      <c r="B81" s="135" t="s">
        <v>253</v>
      </c>
      <c r="C81" s="135"/>
      <c r="D81" s="135"/>
      <c r="E81" s="135"/>
      <c r="F81" s="135"/>
      <c r="G81" s="135"/>
      <c r="H81" s="135"/>
      <c r="I81" s="135"/>
      <c r="J81" s="135"/>
      <c r="K81" s="289" t="s">
        <v>412</v>
      </c>
      <c r="L81" s="147" t="s">
        <v>118</v>
      </c>
      <c r="M81" s="539"/>
      <c r="N81" s="72"/>
    </row>
    <row r="82" spans="1:15" s="153" customFormat="1" ht="13" x14ac:dyDescent="0.3">
      <c r="B82" s="135" t="s">
        <v>507</v>
      </c>
      <c r="C82" s="135"/>
      <c r="D82" s="135"/>
      <c r="E82" s="135"/>
      <c r="F82" s="135"/>
      <c r="G82" s="135"/>
      <c r="H82" s="135"/>
      <c r="I82" s="135"/>
      <c r="J82" s="135"/>
      <c r="K82" s="290" t="s">
        <v>440</v>
      </c>
      <c r="L82" s="147" t="s">
        <v>118</v>
      </c>
      <c r="M82" s="539"/>
      <c r="N82" s="72"/>
    </row>
    <row r="83" spans="1:15" s="153" customFormat="1" ht="13" x14ac:dyDescent="0.3">
      <c r="B83" s="135" t="s">
        <v>514</v>
      </c>
      <c r="C83" s="135"/>
      <c r="D83" s="135"/>
      <c r="E83" s="135"/>
      <c r="F83" s="135"/>
      <c r="G83" s="135"/>
      <c r="H83" s="135"/>
      <c r="I83" s="135"/>
      <c r="J83" s="135"/>
      <c r="K83" s="291" t="s">
        <v>441</v>
      </c>
      <c r="L83" s="147" t="s">
        <v>118</v>
      </c>
      <c r="M83" s="539"/>
      <c r="N83" s="72"/>
    </row>
    <row r="84" spans="1:15" s="153" customFormat="1" ht="13" x14ac:dyDescent="0.3">
      <c r="B84" s="135" t="s">
        <v>513</v>
      </c>
      <c r="C84" s="135"/>
      <c r="D84" s="135"/>
      <c r="E84" s="135"/>
      <c r="F84" s="135"/>
      <c r="G84" s="135"/>
      <c r="H84" s="135"/>
      <c r="I84" s="135"/>
      <c r="J84" s="135"/>
      <c r="K84" s="292" t="s">
        <v>442</v>
      </c>
      <c r="L84" s="147" t="s">
        <v>118</v>
      </c>
      <c r="M84" s="539"/>
      <c r="N84" s="72"/>
    </row>
    <row r="85" spans="1:15" s="153" customFormat="1" ht="13" x14ac:dyDescent="0.3">
      <c r="B85" s="135" t="s">
        <v>512</v>
      </c>
      <c r="C85" s="135"/>
      <c r="D85" s="135"/>
      <c r="E85" s="135"/>
      <c r="F85" s="135"/>
      <c r="G85" s="135"/>
      <c r="H85" s="135"/>
      <c r="I85" s="135"/>
      <c r="J85" s="135"/>
      <c r="K85" s="236" t="s">
        <v>435</v>
      </c>
      <c r="L85" s="147" t="s">
        <v>118</v>
      </c>
      <c r="M85" s="539"/>
      <c r="N85" s="72"/>
    </row>
    <row r="86" spans="1:15" s="153" customFormat="1" ht="13" x14ac:dyDescent="0.3">
      <c r="B86" s="135" t="s">
        <v>510</v>
      </c>
      <c r="C86" s="135"/>
      <c r="D86" s="135"/>
      <c r="E86" s="135"/>
      <c r="F86" s="135"/>
      <c r="G86" s="135"/>
      <c r="H86" s="135"/>
      <c r="I86" s="135"/>
      <c r="J86" s="135"/>
      <c r="K86" s="237" t="s">
        <v>443</v>
      </c>
      <c r="L86" s="147" t="s">
        <v>118</v>
      </c>
      <c r="M86" s="539"/>
      <c r="N86" s="72"/>
    </row>
    <row r="87" spans="1:15" ht="13" x14ac:dyDescent="0.3">
      <c r="A87" s="153"/>
      <c r="B87" s="135" t="s">
        <v>508</v>
      </c>
      <c r="C87" s="135"/>
      <c r="D87" s="135"/>
      <c r="E87" s="135"/>
      <c r="F87" s="135"/>
      <c r="G87" s="135"/>
      <c r="H87" s="135"/>
      <c r="I87" s="135"/>
      <c r="J87" s="135"/>
      <c r="K87" s="255" t="s">
        <v>444</v>
      </c>
      <c r="L87" s="147" t="s">
        <v>118</v>
      </c>
      <c r="M87" s="539"/>
      <c r="N87" s="72"/>
      <c r="O87" s="153"/>
    </row>
    <row r="88" spans="1:15" ht="13" x14ac:dyDescent="0.3">
      <c r="A88" s="153"/>
      <c r="B88" s="135" t="s">
        <v>459</v>
      </c>
      <c r="C88" s="135"/>
      <c r="D88" s="135"/>
      <c r="E88" s="135"/>
      <c r="F88" s="135"/>
      <c r="G88" s="135"/>
      <c r="H88" s="135"/>
      <c r="I88" s="135"/>
      <c r="J88" s="135"/>
      <c r="K88" s="293" t="s">
        <v>426</v>
      </c>
      <c r="L88" s="147" t="s">
        <v>118</v>
      </c>
      <c r="M88" s="539"/>
      <c r="N88" s="72"/>
      <c r="O88" s="153"/>
    </row>
    <row r="89" spans="1:15" ht="13" x14ac:dyDescent="0.3">
      <c r="A89" s="153"/>
      <c r="B89" s="135" t="s">
        <v>509</v>
      </c>
      <c r="C89" s="135"/>
      <c r="D89" s="135"/>
      <c r="E89" s="135"/>
      <c r="F89" s="135"/>
      <c r="G89" s="135"/>
      <c r="H89" s="135"/>
      <c r="I89" s="135"/>
      <c r="J89" s="135"/>
      <c r="K89" s="294" t="s">
        <v>421</v>
      </c>
      <c r="L89" s="147" t="s">
        <v>118</v>
      </c>
      <c r="M89" s="539"/>
      <c r="N89" s="72"/>
      <c r="O89" s="153"/>
    </row>
    <row r="90" spans="1:15" ht="13" x14ac:dyDescent="0.3">
      <c r="A90" s="153"/>
      <c r="B90" s="135" t="s">
        <v>511</v>
      </c>
      <c r="C90" s="135"/>
      <c r="D90" s="135"/>
      <c r="E90" s="135"/>
      <c r="F90" s="135"/>
      <c r="G90" s="135"/>
      <c r="H90" s="135"/>
      <c r="I90" s="135"/>
      <c r="J90" s="135"/>
      <c r="K90" s="258" t="s">
        <v>445</v>
      </c>
      <c r="L90" s="147" t="s">
        <v>118</v>
      </c>
      <c r="M90" s="539"/>
      <c r="N90" s="72"/>
      <c r="O90" s="153"/>
    </row>
    <row r="91" spans="1:15" ht="13" x14ac:dyDescent="0.3">
      <c r="A91" s="153"/>
      <c r="B91" s="135" t="s">
        <v>515</v>
      </c>
      <c r="C91" s="135"/>
      <c r="D91" s="135"/>
      <c r="E91" s="135"/>
      <c r="F91" s="135"/>
      <c r="G91" s="135"/>
      <c r="H91" s="135"/>
      <c r="I91" s="135"/>
      <c r="J91" s="135"/>
      <c r="K91" s="286" t="s">
        <v>417</v>
      </c>
      <c r="L91" s="147" t="s">
        <v>118</v>
      </c>
      <c r="M91" s="539"/>
      <c r="N91" s="72"/>
      <c r="O91" s="153"/>
    </row>
    <row r="92" spans="1:15" ht="13" x14ac:dyDescent="0.3">
      <c r="A92" s="153"/>
      <c r="B92" s="135" t="s">
        <v>516</v>
      </c>
      <c r="C92" s="135"/>
      <c r="D92" s="135"/>
      <c r="E92" s="135"/>
      <c r="F92" s="135"/>
      <c r="G92" s="135"/>
      <c r="H92" s="135"/>
      <c r="I92" s="135"/>
      <c r="J92" s="135"/>
      <c r="K92" s="298" t="s">
        <v>446</v>
      </c>
      <c r="L92" s="147" t="s">
        <v>118</v>
      </c>
      <c r="M92" s="539"/>
      <c r="N92" s="72"/>
      <c r="O92" s="153"/>
    </row>
    <row r="93" spans="1:15" ht="13" x14ac:dyDescent="0.3">
      <c r="A93" s="153"/>
      <c r="B93" s="135" t="s">
        <v>517</v>
      </c>
      <c r="C93" s="135"/>
      <c r="D93" s="135"/>
      <c r="E93" s="135"/>
      <c r="F93" s="135"/>
      <c r="G93" s="135"/>
      <c r="H93" s="135"/>
      <c r="I93" s="135"/>
      <c r="J93" s="135"/>
      <c r="K93" s="296" t="s">
        <v>447</v>
      </c>
      <c r="L93" s="147" t="s">
        <v>118</v>
      </c>
      <c r="M93" s="539"/>
      <c r="N93" s="72"/>
      <c r="O93" s="153"/>
    </row>
    <row r="94" spans="1:15" ht="13" x14ac:dyDescent="0.3">
      <c r="A94" s="153"/>
      <c r="B94" s="135" t="s">
        <v>234</v>
      </c>
      <c r="C94" s="135"/>
      <c r="D94" s="135"/>
      <c r="E94" s="135"/>
      <c r="F94" s="135"/>
      <c r="G94" s="135"/>
      <c r="H94" s="135"/>
      <c r="I94" s="135"/>
      <c r="J94" s="135"/>
      <c r="K94" s="301" t="s">
        <v>432</v>
      </c>
      <c r="L94" s="147" t="s">
        <v>118</v>
      </c>
      <c r="M94" s="539"/>
      <c r="N94" s="72"/>
      <c r="O94" s="153"/>
    </row>
    <row r="95" spans="1:15" ht="13" x14ac:dyDescent="0.3">
      <c r="A95" s="153"/>
      <c r="B95" s="135" t="s">
        <v>504</v>
      </c>
      <c r="C95" s="135"/>
      <c r="D95" s="135"/>
      <c r="E95" s="135"/>
      <c r="F95" s="135"/>
      <c r="G95" s="135"/>
      <c r="H95" s="135"/>
      <c r="I95" s="135"/>
      <c r="J95" s="135"/>
      <c r="K95" s="297" t="s">
        <v>422</v>
      </c>
      <c r="L95" s="147" t="s">
        <v>118</v>
      </c>
      <c r="M95" s="539"/>
      <c r="N95" s="72"/>
      <c r="O95" s="153"/>
    </row>
    <row r="96" spans="1:15" ht="13" x14ac:dyDescent="0.3">
      <c r="A96" s="153"/>
      <c r="B96" s="135" t="s">
        <v>476</v>
      </c>
      <c r="C96" s="135"/>
      <c r="D96" s="135"/>
      <c r="E96" s="135"/>
      <c r="F96" s="135"/>
      <c r="G96" s="135"/>
      <c r="H96" s="135"/>
      <c r="I96" s="135"/>
      <c r="J96" s="135"/>
      <c r="K96" s="293" t="s">
        <v>418</v>
      </c>
      <c r="L96" s="147" t="s">
        <v>118</v>
      </c>
      <c r="M96" s="539"/>
      <c r="N96" s="72"/>
      <c r="O96" s="153"/>
    </row>
    <row r="97" spans="2:15" ht="13" x14ac:dyDescent="0.3">
      <c r="B97" s="234" t="s">
        <v>465</v>
      </c>
      <c r="C97" s="234"/>
      <c r="D97" s="234"/>
      <c r="E97" s="234"/>
      <c r="F97" s="234"/>
      <c r="G97" s="234"/>
      <c r="H97" s="234"/>
      <c r="I97" s="234"/>
      <c r="J97" s="234"/>
      <c r="K97" s="298" t="s">
        <v>448</v>
      </c>
      <c r="L97" s="147" t="s">
        <v>118</v>
      </c>
      <c r="M97" s="540"/>
      <c r="N97" s="72"/>
      <c r="O97" s="153"/>
    </row>
    <row r="98" spans="2:15" ht="13" x14ac:dyDescent="0.3">
      <c r="B98" s="135" t="s">
        <v>462</v>
      </c>
      <c r="C98" s="135"/>
      <c r="D98" s="135"/>
      <c r="E98" s="135"/>
      <c r="F98" s="135"/>
      <c r="G98" s="135"/>
      <c r="H98" s="135"/>
      <c r="I98" s="135"/>
      <c r="J98" s="135"/>
      <c r="K98" s="287" t="s">
        <v>449</v>
      </c>
      <c r="L98" s="210" t="s">
        <v>118</v>
      </c>
      <c r="M98" s="538" t="s">
        <v>254</v>
      </c>
      <c r="N98" s="72"/>
      <c r="O98" s="153"/>
    </row>
    <row r="99" spans="2:15" ht="13" x14ac:dyDescent="0.3">
      <c r="B99" s="135" t="s">
        <v>255</v>
      </c>
      <c r="C99" s="135"/>
      <c r="D99" s="135"/>
      <c r="E99" s="135"/>
      <c r="F99" s="135"/>
      <c r="G99" s="135"/>
      <c r="H99" s="135"/>
      <c r="I99" s="135"/>
      <c r="J99" s="135"/>
      <c r="K99" s="291" t="s">
        <v>428</v>
      </c>
      <c r="L99" s="147" t="s">
        <v>118</v>
      </c>
      <c r="M99" s="539"/>
      <c r="N99" s="72"/>
      <c r="O99" s="153"/>
    </row>
    <row r="100" spans="2:15" ht="13" x14ac:dyDescent="0.3">
      <c r="B100" s="135" t="s">
        <v>256</v>
      </c>
      <c r="C100" s="135"/>
      <c r="D100" s="135"/>
      <c r="E100" s="135"/>
      <c r="F100" s="135"/>
      <c r="G100" s="135"/>
      <c r="H100" s="135"/>
      <c r="I100" s="135"/>
      <c r="J100" s="135"/>
      <c r="K100" s="292" t="s">
        <v>433</v>
      </c>
      <c r="L100" s="147" t="s">
        <v>118</v>
      </c>
      <c r="M100" s="539"/>
      <c r="N100" s="72"/>
      <c r="O100" s="153"/>
    </row>
    <row r="101" spans="2:15" ht="13" x14ac:dyDescent="0.3">
      <c r="B101" s="135" t="s">
        <v>257</v>
      </c>
      <c r="C101" s="135"/>
      <c r="D101" s="135"/>
      <c r="E101" s="135"/>
      <c r="F101" s="135"/>
      <c r="G101" s="135"/>
      <c r="H101" s="135"/>
      <c r="I101" s="135"/>
      <c r="J101" s="135"/>
      <c r="K101" s="236" t="s">
        <v>413</v>
      </c>
      <c r="L101" s="147" t="s">
        <v>118</v>
      </c>
      <c r="M101" s="539"/>
      <c r="N101" s="72"/>
    </row>
    <row r="102" spans="2:15" ht="13" x14ac:dyDescent="0.3">
      <c r="B102" s="135" t="s">
        <v>258</v>
      </c>
      <c r="C102" s="135"/>
      <c r="D102" s="135"/>
      <c r="E102" s="135"/>
      <c r="F102" s="135"/>
      <c r="G102" s="135"/>
      <c r="H102" s="135"/>
      <c r="I102" s="135"/>
      <c r="J102" s="135"/>
      <c r="K102" s="237" t="s">
        <v>414</v>
      </c>
      <c r="L102" s="147" t="s">
        <v>118</v>
      </c>
      <c r="M102" s="539"/>
      <c r="N102" s="72"/>
    </row>
    <row r="103" spans="2:15" ht="13" x14ac:dyDescent="0.3">
      <c r="B103" s="135" t="s">
        <v>259</v>
      </c>
      <c r="C103" s="135"/>
      <c r="D103" s="135"/>
      <c r="E103" s="135"/>
      <c r="F103" s="135"/>
      <c r="G103" s="135"/>
      <c r="H103" s="135"/>
      <c r="I103" s="135"/>
      <c r="J103" s="135"/>
      <c r="K103" s="255" t="s">
        <v>422</v>
      </c>
      <c r="L103" s="147" t="s">
        <v>118</v>
      </c>
      <c r="M103" s="539"/>
      <c r="N103" s="72"/>
    </row>
    <row r="104" spans="2:15" ht="13" x14ac:dyDescent="0.3">
      <c r="B104" s="135" t="s">
        <v>260</v>
      </c>
      <c r="C104" s="135"/>
      <c r="D104" s="135"/>
      <c r="E104" s="135"/>
      <c r="F104" s="135"/>
      <c r="G104" s="135"/>
      <c r="H104" s="135"/>
      <c r="I104" s="135"/>
      <c r="J104" s="135"/>
      <c r="K104" s="293" t="s">
        <v>450</v>
      </c>
      <c r="L104" s="147" t="s">
        <v>118</v>
      </c>
      <c r="M104" s="539"/>
      <c r="N104" s="93"/>
    </row>
    <row r="105" spans="2:15" ht="13" x14ac:dyDescent="0.3">
      <c r="B105" s="135" t="s">
        <v>261</v>
      </c>
      <c r="C105" s="135"/>
      <c r="D105" s="135"/>
      <c r="E105" s="135"/>
      <c r="F105" s="135"/>
      <c r="G105" s="135"/>
      <c r="H105" s="135"/>
      <c r="I105" s="135"/>
      <c r="J105" s="135"/>
      <c r="K105" s="294" t="s">
        <v>412</v>
      </c>
      <c r="L105" s="147" t="s">
        <v>118</v>
      </c>
      <c r="M105" s="539"/>
      <c r="N105" s="86"/>
    </row>
    <row r="106" spans="2:15" ht="13" x14ac:dyDescent="0.3">
      <c r="B106" s="135" t="s">
        <v>262</v>
      </c>
      <c r="C106" s="135"/>
      <c r="D106" s="135"/>
      <c r="E106" s="135"/>
      <c r="F106" s="135"/>
      <c r="G106" s="135"/>
      <c r="H106" s="135"/>
      <c r="I106" s="135"/>
      <c r="J106" s="135"/>
      <c r="K106" s="258" t="s">
        <v>424</v>
      </c>
      <c r="L106" s="147" t="s">
        <v>118</v>
      </c>
      <c r="M106" s="539"/>
      <c r="N106" s="72"/>
    </row>
    <row r="107" spans="2:15" ht="13" x14ac:dyDescent="0.3">
      <c r="B107" s="135" t="s">
        <v>263</v>
      </c>
      <c r="C107" s="135"/>
      <c r="D107" s="135"/>
      <c r="E107" s="135"/>
      <c r="F107" s="135"/>
      <c r="G107" s="135"/>
      <c r="H107" s="135"/>
      <c r="I107" s="135"/>
      <c r="J107" s="135"/>
      <c r="K107" s="295" t="s">
        <v>451</v>
      </c>
      <c r="L107" s="147" t="s">
        <v>118</v>
      </c>
      <c r="M107" s="539"/>
      <c r="N107" s="72"/>
    </row>
    <row r="108" spans="2:15" ht="13" x14ac:dyDescent="0.3">
      <c r="B108" s="135" t="s">
        <v>264</v>
      </c>
      <c r="C108" s="135"/>
      <c r="D108" s="135"/>
      <c r="E108" s="135"/>
      <c r="F108" s="135"/>
      <c r="G108" s="135"/>
      <c r="H108" s="135"/>
      <c r="I108" s="135"/>
      <c r="J108" s="135"/>
      <c r="K108" s="252" t="s">
        <v>421</v>
      </c>
      <c r="L108" s="147" t="s">
        <v>118</v>
      </c>
      <c r="M108" s="539"/>
      <c r="N108" s="72"/>
    </row>
    <row r="109" spans="2:15" ht="13" x14ac:dyDescent="0.3">
      <c r="B109" s="135" t="s">
        <v>265</v>
      </c>
      <c r="C109" s="135"/>
      <c r="D109" s="135"/>
      <c r="E109" s="135"/>
      <c r="F109" s="135"/>
      <c r="G109" s="135"/>
      <c r="H109" s="135"/>
      <c r="I109" s="135"/>
      <c r="J109" s="135"/>
      <c r="K109" s="296" t="s">
        <v>433</v>
      </c>
      <c r="L109" s="147" t="s">
        <v>118</v>
      </c>
      <c r="M109" s="539"/>
      <c r="N109" s="72"/>
    </row>
    <row r="110" spans="2:15" ht="13" x14ac:dyDescent="0.3">
      <c r="B110" s="135" t="s">
        <v>266</v>
      </c>
      <c r="C110" s="135"/>
      <c r="D110" s="135"/>
      <c r="E110" s="135"/>
      <c r="F110" s="135"/>
      <c r="G110" s="135"/>
      <c r="H110" s="135"/>
      <c r="I110" s="135"/>
      <c r="J110" s="135"/>
      <c r="K110" s="264" t="s">
        <v>417</v>
      </c>
      <c r="L110" s="147" t="s">
        <v>118</v>
      </c>
      <c r="M110" s="539"/>
      <c r="N110" s="72"/>
    </row>
    <row r="111" spans="2:15" ht="13" x14ac:dyDescent="0.3">
      <c r="B111" s="234" t="s">
        <v>267</v>
      </c>
      <c r="C111" s="234"/>
      <c r="D111" s="234"/>
      <c r="E111" s="234"/>
      <c r="F111" s="234"/>
      <c r="G111" s="234"/>
      <c r="H111" s="234"/>
      <c r="I111" s="234"/>
      <c r="J111" s="234"/>
      <c r="K111" s="297" t="s">
        <v>447</v>
      </c>
      <c r="L111" s="147" t="s">
        <v>118</v>
      </c>
      <c r="M111" s="540"/>
      <c r="N111" s="72"/>
    </row>
    <row r="112" spans="2:15" ht="13" x14ac:dyDescent="0.3">
      <c r="B112" s="135" t="s">
        <v>268</v>
      </c>
      <c r="C112" s="135" t="s">
        <v>269</v>
      </c>
      <c r="D112" s="135"/>
      <c r="E112" s="135"/>
      <c r="F112" s="135"/>
      <c r="G112" s="135"/>
      <c r="H112" s="135"/>
      <c r="I112" s="135"/>
      <c r="J112" s="135"/>
      <c r="K112" s="293" t="s">
        <v>450</v>
      </c>
      <c r="L112" s="147" t="s">
        <v>118</v>
      </c>
      <c r="M112" s="541" t="s">
        <v>234</v>
      </c>
      <c r="N112" s="93"/>
    </row>
    <row r="113" spans="1:14" ht="13" x14ac:dyDescent="0.3">
      <c r="B113" s="234" t="s">
        <v>270</v>
      </c>
      <c r="C113" s="234"/>
      <c r="D113" s="234"/>
      <c r="E113" s="234"/>
      <c r="F113" s="234"/>
      <c r="G113" s="234"/>
      <c r="H113" s="234"/>
      <c r="I113" s="234"/>
      <c r="J113" s="234"/>
      <c r="K113" s="298" t="s">
        <v>452</v>
      </c>
      <c r="L113" s="147" t="s">
        <v>118</v>
      </c>
      <c r="M113" s="542"/>
      <c r="N113" s="72"/>
    </row>
    <row r="114" spans="1:14" s="30" customFormat="1" ht="13" x14ac:dyDescent="0.3">
      <c r="A114" s="25"/>
      <c r="B114" s="135" t="s">
        <v>279</v>
      </c>
      <c r="C114" s="135"/>
      <c r="D114" s="135"/>
      <c r="E114" s="135"/>
      <c r="F114" s="135"/>
      <c r="G114" s="135"/>
      <c r="H114" s="135"/>
      <c r="I114" s="135"/>
      <c r="J114" s="135"/>
      <c r="K114" s="344" t="s">
        <v>447</v>
      </c>
      <c r="L114" s="345" t="s">
        <v>118</v>
      </c>
      <c r="M114" s="538" t="s">
        <v>283</v>
      </c>
      <c r="N114" s="72"/>
    </row>
    <row r="115" spans="1:14" s="30" customFormat="1" ht="13" x14ac:dyDescent="0.3">
      <c r="A115" s="25"/>
      <c r="B115" s="135" t="s">
        <v>280</v>
      </c>
      <c r="C115" s="135"/>
      <c r="D115" s="135"/>
      <c r="E115" s="135"/>
      <c r="F115" s="135"/>
      <c r="G115" s="135"/>
      <c r="H115" s="135"/>
      <c r="I115" s="135"/>
      <c r="J115" s="135"/>
      <c r="K115" s="346" t="s">
        <v>450</v>
      </c>
      <c r="L115" s="345" t="s">
        <v>118</v>
      </c>
      <c r="M115" s="539"/>
      <c r="N115" s="93"/>
    </row>
    <row r="116" spans="1:14" s="30" customFormat="1" ht="13" x14ac:dyDescent="0.3">
      <c r="A116" s="25"/>
      <c r="B116" s="135" t="s">
        <v>281</v>
      </c>
      <c r="C116" s="135"/>
      <c r="D116" s="135"/>
      <c r="E116" s="135"/>
      <c r="F116" s="135"/>
      <c r="G116" s="135"/>
      <c r="H116" s="135"/>
      <c r="I116" s="135"/>
      <c r="J116" s="135"/>
      <c r="K116" s="347" t="s">
        <v>417</v>
      </c>
      <c r="L116" s="345" t="s">
        <v>118</v>
      </c>
      <c r="M116" s="539"/>
      <c r="N116" s="72"/>
    </row>
    <row r="117" spans="1:14" s="30" customFormat="1" ht="13" x14ac:dyDescent="0.3">
      <c r="A117" s="25"/>
      <c r="B117" s="234" t="s">
        <v>282</v>
      </c>
      <c r="C117" s="234"/>
      <c r="D117" s="234"/>
      <c r="E117" s="234"/>
      <c r="F117" s="234"/>
      <c r="G117" s="234"/>
      <c r="H117" s="234"/>
      <c r="I117" s="234"/>
      <c r="J117" s="234"/>
      <c r="K117" s="348" t="s">
        <v>446</v>
      </c>
      <c r="L117" s="349" t="s">
        <v>118</v>
      </c>
      <c r="M117" s="540"/>
      <c r="N117" s="72"/>
    </row>
    <row r="118" spans="1:14" s="153" customFormat="1" ht="13" x14ac:dyDescent="0.3">
      <c r="B118" s="135" t="s">
        <v>559</v>
      </c>
      <c r="C118" s="135"/>
      <c r="D118" s="135"/>
      <c r="E118" s="135"/>
      <c r="F118" s="135"/>
      <c r="G118" s="135"/>
      <c r="H118" s="135"/>
      <c r="I118" s="135"/>
      <c r="J118" s="135"/>
      <c r="K118" s="329" t="s">
        <v>431</v>
      </c>
      <c r="L118" s="147" t="s">
        <v>118</v>
      </c>
      <c r="M118" s="343"/>
      <c r="N118" s="72"/>
    </row>
    <row r="119" spans="1:14" s="153" customFormat="1" ht="13" x14ac:dyDescent="0.3">
      <c r="B119" s="135" t="s">
        <v>563</v>
      </c>
      <c r="C119" s="135"/>
      <c r="D119" s="135"/>
      <c r="E119" s="135"/>
      <c r="F119" s="135"/>
      <c r="G119" s="135"/>
      <c r="H119" s="135"/>
      <c r="I119" s="135"/>
      <c r="J119" s="135"/>
      <c r="K119" s="335" t="s">
        <v>760</v>
      </c>
      <c r="L119" s="147" t="s">
        <v>118</v>
      </c>
      <c r="M119" s="343"/>
      <c r="N119" s="93"/>
    </row>
    <row r="120" spans="1:14" s="153" customFormat="1" ht="13" x14ac:dyDescent="0.3">
      <c r="B120" s="135" t="s">
        <v>750</v>
      </c>
      <c r="C120" s="135"/>
      <c r="D120" s="135"/>
      <c r="E120" s="135"/>
      <c r="F120" s="135"/>
      <c r="G120" s="135"/>
      <c r="H120" s="135"/>
      <c r="I120" s="135"/>
      <c r="J120" s="135"/>
      <c r="K120" s="331" t="s">
        <v>430</v>
      </c>
      <c r="L120" s="147" t="s">
        <v>118</v>
      </c>
      <c r="M120" s="343"/>
      <c r="N120" s="72"/>
    </row>
    <row r="121" spans="1:14" s="153" customFormat="1" ht="13" x14ac:dyDescent="0.3">
      <c r="B121" s="135" t="s">
        <v>751</v>
      </c>
      <c r="C121" s="135"/>
      <c r="D121" s="135"/>
      <c r="E121" s="135"/>
      <c r="F121" s="135"/>
      <c r="G121" s="135"/>
      <c r="H121" s="135"/>
      <c r="I121" s="135"/>
      <c r="J121" s="135"/>
      <c r="K121" s="332" t="s">
        <v>759</v>
      </c>
      <c r="L121" s="147" t="s">
        <v>118</v>
      </c>
      <c r="M121" s="343"/>
      <c r="N121" s="72"/>
    </row>
    <row r="122" spans="1:14" ht="13" x14ac:dyDescent="0.3">
      <c r="A122" s="30"/>
      <c r="B122" s="135" t="s">
        <v>752</v>
      </c>
      <c r="C122" s="135"/>
      <c r="D122" s="135"/>
      <c r="E122" s="135"/>
      <c r="F122" s="135"/>
      <c r="G122" s="135"/>
      <c r="H122" s="135"/>
      <c r="I122" s="135"/>
      <c r="J122" s="135"/>
      <c r="K122" s="333" t="s">
        <v>443</v>
      </c>
      <c r="L122" s="147" t="s">
        <v>118</v>
      </c>
    </row>
    <row r="123" spans="1:14" ht="13" x14ac:dyDescent="0.3">
      <c r="B123" s="135" t="s">
        <v>753</v>
      </c>
      <c r="C123" s="135"/>
      <c r="D123" s="135"/>
      <c r="E123" s="135"/>
      <c r="F123" s="135"/>
      <c r="G123" s="135"/>
      <c r="H123" s="135"/>
      <c r="I123" s="135"/>
      <c r="J123" s="135"/>
      <c r="K123" s="334" t="s">
        <v>448</v>
      </c>
      <c r="L123" s="147" t="s">
        <v>118</v>
      </c>
    </row>
    <row r="124" spans="1:14" ht="13" x14ac:dyDescent="0.3">
      <c r="B124" s="135" t="s">
        <v>754</v>
      </c>
      <c r="C124" s="135"/>
      <c r="D124" s="135"/>
      <c r="E124" s="135"/>
      <c r="F124" s="135"/>
      <c r="G124" s="135"/>
      <c r="H124" s="135"/>
      <c r="I124" s="135"/>
      <c r="J124" s="135"/>
      <c r="K124" s="340" t="s">
        <v>760</v>
      </c>
      <c r="L124" s="147" t="s">
        <v>118</v>
      </c>
    </row>
    <row r="125" spans="1:14" ht="13" x14ac:dyDescent="0.3">
      <c r="B125" s="135" t="s">
        <v>566</v>
      </c>
      <c r="C125" s="135"/>
      <c r="D125" s="135"/>
      <c r="E125" s="135"/>
      <c r="F125" s="135"/>
      <c r="G125" s="135"/>
      <c r="H125" s="135"/>
      <c r="I125" s="135"/>
      <c r="J125" s="135"/>
      <c r="K125" s="336" t="s">
        <v>419</v>
      </c>
      <c r="L125" s="147" t="s">
        <v>118</v>
      </c>
    </row>
    <row r="126" spans="1:14" ht="13" x14ac:dyDescent="0.3">
      <c r="B126" s="135" t="s">
        <v>767</v>
      </c>
      <c r="C126" s="135"/>
      <c r="D126" s="135"/>
      <c r="E126" s="135"/>
      <c r="F126" s="135"/>
      <c r="G126" s="135"/>
      <c r="H126" s="135"/>
      <c r="I126" s="135"/>
      <c r="J126" s="135"/>
      <c r="K126" s="330" t="s">
        <v>758</v>
      </c>
      <c r="L126" s="147" t="s">
        <v>118</v>
      </c>
    </row>
    <row r="127" spans="1:14" s="153" customFormat="1" ht="13" x14ac:dyDescent="0.3">
      <c r="B127" s="135" t="s">
        <v>766</v>
      </c>
      <c r="C127" s="135"/>
      <c r="D127" s="135"/>
      <c r="E127" s="135"/>
      <c r="F127" s="135"/>
      <c r="G127" s="135"/>
      <c r="H127" s="135"/>
      <c r="I127" s="135"/>
      <c r="J127" s="135"/>
      <c r="K127" s="341"/>
      <c r="L127" s="147" t="s">
        <v>118</v>
      </c>
    </row>
    <row r="128" spans="1:14" ht="13" x14ac:dyDescent="0.3">
      <c r="B128" s="135" t="s">
        <v>755</v>
      </c>
      <c r="C128" s="135"/>
      <c r="D128" s="135"/>
      <c r="E128" s="135"/>
      <c r="F128" s="135"/>
      <c r="G128" s="135"/>
      <c r="H128" s="135"/>
      <c r="I128" s="135"/>
      <c r="J128" s="135"/>
      <c r="K128" s="339" t="s">
        <v>439</v>
      </c>
      <c r="L128" s="147" t="s">
        <v>118</v>
      </c>
    </row>
    <row r="129" spans="1:13" ht="13" x14ac:dyDescent="0.3">
      <c r="B129" s="135" t="s">
        <v>756</v>
      </c>
      <c r="C129" s="135"/>
      <c r="D129" s="135"/>
      <c r="E129" s="135"/>
      <c r="F129" s="135"/>
      <c r="G129" s="135"/>
      <c r="H129" s="135"/>
      <c r="I129" s="135"/>
      <c r="J129" s="135"/>
      <c r="K129" s="338" t="s">
        <v>424</v>
      </c>
      <c r="L129" s="147" t="s">
        <v>118</v>
      </c>
    </row>
    <row r="130" spans="1:13" ht="13" x14ac:dyDescent="0.3">
      <c r="B130" s="135" t="s">
        <v>757</v>
      </c>
      <c r="C130" s="135"/>
      <c r="D130" s="135"/>
      <c r="E130" s="135"/>
      <c r="F130" s="135"/>
      <c r="G130" s="135"/>
      <c r="H130" s="135"/>
      <c r="I130" s="135"/>
      <c r="J130" s="135"/>
      <c r="K130" s="337" t="s">
        <v>418</v>
      </c>
      <c r="L130" s="147" t="s">
        <v>118</v>
      </c>
    </row>
    <row r="131" spans="1:13" ht="13" x14ac:dyDescent="0.3">
      <c r="B131" s="342" t="s">
        <v>761</v>
      </c>
      <c r="C131" s="135"/>
      <c r="D131" s="135"/>
      <c r="E131" s="135"/>
      <c r="F131" s="135"/>
      <c r="G131" s="135"/>
      <c r="H131" s="135"/>
      <c r="I131" s="135"/>
      <c r="J131" s="135"/>
      <c r="K131" s="329" t="s">
        <v>431</v>
      </c>
      <c r="L131" s="147" t="s">
        <v>118</v>
      </c>
    </row>
    <row r="132" spans="1:13" ht="13" x14ac:dyDescent="0.3">
      <c r="B132" s="342" t="s">
        <v>762</v>
      </c>
      <c r="C132" s="135"/>
      <c r="D132" s="135"/>
      <c r="E132" s="135"/>
      <c r="F132" s="135"/>
      <c r="G132" s="135"/>
      <c r="H132" s="135"/>
      <c r="I132" s="135"/>
      <c r="J132" s="135"/>
      <c r="K132" s="332" t="s">
        <v>759</v>
      </c>
      <c r="L132" s="147" t="s">
        <v>118</v>
      </c>
    </row>
    <row r="133" spans="1:13" ht="13" x14ac:dyDescent="0.3">
      <c r="B133" s="342" t="s">
        <v>763</v>
      </c>
      <c r="C133" s="135"/>
      <c r="D133" s="135"/>
      <c r="E133" s="135"/>
      <c r="F133" s="135"/>
      <c r="G133" s="135"/>
      <c r="H133" s="135"/>
      <c r="I133" s="135"/>
      <c r="J133" s="135"/>
      <c r="K133" s="339" t="s">
        <v>439</v>
      </c>
      <c r="L133" s="147" t="s">
        <v>118</v>
      </c>
    </row>
    <row r="134" spans="1:13" ht="13" x14ac:dyDescent="0.3">
      <c r="B134" s="342" t="s">
        <v>764</v>
      </c>
      <c r="C134" s="135"/>
      <c r="D134" s="135"/>
      <c r="E134" s="135"/>
      <c r="F134" s="135"/>
      <c r="G134" s="135"/>
      <c r="H134" s="135"/>
      <c r="I134" s="135"/>
      <c r="J134" s="135"/>
      <c r="K134" s="340" t="s">
        <v>789</v>
      </c>
      <c r="L134" s="147" t="s">
        <v>118</v>
      </c>
    </row>
    <row r="135" spans="1:13" ht="13" x14ac:dyDescent="0.3">
      <c r="B135" s="342" t="s">
        <v>765</v>
      </c>
      <c r="C135" s="135"/>
      <c r="D135" s="135"/>
      <c r="E135" s="135"/>
      <c r="F135" s="135"/>
      <c r="G135" s="135"/>
      <c r="H135" s="135"/>
      <c r="I135" s="135"/>
      <c r="J135" s="135"/>
      <c r="K135" s="334" t="s">
        <v>448</v>
      </c>
      <c r="L135" s="147" t="s">
        <v>118</v>
      </c>
    </row>
    <row r="136" spans="1:13" s="30" customFormat="1" ht="13" x14ac:dyDescent="0.3">
      <c r="A136" s="25"/>
      <c r="B136" s="135"/>
      <c r="C136" s="135"/>
      <c r="D136" s="135"/>
      <c r="E136" s="135"/>
      <c r="F136" s="135"/>
      <c r="G136" s="135"/>
      <c r="H136" s="135"/>
      <c r="I136" s="135"/>
      <c r="J136" s="135"/>
      <c r="K136" s="49" t="s">
        <v>117</v>
      </c>
      <c r="L136" s="147" t="s">
        <v>118</v>
      </c>
      <c r="M136" s="60"/>
    </row>
    <row r="137" spans="1:13" ht="13" x14ac:dyDescent="0.3">
      <c r="B137" s="135"/>
      <c r="C137" s="135"/>
      <c r="D137" s="135"/>
      <c r="E137" s="135"/>
      <c r="F137" s="135"/>
      <c r="G137" s="135"/>
      <c r="H137" s="135"/>
      <c r="I137" s="135"/>
      <c r="J137" s="135"/>
      <c r="K137" s="49" t="s">
        <v>117</v>
      </c>
      <c r="L137" s="147" t="s">
        <v>118</v>
      </c>
      <c r="M137" s="50"/>
    </row>
    <row r="138" spans="1:13" ht="13" x14ac:dyDescent="0.3">
      <c r="B138" s="135"/>
      <c r="C138" s="135"/>
      <c r="D138" s="135"/>
      <c r="E138" s="135"/>
      <c r="F138" s="135"/>
      <c r="G138" s="135"/>
      <c r="H138" s="135"/>
      <c r="I138" s="135"/>
      <c r="J138" s="135"/>
      <c r="K138" s="49" t="s">
        <v>117</v>
      </c>
      <c r="L138" s="147" t="s">
        <v>118</v>
      </c>
      <c r="M138" s="50"/>
    </row>
    <row r="139" spans="1:13" ht="13" x14ac:dyDescent="0.3">
      <c r="B139" s="135"/>
      <c r="C139" s="135"/>
      <c r="D139" s="135"/>
      <c r="E139" s="135"/>
      <c r="F139" s="135"/>
      <c r="G139" s="135"/>
      <c r="H139" s="135"/>
      <c r="I139" s="135"/>
      <c r="J139" s="135"/>
      <c r="K139" s="49" t="s">
        <v>117</v>
      </c>
      <c r="L139" s="147" t="s">
        <v>118</v>
      </c>
      <c r="M139" s="51"/>
    </row>
    <row r="140" spans="1:13" ht="13" x14ac:dyDescent="0.3">
      <c r="B140" s="135"/>
      <c r="C140" s="135"/>
      <c r="D140" s="135"/>
      <c r="E140" s="135"/>
      <c r="F140" s="135"/>
      <c r="G140" s="135"/>
      <c r="H140" s="135"/>
      <c r="I140" s="135"/>
      <c r="J140" s="135"/>
      <c r="K140" s="49" t="s">
        <v>117</v>
      </c>
      <c r="L140" s="147" t="s">
        <v>118</v>
      </c>
      <c r="M140" s="51"/>
    </row>
    <row r="141" spans="1:13" x14ac:dyDescent="0.25">
      <c r="A141" s="30"/>
      <c r="B141" s="230" t="s">
        <v>271</v>
      </c>
      <c r="C141" s="230"/>
      <c r="D141" s="230"/>
      <c r="E141" s="230"/>
      <c r="F141" s="230"/>
      <c r="G141" s="230"/>
      <c r="H141" s="230"/>
      <c r="I141" s="230"/>
      <c r="J141" s="230"/>
      <c r="K141" s="230"/>
      <c r="L141" s="230"/>
      <c r="M141" s="230"/>
    </row>
  </sheetData>
  <mergeCells count="8">
    <mergeCell ref="M114:M117"/>
    <mergeCell ref="M112:M113"/>
    <mergeCell ref="M19:M63"/>
    <mergeCell ref="M64:M67"/>
    <mergeCell ref="M68:M73"/>
    <mergeCell ref="M74:M76"/>
    <mergeCell ref="M98:M111"/>
    <mergeCell ref="M77:M97"/>
  </mergeCells>
  <conditionalFormatting sqref="B19:J63 B74:J117 B136:J136">
    <cfRule type="expression" dxfId="103" priority="9" stopIfTrue="1">
      <formula>MOD(ROW(),2)=1</formula>
    </cfRule>
  </conditionalFormatting>
  <conditionalFormatting sqref="B19:J63 B74:J117 B136:J136">
    <cfRule type="expression" dxfId="102" priority="10" stopIfTrue="1">
      <formula>MOD(ROW(),2)=0</formula>
    </cfRule>
  </conditionalFormatting>
  <conditionalFormatting sqref="B64:J67">
    <cfRule type="expression" dxfId="101" priority="7" stopIfTrue="1">
      <formula>MOD(ROW(),2)=1</formula>
    </cfRule>
  </conditionalFormatting>
  <conditionalFormatting sqref="B64:J67">
    <cfRule type="expression" dxfId="100" priority="8" stopIfTrue="1">
      <formula>MOD(ROW(),2)=0</formula>
    </cfRule>
  </conditionalFormatting>
  <conditionalFormatting sqref="B68:J73">
    <cfRule type="expression" dxfId="99" priority="5" stopIfTrue="1">
      <formula>MOD(ROW(),2)=1</formula>
    </cfRule>
  </conditionalFormatting>
  <conditionalFormatting sqref="B68:J73">
    <cfRule type="expression" dxfId="98" priority="6" stopIfTrue="1">
      <formula>MOD(ROW(),2)=0</formula>
    </cfRule>
  </conditionalFormatting>
  <conditionalFormatting sqref="B137:J140">
    <cfRule type="expression" dxfId="97" priority="3" stopIfTrue="1">
      <formula>MOD(ROW(),2)=1</formula>
    </cfRule>
  </conditionalFormatting>
  <conditionalFormatting sqref="B137:J140">
    <cfRule type="expression" dxfId="96" priority="4" stopIfTrue="1">
      <formula>MOD(ROW(),2)=0</formula>
    </cfRule>
  </conditionalFormatting>
  <conditionalFormatting sqref="B118:J135">
    <cfRule type="expression" dxfId="95" priority="1" stopIfTrue="1">
      <formula>MOD(ROW(),2)=1</formula>
    </cfRule>
  </conditionalFormatting>
  <conditionalFormatting sqref="B118:J135">
    <cfRule type="expression" dxfId="94" priority="2" stopIfTrue="1">
      <formula>MOD(ROW(),2)=0</formula>
    </cfRule>
  </conditionalFormatting>
  <dataValidations count="1">
    <dataValidation type="list" allowBlank="1" showInputMessage="1" showErrorMessage="1" sqref="L118:L140 L19:L117" xr:uid="{00000000-0002-0000-1F00-000000000000}">
      <formula1>"mosLineSolid,msoLineSysDot,msoLineSysDash,msoLineLongDash,msoLineLongDashDotDot"</formula1>
    </dataValidation>
  </dataValidations>
  <hyperlinks>
    <hyperlink ref="A6" location="rng_Cover_Copyright" display="Subject to terms and conditions" xr:uid="{00000000-0004-0000-1F00-000000000000}"/>
  </hyperlinks>
  <pageMargins left="0.7" right="0.7" top="0.75" bottom="0.75" header="0.3" footer="0.3"/>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7">
    <tabColor theme="8"/>
  </sheetPr>
  <dimension ref="A1:BT276"/>
  <sheetViews>
    <sheetView showGridLines="0" zoomScale="55" zoomScaleNormal="55" workbookViewId="0">
      <selection activeCell="A2" sqref="A2"/>
    </sheetView>
  </sheetViews>
  <sheetFormatPr defaultColWidth="9.1796875" defaultRowHeight="12.5" x14ac:dyDescent="0.25"/>
  <cols>
    <col min="1" max="1" width="20" style="175" customWidth="1"/>
    <col min="2" max="2" width="18.54296875" style="175" bestFit="1" customWidth="1"/>
    <col min="3" max="3" width="20.26953125" style="175" bestFit="1" customWidth="1"/>
    <col min="4" max="56" width="9.1796875" style="175"/>
    <col min="57" max="72" width="9.1796875" style="27"/>
    <col min="73" max="16384" width="9.1796875" style="175"/>
  </cols>
  <sheetData>
    <row r="1" spans="1:72" s="174" customFormat="1" ht="37.5" customHeight="1" x14ac:dyDescent="0.25">
      <c r="F1" s="190" t="s">
        <v>353</v>
      </c>
      <c r="T1" s="175"/>
      <c r="U1" s="175"/>
      <c r="V1" s="175"/>
      <c r="W1" s="175"/>
      <c r="X1" s="175"/>
      <c r="Y1" s="175"/>
      <c r="Z1" s="175"/>
      <c r="AA1" s="175"/>
      <c r="AB1" s="175"/>
      <c r="AD1" s="175"/>
      <c r="AE1" s="175"/>
      <c r="AF1" s="175"/>
      <c r="AG1" s="175"/>
      <c r="AH1" s="175"/>
      <c r="AI1" s="175"/>
      <c r="AJ1" s="175"/>
      <c r="AK1" s="175"/>
      <c r="AL1" s="175"/>
      <c r="AM1" s="175"/>
      <c r="AN1" s="175"/>
      <c r="AO1" s="175"/>
      <c r="AP1" s="175"/>
      <c r="AQ1" s="175"/>
      <c r="AR1" s="175"/>
      <c r="AS1" s="175"/>
      <c r="AT1" s="175"/>
      <c r="AU1" s="175"/>
      <c r="AV1" s="175"/>
      <c r="AW1" s="175"/>
      <c r="AX1" s="175"/>
      <c r="AY1" s="175"/>
      <c r="AZ1" s="175"/>
      <c r="BA1" s="175"/>
      <c r="BB1" s="175"/>
      <c r="BC1" s="175"/>
      <c r="BD1" s="175"/>
      <c r="BE1" s="61"/>
      <c r="BF1" s="61"/>
      <c r="BG1" s="61"/>
      <c r="BH1" s="61"/>
      <c r="BI1" s="61"/>
      <c r="BJ1" s="61"/>
      <c r="BK1" s="61"/>
      <c r="BL1" s="61"/>
      <c r="BM1" s="61"/>
      <c r="BN1" s="61"/>
      <c r="BO1" s="61"/>
      <c r="BP1" s="61"/>
      <c r="BQ1" s="61"/>
      <c r="BR1" s="61"/>
      <c r="BS1" s="61"/>
      <c r="BT1" s="61"/>
    </row>
    <row r="2" spans="1:72" ht="13" x14ac:dyDescent="0.3">
      <c r="U2" s="215" t="s">
        <v>401</v>
      </c>
      <c r="AH2" s="176">
        <v>1</v>
      </c>
      <c r="AI2" s="176">
        <v>2</v>
      </c>
      <c r="AJ2" s="176">
        <v>3</v>
      </c>
      <c r="AK2" s="176">
        <v>4</v>
      </c>
      <c r="AL2" s="176">
        <v>5</v>
      </c>
      <c r="AM2" s="176">
        <v>6</v>
      </c>
      <c r="AN2" s="176">
        <v>7</v>
      </c>
      <c r="AO2" s="176">
        <v>8</v>
      </c>
      <c r="AP2" s="176">
        <v>9</v>
      </c>
      <c r="AQ2" s="176">
        <v>10</v>
      </c>
    </row>
    <row r="3" spans="1:72" ht="20" x14ac:dyDescent="0.3">
      <c r="A3" s="174" t="s">
        <v>335</v>
      </c>
      <c r="B3" s="174"/>
      <c r="AG3" s="177">
        <v>2010</v>
      </c>
      <c r="AH3" s="176">
        <v>84.3</v>
      </c>
      <c r="AI3" s="178">
        <f>AH3*1.1</f>
        <v>92.73</v>
      </c>
      <c r="AJ3" s="178">
        <f t="shared" ref="AJ3:AY9" si="0">AH3/1.1</f>
        <v>76.636363636363626</v>
      </c>
      <c r="AK3" s="178">
        <f t="shared" si="0"/>
        <v>84.3</v>
      </c>
      <c r="AL3" s="178">
        <f t="shared" si="0"/>
        <v>69.669421487603287</v>
      </c>
      <c r="AM3" s="178">
        <f t="shared" si="0"/>
        <v>76.636363636363626</v>
      </c>
      <c r="AN3" s="178">
        <f t="shared" si="0"/>
        <v>63.335837716002985</v>
      </c>
      <c r="AO3" s="178">
        <f t="shared" si="0"/>
        <v>69.669421487603287</v>
      </c>
      <c r="AP3" s="178">
        <f t="shared" si="0"/>
        <v>57.578034287275436</v>
      </c>
      <c r="AQ3" s="178">
        <f t="shared" si="0"/>
        <v>63.335837716002985</v>
      </c>
      <c r="AR3" s="178">
        <f t="shared" si="0"/>
        <v>52.343667533886759</v>
      </c>
      <c r="AS3" s="178">
        <f t="shared" si="0"/>
        <v>57.578034287275436</v>
      </c>
      <c r="AT3" s="178">
        <f t="shared" si="0"/>
        <v>47.585152303533413</v>
      </c>
      <c r="AU3" s="178">
        <f t="shared" si="0"/>
        <v>52.343667533886759</v>
      </c>
      <c r="AV3" s="178">
        <f t="shared" si="0"/>
        <v>43.259229366848551</v>
      </c>
      <c r="AW3" s="178">
        <f t="shared" si="0"/>
        <v>47.585152303533413</v>
      </c>
      <c r="AX3" s="178">
        <f t="shared" si="0"/>
        <v>39.326572151680494</v>
      </c>
      <c r="AY3" s="178">
        <f t="shared" si="0"/>
        <v>43.259229366848551</v>
      </c>
      <c r="AZ3" s="178">
        <f t="shared" ref="AZ3:BA9" si="1">AX3/1.1</f>
        <v>35.751429228800447</v>
      </c>
      <c r="BA3" s="178">
        <f t="shared" si="1"/>
        <v>39.326572151680494</v>
      </c>
    </row>
    <row r="4" spans="1:72" ht="13" x14ac:dyDescent="0.3">
      <c r="AG4" s="177">
        <v>2011</v>
      </c>
      <c r="AH4" s="176">
        <v>89.5</v>
      </c>
      <c r="AI4" s="178">
        <f t="shared" ref="AI4:AI9" si="2">AH4*1.1</f>
        <v>98.45</v>
      </c>
      <c r="AJ4" s="178">
        <f t="shared" si="0"/>
        <v>81.36363636363636</v>
      </c>
      <c r="AK4" s="178">
        <f t="shared" si="0"/>
        <v>89.5</v>
      </c>
      <c r="AL4" s="178">
        <f t="shared" si="0"/>
        <v>73.966942148760324</v>
      </c>
      <c r="AM4" s="178">
        <f t="shared" si="0"/>
        <v>81.36363636363636</v>
      </c>
      <c r="AN4" s="178">
        <f t="shared" si="0"/>
        <v>67.242674680691195</v>
      </c>
      <c r="AO4" s="178">
        <f t="shared" si="0"/>
        <v>73.966942148760324</v>
      </c>
      <c r="AP4" s="178">
        <f t="shared" si="0"/>
        <v>61.129704255173806</v>
      </c>
      <c r="AQ4" s="178">
        <f t="shared" si="0"/>
        <v>67.242674680691195</v>
      </c>
      <c r="AR4" s="178">
        <f t="shared" si="0"/>
        <v>55.572458413794365</v>
      </c>
      <c r="AS4" s="178">
        <f t="shared" si="0"/>
        <v>61.129704255173806</v>
      </c>
      <c r="AT4" s="178">
        <f t="shared" si="0"/>
        <v>50.520416739813058</v>
      </c>
      <c r="AU4" s="178">
        <f t="shared" si="0"/>
        <v>55.572458413794365</v>
      </c>
      <c r="AV4" s="178">
        <f t="shared" si="0"/>
        <v>45.927651581648227</v>
      </c>
      <c r="AW4" s="178">
        <f t="shared" si="0"/>
        <v>50.520416739813058</v>
      </c>
      <c r="AX4" s="178">
        <f t="shared" si="0"/>
        <v>41.752410528771115</v>
      </c>
      <c r="AY4" s="178">
        <f t="shared" si="0"/>
        <v>45.927651581648227</v>
      </c>
      <c r="AZ4" s="178">
        <f t="shared" si="1"/>
        <v>37.956736844337371</v>
      </c>
      <c r="BA4" s="178">
        <f t="shared" si="1"/>
        <v>41.752410528771115</v>
      </c>
    </row>
    <row r="5" spans="1:72" ht="13" x14ac:dyDescent="0.3">
      <c r="A5" s="179" t="s">
        <v>336</v>
      </c>
      <c r="B5" s="179" t="s">
        <v>337</v>
      </c>
      <c r="C5" s="180"/>
      <c r="D5" s="180"/>
      <c r="AG5" s="177">
        <v>2012</v>
      </c>
      <c r="AH5" s="176">
        <v>78.8</v>
      </c>
      <c r="AI5" s="178">
        <f t="shared" si="2"/>
        <v>86.68</v>
      </c>
      <c r="AJ5" s="178">
        <f t="shared" si="0"/>
        <v>71.636363636363626</v>
      </c>
      <c r="AK5" s="178">
        <f t="shared" si="0"/>
        <v>78.8</v>
      </c>
      <c r="AL5" s="178">
        <f t="shared" si="0"/>
        <v>65.123966942148741</v>
      </c>
      <c r="AM5" s="178">
        <f t="shared" si="0"/>
        <v>71.636363636363626</v>
      </c>
      <c r="AN5" s="178">
        <f t="shared" si="0"/>
        <v>59.203606311044304</v>
      </c>
      <c r="AO5" s="178">
        <f t="shared" si="0"/>
        <v>65.123966942148741</v>
      </c>
      <c r="AP5" s="178">
        <f t="shared" si="0"/>
        <v>53.821460282767546</v>
      </c>
      <c r="AQ5" s="178">
        <f t="shared" si="0"/>
        <v>59.203606311044304</v>
      </c>
      <c r="AR5" s="178">
        <f t="shared" si="0"/>
        <v>48.928600257061404</v>
      </c>
      <c r="AS5" s="178">
        <f t="shared" si="0"/>
        <v>53.821460282767546</v>
      </c>
      <c r="AT5" s="178">
        <f t="shared" si="0"/>
        <v>44.480545688237633</v>
      </c>
      <c r="AU5" s="178">
        <f t="shared" si="0"/>
        <v>48.928600257061404</v>
      </c>
      <c r="AV5" s="178">
        <f t="shared" si="0"/>
        <v>40.436859716579661</v>
      </c>
      <c r="AW5" s="178">
        <f t="shared" si="0"/>
        <v>44.480545688237633</v>
      </c>
      <c r="AX5" s="178">
        <f t="shared" si="0"/>
        <v>36.760781560526965</v>
      </c>
      <c r="AY5" s="178">
        <f t="shared" si="0"/>
        <v>40.436859716579661</v>
      </c>
      <c r="AZ5" s="178">
        <f t="shared" si="1"/>
        <v>33.418892327751784</v>
      </c>
      <c r="BA5" s="178">
        <f t="shared" si="1"/>
        <v>36.760781560526965</v>
      </c>
    </row>
    <row r="6" spans="1:72" ht="13" x14ac:dyDescent="0.3">
      <c r="A6" s="177">
        <v>2010</v>
      </c>
      <c r="B6" s="176">
        <v>84.3</v>
      </c>
      <c r="C6" s="178"/>
      <c r="D6" s="178"/>
      <c r="E6" s="178"/>
      <c r="F6" s="178"/>
      <c r="G6" s="178"/>
      <c r="H6" s="178"/>
      <c r="I6" s="178"/>
      <c r="J6" s="178"/>
      <c r="K6" s="178"/>
      <c r="L6" s="178"/>
      <c r="M6" s="178"/>
      <c r="N6" s="178"/>
      <c r="AG6" s="177">
        <v>2013</v>
      </c>
      <c r="AH6" s="176">
        <v>76.900000000000006</v>
      </c>
      <c r="AI6" s="178">
        <f t="shared" si="2"/>
        <v>84.590000000000018</v>
      </c>
      <c r="AJ6" s="178">
        <f t="shared" si="0"/>
        <v>69.909090909090907</v>
      </c>
      <c r="AK6" s="178">
        <f t="shared" si="0"/>
        <v>76.900000000000006</v>
      </c>
      <c r="AL6" s="178">
        <f t="shared" si="0"/>
        <v>63.553719008264459</v>
      </c>
      <c r="AM6" s="178">
        <f t="shared" si="0"/>
        <v>69.909090909090907</v>
      </c>
      <c r="AN6" s="178">
        <f t="shared" si="0"/>
        <v>57.776108189331325</v>
      </c>
      <c r="AO6" s="178">
        <f t="shared" si="0"/>
        <v>63.553719008264459</v>
      </c>
      <c r="AP6" s="178">
        <f t="shared" si="0"/>
        <v>52.52373471757393</v>
      </c>
      <c r="AQ6" s="178">
        <f t="shared" si="0"/>
        <v>57.776108189331325</v>
      </c>
      <c r="AR6" s="178">
        <f t="shared" si="0"/>
        <v>47.748849743249025</v>
      </c>
      <c r="AS6" s="178">
        <f t="shared" si="0"/>
        <v>52.52373471757393</v>
      </c>
      <c r="AT6" s="178">
        <f t="shared" si="0"/>
        <v>43.408045221135474</v>
      </c>
      <c r="AU6" s="178">
        <f t="shared" si="0"/>
        <v>47.748849743249025</v>
      </c>
      <c r="AV6" s="178">
        <f t="shared" si="0"/>
        <v>39.461859291941337</v>
      </c>
      <c r="AW6" s="178">
        <f t="shared" si="0"/>
        <v>43.408045221135474</v>
      </c>
      <c r="AX6" s="178">
        <f t="shared" si="0"/>
        <v>35.874417538128483</v>
      </c>
      <c r="AY6" s="178">
        <f t="shared" si="0"/>
        <v>39.461859291941337</v>
      </c>
      <c r="AZ6" s="178">
        <f t="shared" si="1"/>
        <v>32.613106852844076</v>
      </c>
      <c r="BA6" s="178">
        <f t="shared" si="1"/>
        <v>35.874417538128483</v>
      </c>
    </row>
    <row r="7" spans="1:72" ht="13" x14ac:dyDescent="0.3">
      <c r="A7" s="177">
        <v>2011</v>
      </c>
      <c r="B7" s="176">
        <v>89.5</v>
      </c>
      <c r="C7" s="178"/>
      <c r="D7" s="178"/>
      <c r="E7" s="178"/>
      <c r="F7" s="178"/>
      <c r="G7" s="178"/>
      <c r="H7" s="178"/>
      <c r="I7" s="178"/>
      <c r="J7" s="178"/>
      <c r="K7" s="178"/>
      <c r="L7" s="178"/>
      <c r="M7" s="178"/>
      <c r="N7" s="178"/>
      <c r="AG7" s="177">
        <v>2014</v>
      </c>
      <c r="AH7" s="176">
        <v>70.099999999999994</v>
      </c>
      <c r="AI7" s="178">
        <f t="shared" si="2"/>
        <v>77.11</v>
      </c>
      <c r="AJ7" s="178">
        <f t="shared" si="0"/>
        <v>63.72727272727272</v>
      </c>
      <c r="AK7" s="178">
        <f t="shared" si="0"/>
        <v>70.099999999999994</v>
      </c>
      <c r="AL7" s="178">
        <f t="shared" si="0"/>
        <v>57.933884297520649</v>
      </c>
      <c r="AM7" s="178">
        <f t="shared" si="0"/>
        <v>63.72727272727272</v>
      </c>
      <c r="AN7" s="178">
        <f t="shared" si="0"/>
        <v>52.667167543200584</v>
      </c>
      <c r="AO7" s="178">
        <f t="shared" si="0"/>
        <v>57.933884297520649</v>
      </c>
      <c r="AP7" s="178">
        <f t="shared" si="0"/>
        <v>47.879243221091436</v>
      </c>
      <c r="AQ7" s="178">
        <f t="shared" si="0"/>
        <v>52.667167543200584</v>
      </c>
      <c r="AR7" s="178">
        <f t="shared" si="0"/>
        <v>43.526584746446758</v>
      </c>
      <c r="AS7" s="178">
        <f t="shared" si="0"/>
        <v>47.879243221091436</v>
      </c>
      <c r="AT7" s="178">
        <f t="shared" si="0"/>
        <v>39.569622496769775</v>
      </c>
      <c r="AU7" s="178">
        <f t="shared" si="0"/>
        <v>43.526584746446758</v>
      </c>
      <c r="AV7" s="178">
        <f t="shared" si="0"/>
        <v>35.972384087972522</v>
      </c>
      <c r="AW7" s="178">
        <f t="shared" si="0"/>
        <v>39.569622496769775</v>
      </c>
      <c r="AX7" s="178">
        <f t="shared" si="0"/>
        <v>32.70216735270229</v>
      </c>
      <c r="AY7" s="178">
        <f t="shared" si="0"/>
        <v>35.972384087972522</v>
      </c>
      <c r="AZ7" s="178">
        <f t="shared" si="1"/>
        <v>29.729243047911169</v>
      </c>
      <c r="BA7" s="178">
        <f t="shared" si="1"/>
        <v>32.70216735270229</v>
      </c>
    </row>
    <row r="8" spans="1:72" ht="13" x14ac:dyDescent="0.3">
      <c r="A8" s="177">
        <v>2012</v>
      </c>
      <c r="B8" s="176">
        <v>78.8</v>
      </c>
      <c r="C8" s="178"/>
      <c r="D8" s="178"/>
      <c r="E8" s="178"/>
      <c r="F8" s="178"/>
      <c r="G8" s="178"/>
      <c r="H8" s="178"/>
      <c r="I8" s="178"/>
      <c r="J8" s="178"/>
      <c r="K8" s="178"/>
      <c r="L8" s="178"/>
      <c r="M8" s="178"/>
      <c r="N8" s="178"/>
      <c r="AG8" s="177">
        <v>2015</v>
      </c>
      <c r="AH8" s="176">
        <v>57.6</v>
      </c>
      <c r="AI8" s="178">
        <f t="shared" si="2"/>
        <v>63.360000000000007</v>
      </c>
      <c r="AJ8" s="178">
        <f t="shared" si="0"/>
        <v>52.36363636363636</v>
      </c>
      <c r="AK8" s="178">
        <f t="shared" si="0"/>
        <v>57.6</v>
      </c>
      <c r="AL8" s="178">
        <f t="shared" si="0"/>
        <v>47.603305785123958</v>
      </c>
      <c r="AM8" s="178">
        <f t="shared" si="0"/>
        <v>52.36363636363636</v>
      </c>
      <c r="AN8" s="178">
        <f t="shared" si="0"/>
        <v>43.275732531930871</v>
      </c>
      <c r="AO8" s="178">
        <f t="shared" si="0"/>
        <v>47.603305785123958</v>
      </c>
      <c r="AP8" s="178">
        <f t="shared" si="0"/>
        <v>39.341575029028064</v>
      </c>
      <c r="AQ8" s="178">
        <f t="shared" si="0"/>
        <v>43.275732531930871</v>
      </c>
      <c r="AR8" s="178">
        <f t="shared" si="0"/>
        <v>35.765068208207332</v>
      </c>
      <c r="AS8" s="178">
        <f t="shared" si="0"/>
        <v>39.341575029028064</v>
      </c>
      <c r="AT8" s="178">
        <f t="shared" si="0"/>
        <v>32.513698371097568</v>
      </c>
      <c r="AU8" s="178">
        <f t="shared" si="0"/>
        <v>35.765068208207332</v>
      </c>
      <c r="AV8" s="178">
        <f t="shared" si="0"/>
        <v>29.557907610088698</v>
      </c>
      <c r="AW8" s="178">
        <f t="shared" si="0"/>
        <v>32.513698371097568</v>
      </c>
      <c r="AX8" s="178">
        <f t="shared" si="0"/>
        <v>26.870825100080634</v>
      </c>
      <c r="AY8" s="178">
        <f t="shared" si="0"/>
        <v>29.557907610088698</v>
      </c>
      <c r="AZ8" s="178">
        <f t="shared" si="1"/>
        <v>24.428022818255119</v>
      </c>
      <c r="BA8" s="178">
        <f t="shared" si="1"/>
        <v>26.870825100080634</v>
      </c>
    </row>
    <row r="9" spans="1:72" ht="13" x14ac:dyDescent="0.3">
      <c r="A9" s="177">
        <v>2013</v>
      </c>
      <c r="B9" s="176">
        <v>76.900000000000006</v>
      </c>
      <c r="C9" s="178"/>
      <c r="D9" s="178"/>
      <c r="E9" s="178"/>
      <c r="F9" s="178"/>
      <c r="G9" s="178"/>
      <c r="H9" s="178"/>
      <c r="I9" s="178"/>
      <c r="J9" s="178"/>
      <c r="K9" s="178"/>
      <c r="L9" s="178"/>
      <c r="M9" s="178"/>
      <c r="N9" s="178"/>
      <c r="AG9" s="177">
        <v>2016</v>
      </c>
      <c r="AH9" s="176">
        <v>50.2</v>
      </c>
      <c r="AI9" s="178">
        <f t="shared" si="2"/>
        <v>55.220000000000006</v>
      </c>
      <c r="AJ9" s="178">
        <f t="shared" si="0"/>
        <v>45.636363636363633</v>
      </c>
      <c r="AK9" s="178">
        <f t="shared" si="0"/>
        <v>50.2</v>
      </c>
      <c r="AL9" s="178">
        <f t="shared" si="0"/>
        <v>41.487603305785115</v>
      </c>
      <c r="AM9" s="178">
        <f t="shared" si="0"/>
        <v>45.636363636363633</v>
      </c>
      <c r="AN9" s="178">
        <f t="shared" si="0"/>
        <v>37.716003005259189</v>
      </c>
      <c r="AO9" s="178">
        <f t="shared" si="0"/>
        <v>41.487603305785115</v>
      </c>
      <c r="AP9" s="178">
        <f t="shared" si="0"/>
        <v>34.28727545932653</v>
      </c>
      <c r="AQ9" s="178">
        <f t="shared" si="0"/>
        <v>37.716003005259189</v>
      </c>
      <c r="AR9" s="178">
        <f t="shared" si="0"/>
        <v>31.170250417569569</v>
      </c>
      <c r="AS9" s="178">
        <f t="shared" si="0"/>
        <v>34.28727545932653</v>
      </c>
      <c r="AT9" s="178">
        <f t="shared" si="0"/>
        <v>28.336591288699605</v>
      </c>
      <c r="AU9" s="178">
        <f t="shared" si="0"/>
        <v>31.170250417569569</v>
      </c>
      <c r="AV9" s="178">
        <f t="shared" si="0"/>
        <v>25.760537535181456</v>
      </c>
      <c r="AW9" s="178">
        <f t="shared" si="0"/>
        <v>28.336591288699605</v>
      </c>
      <c r="AX9" s="178">
        <f t="shared" si="0"/>
        <v>23.418670486528594</v>
      </c>
      <c r="AY9" s="178">
        <f t="shared" si="0"/>
        <v>25.760537535181456</v>
      </c>
      <c r="AZ9" s="178">
        <f t="shared" si="1"/>
        <v>21.28970044229872</v>
      </c>
      <c r="BA9" s="178">
        <f t="shared" si="1"/>
        <v>23.418670486528594</v>
      </c>
    </row>
    <row r="10" spans="1:72" ht="13" x14ac:dyDescent="0.3">
      <c r="A10" s="177">
        <v>2014</v>
      </c>
      <c r="B10" s="176">
        <v>70.099999999999994</v>
      </c>
      <c r="C10" s="178"/>
      <c r="D10" s="178"/>
      <c r="E10" s="178"/>
      <c r="F10" s="178"/>
      <c r="G10" s="178"/>
      <c r="H10" s="178"/>
      <c r="I10" s="178"/>
      <c r="J10" s="178"/>
      <c r="K10" s="178"/>
      <c r="L10" s="178"/>
      <c r="M10" s="178"/>
      <c r="N10" s="178"/>
    </row>
    <row r="11" spans="1:72" ht="13" x14ac:dyDescent="0.3">
      <c r="A11" s="177">
        <v>2015</v>
      </c>
      <c r="B11" s="176">
        <v>57.6</v>
      </c>
      <c r="C11" s="178"/>
      <c r="D11" s="178"/>
      <c r="E11" s="178"/>
      <c r="F11" s="178"/>
      <c r="G11" s="178"/>
      <c r="H11" s="178"/>
      <c r="I11" s="178"/>
      <c r="J11" s="178"/>
      <c r="K11" s="178"/>
      <c r="L11" s="178"/>
      <c r="M11" s="178"/>
      <c r="N11" s="178"/>
    </row>
    <row r="12" spans="1:72" ht="13" x14ac:dyDescent="0.3">
      <c r="A12" s="177">
        <v>2016</v>
      </c>
      <c r="B12" s="176">
        <v>50.2</v>
      </c>
      <c r="C12" s="178"/>
      <c r="D12" s="178"/>
      <c r="E12" s="178"/>
      <c r="F12" s="178"/>
      <c r="G12" s="178"/>
      <c r="H12" s="178"/>
      <c r="I12" s="178"/>
      <c r="J12" s="178"/>
      <c r="K12" s="178"/>
      <c r="L12" s="178"/>
      <c r="M12" s="178"/>
      <c r="N12" s="178"/>
    </row>
    <row r="20" spans="1:60" x14ac:dyDescent="0.25">
      <c r="BE20" s="94" t="s">
        <v>117</v>
      </c>
      <c r="BH20" s="27">
        <v>10</v>
      </c>
    </row>
    <row r="21" spans="1:60" x14ac:dyDescent="0.25">
      <c r="BE21" s="95" t="s">
        <v>117</v>
      </c>
      <c r="BH21" s="27">
        <v>10</v>
      </c>
    </row>
    <row r="22" spans="1:60" x14ac:dyDescent="0.25">
      <c r="BE22" s="106" t="s">
        <v>117</v>
      </c>
      <c r="BH22" s="27">
        <v>10</v>
      </c>
    </row>
    <row r="23" spans="1:60" x14ac:dyDescent="0.25">
      <c r="BE23" s="98" t="s">
        <v>117</v>
      </c>
      <c r="BH23" s="27">
        <v>10</v>
      </c>
    </row>
    <row r="24" spans="1:60" ht="13" x14ac:dyDescent="0.3">
      <c r="U24" s="215" t="s">
        <v>402</v>
      </c>
      <c r="BE24" s="140" t="s">
        <v>117</v>
      </c>
      <c r="BH24" s="27">
        <v>10</v>
      </c>
    </row>
    <row r="25" spans="1:60" x14ac:dyDescent="0.25">
      <c r="BE25" s="99" t="s">
        <v>117</v>
      </c>
      <c r="BH25" s="27">
        <v>10</v>
      </c>
    </row>
    <row r="26" spans="1:60" x14ac:dyDescent="0.25">
      <c r="BE26" s="100" t="s">
        <v>117</v>
      </c>
      <c r="BH26" s="27">
        <v>10</v>
      </c>
    </row>
    <row r="27" spans="1:60" ht="20" x14ac:dyDescent="0.25">
      <c r="A27" s="174" t="s">
        <v>338</v>
      </c>
      <c r="B27" s="174"/>
      <c r="C27" s="174"/>
      <c r="BE27" s="101" t="s">
        <v>117</v>
      </c>
      <c r="BH27" s="27">
        <v>10</v>
      </c>
    </row>
    <row r="28" spans="1:60" x14ac:dyDescent="0.25">
      <c r="BE28" s="103" t="s">
        <v>117</v>
      </c>
      <c r="BH28" s="27">
        <v>10</v>
      </c>
    </row>
    <row r="29" spans="1:60" ht="13" x14ac:dyDescent="0.25">
      <c r="A29" s="179" t="s">
        <v>336</v>
      </c>
      <c r="B29" s="179" t="s">
        <v>337</v>
      </c>
      <c r="C29" s="179" t="s">
        <v>339</v>
      </c>
      <c r="BE29" s="104" t="s">
        <v>117</v>
      </c>
      <c r="BH29" s="27">
        <v>10</v>
      </c>
    </row>
    <row r="30" spans="1:60" ht="13" x14ac:dyDescent="0.3">
      <c r="A30" s="177">
        <v>2010</v>
      </c>
      <c r="B30" s="176">
        <v>84.3</v>
      </c>
      <c r="C30" s="182">
        <v>1084.368148</v>
      </c>
      <c r="BE30" s="105" t="s">
        <v>117</v>
      </c>
      <c r="BH30" s="27">
        <v>10</v>
      </c>
    </row>
    <row r="31" spans="1:60" ht="13" x14ac:dyDescent="0.3">
      <c r="A31" s="177">
        <v>2011</v>
      </c>
      <c r="B31" s="176">
        <v>89.5</v>
      </c>
      <c r="C31" s="182">
        <v>1095.627536</v>
      </c>
      <c r="AH31" s="183" t="s">
        <v>12</v>
      </c>
      <c r="AI31" s="183" t="s">
        <v>13</v>
      </c>
      <c r="AJ31" s="183" t="s">
        <v>14</v>
      </c>
      <c r="AK31" s="183" t="s">
        <v>15</v>
      </c>
      <c r="AL31" s="183" t="s">
        <v>16</v>
      </c>
      <c r="AM31" s="183" t="s">
        <v>17</v>
      </c>
      <c r="AN31" s="183" t="s">
        <v>18</v>
      </c>
      <c r="AO31" s="183" t="s">
        <v>19</v>
      </c>
      <c r="AP31" s="183" t="s">
        <v>20</v>
      </c>
      <c r="AQ31" s="183" t="s">
        <v>21</v>
      </c>
      <c r="BE31" s="119" t="s">
        <v>117</v>
      </c>
      <c r="BH31" s="27">
        <v>10</v>
      </c>
    </row>
    <row r="32" spans="1:60" ht="13" x14ac:dyDescent="0.3">
      <c r="A32" s="177">
        <v>2012</v>
      </c>
      <c r="B32" s="176">
        <v>78.8</v>
      </c>
      <c r="C32" s="182">
        <v>1016.4584180000001</v>
      </c>
      <c r="AG32" s="177">
        <v>2010</v>
      </c>
      <c r="AH32" s="184">
        <v>84.3</v>
      </c>
      <c r="AI32" s="185">
        <f>AH32*1.1</f>
        <v>92.73</v>
      </c>
      <c r="AJ32" s="185">
        <f t="shared" ref="AJ32:AQ38" si="3">AH32/1.1</f>
        <v>76.636363636363626</v>
      </c>
      <c r="AK32" s="185">
        <f t="shared" si="3"/>
        <v>84.3</v>
      </c>
      <c r="AL32" s="185">
        <f t="shared" si="3"/>
        <v>69.669421487603287</v>
      </c>
      <c r="AM32" s="185">
        <f t="shared" si="3"/>
        <v>76.636363636363626</v>
      </c>
      <c r="AN32" s="185">
        <f t="shared" si="3"/>
        <v>63.335837716002985</v>
      </c>
      <c r="AO32" s="185">
        <f t="shared" si="3"/>
        <v>69.669421487603287</v>
      </c>
      <c r="AP32" s="185">
        <f t="shared" si="3"/>
        <v>57.578034287275436</v>
      </c>
      <c r="AQ32" s="185">
        <f t="shared" si="3"/>
        <v>63.335837716002985</v>
      </c>
      <c r="BE32" s="123" t="s">
        <v>117</v>
      </c>
      <c r="BH32" s="27">
        <v>10</v>
      </c>
    </row>
    <row r="33" spans="1:61" ht="13" x14ac:dyDescent="0.3">
      <c r="A33" s="177">
        <v>2013</v>
      </c>
      <c r="B33" s="176">
        <v>76.900000000000006</v>
      </c>
      <c r="C33" s="182">
        <v>984.84177899999997</v>
      </c>
      <c r="AG33" s="177">
        <v>2011</v>
      </c>
      <c r="AH33" s="184">
        <v>89.5</v>
      </c>
      <c r="AI33" s="185">
        <f t="shared" ref="AI33:AI38" si="4">AH33*1.1</f>
        <v>98.45</v>
      </c>
      <c r="AJ33" s="185">
        <f t="shared" si="3"/>
        <v>81.36363636363636</v>
      </c>
      <c r="AK33" s="185">
        <f t="shared" si="3"/>
        <v>89.5</v>
      </c>
      <c r="AL33" s="185">
        <f t="shared" si="3"/>
        <v>73.966942148760324</v>
      </c>
      <c r="AM33" s="185">
        <f t="shared" si="3"/>
        <v>81.36363636363636</v>
      </c>
      <c r="AN33" s="185">
        <f t="shared" si="3"/>
        <v>67.242674680691195</v>
      </c>
      <c r="AO33" s="185">
        <f t="shared" si="3"/>
        <v>73.966942148760324</v>
      </c>
      <c r="AP33" s="185">
        <f t="shared" si="3"/>
        <v>61.129704255173806</v>
      </c>
      <c r="AQ33" s="185">
        <f t="shared" si="3"/>
        <v>67.242674680691195</v>
      </c>
      <c r="BE33" s="107" t="s">
        <v>117</v>
      </c>
      <c r="BH33" s="27">
        <v>10</v>
      </c>
    </row>
    <row r="34" spans="1:61" ht="13" x14ac:dyDescent="0.3">
      <c r="A34" s="177">
        <v>2014</v>
      </c>
      <c r="B34" s="176">
        <v>70.099999999999994</v>
      </c>
      <c r="C34" s="182">
        <v>1000.048758</v>
      </c>
      <c r="AG34" s="177">
        <v>2012</v>
      </c>
      <c r="AH34" s="184">
        <v>78.8</v>
      </c>
      <c r="AI34" s="185">
        <f t="shared" si="4"/>
        <v>86.68</v>
      </c>
      <c r="AJ34" s="185">
        <f t="shared" si="3"/>
        <v>71.636363636363626</v>
      </c>
      <c r="AK34" s="185">
        <f t="shared" si="3"/>
        <v>78.8</v>
      </c>
      <c r="AL34" s="185">
        <f t="shared" si="3"/>
        <v>65.123966942148741</v>
      </c>
      <c r="AM34" s="185">
        <f t="shared" si="3"/>
        <v>71.636363636363626</v>
      </c>
      <c r="AN34" s="185">
        <f t="shared" si="3"/>
        <v>59.203606311044304</v>
      </c>
      <c r="AO34" s="185">
        <f t="shared" si="3"/>
        <v>65.123966942148741</v>
      </c>
      <c r="AP34" s="185">
        <f t="shared" si="3"/>
        <v>53.821460282767546</v>
      </c>
      <c r="AQ34" s="185">
        <f t="shared" si="3"/>
        <v>59.203606311044304</v>
      </c>
      <c r="BE34" s="121" t="s">
        <v>117</v>
      </c>
      <c r="BH34" s="27">
        <v>10</v>
      </c>
    </row>
    <row r="35" spans="1:61" ht="13" x14ac:dyDescent="0.3">
      <c r="A35" s="177">
        <v>2015</v>
      </c>
      <c r="B35" s="176">
        <v>57.6</v>
      </c>
      <c r="C35" s="182">
        <v>896.940563</v>
      </c>
      <c r="AG35" s="177">
        <v>2013</v>
      </c>
      <c r="AH35" s="184">
        <v>76.900000000000006</v>
      </c>
      <c r="AI35" s="185">
        <f t="shared" si="4"/>
        <v>84.590000000000018</v>
      </c>
      <c r="AJ35" s="185">
        <f t="shared" si="3"/>
        <v>69.909090909090907</v>
      </c>
      <c r="AK35" s="185">
        <f t="shared" si="3"/>
        <v>76.900000000000006</v>
      </c>
      <c r="AL35" s="185">
        <f t="shared" si="3"/>
        <v>63.553719008264459</v>
      </c>
      <c r="AM35" s="185">
        <f t="shared" si="3"/>
        <v>69.909090909090907</v>
      </c>
      <c r="AN35" s="185">
        <f t="shared" si="3"/>
        <v>57.776108189331325</v>
      </c>
      <c r="AO35" s="185">
        <f t="shared" si="3"/>
        <v>63.553719008264459</v>
      </c>
      <c r="AP35" s="185">
        <f t="shared" si="3"/>
        <v>52.52373471757393</v>
      </c>
      <c r="AQ35" s="185">
        <f t="shared" si="3"/>
        <v>57.776108189331325</v>
      </c>
      <c r="BE35" s="100" t="s">
        <v>117</v>
      </c>
      <c r="BH35" s="27">
        <v>10</v>
      </c>
      <c r="BI35" s="195">
        <v>0</v>
      </c>
    </row>
    <row r="36" spans="1:61" ht="13" x14ac:dyDescent="0.3">
      <c r="A36" s="177">
        <v>2016</v>
      </c>
      <c r="B36" s="176">
        <v>50.2</v>
      </c>
      <c r="C36" s="182">
        <v>739</v>
      </c>
      <c r="AG36" s="177">
        <v>2014</v>
      </c>
      <c r="AH36" s="184">
        <v>70.099999999999994</v>
      </c>
      <c r="AI36" s="185">
        <f t="shared" si="4"/>
        <v>77.11</v>
      </c>
      <c r="AJ36" s="185">
        <f t="shared" si="3"/>
        <v>63.72727272727272</v>
      </c>
      <c r="AK36" s="185">
        <f t="shared" si="3"/>
        <v>70.099999999999994</v>
      </c>
      <c r="AL36" s="185">
        <f t="shared" si="3"/>
        <v>57.933884297520649</v>
      </c>
      <c r="AM36" s="185">
        <f t="shared" si="3"/>
        <v>63.72727272727272</v>
      </c>
      <c r="AN36" s="185">
        <f t="shared" si="3"/>
        <v>52.667167543200584</v>
      </c>
      <c r="AO36" s="185">
        <f t="shared" si="3"/>
        <v>57.933884297520649</v>
      </c>
      <c r="AP36" s="185">
        <f t="shared" si="3"/>
        <v>47.879243221091436</v>
      </c>
      <c r="AQ36" s="185">
        <f t="shared" si="3"/>
        <v>52.667167543200584</v>
      </c>
      <c r="BE36" s="108" t="s">
        <v>117</v>
      </c>
      <c r="BH36" s="27">
        <v>10</v>
      </c>
      <c r="BI36" s="103">
        <v>182</v>
      </c>
    </row>
    <row r="37" spans="1:61" ht="13" x14ac:dyDescent="0.3">
      <c r="AG37" s="177">
        <v>2015</v>
      </c>
      <c r="AH37" s="184">
        <v>57.6</v>
      </c>
      <c r="AI37" s="185">
        <f t="shared" si="4"/>
        <v>63.360000000000007</v>
      </c>
      <c r="AJ37" s="185">
        <f t="shared" si="3"/>
        <v>52.36363636363636</v>
      </c>
      <c r="AK37" s="185">
        <f t="shared" si="3"/>
        <v>57.6</v>
      </c>
      <c r="AL37" s="185">
        <f t="shared" si="3"/>
        <v>47.603305785123958</v>
      </c>
      <c r="AM37" s="185">
        <f t="shared" si="3"/>
        <v>52.36363636363636</v>
      </c>
      <c r="AN37" s="185">
        <f t="shared" si="3"/>
        <v>43.275732531930871</v>
      </c>
      <c r="AO37" s="185">
        <f t="shared" si="3"/>
        <v>47.603305785123958</v>
      </c>
      <c r="AP37" s="185">
        <f t="shared" si="3"/>
        <v>39.341575029028064</v>
      </c>
      <c r="AQ37" s="185">
        <f t="shared" si="3"/>
        <v>43.275732531930871</v>
      </c>
      <c r="BE37" s="107" t="s">
        <v>117</v>
      </c>
      <c r="BH37" s="27">
        <v>10</v>
      </c>
      <c r="BI37" s="97">
        <v>67</v>
      </c>
    </row>
    <row r="38" spans="1:61" ht="13" x14ac:dyDescent="0.3">
      <c r="AG38" s="177">
        <v>2016</v>
      </c>
      <c r="AH38" s="184">
        <v>50.2</v>
      </c>
      <c r="AI38" s="185">
        <f t="shared" si="4"/>
        <v>55.220000000000006</v>
      </c>
      <c r="AJ38" s="185">
        <f t="shared" si="3"/>
        <v>45.636363636363633</v>
      </c>
      <c r="AK38" s="185">
        <f t="shared" si="3"/>
        <v>50.2</v>
      </c>
      <c r="AL38" s="185">
        <f t="shared" si="3"/>
        <v>41.487603305785115</v>
      </c>
      <c r="AM38" s="185">
        <f t="shared" si="3"/>
        <v>45.636363636363633</v>
      </c>
      <c r="AN38" s="185">
        <f t="shared" si="3"/>
        <v>37.716003005259189</v>
      </c>
      <c r="AO38" s="185">
        <f t="shared" si="3"/>
        <v>41.487603305785115</v>
      </c>
      <c r="AP38" s="185">
        <f t="shared" si="3"/>
        <v>34.28727545932653</v>
      </c>
      <c r="AQ38" s="185">
        <f t="shared" si="3"/>
        <v>37.716003005259189</v>
      </c>
      <c r="BE38" s="109" t="s">
        <v>117</v>
      </c>
      <c r="BH38" s="27">
        <v>10</v>
      </c>
      <c r="BI38" s="200">
        <v>255</v>
      </c>
    </row>
    <row r="39" spans="1:61" x14ac:dyDescent="0.25">
      <c r="BE39" s="97" t="s">
        <v>117</v>
      </c>
      <c r="BH39" s="27">
        <v>10</v>
      </c>
      <c r="BI39" s="201">
        <v>237</v>
      </c>
    </row>
    <row r="40" spans="1:61" x14ac:dyDescent="0.25">
      <c r="BE40" s="104" t="s">
        <v>117</v>
      </c>
      <c r="BH40" s="27">
        <v>10</v>
      </c>
      <c r="BI40" s="95">
        <v>25</v>
      </c>
    </row>
    <row r="41" spans="1:61" x14ac:dyDescent="0.25">
      <c r="BE41" s="107" t="s">
        <v>117</v>
      </c>
      <c r="BH41" s="27">
        <v>10</v>
      </c>
      <c r="BI41" s="194">
        <v>118</v>
      </c>
    </row>
    <row r="42" spans="1:61" x14ac:dyDescent="0.25">
      <c r="R42" s="195">
        <v>0</v>
      </c>
      <c r="S42" s="195">
        <v>174</v>
      </c>
      <c r="T42" s="195">
        <v>229</v>
      </c>
      <c r="BE42" s="97" t="s">
        <v>117</v>
      </c>
      <c r="BH42" s="27">
        <v>10</v>
      </c>
      <c r="BI42" s="96">
        <v>65</v>
      </c>
    </row>
    <row r="43" spans="1:61" x14ac:dyDescent="0.25">
      <c r="R43" s="194">
        <v>118</v>
      </c>
      <c r="S43" s="194">
        <v>84</v>
      </c>
      <c r="T43" s="194">
        <v>163</v>
      </c>
      <c r="BE43" s="120" t="s">
        <v>117</v>
      </c>
      <c r="BI43" s="193">
        <v>255</v>
      </c>
    </row>
    <row r="44" spans="1:61" x14ac:dyDescent="0.25">
      <c r="R44" s="97">
        <v>67</v>
      </c>
      <c r="S44" s="97">
        <v>190</v>
      </c>
      <c r="T44" s="97">
        <v>173</v>
      </c>
      <c r="BE44" s="111" t="s">
        <v>117</v>
      </c>
      <c r="BI44" s="198">
        <v>210</v>
      </c>
    </row>
    <row r="45" spans="1:61" x14ac:dyDescent="0.25">
      <c r="R45" s="200">
        <v>255</v>
      </c>
      <c r="S45" s="200">
        <v>232</v>
      </c>
      <c r="T45" s="200">
        <v>56</v>
      </c>
      <c r="BE45" s="104" t="s">
        <v>117</v>
      </c>
    </row>
    <row r="46" spans="1:61" x14ac:dyDescent="0.25">
      <c r="R46" s="201">
        <v>237</v>
      </c>
      <c r="S46" s="201">
        <v>49</v>
      </c>
      <c r="T46" s="201">
        <v>36</v>
      </c>
      <c r="BE46" s="122" t="s">
        <v>117</v>
      </c>
    </row>
    <row r="47" spans="1:61" ht="13" x14ac:dyDescent="0.3">
      <c r="R47" s="95">
        <v>25</v>
      </c>
      <c r="S47" s="95">
        <v>178</v>
      </c>
      <c r="T47" s="95">
        <v>78</v>
      </c>
      <c r="U47" s="215" t="s">
        <v>403</v>
      </c>
      <c r="BE47" s="113" t="s">
        <v>117</v>
      </c>
    </row>
    <row r="48" spans="1:61" x14ac:dyDescent="0.25">
      <c r="R48" s="103">
        <v>189</v>
      </c>
      <c r="S48" s="103">
        <v>92</v>
      </c>
      <c r="T48" s="103">
        <v>163</v>
      </c>
      <c r="BE48" s="95" t="s">
        <v>117</v>
      </c>
    </row>
    <row r="49" spans="1:57" x14ac:dyDescent="0.25">
      <c r="R49" s="96">
        <v>65</v>
      </c>
      <c r="S49" s="96">
        <v>65</v>
      </c>
      <c r="T49" s="96">
        <v>65</v>
      </c>
      <c r="BE49" s="104" t="s">
        <v>117</v>
      </c>
    </row>
    <row r="50" spans="1:57" ht="20" x14ac:dyDescent="0.25">
      <c r="A50" s="174" t="s">
        <v>340</v>
      </c>
      <c r="B50" s="174"/>
      <c r="R50" s="193">
        <v>255</v>
      </c>
      <c r="S50" s="193">
        <v>201</v>
      </c>
      <c r="T50" s="193">
        <v>29</v>
      </c>
      <c r="BE50" s="98" t="s">
        <v>117</v>
      </c>
    </row>
    <row r="51" spans="1:57" x14ac:dyDescent="0.25">
      <c r="R51" s="198">
        <v>210</v>
      </c>
      <c r="S51" s="198">
        <v>210</v>
      </c>
      <c r="T51" s="198">
        <v>210</v>
      </c>
      <c r="BE51" s="106" t="s">
        <v>117</v>
      </c>
    </row>
    <row r="52" spans="1:57" ht="13" x14ac:dyDescent="0.25">
      <c r="A52" s="179" t="s">
        <v>341</v>
      </c>
      <c r="B52" s="179" t="s">
        <v>342</v>
      </c>
      <c r="C52" s="179"/>
      <c r="R52" s="214">
        <v>0</v>
      </c>
      <c r="S52" s="214">
        <v>0</v>
      </c>
      <c r="T52" s="214">
        <v>0</v>
      </c>
      <c r="BE52" s="103" t="s">
        <v>117</v>
      </c>
    </row>
    <row r="53" spans="1:57" x14ac:dyDescent="0.25">
      <c r="A53" s="175" t="s">
        <v>245</v>
      </c>
      <c r="B53" s="176">
        <v>258</v>
      </c>
      <c r="C53" s="175">
        <f>B53*2</f>
        <v>516</v>
      </c>
      <c r="D53" s="175">
        <f>C53*2</f>
        <v>1032</v>
      </c>
      <c r="R53" s="196">
        <v>179</v>
      </c>
      <c r="S53" s="196">
        <v>179</v>
      </c>
      <c r="T53" s="196">
        <v>179</v>
      </c>
      <c r="BE53" s="114" t="s">
        <v>117</v>
      </c>
    </row>
    <row r="54" spans="1:57" x14ac:dyDescent="0.25">
      <c r="A54" s="175" t="s">
        <v>244</v>
      </c>
      <c r="B54" s="176">
        <v>188</v>
      </c>
      <c r="C54" s="175">
        <f t="shared" ref="C54:D59" si="5">B54*2</f>
        <v>376</v>
      </c>
      <c r="D54" s="175">
        <f t="shared" si="5"/>
        <v>752</v>
      </c>
      <c r="R54" s="197">
        <v>192</v>
      </c>
      <c r="S54" s="197">
        <v>192</v>
      </c>
      <c r="T54" s="197">
        <v>192</v>
      </c>
      <c r="BE54" s="115" t="s">
        <v>117</v>
      </c>
    </row>
    <row r="55" spans="1:57" x14ac:dyDescent="0.25">
      <c r="A55" s="175" t="s">
        <v>343</v>
      </c>
      <c r="B55" s="176">
        <v>73</v>
      </c>
      <c r="C55" s="175">
        <f t="shared" si="5"/>
        <v>146</v>
      </c>
      <c r="D55" s="175">
        <f t="shared" si="5"/>
        <v>292</v>
      </c>
      <c r="R55" s="198">
        <v>210</v>
      </c>
      <c r="S55" s="198">
        <v>210</v>
      </c>
      <c r="T55" s="198">
        <v>210</v>
      </c>
      <c r="AD55" s="180" t="s">
        <v>352</v>
      </c>
      <c r="BE55" s="107" t="s">
        <v>117</v>
      </c>
    </row>
    <row r="56" spans="1:57" x14ac:dyDescent="0.25">
      <c r="A56" s="175" t="s">
        <v>344</v>
      </c>
      <c r="B56" s="176">
        <v>67</v>
      </c>
      <c r="C56" s="175">
        <f t="shared" si="5"/>
        <v>134</v>
      </c>
      <c r="D56" s="175">
        <f t="shared" si="5"/>
        <v>268</v>
      </c>
      <c r="BE56" s="116" t="s">
        <v>117</v>
      </c>
    </row>
    <row r="57" spans="1:57" x14ac:dyDescent="0.25">
      <c r="A57" s="175" t="s">
        <v>246</v>
      </c>
      <c r="B57" s="176">
        <v>17</v>
      </c>
      <c r="C57" s="175">
        <f t="shared" si="5"/>
        <v>34</v>
      </c>
      <c r="D57" s="175">
        <f t="shared" si="5"/>
        <v>68</v>
      </c>
      <c r="BE57" s="117" t="s">
        <v>117</v>
      </c>
    </row>
    <row r="58" spans="1:57" x14ac:dyDescent="0.25">
      <c r="BE58" s="121" t="s">
        <v>117</v>
      </c>
    </row>
    <row r="59" spans="1:57" x14ac:dyDescent="0.25">
      <c r="A59" s="175" t="s">
        <v>345</v>
      </c>
      <c r="B59" s="176">
        <v>354</v>
      </c>
      <c r="C59" s="175">
        <f t="shared" si="5"/>
        <v>708</v>
      </c>
      <c r="D59" s="175">
        <f t="shared" si="5"/>
        <v>1416</v>
      </c>
      <c r="BE59" s="123" t="s">
        <v>117</v>
      </c>
    </row>
    <row r="60" spans="1:57" x14ac:dyDescent="0.25">
      <c r="BE60" s="119" t="s">
        <v>117</v>
      </c>
    </row>
    <row r="61" spans="1:57" x14ac:dyDescent="0.25">
      <c r="BE61" s="122" t="s">
        <v>117</v>
      </c>
    </row>
    <row r="62" spans="1:57" x14ac:dyDescent="0.25">
      <c r="BE62" s="95" t="s">
        <v>117</v>
      </c>
    </row>
    <row r="63" spans="1:57" x14ac:dyDescent="0.25">
      <c r="BE63" s="96" t="s">
        <v>117</v>
      </c>
    </row>
    <row r="64" spans="1:57" x14ac:dyDescent="0.25">
      <c r="BE64" s="100" t="s">
        <v>117</v>
      </c>
    </row>
    <row r="65" spans="1:57" x14ac:dyDescent="0.25">
      <c r="BE65" s="118" t="s">
        <v>117</v>
      </c>
    </row>
    <row r="66" spans="1:57" x14ac:dyDescent="0.25">
      <c r="BE66" s="110" t="s">
        <v>117</v>
      </c>
    </row>
    <row r="67" spans="1:57" ht="28" x14ac:dyDescent="0.6">
      <c r="Z67" s="191"/>
      <c r="AA67" s="191" t="s">
        <v>354</v>
      </c>
      <c r="AJ67" s="191" t="s">
        <v>355</v>
      </c>
      <c r="BE67" s="102" t="s">
        <v>117</v>
      </c>
    </row>
    <row r="68" spans="1:57" x14ac:dyDescent="0.25">
      <c r="BE68" s="114" t="s">
        <v>117</v>
      </c>
    </row>
    <row r="69" spans="1:57" ht="20" x14ac:dyDescent="0.3">
      <c r="A69" s="174" t="s">
        <v>346</v>
      </c>
      <c r="U69" s="215" t="s">
        <v>404</v>
      </c>
      <c r="BE69" s="98" t="s">
        <v>117</v>
      </c>
    </row>
    <row r="70" spans="1:57" x14ac:dyDescent="0.25">
      <c r="A70" s="180"/>
      <c r="BE70" s="112" t="s">
        <v>117</v>
      </c>
    </row>
    <row r="71" spans="1:57" ht="13" x14ac:dyDescent="0.25">
      <c r="A71" s="179" t="s">
        <v>294</v>
      </c>
      <c r="B71" s="179" t="s">
        <v>348</v>
      </c>
      <c r="C71" s="179" t="s">
        <v>347</v>
      </c>
      <c r="D71" s="186">
        <v>1000</v>
      </c>
      <c r="E71" s="176">
        <v>2</v>
      </c>
      <c r="F71" s="176">
        <v>3</v>
      </c>
      <c r="G71" s="176">
        <v>4</v>
      </c>
      <c r="H71" s="176">
        <v>5</v>
      </c>
      <c r="I71" s="176">
        <v>6</v>
      </c>
      <c r="J71" s="176">
        <v>7</v>
      </c>
      <c r="BE71" s="103" t="s">
        <v>117</v>
      </c>
    </row>
    <row r="72" spans="1:57" x14ac:dyDescent="0.25">
      <c r="A72" s="187">
        <v>36556</v>
      </c>
      <c r="B72" s="182">
        <v>583082</v>
      </c>
      <c r="C72" s="188">
        <f>B72/$D$71</f>
        <v>583.08199999999999</v>
      </c>
      <c r="D72" s="189">
        <f t="shared" ref="D72:I72" si="6">C72*0.8</f>
        <v>466.46559999999999</v>
      </c>
      <c r="E72" s="189">
        <f t="shared" si="6"/>
        <v>373.17248000000001</v>
      </c>
      <c r="F72" s="189">
        <f t="shared" si="6"/>
        <v>298.53798399999999</v>
      </c>
      <c r="G72" s="189">
        <f t="shared" si="6"/>
        <v>238.83038720000002</v>
      </c>
      <c r="H72" s="189">
        <f t="shared" si="6"/>
        <v>191.06430976000001</v>
      </c>
      <c r="I72" s="189">
        <f t="shared" si="6"/>
        <v>152.85144780800002</v>
      </c>
      <c r="J72" s="189"/>
      <c r="BE72" s="115" t="s">
        <v>117</v>
      </c>
    </row>
    <row r="73" spans="1:57" x14ac:dyDescent="0.25">
      <c r="A73" s="187">
        <v>36585</v>
      </c>
      <c r="B73" s="182">
        <v>731349</v>
      </c>
      <c r="C73" s="188">
        <f t="shared" ref="C73:C136" si="7">B73/$D$71</f>
        <v>731.34900000000005</v>
      </c>
      <c r="D73" s="189">
        <f t="shared" ref="D73:E136" si="8">C73*0.8</f>
        <v>585.07920000000001</v>
      </c>
      <c r="E73" s="189">
        <f t="shared" si="8"/>
        <v>468.06336000000005</v>
      </c>
      <c r="F73" s="189">
        <f t="shared" ref="F73:I92" si="9">E73*0.8</f>
        <v>374.45068800000007</v>
      </c>
      <c r="G73" s="189">
        <f t="shared" si="9"/>
        <v>299.56055040000007</v>
      </c>
      <c r="H73" s="189">
        <f t="shared" si="9"/>
        <v>239.64844032000008</v>
      </c>
      <c r="I73" s="189">
        <f t="shared" si="9"/>
        <v>191.71875225600007</v>
      </c>
      <c r="J73" s="189"/>
      <c r="BE73" s="124" t="s">
        <v>117</v>
      </c>
    </row>
    <row r="74" spans="1:57" x14ac:dyDescent="0.25">
      <c r="A74" s="187">
        <v>36616</v>
      </c>
      <c r="B74" s="182">
        <v>834060</v>
      </c>
      <c r="C74" s="188">
        <f t="shared" si="7"/>
        <v>834.06</v>
      </c>
      <c r="D74" s="189">
        <f t="shared" si="8"/>
        <v>667.24800000000005</v>
      </c>
      <c r="E74" s="189">
        <f t="shared" si="8"/>
        <v>533.79840000000002</v>
      </c>
      <c r="F74" s="189">
        <f t="shared" si="9"/>
        <v>427.03872000000001</v>
      </c>
      <c r="G74" s="189">
        <f t="shared" si="9"/>
        <v>341.63097600000003</v>
      </c>
      <c r="H74" s="189">
        <f t="shared" si="9"/>
        <v>273.30478080000006</v>
      </c>
      <c r="I74" s="189">
        <f t="shared" si="9"/>
        <v>218.64382464000005</v>
      </c>
      <c r="J74" s="189"/>
      <c r="BE74" s="125" t="s">
        <v>117</v>
      </c>
    </row>
    <row r="75" spans="1:57" x14ac:dyDescent="0.25">
      <c r="A75" s="187">
        <v>36646</v>
      </c>
      <c r="B75" s="182">
        <v>727079</v>
      </c>
      <c r="C75" s="188">
        <f t="shared" si="7"/>
        <v>727.07899999999995</v>
      </c>
      <c r="D75" s="189">
        <f t="shared" si="8"/>
        <v>581.66319999999996</v>
      </c>
      <c r="E75" s="189">
        <f t="shared" si="8"/>
        <v>465.33055999999999</v>
      </c>
      <c r="F75" s="189">
        <f t="shared" si="9"/>
        <v>372.26444800000002</v>
      </c>
      <c r="G75" s="189">
        <f t="shared" si="9"/>
        <v>297.81155840000002</v>
      </c>
      <c r="H75" s="189">
        <f t="shared" si="9"/>
        <v>238.24924672000003</v>
      </c>
      <c r="I75" s="189">
        <f t="shared" si="9"/>
        <v>190.59939737600004</v>
      </c>
      <c r="J75" s="189"/>
      <c r="BE75" s="115" t="s">
        <v>117</v>
      </c>
    </row>
    <row r="76" spans="1:57" x14ac:dyDescent="0.25">
      <c r="A76" s="187">
        <v>36677</v>
      </c>
      <c r="B76" s="182">
        <v>791619</v>
      </c>
      <c r="C76" s="188">
        <f t="shared" si="7"/>
        <v>791.61900000000003</v>
      </c>
      <c r="D76" s="189">
        <f t="shared" si="8"/>
        <v>633.29520000000002</v>
      </c>
      <c r="E76" s="189">
        <f t="shared" si="8"/>
        <v>506.63616000000002</v>
      </c>
      <c r="F76" s="189">
        <f t="shared" si="9"/>
        <v>405.30892800000004</v>
      </c>
      <c r="G76" s="189">
        <f t="shared" si="9"/>
        <v>324.24714240000003</v>
      </c>
      <c r="H76" s="189">
        <f t="shared" si="9"/>
        <v>259.39771392000006</v>
      </c>
      <c r="I76" s="189">
        <f t="shared" si="9"/>
        <v>207.51817113600006</v>
      </c>
      <c r="J76" s="189"/>
      <c r="BE76" s="124" t="s">
        <v>117</v>
      </c>
    </row>
    <row r="77" spans="1:57" x14ac:dyDescent="0.25">
      <c r="A77" s="187">
        <v>36707</v>
      </c>
      <c r="B77" s="182">
        <v>780133</v>
      </c>
      <c r="C77" s="188">
        <f t="shared" si="7"/>
        <v>780.13300000000004</v>
      </c>
      <c r="D77" s="189">
        <f t="shared" si="8"/>
        <v>624.10640000000012</v>
      </c>
      <c r="E77" s="189">
        <f t="shared" si="8"/>
        <v>499.28512000000012</v>
      </c>
      <c r="F77" s="189">
        <f t="shared" si="9"/>
        <v>399.4280960000001</v>
      </c>
      <c r="G77" s="189">
        <f t="shared" si="9"/>
        <v>319.54247680000009</v>
      </c>
      <c r="H77" s="189">
        <f t="shared" si="9"/>
        <v>255.63398144000007</v>
      </c>
      <c r="I77" s="189">
        <f t="shared" si="9"/>
        <v>204.50718515200006</v>
      </c>
      <c r="J77" s="189"/>
      <c r="BE77" s="114" t="s">
        <v>117</v>
      </c>
    </row>
    <row r="78" spans="1:57" x14ac:dyDescent="0.25">
      <c r="A78" s="187">
        <v>36738</v>
      </c>
      <c r="B78" s="182">
        <v>692486</v>
      </c>
      <c r="C78" s="188">
        <f t="shared" si="7"/>
        <v>692.48599999999999</v>
      </c>
      <c r="D78" s="189">
        <f t="shared" si="8"/>
        <v>553.98879999999997</v>
      </c>
      <c r="E78" s="189">
        <f t="shared" si="8"/>
        <v>443.19103999999999</v>
      </c>
      <c r="F78" s="189">
        <f t="shared" si="9"/>
        <v>354.55283200000002</v>
      </c>
      <c r="G78" s="189">
        <f t="shared" si="9"/>
        <v>283.64226560000003</v>
      </c>
      <c r="H78" s="189">
        <f t="shared" si="9"/>
        <v>226.91381248000005</v>
      </c>
      <c r="I78" s="189">
        <f t="shared" si="9"/>
        <v>181.53104998400005</v>
      </c>
      <c r="J78" s="189"/>
    </row>
    <row r="79" spans="1:57" x14ac:dyDescent="0.25">
      <c r="A79" s="187">
        <v>36769</v>
      </c>
      <c r="B79" s="182">
        <v>740253</v>
      </c>
      <c r="C79" s="188">
        <f t="shared" si="7"/>
        <v>740.25300000000004</v>
      </c>
      <c r="D79" s="189">
        <f t="shared" si="8"/>
        <v>592.20240000000001</v>
      </c>
      <c r="E79" s="189">
        <f t="shared" si="8"/>
        <v>473.76192000000003</v>
      </c>
      <c r="F79" s="189">
        <f t="shared" si="9"/>
        <v>379.00953600000003</v>
      </c>
      <c r="G79" s="189">
        <f t="shared" si="9"/>
        <v>303.20762880000001</v>
      </c>
      <c r="H79" s="189">
        <f t="shared" si="9"/>
        <v>242.56610304000003</v>
      </c>
      <c r="I79" s="189">
        <f t="shared" si="9"/>
        <v>194.05288243200005</v>
      </c>
      <c r="J79" s="189"/>
    </row>
    <row r="80" spans="1:57" x14ac:dyDescent="0.25">
      <c r="A80" s="187">
        <v>36799</v>
      </c>
      <c r="B80" s="182">
        <v>728546</v>
      </c>
      <c r="C80" s="188">
        <f t="shared" si="7"/>
        <v>728.54600000000005</v>
      </c>
      <c r="D80" s="189">
        <f t="shared" si="8"/>
        <v>582.83680000000004</v>
      </c>
      <c r="E80" s="189">
        <f t="shared" si="8"/>
        <v>466.26944000000003</v>
      </c>
      <c r="F80" s="189">
        <f t="shared" si="9"/>
        <v>373.01555200000007</v>
      </c>
      <c r="G80" s="189">
        <f t="shared" si="9"/>
        <v>298.41244160000008</v>
      </c>
      <c r="H80" s="189">
        <f t="shared" si="9"/>
        <v>238.72995328000007</v>
      </c>
      <c r="I80" s="189">
        <f t="shared" si="9"/>
        <v>190.98396262400007</v>
      </c>
      <c r="J80" s="189"/>
    </row>
    <row r="81" spans="1:21" x14ac:dyDescent="0.25">
      <c r="A81" s="187">
        <v>36830</v>
      </c>
      <c r="B81" s="182">
        <v>658815</v>
      </c>
      <c r="C81" s="188">
        <f t="shared" si="7"/>
        <v>658.81500000000005</v>
      </c>
      <c r="D81" s="189">
        <f t="shared" si="8"/>
        <v>527.05200000000002</v>
      </c>
      <c r="E81" s="189">
        <f t="shared" si="8"/>
        <v>421.64160000000004</v>
      </c>
      <c r="F81" s="189">
        <f t="shared" si="9"/>
        <v>337.31328000000008</v>
      </c>
      <c r="G81" s="189">
        <f t="shared" si="9"/>
        <v>269.8506240000001</v>
      </c>
      <c r="H81" s="189">
        <f t="shared" si="9"/>
        <v>215.88049920000009</v>
      </c>
      <c r="I81" s="189">
        <f t="shared" si="9"/>
        <v>172.70439936000008</v>
      </c>
      <c r="J81" s="189"/>
    </row>
    <row r="82" spans="1:21" x14ac:dyDescent="0.25">
      <c r="A82" s="187">
        <v>36860</v>
      </c>
      <c r="B82" s="182">
        <v>630488</v>
      </c>
      <c r="C82" s="188">
        <f t="shared" si="7"/>
        <v>630.48800000000006</v>
      </c>
      <c r="D82" s="189">
        <f t="shared" si="8"/>
        <v>504.39040000000006</v>
      </c>
      <c r="E82" s="189">
        <f t="shared" si="8"/>
        <v>403.51232000000005</v>
      </c>
      <c r="F82" s="189">
        <f t="shared" si="9"/>
        <v>322.80985600000008</v>
      </c>
      <c r="G82" s="189">
        <f t="shared" si="9"/>
        <v>258.24788480000007</v>
      </c>
      <c r="H82" s="189">
        <f t="shared" si="9"/>
        <v>206.59830784000007</v>
      </c>
      <c r="I82" s="189">
        <f t="shared" si="9"/>
        <v>165.27864627200006</v>
      </c>
      <c r="J82" s="189"/>
    </row>
    <row r="83" spans="1:21" x14ac:dyDescent="0.25">
      <c r="A83" s="187">
        <v>36891</v>
      </c>
      <c r="B83" s="182">
        <v>627215</v>
      </c>
      <c r="C83" s="188">
        <f t="shared" si="7"/>
        <v>627.21500000000003</v>
      </c>
      <c r="D83" s="189">
        <f t="shared" si="8"/>
        <v>501.77200000000005</v>
      </c>
      <c r="E83" s="189">
        <f t="shared" si="8"/>
        <v>401.41760000000005</v>
      </c>
      <c r="F83" s="189">
        <f t="shared" si="9"/>
        <v>321.13408000000004</v>
      </c>
      <c r="G83" s="189">
        <f t="shared" si="9"/>
        <v>256.90726400000005</v>
      </c>
      <c r="H83" s="189">
        <f t="shared" si="9"/>
        <v>205.52581120000005</v>
      </c>
      <c r="I83" s="189">
        <f t="shared" si="9"/>
        <v>164.42064896000005</v>
      </c>
      <c r="J83" s="189"/>
    </row>
    <row r="84" spans="1:21" x14ac:dyDescent="0.25">
      <c r="A84" s="187">
        <v>36922</v>
      </c>
      <c r="B84" s="182">
        <v>573878</v>
      </c>
      <c r="C84" s="188">
        <f t="shared" si="7"/>
        <v>573.87800000000004</v>
      </c>
      <c r="D84" s="189">
        <f t="shared" si="8"/>
        <v>459.10240000000005</v>
      </c>
      <c r="E84" s="189">
        <f t="shared" si="8"/>
        <v>367.28192000000007</v>
      </c>
      <c r="F84" s="189">
        <f t="shared" si="9"/>
        <v>293.82553600000006</v>
      </c>
      <c r="G84" s="189">
        <f t="shared" si="9"/>
        <v>235.06042880000007</v>
      </c>
      <c r="H84" s="189">
        <f t="shared" si="9"/>
        <v>188.04834304000008</v>
      </c>
      <c r="I84" s="189">
        <f t="shared" si="9"/>
        <v>150.43867443200006</v>
      </c>
      <c r="J84" s="189"/>
    </row>
    <row r="85" spans="1:21" x14ac:dyDescent="0.25">
      <c r="A85" s="187">
        <v>36950</v>
      </c>
      <c r="B85" s="182">
        <v>655104</v>
      </c>
      <c r="C85" s="188">
        <f t="shared" si="7"/>
        <v>655.10400000000004</v>
      </c>
      <c r="D85" s="189">
        <f t="shared" si="8"/>
        <v>524.08320000000003</v>
      </c>
      <c r="E85" s="189">
        <f t="shared" si="8"/>
        <v>419.26656000000003</v>
      </c>
      <c r="F85" s="189">
        <f t="shared" si="9"/>
        <v>335.41324800000007</v>
      </c>
      <c r="G85" s="189">
        <f t="shared" si="9"/>
        <v>268.33059840000004</v>
      </c>
      <c r="H85" s="189">
        <f t="shared" si="9"/>
        <v>214.66447872000003</v>
      </c>
      <c r="I85" s="189">
        <f t="shared" si="9"/>
        <v>171.73158297600003</v>
      </c>
      <c r="J85" s="189"/>
    </row>
    <row r="86" spans="1:21" x14ac:dyDescent="0.25">
      <c r="A86" s="187">
        <v>36981</v>
      </c>
      <c r="B86" s="182">
        <v>808024</v>
      </c>
      <c r="C86" s="188">
        <f t="shared" si="7"/>
        <v>808.024</v>
      </c>
      <c r="D86" s="189">
        <f t="shared" si="8"/>
        <v>646.41920000000005</v>
      </c>
      <c r="E86" s="189">
        <f t="shared" si="8"/>
        <v>517.13536000000011</v>
      </c>
      <c r="F86" s="189">
        <f t="shared" si="9"/>
        <v>413.7082880000001</v>
      </c>
      <c r="G86" s="189">
        <f t="shared" si="9"/>
        <v>330.9666304000001</v>
      </c>
      <c r="H86" s="189">
        <f t="shared" si="9"/>
        <v>264.77330432000008</v>
      </c>
      <c r="I86" s="189">
        <f t="shared" si="9"/>
        <v>211.81864345600007</v>
      </c>
      <c r="J86" s="189"/>
    </row>
    <row r="87" spans="1:21" x14ac:dyDescent="0.25">
      <c r="A87" s="187">
        <v>37011</v>
      </c>
      <c r="B87" s="182">
        <v>659604</v>
      </c>
      <c r="C87" s="188">
        <f t="shared" si="7"/>
        <v>659.60400000000004</v>
      </c>
      <c r="D87" s="189">
        <f t="shared" si="8"/>
        <v>527.68320000000006</v>
      </c>
      <c r="E87" s="189">
        <f t="shared" si="8"/>
        <v>422.14656000000008</v>
      </c>
      <c r="F87" s="189">
        <f t="shared" si="9"/>
        <v>337.7172480000001</v>
      </c>
      <c r="G87" s="189">
        <f t="shared" si="9"/>
        <v>270.17379840000007</v>
      </c>
      <c r="H87" s="189">
        <f t="shared" si="9"/>
        <v>216.13903872000006</v>
      </c>
      <c r="I87" s="189">
        <f t="shared" si="9"/>
        <v>172.91123097600007</v>
      </c>
      <c r="J87" s="189"/>
    </row>
    <row r="88" spans="1:21" x14ac:dyDescent="0.25">
      <c r="A88" s="187">
        <v>37042</v>
      </c>
      <c r="B88" s="182">
        <v>788154</v>
      </c>
      <c r="C88" s="188">
        <f t="shared" si="7"/>
        <v>788.154</v>
      </c>
      <c r="D88" s="189">
        <f t="shared" si="8"/>
        <v>630.52320000000009</v>
      </c>
      <c r="E88" s="189">
        <f t="shared" si="8"/>
        <v>504.41856000000007</v>
      </c>
      <c r="F88" s="189">
        <f t="shared" si="9"/>
        <v>403.53484800000007</v>
      </c>
      <c r="G88" s="189">
        <f t="shared" si="9"/>
        <v>322.82787840000009</v>
      </c>
      <c r="H88" s="189">
        <f t="shared" si="9"/>
        <v>258.26230272000009</v>
      </c>
      <c r="I88" s="189">
        <f t="shared" si="9"/>
        <v>206.60984217600009</v>
      </c>
      <c r="J88" s="189"/>
    </row>
    <row r="89" spans="1:21" x14ac:dyDescent="0.25">
      <c r="A89" s="187">
        <v>37072</v>
      </c>
      <c r="B89" s="182">
        <v>809225</v>
      </c>
      <c r="C89" s="188">
        <f t="shared" si="7"/>
        <v>809.22500000000002</v>
      </c>
      <c r="D89" s="189">
        <f t="shared" si="8"/>
        <v>647.38000000000011</v>
      </c>
      <c r="E89" s="189">
        <f t="shared" si="8"/>
        <v>517.90400000000011</v>
      </c>
      <c r="F89" s="189">
        <f t="shared" si="9"/>
        <v>414.3232000000001</v>
      </c>
      <c r="G89" s="189">
        <f t="shared" si="9"/>
        <v>331.45856000000009</v>
      </c>
      <c r="H89" s="189">
        <f t="shared" si="9"/>
        <v>265.16684800000007</v>
      </c>
      <c r="I89" s="189">
        <f t="shared" si="9"/>
        <v>212.13347840000006</v>
      </c>
      <c r="J89" s="189"/>
    </row>
    <row r="90" spans="1:21" x14ac:dyDescent="0.25">
      <c r="A90" s="187">
        <v>37103</v>
      </c>
      <c r="B90" s="182">
        <v>681033</v>
      </c>
      <c r="C90" s="188">
        <f t="shared" si="7"/>
        <v>681.03300000000002</v>
      </c>
      <c r="D90" s="189">
        <f t="shared" si="8"/>
        <v>544.82640000000004</v>
      </c>
      <c r="E90" s="189">
        <f t="shared" si="8"/>
        <v>435.86112000000003</v>
      </c>
      <c r="F90" s="189">
        <f t="shared" si="9"/>
        <v>348.68889600000006</v>
      </c>
      <c r="G90" s="189">
        <f t="shared" si="9"/>
        <v>278.95111680000008</v>
      </c>
      <c r="H90" s="189">
        <f t="shared" si="9"/>
        <v>223.16089344000008</v>
      </c>
      <c r="I90" s="189">
        <f t="shared" si="9"/>
        <v>178.52871475200007</v>
      </c>
      <c r="J90" s="189"/>
    </row>
    <row r="91" spans="1:21" x14ac:dyDescent="0.25">
      <c r="A91" s="187">
        <v>37134</v>
      </c>
      <c r="B91" s="182">
        <v>708688</v>
      </c>
      <c r="C91" s="188">
        <f t="shared" si="7"/>
        <v>708.68799999999999</v>
      </c>
      <c r="D91" s="189">
        <f t="shared" si="8"/>
        <v>566.95040000000006</v>
      </c>
      <c r="E91" s="189">
        <f t="shared" si="8"/>
        <v>453.56032000000005</v>
      </c>
      <c r="F91" s="189">
        <f t="shared" si="9"/>
        <v>362.84825600000005</v>
      </c>
      <c r="G91" s="189">
        <f t="shared" si="9"/>
        <v>290.27860480000004</v>
      </c>
      <c r="H91" s="189">
        <f t="shared" si="9"/>
        <v>232.22288384000004</v>
      </c>
      <c r="I91" s="189">
        <f t="shared" si="9"/>
        <v>185.77830707200005</v>
      </c>
      <c r="J91" s="189"/>
    </row>
    <row r="92" spans="1:21" x14ac:dyDescent="0.25">
      <c r="A92" s="187">
        <v>37164</v>
      </c>
      <c r="B92" s="182">
        <v>649229</v>
      </c>
      <c r="C92" s="188">
        <f t="shared" si="7"/>
        <v>649.22900000000004</v>
      </c>
      <c r="D92" s="189">
        <f t="shared" si="8"/>
        <v>519.3832000000001</v>
      </c>
      <c r="E92" s="189">
        <f t="shared" si="8"/>
        <v>415.50656000000009</v>
      </c>
      <c r="F92" s="189">
        <f t="shared" si="9"/>
        <v>332.40524800000009</v>
      </c>
      <c r="G92" s="189">
        <f t="shared" si="9"/>
        <v>265.92419840000008</v>
      </c>
      <c r="H92" s="189">
        <f t="shared" si="9"/>
        <v>212.73935872000007</v>
      </c>
      <c r="I92" s="189">
        <f t="shared" si="9"/>
        <v>170.19148697600008</v>
      </c>
      <c r="J92" s="189"/>
    </row>
    <row r="93" spans="1:21" ht="13" x14ac:dyDescent="0.3">
      <c r="A93" s="187">
        <v>37195</v>
      </c>
      <c r="B93" s="182">
        <v>909756</v>
      </c>
      <c r="C93" s="188">
        <f t="shared" si="7"/>
        <v>909.75599999999997</v>
      </c>
      <c r="D93" s="189">
        <f t="shared" si="8"/>
        <v>727.8048</v>
      </c>
      <c r="E93" s="189">
        <f t="shared" si="8"/>
        <v>582.24383999999998</v>
      </c>
      <c r="F93" s="189">
        <f t="shared" ref="F93:I112" si="10">E93*0.8</f>
        <v>465.795072</v>
      </c>
      <c r="G93" s="189">
        <f t="shared" si="10"/>
        <v>372.63605760000002</v>
      </c>
      <c r="H93" s="189">
        <f t="shared" si="10"/>
        <v>298.10884608000003</v>
      </c>
      <c r="I93" s="189">
        <f t="shared" si="10"/>
        <v>238.48707686400004</v>
      </c>
      <c r="J93" s="189"/>
      <c r="U93" s="215" t="s">
        <v>405</v>
      </c>
    </row>
    <row r="94" spans="1:21" x14ac:dyDescent="0.25">
      <c r="A94" s="187">
        <v>37225</v>
      </c>
      <c r="B94" s="182">
        <v>722769</v>
      </c>
      <c r="C94" s="188">
        <f t="shared" si="7"/>
        <v>722.76900000000001</v>
      </c>
      <c r="D94" s="189">
        <f t="shared" si="8"/>
        <v>578.21519999999998</v>
      </c>
      <c r="E94" s="189">
        <f t="shared" si="8"/>
        <v>462.57216</v>
      </c>
      <c r="F94" s="189">
        <f t="shared" si="10"/>
        <v>370.057728</v>
      </c>
      <c r="G94" s="189">
        <f t="shared" si="10"/>
        <v>296.04618240000002</v>
      </c>
      <c r="H94" s="189">
        <f t="shared" si="10"/>
        <v>236.83694592000003</v>
      </c>
      <c r="I94" s="189">
        <f t="shared" si="10"/>
        <v>189.46955673600004</v>
      </c>
      <c r="J94" s="189"/>
    </row>
    <row r="95" spans="1:21" x14ac:dyDescent="0.25">
      <c r="A95" s="187">
        <v>37256</v>
      </c>
      <c r="B95" s="182">
        <v>736423</v>
      </c>
      <c r="C95" s="188">
        <f t="shared" si="7"/>
        <v>736.423</v>
      </c>
      <c r="D95" s="189">
        <f t="shared" si="8"/>
        <v>589.13840000000005</v>
      </c>
      <c r="E95" s="189">
        <f t="shared" si="8"/>
        <v>471.31072000000006</v>
      </c>
      <c r="F95" s="189">
        <f t="shared" si="10"/>
        <v>377.04857600000008</v>
      </c>
      <c r="G95" s="189">
        <f t="shared" si="10"/>
        <v>301.63886080000009</v>
      </c>
      <c r="H95" s="189">
        <f t="shared" si="10"/>
        <v>241.31108864000009</v>
      </c>
      <c r="I95" s="189">
        <f t="shared" si="10"/>
        <v>193.0488709120001</v>
      </c>
      <c r="J95" s="189"/>
    </row>
    <row r="96" spans="1:21" x14ac:dyDescent="0.25">
      <c r="A96" s="187">
        <v>37287</v>
      </c>
      <c r="B96" s="182">
        <v>582916</v>
      </c>
      <c r="C96" s="188">
        <f t="shared" si="7"/>
        <v>582.91600000000005</v>
      </c>
      <c r="D96" s="189">
        <f t="shared" si="8"/>
        <v>466.33280000000008</v>
      </c>
      <c r="E96" s="189">
        <f t="shared" si="8"/>
        <v>373.06624000000011</v>
      </c>
      <c r="F96" s="189">
        <f t="shared" si="10"/>
        <v>298.45299200000011</v>
      </c>
      <c r="G96" s="189">
        <f t="shared" si="10"/>
        <v>238.76239360000011</v>
      </c>
      <c r="H96" s="189">
        <f t="shared" si="10"/>
        <v>191.00991488000011</v>
      </c>
      <c r="I96" s="189">
        <f t="shared" si="10"/>
        <v>152.8079319040001</v>
      </c>
      <c r="J96" s="189"/>
    </row>
    <row r="97" spans="1:42" x14ac:dyDescent="0.25">
      <c r="A97" s="187">
        <v>37315</v>
      </c>
      <c r="B97" s="182">
        <v>683576</v>
      </c>
      <c r="C97" s="188">
        <f t="shared" si="7"/>
        <v>683.57600000000002</v>
      </c>
      <c r="D97" s="189">
        <f t="shared" si="8"/>
        <v>546.86080000000004</v>
      </c>
      <c r="E97" s="189">
        <f t="shared" si="8"/>
        <v>437.48864000000003</v>
      </c>
      <c r="F97" s="189">
        <f t="shared" si="10"/>
        <v>349.99091200000004</v>
      </c>
      <c r="G97" s="189">
        <f t="shared" si="10"/>
        <v>279.99272960000002</v>
      </c>
      <c r="H97" s="189">
        <f t="shared" si="10"/>
        <v>223.99418368000002</v>
      </c>
      <c r="I97" s="189">
        <f t="shared" si="10"/>
        <v>179.19534694400002</v>
      </c>
      <c r="J97" s="189"/>
    </row>
    <row r="98" spans="1:42" x14ac:dyDescent="0.25">
      <c r="A98" s="187">
        <v>37346</v>
      </c>
      <c r="B98" s="182">
        <v>773509</v>
      </c>
      <c r="C98" s="188">
        <f t="shared" si="7"/>
        <v>773.50900000000001</v>
      </c>
      <c r="D98" s="189">
        <f t="shared" si="8"/>
        <v>618.80720000000008</v>
      </c>
      <c r="E98" s="189">
        <f t="shared" si="8"/>
        <v>495.04576000000009</v>
      </c>
      <c r="F98" s="189">
        <f t="shared" si="10"/>
        <v>396.03660800000011</v>
      </c>
      <c r="G98" s="189">
        <f t="shared" si="10"/>
        <v>316.82928640000011</v>
      </c>
      <c r="H98" s="189">
        <f t="shared" si="10"/>
        <v>253.46342912000011</v>
      </c>
      <c r="I98" s="189">
        <f t="shared" si="10"/>
        <v>202.77074329600009</v>
      </c>
      <c r="J98" s="189"/>
    </row>
    <row r="99" spans="1:42" x14ac:dyDescent="0.25">
      <c r="A99" s="187">
        <v>37376</v>
      </c>
      <c r="B99" s="182">
        <v>726236</v>
      </c>
      <c r="C99" s="188">
        <f t="shared" si="7"/>
        <v>726.23599999999999</v>
      </c>
      <c r="D99" s="189">
        <f t="shared" si="8"/>
        <v>580.98879999999997</v>
      </c>
      <c r="E99" s="189">
        <f t="shared" si="8"/>
        <v>464.79104000000001</v>
      </c>
      <c r="F99" s="189">
        <f t="shared" si="10"/>
        <v>371.83283200000005</v>
      </c>
      <c r="G99" s="189">
        <f t="shared" si="10"/>
        <v>297.46626560000004</v>
      </c>
      <c r="H99" s="189">
        <f t="shared" si="10"/>
        <v>237.97301248000005</v>
      </c>
      <c r="I99" s="189">
        <f t="shared" si="10"/>
        <v>190.37840998400006</v>
      </c>
      <c r="J99" s="189"/>
    </row>
    <row r="100" spans="1:42" x14ac:dyDescent="0.25">
      <c r="A100" s="187">
        <v>37407</v>
      </c>
      <c r="B100" s="182">
        <v>746438</v>
      </c>
      <c r="C100" s="188">
        <f t="shared" si="7"/>
        <v>746.43799999999999</v>
      </c>
      <c r="D100" s="189">
        <f t="shared" si="8"/>
        <v>597.15039999999999</v>
      </c>
      <c r="E100" s="189">
        <f t="shared" si="8"/>
        <v>477.72032000000002</v>
      </c>
      <c r="F100" s="189">
        <f t="shared" si="10"/>
        <v>382.17625600000002</v>
      </c>
      <c r="G100" s="189">
        <f t="shared" si="10"/>
        <v>305.74100480000004</v>
      </c>
      <c r="H100" s="189">
        <f t="shared" si="10"/>
        <v>244.59280384000004</v>
      </c>
      <c r="I100" s="189">
        <f t="shared" si="10"/>
        <v>195.67424307200005</v>
      </c>
      <c r="J100" s="189"/>
    </row>
    <row r="101" spans="1:42" x14ac:dyDescent="0.25">
      <c r="A101" s="187">
        <v>37437</v>
      </c>
      <c r="B101" s="182">
        <v>775205</v>
      </c>
      <c r="C101" s="188">
        <f t="shared" si="7"/>
        <v>775.20500000000004</v>
      </c>
      <c r="D101" s="189">
        <f t="shared" si="8"/>
        <v>620.1640000000001</v>
      </c>
      <c r="E101" s="189">
        <f t="shared" si="8"/>
        <v>496.13120000000009</v>
      </c>
      <c r="F101" s="189">
        <f t="shared" si="10"/>
        <v>396.90496000000007</v>
      </c>
      <c r="G101" s="189">
        <f t="shared" si="10"/>
        <v>317.52396800000008</v>
      </c>
      <c r="H101" s="189">
        <f t="shared" si="10"/>
        <v>254.01917440000008</v>
      </c>
      <c r="I101" s="189">
        <f t="shared" si="10"/>
        <v>203.21533952000007</v>
      </c>
      <c r="J101" s="189"/>
    </row>
    <row r="102" spans="1:42" x14ac:dyDescent="0.25">
      <c r="A102" s="187">
        <v>37468</v>
      </c>
      <c r="B102" s="182">
        <v>783624</v>
      </c>
      <c r="C102" s="188">
        <f t="shared" si="7"/>
        <v>783.62400000000002</v>
      </c>
      <c r="D102" s="189">
        <f t="shared" si="8"/>
        <v>626.89920000000006</v>
      </c>
      <c r="E102" s="189">
        <f t="shared" si="8"/>
        <v>501.51936000000006</v>
      </c>
      <c r="F102" s="189">
        <f t="shared" si="10"/>
        <v>401.21548800000005</v>
      </c>
      <c r="G102" s="189">
        <f t="shared" si="10"/>
        <v>320.97239040000005</v>
      </c>
      <c r="H102" s="189">
        <f t="shared" si="10"/>
        <v>256.77791232000004</v>
      </c>
      <c r="I102" s="189">
        <f t="shared" si="10"/>
        <v>205.42232985600003</v>
      </c>
      <c r="J102" s="189"/>
    </row>
    <row r="103" spans="1:42" x14ac:dyDescent="0.25">
      <c r="A103" s="187">
        <v>37499</v>
      </c>
      <c r="B103" s="182">
        <v>875790</v>
      </c>
      <c r="C103" s="188">
        <f t="shared" si="7"/>
        <v>875.79</v>
      </c>
      <c r="D103" s="189">
        <f t="shared" si="8"/>
        <v>700.63200000000006</v>
      </c>
      <c r="E103" s="189">
        <f t="shared" si="8"/>
        <v>560.50560000000007</v>
      </c>
      <c r="F103" s="189">
        <f t="shared" si="10"/>
        <v>448.40448000000009</v>
      </c>
      <c r="G103" s="189">
        <f t="shared" si="10"/>
        <v>358.72358400000007</v>
      </c>
      <c r="H103" s="189">
        <f t="shared" si="10"/>
        <v>286.97886720000008</v>
      </c>
      <c r="I103" s="189">
        <f t="shared" si="10"/>
        <v>229.58309376000008</v>
      </c>
      <c r="J103" s="189"/>
    </row>
    <row r="104" spans="1:42" x14ac:dyDescent="0.25">
      <c r="A104" s="187">
        <v>37529</v>
      </c>
      <c r="B104" s="182">
        <v>622187</v>
      </c>
      <c r="C104" s="188">
        <f t="shared" si="7"/>
        <v>622.18700000000001</v>
      </c>
      <c r="D104" s="189">
        <f t="shared" si="8"/>
        <v>497.74960000000004</v>
      </c>
      <c r="E104" s="189">
        <f t="shared" si="8"/>
        <v>398.19968000000006</v>
      </c>
      <c r="F104" s="189">
        <f t="shared" si="10"/>
        <v>318.55974400000008</v>
      </c>
      <c r="G104" s="189">
        <f t="shared" si="10"/>
        <v>254.84779520000006</v>
      </c>
      <c r="H104" s="189">
        <f t="shared" si="10"/>
        <v>203.87823616000006</v>
      </c>
      <c r="I104" s="189">
        <f t="shared" si="10"/>
        <v>163.10258892800005</v>
      </c>
      <c r="J104" s="189"/>
    </row>
    <row r="105" spans="1:42" x14ac:dyDescent="0.25">
      <c r="A105" s="187">
        <v>37560</v>
      </c>
      <c r="B105" s="182">
        <v>695167</v>
      </c>
      <c r="C105" s="188">
        <f t="shared" si="7"/>
        <v>695.16700000000003</v>
      </c>
      <c r="D105" s="189">
        <f t="shared" si="8"/>
        <v>556.1336</v>
      </c>
      <c r="E105" s="189">
        <f t="shared" si="8"/>
        <v>444.90688</v>
      </c>
      <c r="F105" s="189">
        <f t="shared" si="10"/>
        <v>355.92550400000005</v>
      </c>
      <c r="G105" s="189">
        <f t="shared" si="10"/>
        <v>284.74040320000006</v>
      </c>
      <c r="H105" s="189">
        <f t="shared" si="10"/>
        <v>227.79232256000006</v>
      </c>
      <c r="I105" s="189">
        <f t="shared" si="10"/>
        <v>182.23385804800006</v>
      </c>
      <c r="J105" s="189"/>
    </row>
    <row r="106" spans="1:42" x14ac:dyDescent="0.25">
      <c r="A106" s="187">
        <v>37590</v>
      </c>
      <c r="B106" s="182">
        <v>629607</v>
      </c>
      <c r="C106" s="188">
        <f t="shared" si="7"/>
        <v>629.60699999999997</v>
      </c>
      <c r="D106" s="189">
        <f t="shared" si="8"/>
        <v>503.68560000000002</v>
      </c>
      <c r="E106" s="189">
        <f t="shared" si="8"/>
        <v>402.94848000000002</v>
      </c>
      <c r="F106" s="189">
        <f t="shared" si="10"/>
        <v>322.35878400000001</v>
      </c>
      <c r="G106" s="189">
        <f t="shared" si="10"/>
        <v>257.88702720000003</v>
      </c>
      <c r="H106" s="189">
        <f t="shared" si="10"/>
        <v>206.30962176000003</v>
      </c>
      <c r="I106" s="189">
        <f t="shared" si="10"/>
        <v>165.04769740800003</v>
      </c>
      <c r="J106" s="189"/>
    </row>
    <row r="107" spans="1:42" x14ac:dyDescent="0.25">
      <c r="A107" s="187">
        <v>37621</v>
      </c>
      <c r="B107" s="182">
        <v>815158</v>
      </c>
      <c r="C107" s="188">
        <f t="shared" si="7"/>
        <v>815.15800000000002</v>
      </c>
      <c r="D107" s="189">
        <f t="shared" si="8"/>
        <v>652.1264000000001</v>
      </c>
      <c r="E107" s="189">
        <f t="shared" si="8"/>
        <v>521.70112000000006</v>
      </c>
      <c r="F107" s="189">
        <f t="shared" si="10"/>
        <v>417.36089600000008</v>
      </c>
      <c r="G107" s="189">
        <f t="shared" si="10"/>
        <v>333.88871680000011</v>
      </c>
      <c r="H107" s="189">
        <f t="shared" si="10"/>
        <v>267.11097344000012</v>
      </c>
      <c r="I107" s="189">
        <f t="shared" si="10"/>
        <v>213.6887787520001</v>
      </c>
      <c r="J107" s="189"/>
    </row>
    <row r="108" spans="1:42" x14ac:dyDescent="0.25">
      <c r="A108" s="187">
        <v>37652</v>
      </c>
      <c r="B108" s="182">
        <v>544618</v>
      </c>
      <c r="C108" s="188">
        <f t="shared" si="7"/>
        <v>544.61800000000005</v>
      </c>
      <c r="D108" s="189">
        <f t="shared" si="8"/>
        <v>435.69440000000009</v>
      </c>
      <c r="E108" s="189">
        <f t="shared" si="8"/>
        <v>348.55552000000012</v>
      </c>
      <c r="F108" s="189">
        <f t="shared" si="10"/>
        <v>278.84441600000008</v>
      </c>
      <c r="G108" s="189">
        <f t="shared" si="10"/>
        <v>223.07553280000008</v>
      </c>
      <c r="H108" s="189">
        <f t="shared" si="10"/>
        <v>178.46042624000006</v>
      </c>
      <c r="I108" s="189">
        <f t="shared" si="10"/>
        <v>142.76834099200005</v>
      </c>
      <c r="J108" s="189"/>
    </row>
    <row r="109" spans="1:42" x14ac:dyDescent="0.25">
      <c r="A109" s="187">
        <v>37680</v>
      </c>
      <c r="B109" s="182">
        <v>637584</v>
      </c>
      <c r="C109" s="188">
        <f t="shared" si="7"/>
        <v>637.58399999999995</v>
      </c>
      <c r="D109" s="189">
        <f t="shared" si="8"/>
        <v>510.06719999999996</v>
      </c>
      <c r="E109" s="189">
        <f t="shared" si="8"/>
        <v>408.05376000000001</v>
      </c>
      <c r="F109" s="189">
        <f t="shared" si="10"/>
        <v>326.44300800000002</v>
      </c>
      <c r="G109" s="189">
        <f t="shared" si="10"/>
        <v>261.15440640000003</v>
      </c>
      <c r="H109" s="189">
        <f t="shared" si="10"/>
        <v>208.92352512000002</v>
      </c>
      <c r="I109" s="189">
        <f t="shared" si="10"/>
        <v>167.13882009600002</v>
      </c>
      <c r="J109" s="189"/>
    </row>
    <row r="110" spans="1:42" x14ac:dyDescent="0.25">
      <c r="A110" s="187">
        <v>37711</v>
      </c>
      <c r="B110" s="182">
        <v>757516</v>
      </c>
      <c r="C110" s="188">
        <f t="shared" si="7"/>
        <v>757.51599999999996</v>
      </c>
      <c r="D110" s="189">
        <f t="shared" si="8"/>
        <v>606.01279999999997</v>
      </c>
      <c r="E110" s="189">
        <f t="shared" si="8"/>
        <v>484.81024000000002</v>
      </c>
      <c r="F110" s="189">
        <f t="shared" si="10"/>
        <v>387.84819200000004</v>
      </c>
      <c r="G110" s="189">
        <f t="shared" si="10"/>
        <v>310.27855360000007</v>
      </c>
      <c r="H110" s="189">
        <f t="shared" si="10"/>
        <v>248.22284288000006</v>
      </c>
      <c r="I110" s="189">
        <f t="shared" si="10"/>
        <v>198.57827430400005</v>
      </c>
      <c r="J110" s="189"/>
    </row>
    <row r="111" spans="1:42" x14ac:dyDescent="0.25">
      <c r="A111" s="187">
        <v>37741</v>
      </c>
      <c r="B111" s="182">
        <v>754861</v>
      </c>
      <c r="C111" s="188">
        <f t="shared" si="7"/>
        <v>754.86099999999999</v>
      </c>
      <c r="D111" s="189">
        <f t="shared" si="8"/>
        <v>603.88880000000006</v>
      </c>
      <c r="E111" s="189">
        <f t="shared" si="8"/>
        <v>483.11104000000006</v>
      </c>
      <c r="F111" s="189">
        <f t="shared" si="10"/>
        <v>386.48883200000006</v>
      </c>
      <c r="G111" s="189">
        <f t="shared" si="10"/>
        <v>309.19106560000006</v>
      </c>
      <c r="H111" s="189">
        <f t="shared" si="10"/>
        <v>247.35285248000005</v>
      </c>
      <c r="I111" s="189">
        <f t="shared" si="10"/>
        <v>197.88228198400006</v>
      </c>
      <c r="J111" s="189"/>
    </row>
    <row r="112" spans="1:42" x14ac:dyDescent="0.25">
      <c r="A112" s="187">
        <v>37772</v>
      </c>
      <c r="B112" s="182">
        <v>845966</v>
      </c>
      <c r="C112" s="188">
        <f t="shared" si="7"/>
        <v>845.96600000000001</v>
      </c>
      <c r="D112" s="189">
        <f t="shared" si="8"/>
        <v>676.77280000000007</v>
      </c>
      <c r="E112" s="189">
        <f t="shared" si="8"/>
        <v>541.41824000000008</v>
      </c>
      <c r="F112" s="189">
        <f t="shared" si="10"/>
        <v>433.13459200000011</v>
      </c>
      <c r="G112" s="189">
        <f t="shared" si="10"/>
        <v>346.50767360000009</v>
      </c>
      <c r="H112" s="189">
        <f t="shared" si="10"/>
        <v>277.20613888000008</v>
      </c>
      <c r="I112" s="189">
        <f t="shared" si="10"/>
        <v>221.76491110400008</v>
      </c>
      <c r="J112" s="189"/>
      <c r="AP112" s="180" t="s">
        <v>352</v>
      </c>
    </row>
    <row r="113" spans="1:21" x14ac:dyDescent="0.25">
      <c r="A113" s="187">
        <v>37802</v>
      </c>
      <c r="B113" s="182">
        <v>785910</v>
      </c>
      <c r="C113" s="188">
        <f t="shared" si="7"/>
        <v>785.91</v>
      </c>
      <c r="D113" s="189">
        <f t="shared" si="8"/>
        <v>628.72800000000007</v>
      </c>
      <c r="E113" s="189">
        <f t="shared" si="8"/>
        <v>502.9824000000001</v>
      </c>
      <c r="F113" s="189">
        <f t="shared" ref="F113:I132" si="11">E113*0.8</f>
        <v>402.38592000000011</v>
      </c>
      <c r="G113" s="189">
        <f t="shared" si="11"/>
        <v>321.90873600000009</v>
      </c>
      <c r="H113" s="189">
        <f t="shared" si="11"/>
        <v>257.52698880000008</v>
      </c>
      <c r="I113" s="189">
        <f t="shared" si="11"/>
        <v>206.02159104000009</v>
      </c>
      <c r="J113" s="189"/>
    </row>
    <row r="114" spans="1:21" x14ac:dyDescent="0.25">
      <c r="A114" s="187">
        <v>37833</v>
      </c>
      <c r="B114" s="182">
        <v>830231</v>
      </c>
      <c r="C114" s="188">
        <f t="shared" si="7"/>
        <v>830.23099999999999</v>
      </c>
      <c r="D114" s="189">
        <f t="shared" si="8"/>
        <v>664.1848</v>
      </c>
      <c r="E114" s="189">
        <f t="shared" si="8"/>
        <v>531.34784000000002</v>
      </c>
      <c r="F114" s="189">
        <f t="shared" si="11"/>
        <v>425.07827200000003</v>
      </c>
      <c r="G114" s="189">
        <f t="shared" si="11"/>
        <v>340.06261760000007</v>
      </c>
      <c r="H114" s="189">
        <f t="shared" si="11"/>
        <v>272.05009408000006</v>
      </c>
      <c r="I114" s="189">
        <f t="shared" si="11"/>
        <v>217.64007526400007</v>
      </c>
      <c r="J114" s="189"/>
    </row>
    <row r="115" spans="1:21" x14ac:dyDescent="0.25">
      <c r="A115" s="187">
        <v>37864</v>
      </c>
      <c r="B115" s="182">
        <v>890396</v>
      </c>
      <c r="C115" s="188">
        <f t="shared" si="7"/>
        <v>890.39599999999996</v>
      </c>
      <c r="D115" s="189">
        <f t="shared" si="8"/>
        <v>712.31680000000006</v>
      </c>
      <c r="E115" s="189">
        <f t="shared" si="8"/>
        <v>569.85344000000009</v>
      </c>
      <c r="F115" s="189">
        <f t="shared" si="11"/>
        <v>455.8827520000001</v>
      </c>
      <c r="G115" s="189">
        <f t="shared" si="11"/>
        <v>364.7062016000001</v>
      </c>
      <c r="H115" s="189">
        <f t="shared" si="11"/>
        <v>291.76496128000008</v>
      </c>
      <c r="I115" s="189">
        <f t="shared" si="11"/>
        <v>233.41196902400009</v>
      </c>
      <c r="J115" s="189"/>
    </row>
    <row r="116" spans="1:21" x14ac:dyDescent="0.25">
      <c r="A116" s="187">
        <v>37894</v>
      </c>
      <c r="B116" s="182">
        <v>705196</v>
      </c>
      <c r="C116" s="188">
        <f t="shared" si="7"/>
        <v>705.19600000000003</v>
      </c>
      <c r="D116" s="189">
        <f t="shared" si="8"/>
        <v>564.15680000000009</v>
      </c>
      <c r="E116" s="189">
        <f t="shared" si="8"/>
        <v>451.32544000000007</v>
      </c>
      <c r="F116" s="189">
        <f t="shared" si="11"/>
        <v>361.06035200000008</v>
      </c>
      <c r="G116" s="189">
        <f t="shared" si="11"/>
        <v>288.84828160000006</v>
      </c>
      <c r="H116" s="189">
        <f t="shared" si="11"/>
        <v>231.07862528000007</v>
      </c>
      <c r="I116" s="189">
        <f t="shared" si="11"/>
        <v>184.86290022400007</v>
      </c>
      <c r="J116" s="189"/>
    </row>
    <row r="117" spans="1:21" x14ac:dyDescent="0.25">
      <c r="A117" s="187">
        <v>37925</v>
      </c>
      <c r="B117" s="182">
        <v>729464</v>
      </c>
      <c r="C117" s="188">
        <f t="shared" si="7"/>
        <v>729.46400000000006</v>
      </c>
      <c r="D117" s="189">
        <f t="shared" si="8"/>
        <v>583.57120000000009</v>
      </c>
      <c r="E117" s="189">
        <f t="shared" si="8"/>
        <v>466.85696000000007</v>
      </c>
      <c r="F117" s="189">
        <f t="shared" si="11"/>
        <v>373.48556800000006</v>
      </c>
      <c r="G117" s="189">
        <f t="shared" si="11"/>
        <v>298.78845440000003</v>
      </c>
      <c r="H117" s="189">
        <f t="shared" si="11"/>
        <v>239.03076352000005</v>
      </c>
      <c r="I117" s="189">
        <f t="shared" si="11"/>
        <v>191.22461081600005</v>
      </c>
      <c r="J117" s="189"/>
    </row>
    <row r="118" spans="1:21" x14ac:dyDescent="0.25">
      <c r="A118" s="187">
        <v>37955</v>
      </c>
      <c r="B118" s="182">
        <v>700491</v>
      </c>
      <c r="C118" s="188">
        <f t="shared" si="7"/>
        <v>700.49099999999999</v>
      </c>
      <c r="D118" s="189">
        <f t="shared" si="8"/>
        <v>560.39279999999997</v>
      </c>
      <c r="E118" s="189">
        <f t="shared" si="8"/>
        <v>448.31423999999998</v>
      </c>
      <c r="F118" s="189">
        <f t="shared" si="11"/>
        <v>358.65139199999999</v>
      </c>
      <c r="G118" s="189">
        <f t="shared" si="11"/>
        <v>286.92111360000001</v>
      </c>
      <c r="H118" s="189">
        <f t="shared" si="11"/>
        <v>229.53689088000002</v>
      </c>
      <c r="I118" s="189">
        <f t="shared" si="11"/>
        <v>183.62951270400004</v>
      </c>
      <c r="J118" s="189"/>
    </row>
    <row r="119" spans="1:21" x14ac:dyDescent="0.25">
      <c r="A119" s="187">
        <v>37986</v>
      </c>
      <c r="B119" s="182">
        <v>847757</v>
      </c>
      <c r="C119" s="188">
        <f t="shared" si="7"/>
        <v>847.75699999999995</v>
      </c>
      <c r="D119" s="189">
        <f t="shared" si="8"/>
        <v>678.2056</v>
      </c>
      <c r="E119" s="189">
        <f t="shared" si="8"/>
        <v>542.56448</v>
      </c>
      <c r="F119" s="189">
        <f t="shared" si="11"/>
        <v>434.05158400000005</v>
      </c>
      <c r="G119" s="189">
        <f t="shared" si="11"/>
        <v>347.24126720000004</v>
      </c>
      <c r="H119" s="189">
        <f t="shared" si="11"/>
        <v>277.79301376000006</v>
      </c>
      <c r="I119" s="189">
        <f t="shared" si="11"/>
        <v>222.23441100800005</v>
      </c>
      <c r="J119" s="189"/>
    </row>
    <row r="120" spans="1:21" x14ac:dyDescent="0.25">
      <c r="A120" s="187">
        <v>38017</v>
      </c>
      <c r="B120" s="182">
        <v>627418</v>
      </c>
      <c r="C120" s="188">
        <f t="shared" si="7"/>
        <v>627.41800000000001</v>
      </c>
      <c r="D120" s="189">
        <f t="shared" si="8"/>
        <v>501.93440000000004</v>
      </c>
      <c r="E120" s="189">
        <f t="shared" si="8"/>
        <v>401.54752000000008</v>
      </c>
      <c r="F120" s="189">
        <f t="shared" si="11"/>
        <v>321.23801600000007</v>
      </c>
      <c r="G120" s="189">
        <f t="shared" si="11"/>
        <v>256.99041280000006</v>
      </c>
      <c r="H120" s="189">
        <f t="shared" si="11"/>
        <v>205.59233024000005</v>
      </c>
      <c r="I120" s="189">
        <f t="shared" si="11"/>
        <v>164.47386419200006</v>
      </c>
      <c r="J120" s="189"/>
    </row>
    <row r="121" spans="1:21" ht="13" x14ac:dyDescent="0.3">
      <c r="A121" s="187">
        <v>38046</v>
      </c>
      <c r="B121" s="182">
        <v>692743</v>
      </c>
      <c r="C121" s="188">
        <f t="shared" si="7"/>
        <v>692.74300000000005</v>
      </c>
      <c r="D121" s="189">
        <f t="shared" si="8"/>
        <v>554.19440000000009</v>
      </c>
      <c r="E121" s="189">
        <f t="shared" si="8"/>
        <v>443.35552000000007</v>
      </c>
      <c r="F121" s="189">
        <f t="shared" si="11"/>
        <v>354.68441600000006</v>
      </c>
      <c r="G121" s="189">
        <f t="shared" si="11"/>
        <v>283.74753280000004</v>
      </c>
      <c r="H121" s="189">
        <f t="shared" si="11"/>
        <v>226.99802624000006</v>
      </c>
      <c r="I121" s="189">
        <f t="shared" si="11"/>
        <v>181.59842099200006</v>
      </c>
      <c r="J121" s="189"/>
      <c r="U121" s="215" t="s">
        <v>406</v>
      </c>
    </row>
    <row r="122" spans="1:21" x14ac:dyDescent="0.25">
      <c r="A122" s="187">
        <v>38077</v>
      </c>
      <c r="B122" s="182">
        <v>811525</v>
      </c>
      <c r="C122" s="188">
        <f t="shared" si="7"/>
        <v>811.52499999999998</v>
      </c>
      <c r="D122" s="189">
        <f t="shared" si="8"/>
        <v>649.22</v>
      </c>
      <c r="E122" s="189">
        <f t="shared" si="8"/>
        <v>519.37600000000009</v>
      </c>
      <c r="F122" s="189">
        <f t="shared" si="11"/>
        <v>415.50080000000008</v>
      </c>
      <c r="G122" s="189">
        <f t="shared" si="11"/>
        <v>332.40064000000007</v>
      </c>
      <c r="H122" s="189">
        <f t="shared" si="11"/>
        <v>265.92051200000009</v>
      </c>
      <c r="I122" s="189">
        <f t="shared" si="11"/>
        <v>212.73640960000009</v>
      </c>
      <c r="J122" s="189"/>
    </row>
    <row r="123" spans="1:21" x14ac:dyDescent="0.25">
      <c r="A123" s="187">
        <v>38107</v>
      </c>
      <c r="B123" s="182">
        <v>776479</v>
      </c>
      <c r="C123" s="188">
        <f t="shared" si="7"/>
        <v>776.47900000000004</v>
      </c>
      <c r="D123" s="189">
        <f t="shared" si="8"/>
        <v>621.18320000000006</v>
      </c>
      <c r="E123" s="189">
        <f t="shared" si="8"/>
        <v>496.94656000000009</v>
      </c>
      <c r="F123" s="189">
        <f t="shared" si="11"/>
        <v>397.55724800000007</v>
      </c>
      <c r="G123" s="189">
        <f t="shared" si="11"/>
        <v>318.04579840000008</v>
      </c>
      <c r="H123" s="189">
        <f t="shared" si="11"/>
        <v>254.43663872000008</v>
      </c>
      <c r="I123" s="189">
        <f t="shared" si="11"/>
        <v>203.54931097600007</v>
      </c>
      <c r="J123" s="189"/>
    </row>
    <row r="124" spans="1:21" x14ac:dyDescent="0.25">
      <c r="A124" s="187">
        <v>38138</v>
      </c>
      <c r="B124" s="182">
        <v>884305</v>
      </c>
      <c r="C124" s="188">
        <f t="shared" si="7"/>
        <v>884.30499999999995</v>
      </c>
      <c r="D124" s="189">
        <f t="shared" si="8"/>
        <v>707.44399999999996</v>
      </c>
      <c r="E124" s="189">
        <f t="shared" si="8"/>
        <v>565.95519999999999</v>
      </c>
      <c r="F124" s="189">
        <f t="shared" si="11"/>
        <v>452.76416</v>
      </c>
      <c r="G124" s="189">
        <f t="shared" si="11"/>
        <v>362.21132800000004</v>
      </c>
      <c r="H124" s="189">
        <f t="shared" si="11"/>
        <v>289.76906240000005</v>
      </c>
      <c r="I124" s="189">
        <f t="shared" si="11"/>
        <v>231.81524992000004</v>
      </c>
      <c r="J124" s="189"/>
    </row>
    <row r="125" spans="1:21" x14ac:dyDescent="0.25">
      <c r="A125" s="187">
        <v>38168</v>
      </c>
      <c r="B125" s="182">
        <v>774824</v>
      </c>
      <c r="C125" s="188">
        <f t="shared" si="7"/>
        <v>774.82399999999996</v>
      </c>
      <c r="D125" s="189">
        <f t="shared" si="8"/>
        <v>619.85919999999999</v>
      </c>
      <c r="E125" s="189">
        <f t="shared" si="8"/>
        <v>495.88736</v>
      </c>
      <c r="F125" s="189">
        <f t="shared" si="11"/>
        <v>396.70988800000003</v>
      </c>
      <c r="G125" s="189">
        <f t="shared" si="11"/>
        <v>317.36791040000003</v>
      </c>
      <c r="H125" s="189">
        <f t="shared" si="11"/>
        <v>253.89432832000003</v>
      </c>
      <c r="I125" s="189">
        <f t="shared" si="11"/>
        <v>203.11546265600003</v>
      </c>
      <c r="J125" s="189"/>
    </row>
    <row r="126" spans="1:21" x14ac:dyDescent="0.25">
      <c r="A126" s="187">
        <v>38199</v>
      </c>
      <c r="B126" s="182">
        <v>870744</v>
      </c>
      <c r="C126" s="188">
        <f t="shared" si="7"/>
        <v>870.74400000000003</v>
      </c>
      <c r="D126" s="189">
        <f t="shared" si="8"/>
        <v>696.59520000000009</v>
      </c>
      <c r="E126" s="189">
        <f t="shared" si="8"/>
        <v>557.27616000000012</v>
      </c>
      <c r="F126" s="189">
        <f t="shared" si="11"/>
        <v>445.82092800000009</v>
      </c>
      <c r="G126" s="189">
        <f t="shared" si="11"/>
        <v>356.6567424000001</v>
      </c>
      <c r="H126" s="189">
        <f t="shared" si="11"/>
        <v>285.32539392000007</v>
      </c>
      <c r="I126" s="189">
        <f t="shared" si="11"/>
        <v>228.26031513600006</v>
      </c>
      <c r="J126" s="189"/>
    </row>
    <row r="127" spans="1:21" x14ac:dyDescent="0.25">
      <c r="A127" s="187">
        <v>38230</v>
      </c>
      <c r="B127" s="182">
        <v>789902</v>
      </c>
      <c r="C127" s="188">
        <f t="shared" si="7"/>
        <v>789.90200000000004</v>
      </c>
      <c r="D127" s="189">
        <f t="shared" si="8"/>
        <v>631.92160000000013</v>
      </c>
      <c r="E127" s="189">
        <f t="shared" si="8"/>
        <v>505.53728000000012</v>
      </c>
      <c r="F127" s="189">
        <f t="shared" si="11"/>
        <v>404.42982400000011</v>
      </c>
      <c r="G127" s="189">
        <f t="shared" si="11"/>
        <v>323.5438592000001</v>
      </c>
      <c r="H127" s="189">
        <f t="shared" si="11"/>
        <v>258.8350873600001</v>
      </c>
      <c r="I127" s="189">
        <f t="shared" si="11"/>
        <v>207.06806988800008</v>
      </c>
      <c r="J127" s="189"/>
    </row>
    <row r="128" spans="1:21" x14ac:dyDescent="0.25">
      <c r="A128" s="187">
        <v>38260</v>
      </c>
      <c r="B128" s="182">
        <v>829446</v>
      </c>
      <c r="C128" s="188">
        <f t="shared" si="7"/>
        <v>829.44600000000003</v>
      </c>
      <c r="D128" s="189">
        <f t="shared" si="8"/>
        <v>663.55680000000007</v>
      </c>
      <c r="E128" s="189">
        <f t="shared" si="8"/>
        <v>530.84544000000005</v>
      </c>
      <c r="F128" s="189">
        <f t="shared" si="11"/>
        <v>424.67635200000007</v>
      </c>
      <c r="G128" s="189">
        <f t="shared" si="11"/>
        <v>339.74108160000009</v>
      </c>
      <c r="H128" s="189">
        <f t="shared" si="11"/>
        <v>271.79286528000006</v>
      </c>
      <c r="I128" s="189">
        <f t="shared" si="11"/>
        <v>217.43429222400005</v>
      </c>
      <c r="J128" s="189"/>
    </row>
    <row r="129" spans="1:45" x14ac:dyDescent="0.25">
      <c r="A129" s="187">
        <v>38291</v>
      </c>
      <c r="B129" s="182">
        <v>748491</v>
      </c>
      <c r="C129" s="188">
        <f t="shared" si="7"/>
        <v>748.49099999999999</v>
      </c>
      <c r="D129" s="189">
        <f t="shared" si="8"/>
        <v>598.79280000000006</v>
      </c>
      <c r="E129" s="189">
        <f t="shared" si="8"/>
        <v>479.03424000000007</v>
      </c>
      <c r="F129" s="189">
        <f t="shared" si="11"/>
        <v>383.22739200000007</v>
      </c>
      <c r="G129" s="189">
        <f t="shared" si="11"/>
        <v>306.58191360000006</v>
      </c>
      <c r="H129" s="189">
        <f t="shared" si="11"/>
        <v>245.26553088000006</v>
      </c>
      <c r="I129" s="189">
        <f t="shared" si="11"/>
        <v>196.21242470400006</v>
      </c>
      <c r="J129" s="189"/>
    </row>
    <row r="130" spans="1:45" ht="13" x14ac:dyDescent="0.3">
      <c r="A130" s="187">
        <v>38321</v>
      </c>
      <c r="B130" s="182">
        <v>680016</v>
      </c>
      <c r="C130" s="188">
        <f t="shared" si="7"/>
        <v>680.01599999999996</v>
      </c>
      <c r="D130" s="189">
        <f t="shared" si="8"/>
        <v>544.01279999999997</v>
      </c>
      <c r="E130" s="189">
        <f t="shared" si="8"/>
        <v>435.21024</v>
      </c>
      <c r="F130" s="189">
        <f t="shared" si="11"/>
        <v>348.16819200000003</v>
      </c>
      <c r="G130" s="189">
        <f t="shared" si="11"/>
        <v>278.53455360000004</v>
      </c>
      <c r="H130" s="189">
        <f t="shared" si="11"/>
        <v>222.82764288000004</v>
      </c>
      <c r="I130" s="189">
        <f t="shared" si="11"/>
        <v>178.26211430400005</v>
      </c>
      <c r="J130" s="189"/>
      <c r="AI130" s="177">
        <v>2010</v>
      </c>
      <c r="AJ130" s="184">
        <v>84.3</v>
      </c>
      <c r="AK130" s="185">
        <f>AJ130*1.1</f>
        <v>92.73</v>
      </c>
      <c r="AL130" s="185">
        <f>AJ130/1.1</f>
        <v>76.636363636363626</v>
      </c>
      <c r="AM130" s="185">
        <f>AK130/1.1</f>
        <v>84.3</v>
      </c>
      <c r="AN130" s="185">
        <f t="shared" ref="AN130:AS136" si="12">AL130/1.1</f>
        <v>69.669421487603287</v>
      </c>
      <c r="AO130" s="185">
        <f t="shared" si="12"/>
        <v>76.636363636363626</v>
      </c>
      <c r="AP130" s="185">
        <f t="shared" si="12"/>
        <v>63.335837716002985</v>
      </c>
      <c r="AQ130" s="185">
        <f t="shared" si="12"/>
        <v>69.669421487603287</v>
      </c>
      <c r="AR130" s="185">
        <f t="shared" si="12"/>
        <v>57.578034287275436</v>
      </c>
      <c r="AS130" s="185">
        <f t="shared" si="12"/>
        <v>63.335837716002985</v>
      </c>
    </row>
    <row r="131" spans="1:45" ht="13" x14ac:dyDescent="0.3">
      <c r="A131" s="187">
        <v>38352</v>
      </c>
      <c r="B131" s="182">
        <v>888076</v>
      </c>
      <c r="C131" s="188">
        <f t="shared" si="7"/>
        <v>888.07600000000002</v>
      </c>
      <c r="D131" s="189">
        <f t="shared" si="8"/>
        <v>710.46080000000006</v>
      </c>
      <c r="E131" s="189">
        <f t="shared" si="8"/>
        <v>568.36864000000003</v>
      </c>
      <c r="F131" s="189">
        <f t="shared" si="11"/>
        <v>454.69491200000004</v>
      </c>
      <c r="G131" s="189">
        <f t="shared" si="11"/>
        <v>363.75592960000006</v>
      </c>
      <c r="H131" s="189">
        <f t="shared" si="11"/>
        <v>291.00474368000005</v>
      </c>
      <c r="I131" s="189">
        <f t="shared" si="11"/>
        <v>232.80379494400006</v>
      </c>
      <c r="J131" s="189"/>
      <c r="AI131" s="177">
        <v>2011</v>
      </c>
      <c r="AJ131" s="184">
        <v>89.5</v>
      </c>
      <c r="AK131" s="185">
        <f t="shared" ref="AK131:AK136" si="13">AJ131*1.1</f>
        <v>98.45</v>
      </c>
      <c r="AL131" s="185">
        <f t="shared" ref="AL131:AM136" si="14">AJ131/1.1</f>
        <v>81.36363636363636</v>
      </c>
      <c r="AM131" s="185">
        <f t="shared" si="14"/>
        <v>89.5</v>
      </c>
      <c r="AN131" s="185">
        <f t="shared" si="12"/>
        <v>73.966942148760324</v>
      </c>
      <c r="AO131" s="185">
        <f t="shared" si="12"/>
        <v>81.36363636363636</v>
      </c>
      <c r="AP131" s="185">
        <f t="shared" si="12"/>
        <v>67.242674680691195</v>
      </c>
      <c r="AQ131" s="185">
        <f t="shared" si="12"/>
        <v>73.966942148760324</v>
      </c>
      <c r="AR131" s="185">
        <f t="shared" si="12"/>
        <v>61.129704255173806</v>
      </c>
      <c r="AS131" s="185">
        <f t="shared" si="12"/>
        <v>67.242674680691195</v>
      </c>
    </row>
    <row r="132" spans="1:45" ht="13" x14ac:dyDescent="0.3">
      <c r="A132" s="187">
        <v>38383</v>
      </c>
      <c r="B132" s="182">
        <v>575215</v>
      </c>
      <c r="C132" s="188">
        <f t="shared" si="7"/>
        <v>575.21500000000003</v>
      </c>
      <c r="D132" s="189">
        <f t="shared" si="8"/>
        <v>460.17200000000003</v>
      </c>
      <c r="E132" s="189">
        <f t="shared" si="8"/>
        <v>368.13760000000002</v>
      </c>
      <c r="F132" s="189">
        <f t="shared" si="11"/>
        <v>294.51008000000002</v>
      </c>
      <c r="G132" s="189">
        <f t="shared" si="11"/>
        <v>235.60806400000001</v>
      </c>
      <c r="H132" s="189">
        <f t="shared" si="11"/>
        <v>188.48645120000003</v>
      </c>
      <c r="I132" s="189">
        <f t="shared" si="11"/>
        <v>150.78916096000003</v>
      </c>
      <c r="J132" s="189"/>
      <c r="S132" s="195">
        <v>0</v>
      </c>
      <c r="T132" s="195">
        <v>174</v>
      </c>
      <c r="U132" s="195">
        <v>229</v>
      </c>
      <c r="AI132" s="177">
        <v>2012</v>
      </c>
      <c r="AJ132" s="184">
        <v>78.8</v>
      </c>
      <c r="AK132" s="185">
        <f t="shared" si="13"/>
        <v>86.68</v>
      </c>
      <c r="AL132" s="185">
        <f t="shared" si="14"/>
        <v>71.636363636363626</v>
      </c>
      <c r="AM132" s="185">
        <f t="shared" si="14"/>
        <v>78.8</v>
      </c>
      <c r="AN132" s="185">
        <f t="shared" si="12"/>
        <v>65.123966942148741</v>
      </c>
      <c r="AO132" s="185">
        <f t="shared" si="12"/>
        <v>71.636363636363626</v>
      </c>
      <c r="AP132" s="185">
        <f t="shared" si="12"/>
        <v>59.203606311044304</v>
      </c>
      <c r="AQ132" s="185">
        <f t="shared" si="12"/>
        <v>65.123966942148741</v>
      </c>
      <c r="AR132" s="185">
        <f t="shared" si="12"/>
        <v>53.821460282767546</v>
      </c>
      <c r="AS132" s="185">
        <f t="shared" si="12"/>
        <v>59.203606311044304</v>
      </c>
    </row>
    <row r="133" spans="1:45" ht="13" x14ac:dyDescent="0.3">
      <c r="A133" s="187">
        <v>38411</v>
      </c>
      <c r="B133" s="182">
        <v>681243</v>
      </c>
      <c r="C133" s="188">
        <f t="shared" si="7"/>
        <v>681.24300000000005</v>
      </c>
      <c r="D133" s="189">
        <f t="shared" si="8"/>
        <v>544.99440000000004</v>
      </c>
      <c r="E133" s="189">
        <f t="shared" si="8"/>
        <v>435.99552000000006</v>
      </c>
      <c r="F133" s="189">
        <f t="shared" ref="F133:I152" si="15">E133*0.8</f>
        <v>348.79641600000008</v>
      </c>
      <c r="G133" s="189">
        <f t="shared" si="15"/>
        <v>279.03713280000005</v>
      </c>
      <c r="H133" s="189">
        <f t="shared" si="15"/>
        <v>223.22970624000004</v>
      </c>
      <c r="I133" s="189">
        <f t="shared" si="15"/>
        <v>178.58376499200006</v>
      </c>
      <c r="J133" s="189"/>
      <c r="S133" s="103">
        <v>182</v>
      </c>
      <c r="T133" s="103">
        <v>92</v>
      </c>
      <c r="U133" s="103">
        <v>163</v>
      </c>
      <c r="AI133" s="177">
        <v>2013</v>
      </c>
      <c r="AJ133" s="184">
        <v>76.900000000000006</v>
      </c>
      <c r="AK133" s="185">
        <f t="shared" si="13"/>
        <v>84.590000000000018</v>
      </c>
      <c r="AL133" s="185">
        <f t="shared" si="14"/>
        <v>69.909090909090907</v>
      </c>
      <c r="AM133" s="185">
        <f t="shared" si="14"/>
        <v>76.900000000000006</v>
      </c>
      <c r="AN133" s="185">
        <f t="shared" si="12"/>
        <v>63.553719008264459</v>
      </c>
      <c r="AO133" s="185">
        <f t="shared" si="12"/>
        <v>69.909090909090907</v>
      </c>
      <c r="AP133" s="185">
        <f t="shared" si="12"/>
        <v>57.776108189331325</v>
      </c>
      <c r="AQ133" s="185">
        <f t="shared" si="12"/>
        <v>63.553719008264459</v>
      </c>
      <c r="AR133" s="185">
        <f t="shared" si="12"/>
        <v>52.52373471757393</v>
      </c>
      <c r="AS133" s="185">
        <f t="shared" si="12"/>
        <v>57.776108189331325</v>
      </c>
    </row>
    <row r="134" spans="1:45" ht="13" x14ac:dyDescent="0.3">
      <c r="A134" s="187">
        <v>38442</v>
      </c>
      <c r="B134" s="182">
        <v>856306</v>
      </c>
      <c r="C134" s="188">
        <f t="shared" si="7"/>
        <v>856.30600000000004</v>
      </c>
      <c r="D134" s="189">
        <f t="shared" si="8"/>
        <v>685.04480000000012</v>
      </c>
      <c r="E134" s="189">
        <f t="shared" si="8"/>
        <v>548.03584000000012</v>
      </c>
      <c r="F134" s="189">
        <f t="shared" si="15"/>
        <v>438.42867200000012</v>
      </c>
      <c r="G134" s="189">
        <f t="shared" si="15"/>
        <v>350.74293760000012</v>
      </c>
      <c r="H134" s="189">
        <f t="shared" si="15"/>
        <v>280.59435008000008</v>
      </c>
      <c r="I134" s="189">
        <f t="shared" si="15"/>
        <v>224.47548006400007</v>
      </c>
      <c r="J134" s="189"/>
      <c r="S134" s="97">
        <v>67</v>
      </c>
      <c r="T134" s="97">
        <v>190</v>
      </c>
      <c r="U134" s="97">
        <v>173</v>
      </c>
      <c r="AI134" s="177">
        <v>2014</v>
      </c>
      <c r="AJ134" s="184">
        <v>70.099999999999994</v>
      </c>
      <c r="AK134" s="185">
        <f t="shared" si="13"/>
        <v>77.11</v>
      </c>
      <c r="AL134" s="185">
        <f t="shared" si="14"/>
        <v>63.72727272727272</v>
      </c>
      <c r="AM134" s="185">
        <f t="shared" si="14"/>
        <v>70.099999999999994</v>
      </c>
      <c r="AN134" s="185">
        <f t="shared" si="12"/>
        <v>57.933884297520649</v>
      </c>
      <c r="AO134" s="185">
        <f t="shared" si="12"/>
        <v>63.72727272727272</v>
      </c>
      <c r="AP134" s="185">
        <f t="shared" si="12"/>
        <v>52.667167543200584</v>
      </c>
      <c r="AQ134" s="185">
        <f t="shared" si="12"/>
        <v>57.933884297520649</v>
      </c>
      <c r="AR134" s="185">
        <f t="shared" si="12"/>
        <v>47.879243221091436</v>
      </c>
      <c r="AS134" s="185">
        <f t="shared" si="12"/>
        <v>52.667167543200584</v>
      </c>
    </row>
    <row r="135" spans="1:45" ht="13" x14ac:dyDescent="0.3">
      <c r="A135" s="187">
        <v>38472</v>
      </c>
      <c r="B135" s="182">
        <v>787746</v>
      </c>
      <c r="C135" s="188">
        <f t="shared" si="7"/>
        <v>787.74599999999998</v>
      </c>
      <c r="D135" s="189">
        <f t="shared" si="8"/>
        <v>630.19680000000005</v>
      </c>
      <c r="E135" s="189">
        <f t="shared" si="8"/>
        <v>504.15744000000007</v>
      </c>
      <c r="F135" s="189">
        <f t="shared" si="15"/>
        <v>403.32595200000009</v>
      </c>
      <c r="G135" s="189">
        <f t="shared" si="15"/>
        <v>322.66076160000011</v>
      </c>
      <c r="H135" s="189">
        <f t="shared" si="15"/>
        <v>258.12860928000009</v>
      </c>
      <c r="I135" s="189">
        <f t="shared" si="15"/>
        <v>206.50288742400008</v>
      </c>
      <c r="J135" s="189"/>
      <c r="S135" s="200">
        <v>255</v>
      </c>
      <c r="T135" s="200">
        <v>232</v>
      </c>
      <c r="U135" s="200">
        <v>56</v>
      </c>
      <c r="AI135" s="177">
        <v>2015</v>
      </c>
      <c r="AJ135" s="184">
        <v>57.6</v>
      </c>
      <c r="AK135" s="185">
        <f t="shared" si="13"/>
        <v>63.360000000000007</v>
      </c>
      <c r="AL135" s="185">
        <f t="shared" si="14"/>
        <v>52.36363636363636</v>
      </c>
      <c r="AM135" s="185">
        <f t="shared" si="14"/>
        <v>57.6</v>
      </c>
      <c r="AN135" s="185">
        <f t="shared" si="12"/>
        <v>47.603305785123958</v>
      </c>
      <c r="AO135" s="185">
        <f t="shared" si="12"/>
        <v>52.36363636363636</v>
      </c>
      <c r="AP135" s="185">
        <f t="shared" si="12"/>
        <v>43.275732531930871</v>
      </c>
      <c r="AQ135" s="185">
        <f t="shared" si="12"/>
        <v>47.603305785123958</v>
      </c>
      <c r="AR135" s="185">
        <f t="shared" si="12"/>
        <v>39.341575029028064</v>
      </c>
      <c r="AS135" s="185">
        <f t="shared" si="12"/>
        <v>43.275732531930871</v>
      </c>
    </row>
    <row r="136" spans="1:45" ht="13" x14ac:dyDescent="0.3">
      <c r="A136" s="187">
        <v>38503</v>
      </c>
      <c r="B136" s="182">
        <v>808088</v>
      </c>
      <c r="C136" s="188">
        <f t="shared" si="7"/>
        <v>808.08799999999997</v>
      </c>
      <c r="D136" s="189">
        <f t="shared" si="8"/>
        <v>646.47040000000004</v>
      </c>
      <c r="E136" s="189">
        <f t="shared" si="8"/>
        <v>517.17632000000003</v>
      </c>
      <c r="F136" s="189">
        <f t="shared" si="15"/>
        <v>413.74105600000007</v>
      </c>
      <c r="G136" s="189">
        <f t="shared" si="15"/>
        <v>330.99284480000006</v>
      </c>
      <c r="H136" s="189">
        <f t="shared" si="15"/>
        <v>264.79427584000007</v>
      </c>
      <c r="I136" s="189">
        <f t="shared" si="15"/>
        <v>211.83542067200005</v>
      </c>
      <c r="J136" s="189"/>
      <c r="S136" s="201">
        <v>237</v>
      </c>
      <c r="T136" s="201">
        <v>49</v>
      </c>
      <c r="U136" s="201">
        <v>36</v>
      </c>
      <c r="AI136" s="177">
        <v>2016</v>
      </c>
      <c r="AJ136" s="184">
        <v>50.2</v>
      </c>
      <c r="AK136" s="185">
        <f t="shared" si="13"/>
        <v>55.220000000000006</v>
      </c>
      <c r="AL136" s="185">
        <f>AJ136/1.1</f>
        <v>45.636363636363633</v>
      </c>
      <c r="AM136" s="185">
        <f t="shared" si="14"/>
        <v>50.2</v>
      </c>
      <c r="AN136" s="185">
        <f t="shared" si="12"/>
        <v>41.487603305785115</v>
      </c>
      <c r="AO136" s="185">
        <f t="shared" si="12"/>
        <v>45.636363636363633</v>
      </c>
      <c r="AP136" s="185">
        <f t="shared" si="12"/>
        <v>37.716003005259189</v>
      </c>
      <c r="AQ136" s="185">
        <f t="shared" si="12"/>
        <v>41.487603305785115</v>
      </c>
      <c r="AR136" s="185">
        <f t="shared" si="12"/>
        <v>34.28727545932653</v>
      </c>
      <c r="AS136" s="185">
        <f t="shared" si="12"/>
        <v>37.716003005259189</v>
      </c>
    </row>
    <row r="137" spans="1:45" x14ac:dyDescent="0.25">
      <c r="A137" s="187">
        <v>38533</v>
      </c>
      <c r="B137" s="182">
        <v>969628</v>
      </c>
      <c r="C137" s="188">
        <f t="shared" ref="C137:C200" si="16">B137/$D$71</f>
        <v>969.62800000000004</v>
      </c>
      <c r="D137" s="189">
        <f t="shared" ref="D137:E200" si="17">C137*0.8</f>
        <v>775.70240000000013</v>
      </c>
      <c r="E137" s="189">
        <f t="shared" si="17"/>
        <v>620.5619200000001</v>
      </c>
      <c r="F137" s="189">
        <f t="shared" si="15"/>
        <v>496.44953600000008</v>
      </c>
      <c r="G137" s="189">
        <f t="shared" si="15"/>
        <v>397.15962880000006</v>
      </c>
      <c r="H137" s="189">
        <f t="shared" si="15"/>
        <v>317.72770304000005</v>
      </c>
      <c r="I137" s="189">
        <f t="shared" si="15"/>
        <v>254.18216243200004</v>
      </c>
      <c r="J137" s="189"/>
      <c r="S137" s="95">
        <v>25</v>
      </c>
      <c r="T137" s="95">
        <v>178</v>
      </c>
      <c r="U137" s="95">
        <v>78</v>
      </c>
    </row>
    <row r="138" spans="1:45" x14ac:dyDescent="0.25">
      <c r="A138" s="187">
        <v>38564</v>
      </c>
      <c r="B138" s="182">
        <v>1094126</v>
      </c>
      <c r="C138" s="188">
        <f t="shared" si="16"/>
        <v>1094.126</v>
      </c>
      <c r="D138" s="189">
        <f t="shared" si="17"/>
        <v>875.30079999999998</v>
      </c>
      <c r="E138" s="189">
        <f t="shared" si="17"/>
        <v>700.24063999999998</v>
      </c>
      <c r="F138" s="189">
        <f t="shared" si="15"/>
        <v>560.19251199999997</v>
      </c>
      <c r="G138" s="189">
        <f t="shared" si="15"/>
        <v>448.15400959999999</v>
      </c>
      <c r="H138" s="189">
        <f t="shared" si="15"/>
        <v>358.52320768000004</v>
      </c>
      <c r="I138" s="189">
        <f t="shared" si="15"/>
        <v>286.81856614400004</v>
      </c>
      <c r="J138" s="189"/>
      <c r="S138" s="194">
        <v>118</v>
      </c>
      <c r="T138" s="194">
        <v>84</v>
      </c>
      <c r="U138" s="194">
        <v>163</v>
      </c>
    </row>
    <row r="139" spans="1:45" x14ac:dyDescent="0.25">
      <c r="A139" s="187">
        <v>38595</v>
      </c>
      <c r="B139" s="182">
        <v>783407</v>
      </c>
      <c r="C139" s="188">
        <f t="shared" si="16"/>
        <v>783.40700000000004</v>
      </c>
      <c r="D139" s="189">
        <f t="shared" si="17"/>
        <v>626.7256000000001</v>
      </c>
      <c r="E139" s="189">
        <f t="shared" si="17"/>
        <v>501.38048000000009</v>
      </c>
      <c r="F139" s="189">
        <f t="shared" si="15"/>
        <v>401.1043840000001</v>
      </c>
      <c r="G139" s="189">
        <f t="shared" si="15"/>
        <v>320.88350720000011</v>
      </c>
      <c r="H139" s="189">
        <f t="shared" si="15"/>
        <v>256.70680576000012</v>
      </c>
      <c r="I139" s="189">
        <f t="shared" si="15"/>
        <v>205.3654446080001</v>
      </c>
      <c r="J139" s="189"/>
      <c r="S139" s="96">
        <v>65</v>
      </c>
      <c r="T139" s="96">
        <v>65</v>
      </c>
      <c r="U139" s="96">
        <v>65</v>
      </c>
    </row>
    <row r="140" spans="1:45" x14ac:dyDescent="0.25">
      <c r="A140" s="187">
        <v>38625</v>
      </c>
      <c r="B140" s="182">
        <v>681344</v>
      </c>
      <c r="C140" s="188">
        <f t="shared" si="16"/>
        <v>681.34400000000005</v>
      </c>
      <c r="D140" s="189">
        <f t="shared" si="17"/>
        <v>545.07520000000011</v>
      </c>
      <c r="E140" s="189">
        <f t="shared" si="17"/>
        <v>436.06016000000011</v>
      </c>
      <c r="F140" s="189">
        <f t="shared" si="15"/>
        <v>348.84812800000009</v>
      </c>
      <c r="G140" s="189">
        <f t="shared" si="15"/>
        <v>279.0785024000001</v>
      </c>
      <c r="H140" s="189">
        <f t="shared" si="15"/>
        <v>223.2628019200001</v>
      </c>
      <c r="I140" s="189">
        <f t="shared" si="15"/>
        <v>178.6102415360001</v>
      </c>
      <c r="J140" s="189"/>
      <c r="S140" s="193">
        <v>255</v>
      </c>
      <c r="T140" s="193">
        <v>201</v>
      </c>
      <c r="U140" s="193">
        <v>29</v>
      </c>
    </row>
    <row r="141" spans="1:45" x14ac:dyDescent="0.25">
      <c r="A141" s="187">
        <v>38656</v>
      </c>
      <c r="B141" s="182">
        <v>583468</v>
      </c>
      <c r="C141" s="188">
        <f t="shared" si="16"/>
        <v>583.46799999999996</v>
      </c>
      <c r="D141" s="189">
        <f t="shared" si="17"/>
        <v>466.77440000000001</v>
      </c>
      <c r="E141" s="189">
        <f t="shared" si="17"/>
        <v>373.41952000000003</v>
      </c>
      <c r="F141" s="189">
        <f t="shared" si="15"/>
        <v>298.73561600000005</v>
      </c>
      <c r="G141" s="189">
        <f t="shared" si="15"/>
        <v>238.98849280000005</v>
      </c>
      <c r="H141" s="189">
        <f t="shared" si="15"/>
        <v>191.19079424000006</v>
      </c>
      <c r="I141" s="189">
        <f t="shared" si="15"/>
        <v>152.95263539200005</v>
      </c>
      <c r="J141" s="189"/>
      <c r="S141" s="198">
        <v>210</v>
      </c>
      <c r="T141" s="198">
        <v>210</v>
      </c>
      <c r="U141" s="198">
        <v>210</v>
      </c>
    </row>
    <row r="142" spans="1:45" x14ac:dyDescent="0.25">
      <c r="A142" s="187">
        <v>38686</v>
      </c>
      <c r="B142" s="182">
        <v>622093</v>
      </c>
      <c r="C142" s="188">
        <f t="shared" si="16"/>
        <v>622.09299999999996</v>
      </c>
      <c r="D142" s="189">
        <f t="shared" si="17"/>
        <v>497.67439999999999</v>
      </c>
      <c r="E142" s="189">
        <f t="shared" si="17"/>
        <v>398.13952</v>
      </c>
      <c r="F142" s="189">
        <f t="shared" si="15"/>
        <v>318.511616</v>
      </c>
      <c r="G142" s="189">
        <f t="shared" si="15"/>
        <v>254.80929280000001</v>
      </c>
      <c r="H142" s="189">
        <f t="shared" si="15"/>
        <v>203.84743424000001</v>
      </c>
      <c r="I142" s="189">
        <f t="shared" si="15"/>
        <v>163.07794739200003</v>
      </c>
      <c r="J142" s="189"/>
    </row>
    <row r="143" spans="1:45" x14ac:dyDescent="0.25">
      <c r="A143" s="187">
        <v>38717</v>
      </c>
      <c r="B143" s="182">
        <v>859940</v>
      </c>
      <c r="C143" s="188">
        <f t="shared" si="16"/>
        <v>859.94</v>
      </c>
      <c r="D143" s="189">
        <f t="shared" si="17"/>
        <v>687.95200000000011</v>
      </c>
      <c r="E143" s="189">
        <f t="shared" si="17"/>
        <v>550.36160000000007</v>
      </c>
      <c r="F143" s="189">
        <f t="shared" si="15"/>
        <v>440.28928000000008</v>
      </c>
      <c r="G143" s="189">
        <f t="shared" si="15"/>
        <v>352.23142400000006</v>
      </c>
      <c r="H143" s="189">
        <f t="shared" si="15"/>
        <v>281.78513920000006</v>
      </c>
      <c r="I143" s="189">
        <f t="shared" si="15"/>
        <v>225.42811136000006</v>
      </c>
      <c r="J143" s="189"/>
    </row>
    <row r="144" spans="1:45" x14ac:dyDescent="0.25">
      <c r="A144" s="187">
        <v>38748</v>
      </c>
      <c r="B144" s="182">
        <v>582613</v>
      </c>
      <c r="C144" s="188">
        <f t="shared" si="16"/>
        <v>582.61300000000006</v>
      </c>
      <c r="D144" s="189">
        <f t="shared" si="17"/>
        <v>466.09040000000005</v>
      </c>
      <c r="E144" s="189">
        <f t="shared" si="17"/>
        <v>372.87232000000006</v>
      </c>
      <c r="F144" s="189">
        <f t="shared" si="15"/>
        <v>298.29785600000008</v>
      </c>
      <c r="G144" s="189">
        <f t="shared" si="15"/>
        <v>238.63828480000006</v>
      </c>
      <c r="H144" s="189">
        <f t="shared" si="15"/>
        <v>190.91062784000007</v>
      </c>
      <c r="I144" s="189">
        <f t="shared" si="15"/>
        <v>152.72850227200007</v>
      </c>
      <c r="J144" s="189"/>
    </row>
    <row r="145" spans="1:45" x14ac:dyDescent="0.25">
      <c r="A145" s="187">
        <v>38776</v>
      </c>
      <c r="B145" s="182">
        <v>687571</v>
      </c>
      <c r="C145" s="188">
        <f t="shared" si="16"/>
        <v>687.57100000000003</v>
      </c>
      <c r="D145" s="189">
        <f t="shared" si="17"/>
        <v>550.05680000000007</v>
      </c>
      <c r="E145" s="189">
        <f t="shared" si="17"/>
        <v>440.0454400000001</v>
      </c>
      <c r="F145" s="189">
        <f t="shared" si="15"/>
        <v>352.03635200000008</v>
      </c>
      <c r="G145" s="189">
        <f t="shared" si="15"/>
        <v>281.62908160000006</v>
      </c>
      <c r="H145" s="189">
        <f t="shared" si="15"/>
        <v>225.30326528000006</v>
      </c>
      <c r="I145" s="189">
        <f t="shared" si="15"/>
        <v>180.24261222400006</v>
      </c>
      <c r="J145" s="189"/>
    </row>
    <row r="146" spans="1:45" x14ac:dyDescent="0.25">
      <c r="A146" s="187">
        <v>38807</v>
      </c>
      <c r="B146" s="182">
        <v>835216</v>
      </c>
      <c r="C146" s="188">
        <f t="shared" si="16"/>
        <v>835.21600000000001</v>
      </c>
      <c r="D146" s="189">
        <f t="shared" si="17"/>
        <v>668.17280000000005</v>
      </c>
      <c r="E146" s="189">
        <f t="shared" si="17"/>
        <v>534.53824000000009</v>
      </c>
      <c r="F146" s="189">
        <f t="shared" si="15"/>
        <v>427.63059200000009</v>
      </c>
      <c r="G146" s="189">
        <f t="shared" si="15"/>
        <v>342.10447360000012</v>
      </c>
      <c r="H146" s="189">
        <f t="shared" si="15"/>
        <v>273.68357888000008</v>
      </c>
      <c r="I146" s="189">
        <f t="shared" si="15"/>
        <v>218.94686310400007</v>
      </c>
      <c r="J146" s="189"/>
    </row>
    <row r="147" spans="1:45" x14ac:dyDescent="0.25">
      <c r="A147" s="187">
        <v>38837</v>
      </c>
      <c r="B147" s="182">
        <v>734758</v>
      </c>
      <c r="C147" s="188">
        <f t="shared" si="16"/>
        <v>734.75800000000004</v>
      </c>
      <c r="D147" s="189">
        <f t="shared" si="17"/>
        <v>587.80640000000005</v>
      </c>
      <c r="E147" s="189">
        <f t="shared" si="17"/>
        <v>470.24512000000004</v>
      </c>
      <c r="F147" s="189">
        <f t="shared" si="15"/>
        <v>376.19609600000007</v>
      </c>
      <c r="G147" s="189">
        <f t="shared" si="15"/>
        <v>300.95687680000009</v>
      </c>
      <c r="H147" s="189">
        <f t="shared" si="15"/>
        <v>240.76550144000009</v>
      </c>
      <c r="I147" s="189">
        <f t="shared" si="15"/>
        <v>192.61240115200007</v>
      </c>
      <c r="J147" s="189"/>
    </row>
    <row r="148" spans="1:45" x14ac:dyDescent="0.25">
      <c r="A148" s="187">
        <v>38868</v>
      </c>
      <c r="B148" s="182">
        <v>755597</v>
      </c>
      <c r="C148" s="188">
        <f t="shared" si="16"/>
        <v>755.59699999999998</v>
      </c>
      <c r="D148" s="189">
        <f t="shared" si="17"/>
        <v>604.47760000000005</v>
      </c>
      <c r="E148" s="189">
        <f t="shared" si="17"/>
        <v>483.58208000000008</v>
      </c>
      <c r="F148" s="189">
        <f t="shared" si="15"/>
        <v>386.86566400000009</v>
      </c>
      <c r="G148" s="189">
        <f t="shared" si="15"/>
        <v>309.49253120000009</v>
      </c>
      <c r="H148" s="189">
        <f t="shared" si="15"/>
        <v>247.59402496000007</v>
      </c>
      <c r="I148" s="189">
        <f t="shared" si="15"/>
        <v>198.07521996800006</v>
      </c>
      <c r="J148" s="189"/>
    </row>
    <row r="149" spans="1:45" x14ac:dyDescent="0.25">
      <c r="A149" s="187">
        <v>38898</v>
      </c>
      <c r="B149" s="182">
        <v>781900</v>
      </c>
      <c r="C149" s="188">
        <f t="shared" si="16"/>
        <v>781.9</v>
      </c>
      <c r="D149" s="189">
        <f t="shared" si="17"/>
        <v>625.52</v>
      </c>
      <c r="E149" s="189">
        <f t="shared" si="17"/>
        <v>500.416</v>
      </c>
      <c r="F149" s="189">
        <f t="shared" si="15"/>
        <v>400.33280000000002</v>
      </c>
      <c r="G149" s="189">
        <f t="shared" si="15"/>
        <v>320.26624000000004</v>
      </c>
      <c r="H149" s="189">
        <f t="shared" si="15"/>
        <v>256.21299200000004</v>
      </c>
      <c r="I149" s="189">
        <f t="shared" si="15"/>
        <v>204.97039360000005</v>
      </c>
      <c r="J149" s="189"/>
    </row>
    <row r="150" spans="1:45" x14ac:dyDescent="0.25">
      <c r="A150" s="187">
        <v>38929</v>
      </c>
      <c r="B150" s="182">
        <v>775373</v>
      </c>
      <c r="C150" s="188">
        <f t="shared" si="16"/>
        <v>775.37300000000005</v>
      </c>
      <c r="D150" s="189">
        <f t="shared" si="17"/>
        <v>620.29840000000013</v>
      </c>
      <c r="E150" s="189">
        <f t="shared" si="17"/>
        <v>496.23872000000011</v>
      </c>
      <c r="F150" s="189">
        <f t="shared" si="15"/>
        <v>396.9909760000001</v>
      </c>
      <c r="G150" s="189">
        <f t="shared" si="15"/>
        <v>317.59278080000013</v>
      </c>
      <c r="H150" s="189">
        <f t="shared" si="15"/>
        <v>254.07422464000012</v>
      </c>
      <c r="I150" s="189">
        <f t="shared" si="15"/>
        <v>203.25937971200011</v>
      </c>
      <c r="J150" s="189"/>
    </row>
    <row r="151" spans="1:45" x14ac:dyDescent="0.25">
      <c r="A151" s="187">
        <v>38960</v>
      </c>
      <c r="B151" s="182">
        <v>766611</v>
      </c>
      <c r="C151" s="188">
        <f t="shared" si="16"/>
        <v>766.61099999999999</v>
      </c>
      <c r="D151" s="189">
        <f t="shared" si="17"/>
        <v>613.28880000000004</v>
      </c>
      <c r="E151" s="189">
        <f t="shared" si="17"/>
        <v>490.63104000000004</v>
      </c>
      <c r="F151" s="189">
        <f t="shared" si="15"/>
        <v>392.50483200000008</v>
      </c>
      <c r="G151" s="189">
        <f t="shared" si="15"/>
        <v>314.0038656000001</v>
      </c>
      <c r="H151" s="189">
        <f t="shared" si="15"/>
        <v>251.20309248000009</v>
      </c>
      <c r="I151" s="189">
        <f t="shared" si="15"/>
        <v>200.9624739840001</v>
      </c>
      <c r="J151" s="189"/>
    </row>
    <row r="152" spans="1:45" x14ac:dyDescent="0.25">
      <c r="A152" s="187">
        <v>38990</v>
      </c>
      <c r="B152" s="182">
        <v>717922</v>
      </c>
      <c r="C152" s="188">
        <f t="shared" si="16"/>
        <v>717.92200000000003</v>
      </c>
      <c r="D152" s="189">
        <f t="shared" si="17"/>
        <v>574.33760000000007</v>
      </c>
      <c r="E152" s="189">
        <f t="shared" si="17"/>
        <v>459.47008000000005</v>
      </c>
      <c r="F152" s="189">
        <f t="shared" si="15"/>
        <v>367.57606400000009</v>
      </c>
      <c r="G152" s="189">
        <f t="shared" si="15"/>
        <v>294.06085120000006</v>
      </c>
      <c r="H152" s="189">
        <f t="shared" si="15"/>
        <v>235.24868096000006</v>
      </c>
      <c r="I152" s="189">
        <f t="shared" si="15"/>
        <v>188.19894476800005</v>
      </c>
      <c r="J152" s="189"/>
    </row>
    <row r="153" spans="1:45" x14ac:dyDescent="0.25">
      <c r="A153" s="187">
        <v>39021</v>
      </c>
      <c r="B153" s="182">
        <v>669748</v>
      </c>
      <c r="C153" s="188">
        <f t="shared" si="16"/>
        <v>669.74800000000005</v>
      </c>
      <c r="D153" s="189">
        <f t="shared" si="17"/>
        <v>535.79840000000002</v>
      </c>
      <c r="E153" s="189">
        <f t="shared" si="17"/>
        <v>428.63872000000003</v>
      </c>
      <c r="F153" s="189">
        <f t="shared" ref="F153:I172" si="18">E153*0.8</f>
        <v>342.91097600000006</v>
      </c>
      <c r="G153" s="189">
        <f t="shared" si="18"/>
        <v>274.32878080000006</v>
      </c>
      <c r="H153" s="189">
        <f t="shared" si="18"/>
        <v>219.46302464000007</v>
      </c>
      <c r="I153" s="189">
        <f t="shared" si="18"/>
        <v>175.57041971200007</v>
      </c>
      <c r="J153" s="189"/>
    </row>
    <row r="154" spans="1:45" x14ac:dyDescent="0.25">
      <c r="A154" s="187">
        <v>39051</v>
      </c>
      <c r="B154" s="182">
        <v>660823</v>
      </c>
      <c r="C154" s="188">
        <f t="shared" si="16"/>
        <v>660.82299999999998</v>
      </c>
      <c r="D154" s="189">
        <f t="shared" si="17"/>
        <v>528.65840000000003</v>
      </c>
      <c r="E154" s="189">
        <f t="shared" si="17"/>
        <v>422.92672000000005</v>
      </c>
      <c r="F154" s="189">
        <f t="shared" si="18"/>
        <v>338.34137600000008</v>
      </c>
      <c r="G154" s="189">
        <f t="shared" si="18"/>
        <v>270.6731008000001</v>
      </c>
      <c r="H154" s="189">
        <f t="shared" si="18"/>
        <v>216.5384806400001</v>
      </c>
      <c r="I154" s="189">
        <f t="shared" si="18"/>
        <v>173.2307845120001</v>
      </c>
      <c r="J154" s="189"/>
    </row>
    <row r="155" spans="1:45" x14ac:dyDescent="0.25">
      <c r="A155" s="187">
        <v>39082</v>
      </c>
      <c r="B155" s="182">
        <v>781742</v>
      </c>
      <c r="C155" s="188">
        <f t="shared" si="16"/>
        <v>781.74199999999996</v>
      </c>
      <c r="D155" s="189">
        <f t="shared" si="17"/>
        <v>625.39359999999999</v>
      </c>
      <c r="E155" s="189">
        <f t="shared" si="17"/>
        <v>500.31488000000002</v>
      </c>
      <c r="F155" s="189">
        <f t="shared" si="18"/>
        <v>400.25190400000002</v>
      </c>
      <c r="G155" s="189">
        <f t="shared" si="18"/>
        <v>320.20152320000005</v>
      </c>
      <c r="H155" s="189">
        <f t="shared" si="18"/>
        <v>256.16121856000007</v>
      </c>
      <c r="I155" s="189">
        <f t="shared" si="18"/>
        <v>204.92897484800005</v>
      </c>
      <c r="J155" s="189"/>
    </row>
    <row r="156" spans="1:45" x14ac:dyDescent="0.25">
      <c r="A156" s="187">
        <v>39113</v>
      </c>
      <c r="B156" s="182">
        <v>581002</v>
      </c>
      <c r="C156" s="188">
        <f t="shared" si="16"/>
        <v>581.00199999999995</v>
      </c>
      <c r="D156" s="189">
        <f t="shared" si="17"/>
        <v>464.80160000000001</v>
      </c>
      <c r="E156" s="189">
        <f t="shared" si="17"/>
        <v>371.84128000000004</v>
      </c>
      <c r="F156" s="189">
        <f t="shared" si="18"/>
        <v>297.47302400000007</v>
      </c>
      <c r="G156" s="189">
        <f t="shared" si="18"/>
        <v>237.97841920000008</v>
      </c>
      <c r="H156" s="189">
        <f t="shared" si="18"/>
        <v>190.38273536000008</v>
      </c>
      <c r="I156" s="189">
        <f t="shared" si="18"/>
        <v>152.30618828800007</v>
      </c>
      <c r="J156" s="189"/>
      <c r="AJ156" s="183" t="s">
        <v>12</v>
      </c>
      <c r="AK156" s="183" t="s">
        <v>13</v>
      </c>
      <c r="AL156" s="183" t="s">
        <v>14</v>
      </c>
      <c r="AM156" s="183" t="s">
        <v>15</v>
      </c>
      <c r="AN156" s="183" t="s">
        <v>15</v>
      </c>
      <c r="AO156" s="183" t="s">
        <v>15</v>
      </c>
      <c r="AP156" s="183" t="s">
        <v>15</v>
      </c>
      <c r="AQ156" s="183" t="s">
        <v>15</v>
      </c>
      <c r="AR156" s="183" t="s">
        <v>15</v>
      </c>
      <c r="AS156" s="183" t="s">
        <v>15</v>
      </c>
    </row>
    <row r="157" spans="1:45" ht="13" x14ac:dyDescent="0.3">
      <c r="A157" s="187">
        <v>39141</v>
      </c>
      <c r="B157" s="182">
        <v>690502</v>
      </c>
      <c r="C157" s="188">
        <f t="shared" si="16"/>
        <v>690.50199999999995</v>
      </c>
      <c r="D157" s="189">
        <f t="shared" si="17"/>
        <v>552.40160000000003</v>
      </c>
      <c r="E157" s="189">
        <f t="shared" si="17"/>
        <v>441.92128000000002</v>
      </c>
      <c r="F157" s="189">
        <f t="shared" si="18"/>
        <v>353.53702400000003</v>
      </c>
      <c r="G157" s="189">
        <f t="shared" si="18"/>
        <v>282.82961920000002</v>
      </c>
      <c r="H157" s="189">
        <f t="shared" si="18"/>
        <v>226.26369536000004</v>
      </c>
      <c r="I157" s="189">
        <f t="shared" si="18"/>
        <v>181.01095628800005</v>
      </c>
      <c r="J157" s="189"/>
      <c r="AI157" s="177">
        <v>2010</v>
      </c>
      <c r="AJ157" s="184">
        <v>84.3</v>
      </c>
      <c r="AK157" s="185">
        <f>AJ157*1.1</f>
        <v>92.73</v>
      </c>
      <c r="AL157" s="185">
        <f>AJ157/1.1</f>
        <v>76.636363636363626</v>
      </c>
      <c r="AM157" s="185">
        <f>AK157/1.1</f>
        <v>84.3</v>
      </c>
      <c r="AN157" s="185">
        <f t="shared" ref="AN157:AS163" si="19">AL157/1.1</f>
        <v>69.669421487603287</v>
      </c>
      <c r="AO157" s="185">
        <f t="shared" si="19"/>
        <v>76.636363636363626</v>
      </c>
      <c r="AP157" s="185">
        <f t="shared" si="19"/>
        <v>63.335837716002985</v>
      </c>
      <c r="AQ157" s="185">
        <f t="shared" si="19"/>
        <v>69.669421487603287</v>
      </c>
      <c r="AR157" s="185">
        <f t="shared" si="19"/>
        <v>57.578034287275436</v>
      </c>
      <c r="AS157" s="185">
        <f t="shared" si="19"/>
        <v>63.335837716002985</v>
      </c>
    </row>
    <row r="158" spans="1:45" ht="13" x14ac:dyDescent="0.3">
      <c r="A158" s="187">
        <v>39172</v>
      </c>
      <c r="B158" s="182">
        <v>817833</v>
      </c>
      <c r="C158" s="188">
        <f t="shared" si="16"/>
        <v>817.83299999999997</v>
      </c>
      <c r="D158" s="189">
        <f t="shared" si="17"/>
        <v>654.26639999999998</v>
      </c>
      <c r="E158" s="189">
        <f t="shared" si="17"/>
        <v>523.41312000000005</v>
      </c>
      <c r="F158" s="189">
        <f t="shared" si="18"/>
        <v>418.73049600000007</v>
      </c>
      <c r="G158" s="189">
        <f t="shared" si="18"/>
        <v>334.98439680000007</v>
      </c>
      <c r="H158" s="189">
        <f t="shared" si="18"/>
        <v>267.98751744000009</v>
      </c>
      <c r="I158" s="189">
        <f t="shared" si="18"/>
        <v>214.39001395200009</v>
      </c>
      <c r="J158" s="189"/>
      <c r="U158" s="215" t="s">
        <v>407</v>
      </c>
      <c r="AI158" s="177">
        <v>2011</v>
      </c>
      <c r="AJ158" s="184">
        <v>89.5</v>
      </c>
      <c r="AK158" s="185">
        <f t="shared" ref="AK158:AK163" si="20">AJ158*1.1</f>
        <v>98.45</v>
      </c>
      <c r="AL158" s="185">
        <f t="shared" ref="AL158:AM163" si="21">AJ158/1.1</f>
        <v>81.36363636363636</v>
      </c>
      <c r="AM158" s="185">
        <f t="shared" si="21"/>
        <v>89.5</v>
      </c>
      <c r="AN158" s="185">
        <f t="shared" si="19"/>
        <v>73.966942148760324</v>
      </c>
      <c r="AO158" s="185">
        <f t="shared" si="19"/>
        <v>81.36363636363636</v>
      </c>
      <c r="AP158" s="185">
        <f t="shared" si="19"/>
        <v>67.242674680691195</v>
      </c>
      <c r="AQ158" s="185">
        <f t="shared" si="19"/>
        <v>73.966942148760324</v>
      </c>
      <c r="AR158" s="185">
        <f t="shared" si="19"/>
        <v>61.129704255173806</v>
      </c>
      <c r="AS158" s="185">
        <f t="shared" si="19"/>
        <v>67.242674680691195</v>
      </c>
    </row>
    <row r="159" spans="1:45" ht="13" x14ac:dyDescent="0.3">
      <c r="A159" s="187">
        <v>39202</v>
      </c>
      <c r="B159" s="182">
        <v>710682</v>
      </c>
      <c r="C159" s="188">
        <f t="shared" si="16"/>
        <v>710.68200000000002</v>
      </c>
      <c r="D159" s="189">
        <f t="shared" si="17"/>
        <v>568.54560000000004</v>
      </c>
      <c r="E159" s="189">
        <f t="shared" si="17"/>
        <v>454.83648000000005</v>
      </c>
      <c r="F159" s="189">
        <f t="shared" si="18"/>
        <v>363.86918400000008</v>
      </c>
      <c r="G159" s="189">
        <f t="shared" si="18"/>
        <v>291.09534720000005</v>
      </c>
      <c r="H159" s="189">
        <f t="shared" si="18"/>
        <v>232.87627776000005</v>
      </c>
      <c r="I159" s="189">
        <f t="shared" si="18"/>
        <v>186.30102220800006</v>
      </c>
      <c r="J159" s="189"/>
      <c r="AI159" s="177">
        <v>2012</v>
      </c>
      <c r="AJ159" s="184">
        <v>78.8</v>
      </c>
      <c r="AK159" s="185">
        <f t="shared" si="20"/>
        <v>86.68</v>
      </c>
      <c r="AL159" s="185">
        <f t="shared" si="21"/>
        <v>71.636363636363626</v>
      </c>
      <c r="AM159" s="185">
        <f t="shared" si="21"/>
        <v>78.8</v>
      </c>
      <c r="AN159" s="185">
        <f t="shared" si="19"/>
        <v>65.123966942148741</v>
      </c>
      <c r="AO159" s="185">
        <f t="shared" si="19"/>
        <v>71.636363636363626</v>
      </c>
      <c r="AP159" s="185">
        <f t="shared" si="19"/>
        <v>59.203606311044304</v>
      </c>
      <c r="AQ159" s="185">
        <f t="shared" si="19"/>
        <v>65.123966942148741</v>
      </c>
      <c r="AR159" s="185">
        <f t="shared" si="19"/>
        <v>53.821460282767546</v>
      </c>
      <c r="AS159" s="185">
        <f t="shared" si="19"/>
        <v>59.203606311044304</v>
      </c>
    </row>
    <row r="160" spans="1:45" ht="13" x14ac:dyDescent="0.3">
      <c r="A160" s="187">
        <v>39233</v>
      </c>
      <c r="B160" s="182">
        <v>780811</v>
      </c>
      <c r="C160" s="188">
        <f t="shared" si="16"/>
        <v>780.81100000000004</v>
      </c>
      <c r="D160" s="189">
        <f t="shared" si="17"/>
        <v>624.64880000000005</v>
      </c>
      <c r="E160" s="189">
        <f t="shared" si="17"/>
        <v>499.71904000000006</v>
      </c>
      <c r="F160" s="189">
        <f t="shared" si="18"/>
        <v>399.77523200000007</v>
      </c>
      <c r="G160" s="189">
        <f t="shared" si="18"/>
        <v>319.82018560000006</v>
      </c>
      <c r="H160" s="189">
        <f t="shared" si="18"/>
        <v>255.85614848000006</v>
      </c>
      <c r="I160" s="189">
        <f t="shared" si="18"/>
        <v>204.68491878400005</v>
      </c>
      <c r="J160" s="189"/>
      <c r="AI160" s="177">
        <v>2013</v>
      </c>
      <c r="AJ160" s="184">
        <v>76.900000000000006</v>
      </c>
      <c r="AK160" s="185">
        <f t="shared" si="20"/>
        <v>84.590000000000018</v>
      </c>
      <c r="AL160" s="185">
        <f t="shared" si="21"/>
        <v>69.909090909090907</v>
      </c>
      <c r="AM160" s="185">
        <f t="shared" si="21"/>
        <v>76.900000000000006</v>
      </c>
      <c r="AN160" s="185">
        <f t="shared" si="19"/>
        <v>63.553719008264459</v>
      </c>
      <c r="AO160" s="185">
        <f t="shared" si="19"/>
        <v>69.909090909090907</v>
      </c>
      <c r="AP160" s="185">
        <f t="shared" si="19"/>
        <v>57.776108189331325</v>
      </c>
      <c r="AQ160" s="185">
        <f t="shared" si="19"/>
        <v>63.553719008264459</v>
      </c>
      <c r="AR160" s="185">
        <f t="shared" si="19"/>
        <v>52.52373471757393</v>
      </c>
      <c r="AS160" s="185">
        <f t="shared" si="19"/>
        <v>57.776108189331325</v>
      </c>
    </row>
    <row r="161" spans="1:45" ht="13" x14ac:dyDescent="0.3">
      <c r="A161" s="187">
        <v>39263</v>
      </c>
      <c r="B161" s="182">
        <v>729467</v>
      </c>
      <c r="C161" s="188">
        <f t="shared" si="16"/>
        <v>729.46699999999998</v>
      </c>
      <c r="D161" s="189">
        <f t="shared" si="17"/>
        <v>583.57360000000006</v>
      </c>
      <c r="E161" s="189">
        <f t="shared" si="17"/>
        <v>466.85888000000006</v>
      </c>
      <c r="F161" s="189">
        <f t="shared" si="18"/>
        <v>373.48710400000004</v>
      </c>
      <c r="G161" s="189">
        <f t="shared" si="18"/>
        <v>298.78968320000007</v>
      </c>
      <c r="H161" s="189">
        <f t="shared" si="18"/>
        <v>239.03174656000007</v>
      </c>
      <c r="I161" s="189">
        <f t="shared" si="18"/>
        <v>191.22539724800006</v>
      </c>
      <c r="J161" s="189"/>
      <c r="AI161" s="177">
        <v>2014</v>
      </c>
      <c r="AJ161" s="184">
        <v>70.099999999999994</v>
      </c>
      <c r="AK161" s="185">
        <f t="shared" si="20"/>
        <v>77.11</v>
      </c>
      <c r="AL161" s="185">
        <f t="shared" si="21"/>
        <v>63.72727272727272</v>
      </c>
      <c r="AM161" s="185">
        <f t="shared" si="21"/>
        <v>70.099999999999994</v>
      </c>
      <c r="AN161" s="185">
        <f t="shared" si="19"/>
        <v>57.933884297520649</v>
      </c>
      <c r="AO161" s="185">
        <f t="shared" si="19"/>
        <v>63.72727272727272</v>
      </c>
      <c r="AP161" s="185">
        <f t="shared" si="19"/>
        <v>52.667167543200584</v>
      </c>
      <c r="AQ161" s="185">
        <f t="shared" si="19"/>
        <v>57.933884297520649</v>
      </c>
      <c r="AR161" s="185">
        <f t="shared" si="19"/>
        <v>47.879243221091436</v>
      </c>
      <c r="AS161" s="185">
        <f t="shared" si="19"/>
        <v>52.667167543200584</v>
      </c>
    </row>
    <row r="162" spans="1:45" ht="13" x14ac:dyDescent="0.3">
      <c r="A162" s="187">
        <v>39294</v>
      </c>
      <c r="B162" s="182">
        <v>683699</v>
      </c>
      <c r="C162" s="188">
        <f t="shared" si="16"/>
        <v>683.69899999999996</v>
      </c>
      <c r="D162" s="189">
        <f t="shared" si="17"/>
        <v>546.95920000000001</v>
      </c>
      <c r="E162" s="189">
        <f t="shared" si="17"/>
        <v>437.56736000000001</v>
      </c>
      <c r="F162" s="189">
        <f t="shared" si="18"/>
        <v>350.05388800000003</v>
      </c>
      <c r="G162" s="189">
        <f t="shared" si="18"/>
        <v>280.04311040000005</v>
      </c>
      <c r="H162" s="189">
        <f t="shared" si="18"/>
        <v>224.03448832000004</v>
      </c>
      <c r="I162" s="189">
        <f t="shared" si="18"/>
        <v>179.22759065600005</v>
      </c>
      <c r="J162" s="189"/>
      <c r="AI162" s="177">
        <v>2015</v>
      </c>
      <c r="AJ162" s="184">
        <v>57.6</v>
      </c>
      <c r="AK162" s="185">
        <f t="shared" si="20"/>
        <v>63.360000000000007</v>
      </c>
      <c r="AL162" s="185">
        <f t="shared" si="21"/>
        <v>52.36363636363636</v>
      </c>
      <c r="AM162" s="185">
        <f t="shared" si="21"/>
        <v>57.6</v>
      </c>
      <c r="AN162" s="185">
        <f t="shared" si="19"/>
        <v>47.603305785123958</v>
      </c>
      <c r="AO162" s="185">
        <f t="shared" si="19"/>
        <v>52.36363636363636</v>
      </c>
      <c r="AP162" s="185">
        <f t="shared" si="19"/>
        <v>43.275732531930871</v>
      </c>
      <c r="AQ162" s="185">
        <f t="shared" si="19"/>
        <v>47.603305785123958</v>
      </c>
      <c r="AR162" s="185">
        <f t="shared" si="19"/>
        <v>39.341575029028064</v>
      </c>
      <c r="AS162" s="185">
        <f t="shared" si="19"/>
        <v>43.275732531930871</v>
      </c>
    </row>
    <row r="163" spans="1:45" ht="13" x14ac:dyDescent="0.3">
      <c r="A163" s="187">
        <v>39325</v>
      </c>
      <c r="B163" s="182">
        <v>790083</v>
      </c>
      <c r="C163" s="188">
        <f t="shared" si="16"/>
        <v>790.08299999999997</v>
      </c>
      <c r="D163" s="189">
        <f t="shared" si="17"/>
        <v>632.06640000000004</v>
      </c>
      <c r="E163" s="189">
        <f t="shared" si="17"/>
        <v>505.65312000000006</v>
      </c>
      <c r="F163" s="189">
        <f t="shared" si="18"/>
        <v>404.52249600000005</v>
      </c>
      <c r="G163" s="189">
        <f t="shared" si="18"/>
        <v>323.61799680000007</v>
      </c>
      <c r="H163" s="189">
        <f t="shared" si="18"/>
        <v>258.89439744000009</v>
      </c>
      <c r="I163" s="189">
        <f t="shared" si="18"/>
        <v>207.11551795200009</v>
      </c>
      <c r="J163" s="189"/>
      <c r="AI163" s="177">
        <v>2016</v>
      </c>
      <c r="AJ163" s="184">
        <v>50.2</v>
      </c>
      <c r="AK163" s="185">
        <f t="shared" si="20"/>
        <v>55.220000000000006</v>
      </c>
      <c r="AL163" s="185">
        <f t="shared" si="21"/>
        <v>45.636363636363633</v>
      </c>
      <c r="AM163" s="185">
        <f t="shared" si="21"/>
        <v>50.2</v>
      </c>
      <c r="AN163" s="185">
        <f t="shared" si="19"/>
        <v>41.487603305785115</v>
      </c>
      <c r="AO163" s="185">
        <f t="shared" si="19"/>
        <v>45.636363636363633</v>
      </c>
      <c r="AP163" s="185">
        <f t="shared" si="19"/>
        <v>37.716003005259189</v>
      </c>
      <c r="AQ163" s="185">
        <f t="shared" si="19"/>
        <v>41.487603305785115</v>
      </c>
      <c r="AR163" s="185">
        <f t="shared" si="19"/>
        <v>34.28727545932653</v>
      </c>
      <c r="AS163" s="185">
        <f t="shared" si="19"/>
        <v>37.716003005259189</v>
      </c>
    </row>
    <row r="164" spans="1:45" ht="13" x14ac:dyDescent="0.3">
      <c r="A164" s="187">
        <v>39355</v>
      </c>
      <c r="B164" s="182">
        <v>697100</v>
      </c>
      <c r="C164" s="188">
        <f t="shared" si="16"/>
        <v>697.1</v>
      </c>
      <c r="D164" s="189">
        <f t="shared" si="17"/>
        <v>557.68000000000006</v>
      </c>
      <c r="E164" s="189">
        <f t="shared" si="17"/>
        <v>446.14400000000006</v>
      </c>
      <c r="F164" s="189">
        <f t="shared" si="18"/>
        <v>356.91520000000008</v>
      </c>
      <c r="G164" s="189">
        <f t="shared" si="18"/>
        <v>285.53216000000009</v>
      </c>
      <c r="H164" s="189">
        <f t="shared" si="18"/>
        <v>228.42572800000008</v>
      </c>
      <c r="I164" s="189">
        <f t="shared" si="18"/>
        <v>182.74058240000008</v>
      </c>
      <c r="J164" s="189"/>
      <c r="AI164" s="177"/>
      <c r="AJ164" s="184"/>
      <c r="AK164" s="185"/>
      <c r="AL164" s="185"/>
      <c r="AM164" s="185"/>
      <c r="AN164" s="185"/>
      <c r="AO164" s="185"/>
      <c r="AP164" s="185"/>
      <c r="AQ164" s="185"/>
      <c r="AR164" s="185"/>
      <c r="AS164" s="185"/>
    </row>
    <row r="165" spans="1:45" ht="13" x14ac:dyDescent="0.3">
      <c r="A165" s="187">
        <v>39386</v>
      </c>
      <c r="B165" s="182">
        <v>665340</v>
      </c>
      <c r="C165" s="188">
        <f t="shared" si="16"/>
        <v>665.34</v>
      </c>
      <c r="D165" s="189">
        <f t="shared" si="17"/>
        <v>532.27200000000005</v>
      </c>
      <c r="E165" s="189">
        <f t="shared" si="17"/>
        <v>425.81760000000008</v>
      </c>
      <c r="F165" s="189">
        <f t="shared" si="18"/>
        <v>340.65408000000008</v>
      </c>
      <c r="G165" s="189">
        <f t="shared" si="18"/>
        <v>272.5232640000001</v>
      </c>
      <c r="H165" s="189">
        <f t="shared" si="18"/>
        <v>218.01861120000009</v>
      </c>
      <c r="I165" s="189">
        <f t="shared" si="18"/>
        <v>174.4148889600001</v>
      </c>
      <c r="J165" s="189"/>
      <c r="AI165" s="177"/>
    </row>
    <row r="166" spans="1:45" x14ac:dyDescent="0.25">
      <c r="A166" s="187">
        <v>39416</v>
      </c>
      <c r="B166" s="182">
        <v>607818</v>
      </c>
      <c r="C166" s="188">
        <f t="shared" si="16"/>
        <v>607.81799999999998</v>
      </c>
      <c r="D166" s="189">
        <f t="shared" si="17"/>
        <v>486.25440000000003</v>
      </c>
      <c r="E166" s="189">
        <f t="shared" si="17"/>
        <v>389.00352000000004</v>
      </c>
      <c r="F166" s="189">
        <f t="shared" si="18"/>
        <v>311.20281600000004</v>
      </c>
      <c r="G166" s="189">
        <f t="shared" si="18"/>
        <v>248.96225280000004</v>
      </c>
      <c r="H166" s="189">
        <f t="shared" si="18"/>
        <v>199.16980224000005</v>
      </c>
      <c r="I166" s="189">
        <f t="shared" si="18"/>
        <v>159.33584179200005</v>
      </c>
      <c r="J166" s="189"/>
    </row>
    <row r="167" spans="1:45" x14ac:dyDescent="0.25">
      <c r="A167" s="187">
        <v>39447</v>
      </c>
      <c r="B167" s="182">
        <v>752074</v>
      </c>
      <c r="C167" s="188">
        <f t="shared" si="16"/>
        <v>752.07399999999996</v>
      </c>
      <c r="D167" s="189">
        <f t="shared" si="17"/>
        <v>601.65919999999994</v>
      </c>
      <c r="E167" s="189">
        <f t="shared" si="17"/>
        <v>481.32736</v>
      </c>
      <c r="F167" s="189">
        <f t="shared" si="18"/>
        <v>385.06188800000001</v>
      </c>
      <c r="G167" s="189">
        <f t="shared" si="18"/>
        <v>308.04951040000003</v>
      </c>
      <c r="H167" s="189">
        <f t="shared" si="18"/>
        <v>246.43960832000005</v>
      </c>
      <c r="I167" s="189">
        <f t="shared" si="18"/>
        <v>197.15168665600004</v>
      </c>
      <c r="J167" s="189"/>
    </row>
    <row r="168" spans="1:45" x14ac:dyDescent="0.25">
      <c r="A168" s="187">
        <v>39478</v>
      </c>
      <c r="B168" s="182">
        <v>539192</v>
      </c>
      <c r="C168" s="188">
        <f t="shared" si="16"/>
        <v>539.19200000000001</v>
      </c>
      <c r="D168" s="189">
        <f t="shared" si="17"/>
        <v>431.35360000000003</v>
      </c>
      <c r="E168" s="189">
        <f t="shared" si="17"/>
        <v>345.08288000000005</v>
      </c>
      <c r="F168" s="189">
        <f t="shared" si="18"/>
        <v>276.06630400000006</v>
      </c>
      <c r="G168" s="189">
        <f t="shared" si="18"/>
        <v>220.85304320000006</v>
      </c>
      <c r="H168" s="189">
        <f t="shared" si="18"/>
        <v>176.68243456000005</v>
      </c>
      <c r="I168" s="189">
        <f t="shared" si="18"/>
        <v>141.34594764800005</v>
      </c>
      <c r="J168" s="189"/>
    </row>
    <row r="169" spans="1:45" x14ac:dyDescent="0.25">
      <c r="A169" s="187">
        <v>39507</v>
      </c>
      <c r="B169" s="182">
        <v>610975</v>
      </c>
      <c r="C169" s="188">
        <f t="shared" si="16"/>
        <v>610.97500000000002</v>
      </c>
      <c r="D169" s="189">
        <f t="shared" si="17"/>
        <v>488.78000000000003</v>
      </c>
      <c r="E169" s="189">
        <f t="shared" si="17"/>
        <v>391.02400000000006</v>
      </c>
      <c r="F169" s="189">
        <f t="shared" si="18"/>
        <v>312.81920000000008</v>
      </c>
      <c r="G169" s="189">
        <f t="shared" si="18"/>
        <v>250.25536000000008</v>
      </c>
      <c r="H169" s="189">
        <f t="shared" si="18"/>
        <v>200.20428800000008</v>
      </c>
      <c r="I169" s="189">
        <f t="shared" si="18"/>
        <v>160.16343040000007</v>
      </c>
      <c r="J169" s="189"/>
    </row>
    <row r="170" spans="1:45" x14ac:dyDescent="0.25">
      <c r="A170" s="187">
        <v>39538</v>
      </c>
      <c r="B170" s="182">
        <v>666867</v>
      </c>
      <c r="C170" s="188">
        <f t="shared" si="16"/>
        <v>666.86699999999996</v>
      </c>
      <c r="D170" s="189">
        <f t="shared" si="17"/>
        <v>533.49360000000001</v>
      </c>
      <c r="E170" s="189">
        <f t="shared" si="17"/>
        <v>426.79488000000003</v>
      </c>
      <c r="F170" s="189">
        <f t="shared" si="18"/>
        <v>341.43590400000005</v>
      </c>
      <c r="G170" s="189">
        <f t="shared" si="18"/>
        <v>273.14872320000006</v>
      </c>
      <c r="H170" s="189">
        <f t="shared" si="18"/>
        <v>218.51897856000005</v>
      </c>
      <c r="I170" s="189">
        <f t="shared" si="18"/>
        <v>174.81518284800006</v>
      </c>
      <c r="J170" s="189"/>
    </row>
    <row r="171" spans="1:45" x14ac:dyDescent="0.25">
      <c r="A171" s="187">
        <v>39568</v>
      </c>
      <c r="B171" s="182">
        <v>582055</v>
      </c>
      <c r="C171" s="188">
        <f t="shared" si="16"/>
        <v>582.05499999999995</v>
      </c>
      <c r="D171" s="189">
        <f t="shared" si="17"/>
        <v>465.64400000000001</v>
      </c>
      <c r="E171" s="189">
        <f t="shared" si="17"/>
        <v>372.51520000000005</v>
      </c>
      <c r="F171" s="189">
        <f t="shared" si="18"/>
        <v>298.01216000000005</v>
      </c>
      <c r="G171" s="189">
        <f t="shared" si="18"/>
        <v>238.40972800000006</v>
      </c>
      <c r="H171" s="189">
        <f t="shared" si="18"/>
        <v>190.72778240000005</v>
      </c>
      <c r="I171" s="189">
        <f t="shared" si="18"/>
        <v>152.58222592000004</v>
      </c>
      <c r="J171" s="189"/>
    </row>
    <row r="172" spans="1:45" x14ac:dyDescent="0.25">
      <c r="A172" s="187">
        <v>39599</v>
      </c>
      <c r="B172" s="182">
        <v>593758</v>
      </c>
      <c r="C172" s="188">
        <f t="shared" si="16"/>
        <v>593.75800000000004</v>
      </c>
      <c r="D172" s="189">
        <f t="shared" si="17"/>
        <v>475.00640000000004</v>
      </c>
      <c r="E172" s="189">
        <f t="shared" si="17"/>
        <v>380.00512000000003</v>
      </c>
      <c r="F172" s="189">
        <f t="shared" si="18"/>
        <v>304.00409600000006</v>
      </c>
      <c r="G172" s="189">
        <f t="shared" si="18"/>
        <v>243.20327680000005</v>
      </c>
      <c r="H172" s="189">
        <f t="shared" si="18"/>
        <v>194.56262144000004</v>
      </c>
      <c r="I172" s="189">
        <f t="shared" si="18"/>
        <v>155.65009715200006</v>
      </c>
      <c r="J172" s="189"/>
    </row>
    <row r="173" spans="1:45" x14ac:dyDescent="0.25">
      <c r="A173" s="187">
        <v>39629</v>
      </c>
      <c r="B173" s="182">
        <v>520635</v>
      </c>
      <c r="C173" s="188">
        <f t="shared" si="16"/>
        <v>520.63499999999999</v>
      </c>
      <c r="D173" s="189">
        <f t="shared" si="17"/>
        <v>416.50800000000004</v>
      </c>
      <c r="E173" s="189">
        <f t="shared" si="17"/>
        <v>333.20640000000003</v>
      </c>
      <c r="F173" s="189">
        <f t="shared" ref="F173:I192" si="22">E173*0.8</f>
        <v>266.56512000000004</v>
      </c>
      <c r="G173" s="189">
        <f t="shared" si="22"/>
        <v>213.25209600000005</v>
      </c>
      <c r="H173" s="189">
        <f t="shared" si="22"/>
        <v>170.60167680000006</v>
      </c>
      <c r="I173" s="189">
        <f t="shared" si="22"/>
        <v>136.48134144000005</v>
      </c>
      <c r="J173" s="189"/>
    </row>
    <row r="174" spans="1:45" x14ac:dyDescent="0.25">
      <c r="A174" s="187">
        <v>39660</v>
      </c>
      <c r="B174" s="182">
        <v>512841</v>
      </c>
      <c r="C174" s="188">
        <f t="shared" si="16"/>
        <v>512.84100000000001</v>
      </c>
      <c r="D174" s="189">
        <f t="shared" si="17"/>
        <v>410.27280000000002</v>
      </c>
      <c r="E174" s="189">
        <f t="shared" si="17"/>
        <v>328.21824000000004</v>
      </c>
      <c r="F174" s="189">
        <f t="shared" si="22"/>
        <v>262.57459200000005</v>
      </c>
      <c r="G174" s="189">
        <f t="shared" si="22"/>
        <v>210.05967360000005</v>
      </c>
      <c r="H174" s="189">
        <f t="shared" si="22"/>
        <v>168.04773888000005</v>
      </c>
      <c r="I174" s="189">
        <f t="shared" si="22"/>
        <v>134.43819110400005</v>
      </c>
      <c r="J174" s="189"/>
    </row>
    <row r="175" spans="1:45" x14ac:dyDescent="0.25">
      <c r="A175" s="187">
        <v>39691</v>
      </c>
      <c r="B175" s="182">
        <v>616089</v>
      </c>
      <c r="C175" s="188">
        <f t="shared" si="16"/>
        <v>616.08900000000006</v>
      </c>
      <c r="D175" s="189">
        <f t="shared" si="17"/>
        <v>492.87120000000004</v>
      </c>
      <c r="E175" s="189">
        <f t="shared" si="17"/>
        <v>394.29696000000007</v>
      </c>
      <c r="F175" s="189">
        <f t="shared" si="22"/>
        <v>315.43756800000006</v>
      </c>
      <c r="G175" s="189">
        <f t="shared" si="22"/>
        <v>252.35005440000006</v>
      </c>
      <c r="H175" s="189">
        <f t="shared" si="22"/>
        <v>201.88004352000007</v>
      </c>
      <c r="I175" s="189">
        <f t="shared" si="22"/>
        <v>161.50403481600006</v>
      </c>
      <c r="J175" s="189"/>
    </row>
    <row r="176" spans="1:45" x14ac:dyDescent="0.25">
      <c r="A176" s="187">
        <v>39721</v>
      </c>
      <c r="B176" s="182">
        <v>486897</v>
      </c>
      <c r="C176" s="188">
        <f t="shared" si="16"/>
        <v>486.89699999999999</v>
      </c>
      <c r="D176" s="189">
        <f t="shared" si="17"/>
        <v>389.51760000000002</v>
      </c>
      <c r="E176" s="189">
        <f t="shared" si="17"/>
        <v>311.61408000000006</v>
      </c>
      <c r="F176" s="189">
        <f t="shared" si="22"/>
        <v>249.29126400000007</v>
      </c>
      <c r="G176" s="189">
        <f t="shared" si="22"/>
        <v>199.43301120000007</v>
      </c>
      <c r="H176" s="189">
        <f t="shared" si="22"/>
        <v>159.54640896000006</v>
      </c>
      <c r="I176" s="189">
        <f t="shared" si="22"/>
        <v>127.63712716800006</v>
      </c>
      <c r="J176" s="189"/>
    </row>
    <row r="177" spans="1:45" x14ac:dyDescent="0.25">
      <c r="A177" s="187">
        <v>39752</v>
      </c>
      <c r="B177" s="182">
        <v>408627</v>
      </c>
      <c r="C177" s="188">
        <f t="shared" si="16"/>
        <v>408.62700000000001</v>
      </c>
      <c r="D177" s="189">
        <f t="shared" si="17"/>
        <v>326.90160000000003</v>
      </c>
      <c r="E177" s="189">
        <f t="shared" si="17"/>
        <v>261.52128000000005</v>
      </c>
      <c r="F177" s="189">
        <f t="shared" si="22"/>
        <v>209.21702400000004</v>
      </c>
      <c r="G177" s="189">
        <f t="shared" si="22"/>
        <v>167.37361920000004</v>
      </c>
      <c r="H177" s="189">
        <f t="shared" si="22"/>
        <v>133.89889536000004</v>
      </c>
      <c r="I177" s="189">
        <f t="shared" si="22"/>
        <v>107.11911628800004</v>
      </c>
      <c r="J177" s="189"/>
    </row>
    <row r="178" spans="1:45" x14ac:dyDescent="0.25">
      <c r="A178" s="187">
        <v>39782</v>
      </c>
      <c r="B178" s="182">
        <v>387623</v>
      </c>
      <c r="C178" s="188">
        <f t="shared" si="16"/>
        <v>387.62299999999999</v>
      </c>
      <c r="D178" s="189">
        <f t="shared" si="17"/>
        <v>310.09840000000003</v>
      </c>
      <c r="E178" s="189">
        <f t="shared" si="17"/>
        <v>248.07872000000003</v>
      </c>
      <c r="F178" s="189">
        <f t="shared" si="22"/>
        <v>198.46297600000003</v>
      </c>
      <c r="G178" s="189">
        <f t="shared" si="22"/>
        <v>158.77038080000003</v>
      </c>
      <c r="H178" s="189">
        <f t="shared" si="22"/>
        <v>127.01630464000003</v>
      </c>
      <c r="I178" s="189">
        <f t="shared" si="22"/>
        <v>101.61304371200004</v>
      </c>
      <c r="J178" s="189"/>
    </row>
    <row r="179" spans="1:45" x14ac:dyDescent="0.25">
      <c r="A179" s="187">
        <v>39813</v>
      </c>
      <c r="B179" s="182">
        <v>471268</v>
      </c>
      <c r="C179" s="188">
        <f t="shared" si="16"/>
        <v>471.26799999999997</v>
      </c>
      <c r="D179" s="189">
        <f t="shared" si="17"/>
        <v>377.01440000000002</v>
      </c>
      <c r="E179" s="189">
        <f t="shared" si="17"/>
        <v>301.61152000000004</v>
      </c>
      <c r="F179" s="189">
        <f t="shared" si="22"/>
        <v>241.28921600000004</v>
      </c>
      <c r="G179" s="189">
        <f t="shared" si="22"/>
        <v>193.03137280000004</v>
      </c>
      <c r="H179" s="189">
        <f t="shared" si="22"/>
        <v>154.42509824000004</v>
      </c>
      <c r="I179" s="189">
        <f t="shared" si="22"/>
        <v>123.54007859200004</v>
      </c>
      <c r="J179" s="189"/>
    </row>
    <row r="180" spans="1:45" x14ac:dyDescent="0.25">
      <c r="A180" s="187">
        <v>39844</v>
      </c>
      <c r="B180" s="182">
        <v>341247</v>
      </c>
      <c r="C180" s="188">
        <f t="shared" si="16"/>
        <v>341.24700000000001</v>
      </c>
      <c r="D180" s="189">
        <f t="shared" si="17"/>
        <v>272.99760000000003</v>
      </c>
      <c r="E180" s="189">
        <f t="shared" si="17"/>
        <v>218.39808000000005</v>
      </c>
      <c r="F180" s="189">
        <f t="shared" si="22"/>
        <v>174.71846400000004</v>
      </c>
      <c r="G180" s="189">
        <f t="shared" si="22"/>
        <v>139.77477120000003</v>
      </c>
      <c r="H180" s="189">
        <f t="shared" si="22"/>
        <v>111.81981696000003</v>
      </c>
      <c r="I180" s="189">
        <f t="shared" si="22"/>
        <v>89.455853568000023</v>
      </c>
      <c r="J180" s="189"/>
    </row>
    <row r="181" spans="1:45" x14ac:dyDescent="0.25">
      <c r="A181" s="187">
        <v>39872</v>
      </c>
      <c r="B181" s="182">
        <v>345680</v>
      </c>
      <c r="C181" s="188">
        <f t="shared" si="16"/>
        <v>345.68</v>
      </c>
      <c r="D181" s="189">
        <f t="shared" si="17"/>
        <v>276.54400000000004</v>
      </c>
      <c r="E181" s="189">
        <f t="shared" si="17"/>
        <v>221.23520000000005</v>
      </c>
      <c r="F181" s="189">
        <f t="shared" si="22"/>
        <v>176.98816000000005</v>
      </c>
      <c r="G181" s="189">
        <f t="shared" si="22"/>
        <v>141.59052800000003</v>
      </c>
      <c r="H181" s="189">
        <f t="shared" si="22"/>
        <v>113.27242240000004</v>
      </c>
      <c r="I181" s="189">
        <f t="shared" si="22"/>
        <v>90.617937920000031</v>
      </c>
      <c r="J181" s="189"/>
    </row>
    <row r="182" spans="1:45" x14ac:dyDescent="0.25">
      <c r="A182" s="187">
        <v>39903</v>
      </c>
      <c r="B182" s="182">
        <v>410262</v>
      </c>
      <c r="C182" s="188">
        <f t="shared" si="16"/>
        <v>410.262</v>
      </c>
      <c r="D182" s="189">
        <f t="shared" si="17"/>
        <v>328.20960000000002</v>
      </c>
      <c r="E182" s="189">
        <f t="shared" si="17"/>
        <v>262.56768000000005</v>
      </c>
      <c r="F182" s="189">
        <f t="shared" si="22"/>
        <v>210.05414400000006</v>
      </c>
      <c r="G182" s="189">
        <f t="shared" si="22"/>
        <v>168.04331520000005</v>
      </c>
      <c r="H182" s="189">
        <f t="shared" si="22"/>
        <v>134.43465216000004</v>
      </c>
      <c r="I182" s="189">
        <f t="shared" si="22"/>
        <v>107.54772172800004</v>
      </c>
      <c r="J182" s="189"/>
    </row>
    <row r="183" spans="1:45" ht="13" x14ac:dyDescent="0.3">
      <c r="A183" s="187">
        <v>39933</v>
      </c>
      <c r="B183" s="182">
        <v>390371</v>
      </c>
      <c r="C183" s="188">
        <f t="shared" si="16"/>
        <v>390.37099999999998</v>
      </c>
      <c r="D183" s="189">
        <f t="shared" si="17"/>
        <v>312.29680000000002</v>
      </c>
      <c r="E183" s="189">
        <f t="shared" si="17"/>
        <v>249.83744000000002</v>
      </c>
      <c r="F183" s="189">
        <f t="shared" si="22"/>
        <v>199.86995200000001</v>
      </c>
      <c r="G183" s="189">
        <f t="shared" si="22"/>
        <v>159.89596160000002</v>
      </c>
      <c r="H183" s="189">
        <f t="shared" si="22"/>
        <v>127.91676928000003</v>
      </c>
      <c r="I183" s="189">
        <f t="shared" si="22"/>
        <v>102.33341542400002</v>
      </c>
      <c r="J183" s="189"/>
      <c r="U183" s="215" t="s">
        <v>408</v>
      </c>
      <c r="AJ183" s="183" t="s">
        <v>12</v>
      </c>
      <c r="AK183" s="183"/>
      <c r="AL183" s="183"/>
      <c r="AM183" s="183"/>
      <c r="AN183" s="183"/>
      <c r="AO183" s="183"/>
      <c r="AP183" s="183"/>
      <c r="AQ183" s="183"/>
      <c r="AR183" s="183"/>
      <c r="AS183" s="183"/>
    </row>
    <row r="184" spans="1:45" ht="13" x14ac:dyDescent="0.3">
      <c r="A184" s="187">
        <v>39964</v>
      </c>
      <c r="B184" s="182">
        <v>442709</v>
      </c>
      <c r="C184" s="188">
        <f t="shared" si="16"/>
        <v>442.709</v>
      </c>
      <c r="D184" s="189">
        <f t="shared" si="17"/>
        <v>354.16720000000004</v>
      </c>
      <c r="E184" s="189">
        <f t="shared" si="17"/>
        <v>283.33376000000004</v>
      </c>
      <c r="F184" s="189">
        <f t="shared" si="22"/>
        <v>226.66700800000004</v>
      </c>
      <c r="G184" s="189">
        <f t="shared" si="22"/>
        <v>181.33360640000004</v>
      </c>
      <c r="H184" s="189">
        <f t="shared" si="22"/>
        <v>145.06688512000002</v>
      </c>
      <c r="I184" s="189">
        <f t="shared" si="22"/>
        <v>116.05350809600003</v>
      </c>
      <c r="J184" s="189"/>
      <c r="AI184" s="177"/>
      <c r="AJ184" s="184">
        <v>84.3</v>
      </c>
      <c r="AK184" s="185"/>
      <c r="AL184" s="185"/>
      <c r="AM184" s="185"/>
      <c r="AN184" s="185"/>
      <c r="AO184" s="185"/>
      <c r="AP184" s="185"/>
      <c r="AQ184" s="185"/>
      <c r="AR184" s="185"/>
      <c r="AS184" s="185"/>
    </row>
    <row r="185" spans="1:45" ht="13" x14ac:dyDescent="0.3">
      <c r="A185" s="187">
        <v>39994</v>
      </c>
      <c r="B185" s="182">
        <v>404039</v>
      </c>
      <c r="C185" s="188">
        <f t="shared" si="16"/>
        <v>404.03899999999999</v>
      </c>
      <c r="D185" s="189">
        <f t="shared" si="17"/>
        <v>323.2312</v>
      </c>
      <c r="E185" s="189">
        <f t="shared" si="17"/>
        <v>258.58496000000002</v>
      </c>
      <c r="F185" s="189">
        <f t="shared" si="22"/>
        <v>206.86796800000002</v>
      </c>
      <c r="G185" s="189">
        <f t="shared" si="22"/>
        <v>165.49437440000003</v>
      </c>
      <c r="H185" s="189">
        <f t="shared" si="22"/>
        <v>132.39549952000002</v>
      </c>
      <c r="I185" s="189">
        <f t="shared" si="22"/>
        <v>105.91639961600002</v>
      </c>
      <c r="J185" s="189"/>
      <c r="AI185" s="177"/>
      <c r="AJ185" s="184">
        <v>89.5</v>
      </c>
      <c r="AK185" s="185"/>
      <c r="AL185" s="185"/>
      <c r="AM185" s="185"/>
      <c r="AN185" s="185"/>
      <c r="AO185" s="185"/>
      <c r="AP185" s="185"/>
      <c r="AQ185" s="185"/>
      <c r="AR185" s="185"/>
      <c r="AS185" s="185"/>
    </row>
    <row r="186" spans="1:45" ht="13" x14ac:dyDescent="0.3">
      <c r="A186" s="187">
        <v>40025</v>
      </c>
      <c r="B186" s="182">
        <v>449215</v>
      </c>
      <c r="C186" s="188">
        <f t="shared" si="16"/>
        <v>449.21499999999997</v>
      </c>
      <c r="D186" s="189">
        <f t="shared" si="17"/>
        <v>359.37200000000001</v>
      </c>
      <c r="E186" s="189">
        <f t="shared" si="17"/>
        <v>287.49760000000003</v>
      </c>
      <c r="F186" s="189">
        <f t="shared" si="22"/>
        <v>229.99808000000004</v>
      </c>
      <c r="G186" s="189">
        <f t="shared" si="22"/>
        <v>183.99846400000004</v>
      </c>
      <c r="H186" s="189">
        <f t="shared" si="22"/>
        <v>147.19877120000004</v>
      </c>
      <c r="I186" s="189">
        <f t="shared" si="22"/>
        <v>117.75901696000004</v>
      </c>
      <c r="J186" s="189"/>
      <c r="AI186" s="177"/>
      <c r="AJ186" s="184">
        <v>78.8</v>
      </c>
      <c r="AK186" s="185"/>
      <c r="AL186" s="185"/>
      <c r="AM186" s="185"/>
      <c r="AN186" s="185"/>
      <c r="AO186" s="185"/>
      <c r="AP186" s="185"/>
      <c r="AQ186" s="185"/>
      <c r="AR186" s="185"/>
      <c r="AS186" s="185"/>
    </row>
    <row r="187" spans="1:45" ht="13" x14ac:dyDescent="0.3">
      <c r="A187" s="187">
        <v>40056</v>
      </c>
      <c r="B187" s="182">
        <v>541315</v>
      </c>
      <c r="C187" s="188">
        <f t="shared" si="16"/>
        <v>541.31500000000005</v>
      </c>
      <c r="D187" s="189">
        <f t="shared" si="17"/>
        <v>433.05200000000008</v>
      </c>
      <c r="E187" s="189">
        <f t="shared" si="17"/>
        <v>346.44160000000011</v>
      </c>
      <c r="F187" s="189">
        <f t="shared" si="22"/>
        <v>277.15328000000011</v>
      </c>
      <c r="G187" s="189">
        <f t="shared" si="22"/>
        <v>221.72262400000011</v>
      </c>
      <c r="H187" s="189">
        <f t="shared" si="22"/>
        <v>177.37809920000009</v>
      </c>
      <c r="I187" s="189">
        <f t="shared" si="22"/>
        <v>141.90247936000009</v>
      </c>
      <c r="J187" s="189"/>
      <c r="AI187" s="177"/>
      <c r="AJ187" s="184">
        <v>76.900000000000006</v>
      </c>
      <c r="AK187" s="185"/>
      <c r="AL187" s="185"/>
      <c r="AM187" s="185"/>
      <c r="AN187" s="185"/>
      <c r="AO187" s="185"/>
      <c r="AP187" s="185"/>
      <c r="AQ187" s="185"/>
      <c r="AR187" s="185"/>
      <c r="AS187" s="185"/>
    </row>
    <row r="188" spans="1:45" ht="13" x14ac:dyDescent="0.3">
      <c r="A188" s="187">
        <v>40086</v>
      </c>
      <c r="B188" s="182">
        <v>348637</v>
      </c>
      <c r="C188" s="188">
        <f t="shared" si="16"/>
        <v>348.637</v>
      </c>
      <c r="D188" s="189">
        <f t="shared" si="17"/>
        <v>278.90960000000001</v>
      </c>
      <c r="E188" s="189">
        <f t="shared" si="17"/>
        <v>223.12768000000003</v>
      </c>
      <c r="F188" s="189">
        <f t="shared" si="22"/>
        <v>178.50214400000004</v>
      </c>
      <c r="G188" s="189">
        <f t="shared" si="22"/>
        <v>142.80171520000005</v>
      </c>
      <c r="H188" s="189">
        <f t="shared" si="22"/>
        <v>114.24137216000004</v>
      </c>
      <c r="I188" s="189">
        <f t="shared" si="22"/>
        <v>91.393097728000043</v>
      </c>
      <c r="J188" s="189"/>
      <c r="AI188" s="177"/>
      <c r="AJ188" s="184">
        <v>70.099999999999994</v>
      </c>
      <c r="AK188" s="185"/>
      <c r="AL188" s="185"/>
      <c r="AM188" s="185"/>
      <c r="AN188" s="185"/>
      <c r="AO188" s="185"/>
      <c r="AP188" s="185"/>
      <c r="AQ188" s="185"/>
      <c r="AR188" s="185"/>
      <c r="AS188" s="185"/>
    </row>
    <row r="189" spans="1:45" ht="13" x14ac:dyDescent="0.3">
      <c r="A189" s="187">
        <v>40117</v>
      </c>
      <c r="B189" s="182">
        <v>413112</v>
      </c>
      <c r="C189" s="188">
        <f t="shared" si="16"/>
        <v>413.11200000000002</v>
      </c>
      <c r="D189" s="189">
        <f t="shared" si="17"/>
        <v>330.48960000000005</v>
      </c>
      <c r="E189" s="189">
        <f t="shared" si="17"/>
        <v>264.39168000000006</v>
      </c>
      <c r="F189" s="189">
        <f t="shared" si="22"/>
        <v>211.51334400000007</v>
      </c>
      <c r="G189" s="189">
        <f t="shared" si="22"/>
        <v>169.21067520000008</v>
      </c>
      <c r="H189" s="189">
        <f t="shared" si="22"/>
        <v>135.36854016000007</v>
      </c>
      <c r="I189" s="189">
        <f t="shared" si="22"/>
        <v>108.29483212800005</v>
      </c>
      <c r="J189" s="189"/>
      <c r="AI189" s="177"/>
      <c r="AJ189" s="184">
        <v>57.6</v>
      </c>
      <c r="AK189" s="185"/>
      <c r="AL189" s="185"/>
      <c r="AM189" s="185"/>
      <c r="AN189" s="185"/>
      <c r="AO189" s="185"/>
      <c r="AP189" s="185"/>
      <c r="AQ189" s="185"/>
      <c r="AR189" s="185"/>
      <c r="AS189" s="185"/>
    </row>
    <row r="190" spans="1:45" ht="13" x14ac:dyDescent="0.3">
      <c r="A190" s="187">
        <v>40147</v>
      </c>
      <c r="B190" s="182">
        <v>375618</v>
      </c>
      <c r="C190" s="188">
        <f t="shared" si="16"/>
        <v>375.61799999999999</v>
      </c>
      <c r="D190" s="189">
        <f t="shared" si="17"/>
        <v>300.49439999999998</v>
      </c>
      <c r="E190" s="189">
        <f t="shared" si="17"/>
        <v>240.39552</v>
      </c>
      <c r="F190" s="189">
        <f t="shared" si="22"/>
        <v>192.316416</v>
      </c>
      <c r="G190" s="189">
        <f t="shared" si="22"/>
        <v>153.85313280000003</v>
      </c>
      <c r="H190" s="189">
        <f t="shared" si="22"/>
        <v>123.08250624000003</v>
      </c>
      <c r="I190" s="189">
        <f t="shared" si="22"/>
        <v>98.466004992000023</v>
      </c>
      <c r="J190" s="189"/>
      <c r="AI190" s="177"/>
      <c r="AJ190" s="184">
        <v>50.2</v>
      </c>
      <c r="AK190" s="185"/>
      <c r="AL190" s="185"/>
      <c r="AM190" s="185"/>
      <c r="AN190" s="185"/>
      <c r="AO190" s="185"/>
      <c r="AP190" s="185"/>
      <c r="AQ190" s="185"/>
      <c r="AR190" s="185"/>
      <c r="AS190" s="185"/>
    </row>
    <row r="191" spans="1:45" x14ac:dyDescent="0.25">
      <c r="A191" s="187">
        <v>40178</v>
      </c>
      <c r="B191" s="182">
        <v>520722</v>
      </c>
      <c r="C191" s="188">
        <f t="shared" si="16"/>
        <v>520.72199999999998</v>
      </c>
      <c r="D191" s="189">
        <f t="shared" si="17"/>
        <v>416.57760000000002</v>
      </c>
      <c r="E191" s="189">
        <f t="shared" si="17"/>
        <v>333.26208000000003</v>
      </c>
      <c r="F191" s="189">
        <f t="shared" si="22"/>
        <v>266.60966400000001</v>
      </c>
      <c r="G191" s="189">
        <f t="shared" si="22"/>
        <v>213.28773120000002</v>
      </c>
      <c r="H191" s="189">
        <f t="shared" si="22"/>
        <v>170.63018496000004</v>
      </c>
      <c r="I191" s="189">
        <f t="shared" si="22"/>
        <v>136.50414796800004</v>
      </c>
      <c r="J191" s="189"/>
      <c r="U191" s="181">
        <v>69</v>
      </c>
      <c r="V191" s="181">
        <v>180</v>
      </c>
      <c r="W191" s="181">
        <v>159</v>
      </c>
      <c r="AJ191" s="184">
        <v>50</v>
      </c>
      <c r="AK191" s="185"/>
      <c r="AL191" s="185"/>
      <c r="AM191" s="185"/>
      <c r="AN191" s="185"/>
      <c r="AO191" s="185"/>
      <c r="AP191" s="185"/>
      <c r="AQ191" s="185"/>
      <c r="AR191" s="185"/>
      <c r="AS191" s="185"/>
    </row>
    <row r="192" spans="1:45" x14ac:dyDescent="0.25">
      <c r="A192" s="187">
        <v>40209</v>
      </c>
      <c r="B192" s="182">
        <v>339241</v>
      </c>
      <c r="C192" s="188">
        <f t="shared" si="16"/>
        <v>339.24099999999999</v>
      </c>
      <c r="D192" s="189">
        <f t="shared" si="17"/>
        <v>271.39280000000002</v>
      </c>
      <c r="E192" s="189">
        <f t="shared" si="17"/>
        <v>217.11424000000002</v>
      </c>
      <c r="F192" s="189">
        <f t="shared" si="22"/>
        <v>173.69139200000004</v>
      </c>
      <c r="G192" s="189">
        <f t="shared" si="22"/>
        <v>138.95311360000002</v>
      </c>
      <c r="H192" s="189">
        <f t="shared" si="22"/>
        <v>111.16249088000002</v>
      </c>
      <c r="I192" s="189">
        <f t="shared" si="22"/>
        <v>88.929992704000028</v>
      </c>
      <c r="J192" s="189"/>
      <c r="U192" s="181">
        <v>255</v>
      </c>
      <c r="V192" s="181">
        <v>201</v>
      </c>
      <c r="W192" s="181">
        <v>29</v>
      </c>
      <c r="AJ192" s="184">
        <v>50</v>
      </c>
      <c r="AK192" s="185"/>
      <c r="AL192" s="185"/>
      <c r="AM192" s="185"/>
      <c r="AN192" s="185"/>
      <c r="AO192" s="185"/>
      <c r="AP192" s="185"/>
      <c r="AQ192" s="185"/>
      <c r="AR192" s="185"/>
      <c r="AS192" s="185"/>
    </row>
    <row r="193" spans="1:45" x14ac:dyDescent="0.25">
      <c r="A193" s="187">
        <v>40237</v>
      </c>
      <c r="B193" s="182">
        <v>382533</v>
      </c>
      <c r="C193" s="188">
        <f t="shared" si="16"/>
        <v>382.53300000000002</v>
      </c>
      <c r="D193" s="189">
        <f t="shared" si="17"/>
        <v>306.02640000000002</v>
      </c>
      <c r="E193" s="189">
        <f t="shared" si="17"/>
        <v>244.82112000000004</v>
      </c>
      <c r="F193" s="189">
        <f t="shared" ref="F193:I212" si="23">E193*0.8</f>
        <v>195.85689600000003</v>
      </c>
      <c r="G193" s="189">
        <f t="shared" si="23"/>
        <v>156.68551680000004</v>
      </c>
      <c r="H193" s="189">
        <f t="shared" si="23"/>
        <v>125.34841344000004</v>
      </c>
      <c r="I193" s="189">
        <f t="shared" si="23"/>
        <v>100.27873075200004</v>
      </c>
      <c r="J193" s="189"/>
      <c r="U193" s="181">
        <v>138</v>
      </c>
      <c r="V193" s="181">
        <v>93</v>
      </c>
      <c r="W193" s="181">
        <v>181</v>
      </c>
      <c r="AJ193" s="184">
        <v>50</v>
      </c>
      <c r="AK193" s="185"/>
      <c r="AL193" s="185"/>
      <c r="AM193" s="185"/>
      <c r="AN193" s="185"/>
      <c r="AO193" s="185"/>
      <c r="AP193" s="185"/>
      <c r="AQ193" s="185"/>
      <c r="AR193" s="185"/>
      <c r="AS193" s="185"/>
    </row>
    <row r="194" spans="1:45" x14ac:dyDescent="0.25">
      <c r="A194" s="187">
        <v>40268</v>
      </c>
      <c r="B194" s="182">
        <v>530646</v>
      </c>
      <c r="C194" s="188">
        <f t="shared" si="16"/>
        <v>530.64599999999996</v>
      </c>
      <c r="D194" s="189">
        <f t="shared" si="17"/>
        <v>424.51679999999999</v>
      </c>
      <c r="E194" s="189">
        <f t="shared" si="17"/>
        <v>339.61344000000003</v>
      </c>
      <c r="F194" s="189">
        <f t="shared" si="23"/>
        <v>271.69075200000003</v>
      </c>
      <c r="G194" s="189">
        <f t="shared" si="23"/>
        <v>217.35260160000004</v>
      </c>
      <c r="H194" s="189">
        <f t="shared" si="23"/>
        <v>173.88208128000005</v>
      </c>
      <c r="I194" s="189">
        <f t="shared" si="23"/>
        <v>139.10566502400005</v>
      </c>
      <c r="J194" s="189"/>
      <c r="U194" s="181">
        <v>237</v>
      </c>
      <c r="V194" s="181">
        <v>68</v>
      </c>
      <c r="W194" s="181">
        <v>54</v>
      </c>
    </row>
    <row r="195" spans="1:45" x14ac:dyDescent="0.25">
      <c r="A195" s="187">
        <v>40298</v>
      </c>
      <c r="B195" s="182">
        <v>486900</v>
      </c>
      <c r="C195" s="188">
        <f t="shared" si="16"/>
        <v>486.9</v>
      </c>
      <c r="D195" s="189">
        <f t="shared" si="17"/>
        <v>389.52</v>
      </c>
      <c r="E195" s="189">
        <f t="shared" si="17"/>
        <v>311.61599999999999</v>
      </c>
      <c r="F195" s="189">
        <f t="shared" si="23"/>
        <v>249.2928</v>
      </c>
      <c r="G195" s="189">
        <f t="shared" si="23"/>
        <v>199.43424000000002</v>
      </c>
      <c r="H195" s="189">
        <f t="shared" si="23"/>
        <v>159.54739200000003</v>
      </c>
      <c r="I195" s="189">
        <f t="shared" si="23"/>
        <v>127.63791360000003</v>
      </c>
      <c r="J195" s="189"/>
      <c r="U195" s="181">
        <v>77</v>
      </c>
      <c r="V195" s="181">
        <v>170</v>
      </c>
      <c r="W195" s="181">
        <v>80</v>
      </c>
    </row>
    <row r="196" spans="1:45" x14ac:dyDescent="0.25">
      <c r="A196" s="187">
        <v>40329</v>
      </c>
      <c r="B196" s="182">
        <v>547389</v>
      </c>
      <c r="C196" s="188">
        <f t="shared" si="16"/>
        <v>547.38900000000001</v>
      </c>
      <c r="D196" s="189">
        <f t="shared" si="17"/>
        <v>437.91120000000001</v>
      </c>
      <c r="E196" s="189">
        <f t="shared" si="17"/>
        <v>350.32896000000005</v>
      </c>
      <c r="F196" s="189">
        <f t="shared" si="23"/>
        <v>280.26316800000006</v>
      </c>
      <c r="G196" s="189">
        <f t="shared" si="23"/>
        <v>224.21053440000006</v>
      </c>
      <c r="H196" s="189">
        <f t="shared" si="23"/>
        <v>179.36842752000007</v>
      </c>
      <c r="I196" s="189">
        <f t="shared" si="23"/>
        <v>143.49474201600006</v>
      </c>
      <c r="J196" s="189"/>
      <c r="U196" s="181">
        <v>52</v>
      </c>
      <c r="V196" s="181">
        <v>53</v>
      </c>
      <c r="W196" s="181">
        <v>52</v>
      </c>
    </row>
    <row r="197" spans="1:45" x14ac:dyDescent="0.25">
      <c r="A197" s="187">
        <v>40359</v>
      </c>
      <c r="B197" s="182">
        <v>491599</v>
      </c>
      <c r="C197" s="188">
        <f t="shared" si="16"/>
        <v>491.59899999999999</v>
      </c>
      <c r="D197" s="189">
        <f t="shared" si="17"/>
        <v>393.2792</v>
      </c>
      <c r="E197" s="189">
        <f t="shared" si="17"/>
        <v>314.62336000000005</v>
      </c>
      <c r="F197" s="189">
        <f t="shared" si="23"/>
        <v>251.69868800000006</v>
      </c>
      <c r="G197" s="189">
        <f t="shared" si="23"/>
        <v>201.35895040000005</v>
      </c>
      <c r="H197" s="189">
        <f t="shared" si="23"/>
        <v>161.08716032000007</v>
      </c>
      <c r="I197" s="189">
        <f t="shared" si="23"/>
        <v>128.86972825600006</v>
      </c>
      <c r="J197" s="189"/>
      <c r="U197" s="181">
        <v>189</v>
      </c>
      <c r="V197" s="181">
        <v>82</v>
      </c>
      <c r="W197" s="181">
        <v>163</v>
      </c>
    </row>
    <row r="198" spans="1:45" x14ac:dyDescent="0.25">
      <c r="A198" s="187">
        <v>40390</v>
      </c>
      <c r="B198" s="182">
        <v>537392</v>
      </c>
      <c r="C198" s="188">
        <f t="shared" si="16"/>
        <v>537.39200000000005</v>
      </c>
      <c r="D198" s="189">
        <f t="shared" si="17"/>
        <v>429.91360000000009</v>
      </c>
      <c r="E198" s="189">
        <f t="shared" si="17"/>
        <v>343.93088000000012</v>
      </c>
      <c r="F198" s="189">
        <f t="shared" si="23"/>
        <v>275.1447040000001</v>
      </c>
      <c r="G198" s="189">
        <f t="shared" si="23"/>
        <v>220.11576320000009</v>
      </c>
      <c r="H198" s="189">
        <f t="shared" si="23"/>
        <v>176.09261056000008</v>
      </c>
      <c r="I198" s="189">
        <f t="shared" si="23"/>
        <v>140.87408844800007</v>
      </c>
      <c r="J198" s="189"/>
      <c r="U198" s="181">
        <v>13</v>
      </c>
      <c r="V198" s="181">
        <v>157</v>
      </c>
      <c r="W198" s="181">
        <v>219</v>
      </c>
    </row>
    <row r="199" spans="1:45" x14ac:dyDescent="0.25">
      <c r="A199" s="187">
        <v>40421</v>
      </c>
      <c r="B199" s="182">
        <v>498925</v>
      </c>
      <c r="C199" s="188">
        <f t="shared" si="16"/>
        <v>498.92500000000001</v>
      </c>
      <c r="D199" s="189">
        <f t="shared" si="17"/>
        <v>399.14000000000004</v>
      </c>
      <c r="E199" s="189">
        <f t="shared" si="17"/>
        <v>319.31200000000007</v>
      </c>
      <c r="F199" s="189">
        <f t="shared" si="23"/>
        <v>255.44960000000006</v>
      </c>
      <c r="G199" s="189">
        <f t="shared" si="23"/>
        <v>204.35968000000005</v>
      </c>
      <c r="H199" s="189">
        <f t="shared" si="23"/>
        <v>163.48774400000005</v>
      </c>
      <c r="I199" s="189">
        <f t="shared" si="23"/>
        <v>130.79019520000006</v>
      </c>
      <c r="J199" s="189"/>
      <c r="U199" s="181">
        <v>210</v>
      </c>
      <c r="V199" s="181">
        <v>210</v>
      </c>
      <c r="W199" s="181">
        <v>210</v>
      </c>
    </row>
    <row r="200" spans="1:45" x14ac:dyDescent="0.25">
      <c r="A200" s="187">
        <v>40451</v>
      </c>
      <c r="B200" s="182">
        <v>485805</v>
      </c>
      <c r="C200" s="188">
        <f t="shared" si="16"/>
        <v>485.80500000000001</v>
      </c>
      <c r="D200" s="189">
        <f t="shared" si="17"/>
        <v>388.64400000000001</v>
      </c>
      <c r="E200" s="189">
        <f t="shared" si="17"/>
        <v>310.91520000000003</v>
      </c>
      <c r="F200" s="189">
        <f t="shared" si="23"/>
        <v>248.73216000000002</v>
      </c>
      <c r="G200" s="189">
        <f t="shared" si="23"/>
        <v>198.98572800000002</v>
      </c>
      <c r="H200" s="189">
        <f t="shared" si="23"/>
        <v>159.18858240000003</v>
      </c>
      <c r="I200" s="189">
        <f t="shared" si="23"/>
        <v>127.35086592000003</v>
      </c>
      <c r="J200" s="189"/>
      <c r="U200" s="181">
        <v>255</v>
      </c>
      <c r="V200" s="181">
        <v>231</v>
      </c>
      <c r="W200" s="181">
        <v>67</v>
      </c>
    </row>
    <row r="201" spans="1:45" x14ac:dyDescent="0.25">
      <c r="A201" s="187">
        <v>40482</v>
      </c>
      <c r="B201" s="182">
        <v>508570</v>
      </c>
      <c r="C201" s="188">
        <f t="shared" ref="C201:C264" si="24">B201/$D$71</f>
        <v>508.57</v>
      </c>
      <c r="D201" s="189">
        <f t="shared" ref="D201:E264" si="25">C201*0.8</f>
        <v>406.85599999999999</v>
      </c>
      <c r="E201" s="189">
        <f t="shared" si="25"/>
        <v>325.48480000000001</v>
      </c>
      <c r="F201" s="189">
        <f t="shared" si="23"/>
        <v>260.38784000000004</v>
      </c>
      <c r="G201" s="189">
        <f t="shared" si="23"/>
        <v>208.31027200000005</v>
      </c>
      <c r="H201" s="189">
        <f t="shared" si="23"/>
        <v>166.64821760000007</v>
      </c>
      <c r="I201" s="189">
        <f t="shared" si="23"/>
        <v>133.31857408000005</v>
      </c>
      <c r="J201" s="189"/>
    </row>
    <row r="202" spans="1:45" x14ac:dyDescent="0.25">
      <c r="A202" s="187">
        <v>40512</v>
      </c>
      <c r="B202" s="182">
        <v>472981</v>
      </c>
      <c r="C202" s="188">
        <f t="shared" si="24"/>
        <v>472.98099999999999</v>
      </c>
      <c r="D202" s="189">
        <f t="shared" si="25"/>
        <v>378.38480000000004</v>
      </c>
      <c r="E202" s="189">
        <f t="shared" si="25"/>
        <v>302.70784000000003</v>
      </c>
      <c r="F202" s="189">
        <f t="shared" si="23"/>
        <v>242.16627200000005</v>
      </c>
      <c r="G202" s="189">
        <f t="shared" si="23"/>
        <v>193.73301760000004</v>
      </c>
      <c r="H202" s="189">
        <f t="shared" si="23"/>
        <v>154.98641408000003</v>
      </c>
      <c r="I202" s="189">
        <f t="shared" si="23"/>
        <v>123.98913126400004</v>
      </c>
      <c r="J202" s="189"/>
    </row>
    <row r="203" spans="1:45" x14ac:dyDescent="0.25">
      <c r="A203" s="187">
        <v>40543</v>
      </c>
      <c r="B203" s="182">
        <v>629892</v>
      </c>
      <c r="C203" s="188">
        <f t="shared" si="24"/>
        <v>629.89200000000005</v>
      </c>
      <c r="D203" s="189">
        <f t="shared" si="25"/>
        <v>503.91360000000009</v>
      </c>
      <c r="E203" s="189">
        <f t="shared" si="25"/>
        <v>403.1308800000001</v>
      </c>
      <c r="F203" s="189">
        <f t="shared" si="23"/>
        <v>322.50470400000012</v>
      </c>
      <c r="G203" s="189">
        <f t="shared" si="23"/>
        <v>258.00376320000009</v>
      </c>
      <c r="H203" s="189">
        <f t="shared" si="23"/>
        <v>206.4030105600001</v>
      </c>
      <c r="I203" s="189">
        <f t="shared" si="23"/>
        <v>165.1224084480001</v>
      </c>
      <c r="J203" s="189"/>
    </row>
    <row r="204" spans="1:45" x14ac:dyDescent="0.25">
      <c r="A204" s="187">
        <v>40574</v>
      </c>
      <c r="B204" s="182">
        <v>436542</v>
      </c>
      <c r="C204" s="188">
        <f t="shared" si="24"/>
        <v>436.54199999999997</v>
      </c>
      <c r="D204" s="189">
        <f t="shared" si="25"/>
        <v>349.23360000000002</v>
      </c>
      <c r="E204" s="189">
        <f t="shared" si="25"/>
        <v>279.38688000000002</v>
      </c>
      <c r="F204" s="189">
        <f t="shared" si="23"/>
        <v>223.50950400000002</v>
      </c>
      <c r="G204" s="189">
        <f t="shared" si="23"/>
        <v>178.80760320000002</v>
      </c>
      <c r="H204" s="189">
        <f t="shared" si="23"/>
        <v>143.04608256000003</v>
      </c>
      <c r="I204" s="189">
        <f t="shared" si="23"/>
        <v>114.43686604800003</v>
      </c>
      <c r="J204" s="189"/>
    </row>
    <row r="205" spans="1:45" x14ac:dyDescent="0.25">
      <c r="A205" s="187">
        <v>40602</v>
      </c>
      <c r="B205" s="182">
        <v>507268</v>
      </c>
      <c r="C205" s="188">
        <f t="shared" si="24"/>
        <v>507.26799999999997</v>
      </c>
      <c r="D205" s="189">
        <f t="shared" si="25"/>
        <v>405.81439999999998</v>
      </c>
      <c r="E205" s="189">
        <f t="shared" si="25"/>
        <v>324.65152</v>
      </c>
      <c r="F205" s="189">
        <f t="shared" si="23"/>
        <v>259.72121600000003</v>
      </c>
      <c r="G205" s="189">
        <f t="shared" si="23"/>
        <v>207.77697280000004</v>
      </c>
      <c r="H205" s="189">
        <f t="shared" si="23"/>
        <v>166.22157824000004</v>
      </c>
      <c r="I205" s="189">
        <f t="shared" si="23"/>
        <v>132.97726259200005</v>
      </c>
      <c r="J205" s="189"/>
    </row>
    <row r="206" spans="1:45" ht="13" x14ac:dyDescent="0.3">
      <c r="A206" s="187">
        <v>40633</v>
      </c>
      <c r="B206" s="182">
        <v>599604</v>
      </c>
      <c r="C206" s="188">
        <f t="shared" si="24"/>
        <v>599.60400000000004</v>
      </c>
      <c r="D206" s="189">
        <f t="shared" si="25"/>
        <v>479.68320000000006</v>
      </c>
      <c r="E206" s="189">
        <f t="shared" si="25"/>
        <v>383.74656000000004</v>
      </c>
      <c r="F206" s="189">
        <f t="shared" si="23"/>
        <v>306.99724800000007</v>
      </c>
      <c r="G206" s="189">
        <f t="shared" si="23"/>
        <v>245.59779840000007</v>
      </c>
      <c r="H206" s="189">
        <f t="shared" si="23"/>
        <v>196.47823872000006</v>
      </c>
      <c r="I206" s="189">
        <f t="shared" si="23"/>
        <v>157.18259097600006</v>
      </c>
      <c r="J206" s="189"/>
      <c r="O206" s="211"/>
      <c r="P206" s="211"/>
      <c r="Q206" s="211"/>
      <c r="R206" s="211"/>
      <c r="S206" s="211"/>
      <c r="T206" s="211"/>
      <c r="U206" s="215" t="s">
        <v>409</v>
      </c>
      <c r="V206" s="211"/>
      <c r="W206" s="211"/>
      <c r="X206" s="211"/>
      <c r="Y206" s="211"/>
      <c r="Z206" s="211"/>
      <c r="AA206" s="211"/>
    </row>
    <row r="207" spans="1:45" x14ac:dyDescent="0.25">
      <c r="A207" s="187">
        <v>40663</v>
      </c>
      <c r="B207" s="182">
        <v>555665</v>
      </c>
      <c r="C207" s="188">
        <f t="shared" si="24"/>
        <v>555.66499999999996</v>
      </c>
      <c r="D207" s="189">
        <f t="shared" si="25"/>
        <v>444.53199999999998</v>
      </c>
      <c r="E207" s="189">
        <f t="shared" si="25"/>
        <v>355.62560000000002</v>
      </c>
      <c r="F207" s="189">
        <f t="shared" si="23"/>
        <v>284.50048000000004</v>
      </c>
      <c r="G207" s="189">
        <f t="shared" si="23"/>
        <v>227.60038400000005</v>
      </c>
      <c r="H207" s="189">
        <f t="shared" si="23"/>
        <v>182.08030720000005</v>
      </c>
      <c r="I207" s="189">
        <f t="shared" si="23"/>
        <v>145.66424576000006</v>
      </c>
      <c r="J207" s="189"/>
      <c r="O207" s="211"/>
      <c r="P207" s="211"/>
      <c r="Q207" s="211"/>
      <c r="R207" s="211"/>
      <c r="S207" s="211"/>
      <c r="T207" s="211"/>
      <c r="U207" s="211"/>
      <c r="V207" s="211"/>
      <c r="W207" s="211"/>
      <c r="X207" s="211"/>
      <c r="Y207" s="211"/>
      <c r="Z207" s="211"/>
      <c r="AA207" s="211"/>
    </row>
    <row r="208" spans="1:45" x14ac:dyDescent="0.25">
      <c r="A208" s="187">
        <v>40694</v>
      </c>
      <c r="B208" s="182">
        <v>522751</v>
      </c>
      <c r="C208" s="188">
        <f t="shared" si="24"/>
        <v>522.75099999999998</v>
      </c>
      <c r="D208" s="189">
        <f t="shared" si="25"/>
        <v>418.20080000000002</v>
      </c>
      <c r="E208" s="189">
        <f t="shared" si="25"/>
        <v>334.56064000000003</v>
      </c>
      <c r="F208" s="189">
        <f t="shared" si="23"/>
        <v>267.64851200000004</v>
      </c>
      <c r="G208" s="189">
        <f t="shared" si="23"/>
        <v>214.11880960000005</v>
      </c>
      <c r="H208" s="189">
        <f t="shared" si="23"/>
        <v>171.29504768000004</v>
      </c>
      <c r="I208" s="189">
        <f t="shared" si="23"/>
        <v>137.03603814400003</v>
      </c>
      <c r="J208" s="189"/>
      <c r="O208" s="211"/>
      <c r="Y208" s="211"/>
      <c r="Z208" s="211"/>
      <c r="AA208" s="211"/>
    </row>
    <row r="209" spans="1:30" x14ac:dyDescent="0.25">
      <c r="A209" s="187">
        <v>40724</v>
      </c>
      <c r="B209" s="182">
        <v>532632</v>
      </c>
      <c r="C209" s="188">
        <f t="shared" si="24"/>
        <v>532.63199999999995</v>
      </c>
      <c r="D209" s="189">
        <f t="shared" si="25"/>
        <v>426.10559999999998</v>
      </c>
      <c r="E209" s="189">
        <f t="shared" si="25"/>
        <v>340.88448</v>
      </c>
      <c r="F209" s="189">
        <f t="shared" si="23"/>
        <v>272.707584</v>
      </c>
      <c r="G209" s="189">
        <f t="shared" si="23"/>
        <v>218.16606720000001</v>
      </c>
      <c r="H209" s="189">
        <f t="shared" si="23"/>
        <v>174.53285376000002</v>
      </c>
      <c r="I209" s="189">
        <f t="shared" si="23"/>
        <v>139.62628300800003</v>
      </c>
      <c r="J209" s="189"/>
      <c r="O209" s="211"/>
      <c r="V209" s="212"/>
      <c r="W209" s="212"/>
      <c r="X209" s="212"/>
      <c r="Y209" s="212"/>
      <c r="Z209" s="212"/>
      <c r="AA209" s="212"/>
      <c r="AB209" s="212"/>
      <c r="AC209" s="212"/>
      <c r="AD209" s="212"/>
    </row>
    <row r="210" spans="1:30" x14ac:dyDescent="0.25">
      <c r="A210" s="187">
        <v>40755</v>
      </c>
      <c r="B210" s="182">
        <v>560302</v>
      </c>
      <c r="C210" s="188">
        <f t="shared" si="24"/>
        <v>560.30200000000002</v>
      </c>
      <c r="D210" s="189">
        <f t="shared" si="25"/>
        <v>448.24160000000006</v>
      </c>
      <c r="E210" s="189">
        <f t="shared" si="25"/>
        <v>358.59328000000005</v>
      </c>
      <c r="F210" s="189">
        <f t="shared" si="23"/>
        <v>286.87462400000004</v>
      </c>
      <c r="G210" s="189">
        <f t="shared" si="23"/>
        <v>229.49969920000004</v>
      </c>
      <c r="H210" s="189">
        <f t="shared" si="23"/>
        <v>183.59975936000004</v>
      </c>
      <c r="I210" s="189">
        <f t="shared" si="23"/>
        <v>146.87980748800004</v>
      </c>
      <c r="J210" s="189"/>
      <c r="O210" s="211"/>
      <c r="V210" s="212"/>
      <c r="W210" s="212"/>
      <c r="X210" s="212"/>
      <c r="Y210" s="212"/>
      <c r="Z210" s="212"/>
      <c r="AA210" s="212"/>
      <c r="AB210" s="212"/>
      <c r="AC210" s="212"/>
      <c r="AD210" s="212"/>
    </row>
    <row r="211" spans="1:30" x14ac:dyDescent="0.25">
      <c r="A211" s="187">
        <v>40786</v>
      </c>
      <c r="B211" s="182">
        <v>571137</v>
      </c>
      <c r="C211" s="188">
        <f t="shared" si="24"/>
        <v>571.13699999999994</v>
      </c>
      <c r="D211" s="189">
        <f t="shared" si="25"/>
        <v>456.90959999999995</v>
      </c>
      <c r="E211" s="189">
        <f t="shared" si="25"/>
        <v>365.52767999999998</v>
      </c>
      <c r="F211" s="189">
        <f t="shared" si="23"/>
        <v>292.422144</v>
      </c>
      <c r="G211" s="189">
        <f t="shared" si="23"/>
        <v>233.93771520000001</v>
      </c>
      <c r="H211" s="189">
        <f t="shared" si="23"/>
        <v>187.15017216000001</v>
      </c>
      <c r="I211" s="189">
        <f t="shared" si="23"/>
        <v>149.72013772800003</v>
      </c>
      <c r="J211" s="189"/>
      <c r="O211" s="211"/>
      <c r="V211" s="212"/>
      <c r="W211" s="212"/>
      <c r="X211" s="212"/>
      <c r="Y211" s="212"/>
      <c r="Z211" s="212"/>
      <c r="AA211" s="212"/>
      <c r="AB211" s="212"/>
      <c r="AC211" s="212"/>
      <c r="AD211" s="212"/>
    </row>
    <row r="212" spans="1:30" x14ac:dyDescent="0.25">
      <c r="A212" s="187">
        <v>40816</v>
      </c>
      <c r="B212" s="182">
        <v>574235</v>
      </c>
      <c r="C212" s="188">
        <f t="shared" si="24"/>
        <v>574.23500000000001</v>
      </c>
      <c r="D212" s="189">
        <f t="shared" si="25"/>
        <v>459.38800000000003</v>
      </c>
      <c r="E212" s="189">
        <f t="shared" si="25"/>
        <v>367.51040000000006</v>
      </c>
      <c r="F212" s="189">
        <f t="shared" si="23"/>
        <v>294.00832000000008</v>
      </c>
      <c r="G212" s="189">
        <f t="shared" si="23"/>
        <v>235.20665600000007</v>
      </c>
      <c r="H212" s="189">
        <f t="shared" si="23"/>
        <v>188.16532480000006</v>
      </c>
      <c r="I212" s="189">
        <f t="shared" si="23"/>
        <v>150.53225984000005</v>
      </c>
      <c r="J212" s="189"/>
      <c r="O212" s="211"/>
      <c r="V212" s="212"/>
      <c r="W212" s="212"/>
      <c r="X212" s="212"/>
      <c r="Y212" s="212"/>
      <c r="Z212" s="212"/>
      <c r="AA212" s="212"/>
      <c r="AB212" s="212"/>
      <c r="AC212" s="212"/>
      <c r="AD212" s="212"/>
    </row>
    <row r="213" spans="1:30" x14ac:dyDescent="0.25">
      <c r="A213" s="187">
        <v>40847</v>
      </c>
      <c r="B213" s="182">
        <v>548799</v>
      </c>
      <c r="C213" s="188">
        <f t="shared" si="24"/>
        <v>548.79899999999998</v>
      </c>
      <c r="D213" s="189">
        <f t="shared" si="25"/>
        <v>439.03919999999999</v>
      </c>
      <c r="E213" s="189">
        <f t="shared" si="25"/>
        <v>351.23136</v>
      </c>
      <c r="F213" s="189">
        <f t="shared" ref="F213:I232" si="26">E213*0.8</f>
        <v>280.98508800000002</v>
      </c>
      <c r="G213" s="189">
        <f t="shared" si="26"/>
        <v>224.78807040000004</v>
      </c>
      <c r="H213" s="189">
        <f t="shared" si="26"/>
        <v>179.83045632000005</v>
      </c>
      <c r="I213" s="189">
        <f t="shared" si="26"/>
        <v>143.86436505600005</v>
      </c>
      <c r="J213" s="189"/>
      <c r="O213" s="211"/>
      <c r="V213" s="212" t="s">
        <v>387</v>
      </c>
      <c r="W213" s="213">
        <v>64.5</v>
      </c>
      <c r="X213" s="212"/>
      <c r="Y213" s="212"/>
      <c r="Z213" s="212"/>
      <c r="AA213" s="212"/>
      <c r="AB213" s="212"/>
      <c r="AC213" s="212"/>
      <c r="AD213" s="212"/>
    </row>
    <row r="214" spans="1:30" x14ac:dyDescent="0.25">
      <c r="A214" s="187">
        <v>40877</v>
      </c>
      <c r="B214" s="182">
        <v>539181</v>
      </c>
      <c r="C214" s="188">
        <f t="shared" si="24"/>
        <v>539.18100000000004</v>
      </c>
      <c r="D214" s="189">
        <f t="shared" si="25"/>
        <v>431.34480000000008</v>
      </c>
      <c r="E214" s="189">
        <f t="shared" si="25"/>
        <v>345.07584000000008</v>
      </c>
      <c r="F214" s="189">
        <f t="shared" si="26"/>
        <v>276.06067200000007</v>
      </c>
      <c r="G214" s="189">
        <f t="shared" si="26"/>
        <v>220.84853760000007</v>
      </c>
      <c r="H214" s="189">
        <f t="shared" si="26"/>
        <v>176.67883008000007</v>
      </c>
      <c r="I214" s="189">
        <f t="shared" si="26"/>
        <v>141.34306406400006</v>
      </c>
      <c r="J214" s="189"/>
      <c r="O214" s="211"/>
      <c r="V214" s="212" t="s">
        <v>388</v>
      </c>
      <c r="W214" s="213">
        <v>42</v>
      </c>
      <c r="X214" s="212"/>
      <c r="Y214" s="212"/>
      <c r="Z214" s="212"/>
      <c r="AA214" s="212"/>
      <c r="AB214" s="212"/>
      <c r="AC214" s="212"/>
      <c r="AD214" s="212"/>
    </row>
    <row r="215" spans="1:30" x14ac:dyDescent="0.25">
      <c r="A215" s="187">
        <v>40908</v>
      </c>
      <c r="B215" s="182">
        <v>695268</v>
      </c>
      <c r="C215" s="188">
        <f t="shared" si="24"/>
        <v>695.26800000000003</v>
      </c>
      <c r="D215" s="189">
        <f t="shared" si="25"/>
        <v>556.21440000000007</v>
      </c>
      <c r="E215" s="189">
        <f t="shared" si="25"/>
        <v>444.97152000000006</v>
      </c>
      <c r="F215" s="189">
        <f t="shared" si="26"/>
        <v>355.97721600000006</v>
      </c>
      <c r="G215" s="189">
        <f t="shared" si="26"/>
        <v>284.78177280000006</v>
      </c>
      <c r="H215" s="189">
        <f t="shared" si="26"/>
        <v>227.82541824000006</v>
      </c>
      <c r="I215" s="189">
        <f t="shared" si="26"/>
        <v>182.26033459200005</v>
      </c>
      <c r="J215" s="189"/>
      <c r="O215" s="211"/>
      <c r="V215" s="212" t="s">
        <v>389</v>
      </c>
      <c r="W215" s="213">
        <v>28.5</v>
      </c>
      <c r="X215" s="212"/>
      <c r="Y215" s="212"/>
      <c r="Z215" s="212"/>
      <c r="AA215" s="212"/>
      <c r="AB215" s="212"/>
      <c r="AC215" s="212"/>
      <c r="AD215" s="212"/>
    </row>
    <row r="216" spans="1:30" x14ac:dyDescent="0.25">
      <c r="A216" s="187">
        <v>40939</v>
      </c>
      <c r="B216" s="182">
        <v>452564</v>
      </c>
      <c r="C216" s="188">
        <f t="shared" si="24"/>
        <v>452.56400000000002</v>
      </c>
      <c r="D216" s="189">
        <f t="shared" si="25"/>
        <v>362.05120000000005</v>
      </c>
      <c r="E216" s="189">
        <f t="shared" si="25"/>
        <v>289.64096000000006</v>
      </c>
      <c r="F216" s="189">
        <f t="shared" si="26"/>
        <v>231.71276800000007</v>
      </c>
      <c r="G216" s="189">
        <f t="shared" si="26"/>
        <v>185.37021440000007</v>
      </c>
      <c r="H216" s="189">
        <f t="shared" si="26"/>
        <v>148.29617152000006</v>
      </c>
      <c r="I216" s="189">
        <f t="shared" si="26"/>
        <v>118.63693721600005</v>
      </c>
      <c r="J216" s="189"/>
      <c r="O216" s="211"/>
      <c r="V216" s="212" t="s">
        <v>390</v>
      </c>
      <c r="W216" s="213">
        <v>15</v>
      </c>
      <c r="X216" s="212"/>
      <c r="Y216" s="212"/>
      <c r="Z216" s="212"/>
      <c r="AA216" s="212"/>
      <c r="AB216" s="212"/>
      <c r="AC216" s="212"/>
      <c r="AD216" s="212"/>
    </row>
    <row r="217" spans="1:30" x14ac:dyDescent="0.25">
      <c r="A217" s="187">
        <v>40968</v>
      </c>
      <c r="B217" s="182">
        <v>546185</v>
      </c>
      <c r="C217" s="188">
        <f t="shared" si="24"/>
        <v>546.18499999999995</v>
      </c>
      <c r="D217" s="189">
        <f t="shared" si="25"/>
        <v>436.94799999999998</v>
      </c>
      <c r="E217" s="189">
        <f t="shared" si="25"/>
        <v>349.55840000000001</v>
      </c>
      <c r="F217" s="189">
        <f t="shared" si="26"/>
        <v>279.64672000000002</v>
      </c>
      <c r="G217" s="189">
        <f t="shared" si="26"/>
        <v>223.71737600000003</v>
      </c>
      <c r="H217" s="189">
        <f t="shared" si="26"/>
        <v>178.97390080000002</v>
      </c>
      <c r="I217" s="189">
        <f t="shared" si="26"/>
        <v>143.17912064000004</v>
      </c>
      <c r="J217" s="189"/>
      <c r="O217" s="211"/>
      <c r="V217" s="212"/>
      <c r="W217" s="212"/>
      <c r="X217" s="212"/>
      <c r="Y217" s="212"/>
      <c r="Z217" s="212"/>
      <c r="AA217" s="212"/>
      <c r="AB217" s="212"/>
      <c r="AC217" s="212"/>
      <c r="AD217" s="212"/>
    </row>
    <row r="218" spans="1:30" x14ac:dyDescent="0.25">
      <c r="A218" s="187">
        <v>40999</v>
      </c>
      <c r="B218" s="182">
        <v>652775</v>
      </c>
      <c r="C218" s="188">
        <f t="shared" si="24"/>
        <v>652.77499999999998</v>
      </c>
      <c r="D218" s="189">
        <f t="shared" si="25"/>
        <v>522.22</v>
      </c>
      <c r="E218" s="189">
        <f t="shared" si="25"/>
        <v>417.77600000000007</v>
      </c>
      <c r="F218" s="189">
        <f t="shared" si="26"/>
        <v>334.22080000000005</v>
      </c>
      <c r="G218" s="189">
        <f t="shared" si="26"/>
        <v>267.37664000000007</v>
      </c>
      <c r="H218" s="189">
        <f t="shared" si="26"/>
        <v>213.90131200000008</v>
      </c>
      <c r="I218" s="189">
        <f t="shared" si="26"/>
        <v>171.12104960000008</v>
      </c>
      <c r="J218" s="189"/>
      <c r="O218" s="211"/>
      <c r="V218" s="212"/>
      <c r="W218" s="212"/>
      <c r="X218" s="212"/>
      <c r="Y218" s="212"/>
      <c r="Z218" s="212"/>
      <c r="AA218" s="212"/>
      <c r="AB218" s="212"/>
      <c r="AC218" s="212"/>
      <c r="AD218" s="212"/>
    </row>
    <row r="219" spans="1:30" x14ac:dyDescent="0.25">
      <c r="A219" s="187">
        <v>41029</v>
      </c>
      <c r="B219" s="182">
        <v>561644</v>
      </c>
      <c r="C219" s="188">
        <f t="shared" si="24"/>
        <v>561.64400000000001</v>
      </c>
      <c r="D219" s="189">
        <f t="shared" si="25"/>
        <v>449.3152</v>
      </c>
      <c r="E219" s="189">
        <f t="shared" si="25"/>
        <v>359.45216000000005</v>
      </c>
      <c r="F219" s="189">
        <f t="shared" si="26"/>
        <v>287.56172800000007</v>
      </c>
      <c r="G219" s="189">
        <f t="shared" si="26"/>
        <v>230.04938240000007</v>
      </c>
      <c r="H219" s="189">
        <f t="shared" si="26"/>
        <v>184.03950592000007</v>
      </c>
      <c r="I219" s="189">
        <f t="shared" si="26"/>
        <v>147.23160473600007</v>
      </c>
      <c r="J219" s="189"/>
      <c r="O219" s="211"/>
      <c r="V219" s="212"/>
      <c r="W219" s="212"/>
      <c r="X219" s="212"/>
      <c r="Y219" s="212"/>
      <c r="Z219" s="212"/>
      <c r="AA219" s="212"/>
      <c r="AB219" s="212"/>
      <c r="AC219" s="212"/>
      <c r="AD219" s="212"/>
    </row>
    <row r="220" spans="1:30" x14ac:dyDescent="0.25">
      <c r="A220" s="187">
        <v>41060</v>
      </c>
      <c r="B220" s="182">
        <v>657535</v>
      </c>
      <c r="C220" s="188">
        <f t="shared" si="24"/>
        <v>657.53499999999997</v>
      </c>
      <c r="D220" s="189">
        <f t="shared" si="25"/>
        <v>526.02800000000002</v>
      </c>
      <c r="E220" s="189">
        <f t="shared" si="25"/>
        <v>420.82240000000002</v>
      </c>
      <c r="F220" s="189">
        <f t="shared" si="26"/>
        <v>336.65792000000005</v>
      </c>
      <c r="G220" s="189">
        <f t="shared" si="26"/>
        <v>269.32633600000003</v>
      </c>
      <c r="H220" s="189">
        <f t="shared" si="26"/>
        <v>215.46106880000002</v>
      </c>
      <c r="I220" s="189">
        <f t="shared" si="26"/>
        <v>172.36885504000003</v>
      </c>
      <c r="J220" s="189"/>
      <c r="O220" s="211"/>
      <c r="V220" s="212"/>
      <c r="W220" s="212"/>
      <c r="X220" s="212"/>
      <c r="Y220" s="212"/>
      <c r="Z220" s="212"/>
      <c r="AA220" s="212"/>
      <c r="AB220" s="212"/>
      <c r="AC220" s="212"/>
      <c r="AD220" s="212"/>
    </row>
    <row r="221" spans="1:30" x14ac:dyDescent="0.25">
      <c r="A221" s="187">
        <v>41090</v>
      </c>
      <c r="B221" s="182">
        <v>636273</v>
      </c>
      <c r="C221" s="188">
        <f t="shared" si="24"/>
        <v>636.27300000000002</v>
      </c>
      <c r="D221" s="189">
        <f t="shared" si="25"/>
        <v>509.01840000000004</v>
      </c>
      <c r="E221" s="189">
        <f t="shared" si="25"/>
        <v>407.21472000000006</v>
      </c>
      <c r="F221" s="189">
        <f t="shared" si="26"/>
        <v>325.77177600000005</v>
      </c>
      <c r="G221" s="189">
        <f t="shared" si="26"/>
        <v>260.61742080000005</v>
      </c>
      <c r="H221" s="189">
        <f t="shared" si="26"/>
        <v>208.49393664000004</v>
      </c>
      <c r="I221" s="189">
        <f t="shared" si="26"/>
        <v>166.79514931200004</v>
      </c>
      <c r="J221" s="189"/>
      <c r="O221" s="211"/>
      <c r="V221" s="212"/>
      <c r="W221" s="212"/>
      <c r="X221" s="212"/>
      <c r="Y221" s="212"/>
      <c r="Z221" s="212"/>
      <c r="AA221" s="212"/>
      <c r="AB221" s="212"/>
      <c r="AC221" s="212"/>
      <c r="AD221" s="212"/>
    </row>
    <row r="222" spans="1:30" x14ac:dyDescent="0.25">
      <c r="A222" s="187">
        <v>41121</v>
      </c>
      <c r="B222" s="182">
        <v>580460</v>
      </c>
      <c r="C222" s="188">
        <f t="shared" si="24"/>
        <v>580.46</v>
      </c>
      <c r="D222" s="189">
        <f t="shared" si="25"/>
        <v>464.36800000000005</v>
      </c>
      <c r="E222" s="189">
        <f t="shared" si="25"/>
        <v>371.49440000000004</v>
      </c>
      <c r="F222" s="189">
        <f t="shared" si="26"/>
        <v>297.19552000000004</v>
      </c>
      <c r="G222" s="189">
        <f t="shared" si="26"/>
        <v>237.75641600000006</v>
      </c>
      <c r="H222" s="189">
        <f t="shared" si="26"/>
        <v>190.20513280000006</v>
      </c>
      <c r="I222" s="189">
        <f t="shared" si="26"/>
        <v>152.16410624000005</v>
      </c>
      <c r="J222" s="189"/>
      <c r="O222" s="211"/>
      <c r="V222" s="212"/>
      <c r="W222" s="212"/>
      <c r="X222" s="212"/>
      <c r="Y222" s="212"/>
      <c r="Z222" s="212"/>
      <c r="AA222" s="212"/>
      <c r="AB222" s="212"/>
      <c r="AC222" s="212"/>
      <c r="AD222" s="212"/>
    </row>
    <row r="223" spans="1:30" x14ac:dyDescent="0.25">
      <c r="A223" s="187">
        <v>41152</v>
      </c>
      <c r="B223" s="182">
        <v>646332</v>
      </c>
      <c r="C223" s="188">
        <f t="shared" si="24"/>
        <v>646.33199999999999</v>
      </c>
      <c r="D223" s="189">
        <f t="shared" si="25"/>
        <v>517.06560000000002</v>
      </c>
      <c r="E223" s="189">
        <f t="shared" si="25"/>
        <v>413.65248000000003</v>
      </c>
      <c r="F223" s="189">
        <f t="shared" si="26"/>
        <v>330.92198400000007</v>
      </c>
      <c r="G223" s="189">
        <f t="shared" si="26"/>
        <v>264.73758720000006</v>
      </c>
      <c r="H223" s="189">
        <f t="shared" si="26"/>
        <v>211.79006976000005</v>
      </c>
      <c r="I223" s="189">
        <f t="shared" si="26"/>
        <v>169.43205580800006</v>
      </c>
      <c r="J223" s="189"/>
      <c r="O223" s="211"/>
      <c r="V223" s="212"/>
      <c r="W223" s="212"/>
      <c r="X223" s="212"/>
      <c r="Y223" s="212"/>
      <c r="Z223" s="212"/>
      <c r="AA223" s="212"/>
      <c r="AB223" s="212"/>
      <c r="AC223" s="212"/>
      <c r="AD223" s="212"/>
    </row>
    <row r="224" spans="1:30" x14ac:dyDescent="0.25">
      <c r="A224" s="187">
        <v>41182</v>
      </c>
      <c r="B224" s="182">
        <v>598836</v>
      </c>
      <c r="C224" s="188">
        <f t="shared" si="24"/>
        <v>598.83600000000001</v>
      </c>
      <c r="D224" s="189">
        <f t="shared" si="25"/>
        <v>479.06880000000001</v>
      </c>
      <c r="E224" s="189">
        <f t="shared" si="25"/>
        <v>383.25504000000001</v>
      </c>
      <c r="F224" s="189">
        <f t="shared" si="26"/>
        <v>306.60403200000002</v>
      </c>
      <c r="G224" s="189">
        <f t="shared" si="26"/>
        <v>245.28322560000004</v>
      </c>
      <c r="H224" s="189">
        <f t="shared" si="26"/>
        <v>196.22658048000005</v>
      </c>
      <c r="I224" s="189">
        <f t="shared" si="26"/>
        <v>156.98126438400004</v>
      </c>
      <c r="J224" s="189"/>
      <c r="O224" s="211"/>
      <c r="P224" s="211"/>
      <c r="Q224" s="211"/>
      <c r="R224" s="211"/>
      <c r="S224" s="211"/>
      <c r="T224" s="211"/>
      <c r="U224" s="211"/>
      <c r="V224" s="211"/>
      <c r="W224" s="211"/>
      <c r="X224" s="211"/>
      <c r="Y224" s="211"/>
      <c r="Z224" s="211"/>
      <c r="AA224" s="211"/>
      <c r="AB224" s="211"/>
      <c r="AC224" s="211"/>
      <c r="AD224" s="211"/>
    </row>
    <row r="225" spans="1:27" x14ac:dyDescent="0.25">
      <c r="A225" s="187">
        <v>41213</v>
      </c>
      <c r="B225" s="182">
        <v>557576</v>
      </c>
      <c r="C225" s="188">
        <f t="shared" si="24"/>
        <v>557.57600000000002</v>
      </c>
      <c r="D225" s="189">
        <f t="shared" si="25"/>
        <v>446.06080000000003</v>
      </c>
      <c r="E225" s="189">
        <f t="shared" si="25"/>
        <v>356.84864000000005</v>
      </c>
      <c r="F225" s="189">
        <f t="shared" si="26"/>
        <v>285.47891200000004</v>
      </c>
      <c r="G225" s="189">
        <f t="shared" si="26"/>
        <v>228.38312960000005</v>
      </c>
      <c r="H225" s="189">
        <f t="shared" si="26"/>
        <v>182.70650368000005</v>
      </c>
      <c r="I225" s="189">
        <f t="shared" si="26"/>
        <v>146.16520294400004</v>
      </c>
      <c r="J225" s="189"/>
      <c r="O225" s="211"/>
      <c r="P225" s="211"/>
      <c r="Q225" s="211"/>
      <c r="R225" s="211"/>
      <c r="S225" s="211"/>
      <c r="T225" s="211"/>
      <c r="U225" s="211"/>
      <c r="V225" s="211"/>
      <c r="W225" s="211"/>
      <c r="X225" s="211"/>
      <c r="Y225" s="211"/>
      <c r="Z225" s="211"/>
      <c r="AA225" s="211"/>
    </row>
    <row r="226" spans="1:27" x14ac:dyDescent="0.25">
      <c r="A226" s="187">
        <v>41243</v>
      </c>
      <c r="B226" s="182">
        <v>588964</v>
      </c>
      <c r="C226" s="188">
        <f t="shared" si="24"/>
        <v>588.96400000000006</v>
      </c>
      <c r="D226" s="189">
        <f t="shared" si="25"/>
        <v>471.17120000000006</v>
      </c>
      <c r="E226" s="189">
        <f t="shared" si="25"/>
        <v>376.93696000000006</v>
      </c>
      <c r="F226" s="189">
        <f t="shared" si="26"/>
        <v>301.54956800000008</v>
      </c>
      <c r="G226" s="189">
        <f t="shared" si="26"/>
        <v>241.23965440000006</v>
      </c>
      <c r="H226" s="189">
        <f t="shared" si="26"/>
        <v>192.99172352000005</v>
      </c>
      <c r="I226" s="189">
        <f t="shared" si="26"/>
        <v>154.39337881600005</v>
      </c>
      <c r="J226" s="189"/>
      <c r="O226" s="211"/>
      <c r="P226" s="211"/>
      <c r="Q226" s="211"/>
      <c r="R226" s="211"/>
      <c r="S226" s="211"/>
      <c r="T226" s="211"/>
      <c r="U226" s="211"/>
      <c r="V226" s="211"/>
      <c r="W226" s="211"/>
      <c r="X226" s="211"/>
      <c r="Y226" s="211"/>
      <c r="Z226" s="211"/>
      <c r="AA226" s="211"/>
    </row>
    <row r="227" spans="1:27" x14ac:dyDescent="0.25">
      <c r="A227" s="187">
        <v>41274</v>
      </c>
      <c r="B227" s="182">
        <v>719533</v>
      </c>
      <c r="C227" s="188">
        <f t="shared" si="24"/>
        <v>719.53300000000002</v>
      </c>
      <c r="D227" s="189">
        <f t="shared" si="25"/>
        <v>575.62639999999999</v>
      </c>
      <c r="E227" s="189">
        <f t="shared" si="25"/>
        <v>460.50112000000001</v>
      </c>
      <c r="F227" s="189">
        <f t="shared" si="26"/>
        <v>368.40089600000005</v>
      </c>
      <c r="G227" s="189">
        <f t="shared" si="26"/>
        <v>294.72071680000005</v>
      </c>
      <c r="H227" s="189">
        <f t="shared" si="26"/>
        <v>235.77657344000005</v>
      </c>
      <c r="I227" s="189">
        <f t="shared" si="26"/>
        <v>188.62125875200005</v>
      </c>
      <c r="J227" s="189"/>
    </row>
    <row r="228" spans="1:27" x14ac:dyDescent="0.25">
      <c r="A228" s="187">
        <v>41305</v>
      </c>
      <c r="B228" s="182">
        <v>517949</v>
      </c>
      <c r="C228" s="188">
        <f t="shared" si="24"/>
        <v>517.94899999999996</v>
      </c>
      <c r="D228" s="189">
        <f t="shared" si="25"/>
        <v>414.35919999999999</v>
      </c>
      <c r="E228" s="189">
        <f t="shared" si="25"/>
        <v>331.48736000000002</v>
      </c>
      <c r="F228" s="189">
        <f t="shared" si="26"/>
        <v>265.18988800000005</v>
      </c>
      <c r="G228" s="189">
        <f t="shared" si="26"/>
        <v>212.15191040000005</v>
      </c>
      <c r="H228" s="189">
        <f t="shared" si="26"/>
        <v>169.72152832000006</v>
      </c>
      <c r="I228" s="189">
        <f t="shared" si="26"/>
        <v>135.77722265600005</v>
      </c>
      <c r="J228" s="189"/>
    </row>
    <row r="229" spans="1:27" x14ac:dyDescent="0.25">
      <c r="A229" s="187">
        <v>41333</v>
      </c>
      <c r="B229" s="182">
        <v>588706</v>
      </c>
      <c r="C229" s="188">
        <f t="shared" si="24"/>
        <v>588.70600000000002</v>
      </c>
      <c r="D229" s="189">
        <f t="shared" si="25"/>
        <v>470.96480000000003</v>
      </c>
      <c r="E229" s="189">
        <f t="shared" si="25"/>
        <v>376.77184000000005</v>
      </c>
      <c r="F229" s="189">
        <f t="shared" si="26"/>
        <v>301.41747200000003</v>
      </c>
      <c r="G229" s="189">
        <f t="shared" si="26"/>
        <v>241.13397760000004</v>
      </c>
      <c r="H229" s="189">
        <f t="shared" si="26"/>
        <v>192.90718208000004</v>
      </c>
      <c r="I229" s="189">
        <f t="shared" si="26"/>
        <v>154.32574566400004</v>
      </c>
      <c r="J229" s="189"/>
    </row>
    <row r="230" spans="1:27" x14ac:dyDescent="0.25">
      <c r="A230" s="187">
        <v>41364</v>
      </c>
      <c r="B230" s="182">
        <v>710302</v>
      </c>
      <c r="C230" s="188">
        <f t="shared" si="24"/>
        <v>710.30200000000002</v>
      </c>
      <c r="D230" s="189">
        <f t="shared" si="25"/>
        <v>568.24160000000006</v>
      </c>
      <c r="E230" s="189">
        <f t="shared" si="25"/>
        <v>454.59328000000005</v>
      </c>
      <c r="F230" s="189">
        <f t="shared" si="26"/>
        <v>363.67462400000005</v>
      </c>
      <c r="G230" s="189">
        <f t="shared" si="26"/>
        <v>290.93969920000006</v>
      </c>
      <c r="H230" s="189">
        <f t="shared" si="26"/>
        <v>232.75175936000005</v>
      </c>
      <c r="I230" s="189">
        <f t="shared" si="26"/>
        <v>186.20140748800006</v>
      </c>
      <c r="J230" s="189"/>
    </row>
    <row r="231" spans="1:27" x14ac:dyDescent="0.25">
      <c r="A231" s="187">
        <v>41394</v>
      </c>
      <c r="B231" s="182">
        <v>642923</v>
      </c>
      <c r="C231" s="188">
        <f t="shared" si="24"/>
        <v>642.923</v>
      </c>
      <c r="D231" s="189">
        <f t="shared" si="25"/>
        <v>514.33839999999998</v>
      </c>
      <c r="E231" s="189">
        <f t="shared" si="25"/>
        <v>411.47072000000003</v>
      </c>
      <c r="F231" s="189">
        <f t="shared" si="26"/>
        <v>329.17657600000007</v>
      </c>
      <c r="G231" s="189">
        <f t="shared" si="26"/>
        <v>263.34126080000004</v>
      </c>
      <c r="H231" s="189">
        <f t="shared" si="26"/>
        <v>210.67300864000003</v>
      </c>
      <c r="I231" s="189">
        <f t="shared" si="26"/>
        <v>168.53840691200003</v>
      </c>
      <c r="J231" s="189"/>
    </row>
    <row r="232" spans="1:27" x14ac:dyDescent="0.25">
      <c r="A232" s="187">
        <v>41425</v>
      </c>
      <c r="B232" s="182">
        <v>730586</v>
      </c>
      <c r="C232" s="188">
        <f t="shared" si="24"/>
        <v>730.58600000000001</v>
      </c>
      <c r="D232" s="189">
        <f t="shared" si="25"/>
        <v>584.46879999999999</v>
      </c>
      <c r="E232" s="189">
        <f t="shared" si="25"/>
        <v>467.57504</v>
      </c>
      <c r="F232" s="189">
        <f t="shared" si="26"/>
        <v>374.06003200000004</v>
      </c>
      <c r="G232" s="189">
        <f t="shared" si="26"/>
        <v>299.24802560000006</v>
      </c>
      <c r="H232" s="189">
        <f t="shared" si="26"/>
        <v>239.39842048000006</v>
      </c>
      <c r="I232" s="189">
        <f t="shared" si="26"/>
        <v>191.51873638400005</v>
      </c>
      <c r="J232" s="189"/>
    </row>
    <row r="233" spans="1:27" x14ac:dyDescent="0.25">
      <c r="A233" s="187">
        <v>41455</v>
      </c>
      <c r="B233" s="182">
        <v>709369</v>
      </c>
      <c r="C233" s="188">
        <f t="shared" si="24"/>
        <v>709.36900000000003</v>
      </c>
      <c r="D233" s="189">
        <f t="shared" si="25"/>
        <v>567.49520000000007</v>
      </c>
      <c r="E233" s="189">
        <f t="shared" si="25"/>
        <v>453.99616000000009</v>
      </c>
      <c r="F233" s="189">
        <f t="shared" ref="F233:I252" si="27">E233*0.8</f>
        <v>363.19692800000007</v>
      </c>
      <c r="G233" s="189">
        <f t="shared" si="27"/>
        <v>290.55754240000005</v>
      </c>
      <c r="H233" s="189">
        <f t="shared" si="27"/>
        <v>232.44603392000005</v>
      </c>
      <c r="I233" s="189">
        <f t="shared" si="27"/>
        <v>185.95682713600004</v>
      </c>
      <c r="J233" s="189"/>
    </row>
    <row r="234" spans="1:27" x14ac:dyDescent="0.25">
      <c r="A234" s="187">
        <v>41486</v>
      </c>
      <c r="B234" s="182">
        <v>669190</v>
      </c>
      <c r="C234" s="188">
        <f t="shared" si="24"/>
        <v>669.19</v>
      </c>
      <c r="D234" s="189">
        <f t="shared" si="25"/>
        <v>535.35200000000009</v>
      </c>
      <c r="E234" s="189">
        <f t="shared" si="25"/>
        <v>428.28160000000008</v>
      </c>
      <c r="F234" s="189">
        <f t="shared" si="27"/>
        <v>342.62528000000009</v>
      </c>
      <c r="G234" s="189">
        <f t="shared" si="27"/>
        <v>274.10022400000008</v>
      </c>
      <c r="H234" s="189">
        <f t="shared" si="27"/>
        <v>219.28017920000008</v>
      </c>
      <c r="I234" s="189">
        <f t="shared" si="27"/>
        <v>175.42414336000007</v>
      </c>
      <c r="J234" s="189"/>
    </row>
    <row r="235" spans="1:27" x14ac:dyDescent="0.25">
      <c r="A235" s="187">
        <v>41517</v>
      </c>
      <c r="B235" s="182">
        <v>763486</v>
      </c>
      <c r="C235" s="188">
        <f t="shared" si="24"/>
        <v>763.48599999999999</v>
      </c>
      <c r="D235" s="189">
        <f t="shared" si="25"/>
        <v>610.78880000000004</v>
      </c>
      <c r="E235" s="189">
        <f t="shared" si="25"/>
        <v>488.63104000000004</v>
      </c>
      <c r="F235" s="189">
        <f t="shared" si="27"/>
        <v>390.90483200000006</v>
      </c>
      <c r="G235" s="189">
        <f t="shared" si="27"/>
        <v>312.72386560000007</v>
      </c>
      <c r="H235" s="189">
        <f t="shared" si="27"/>
        <v>250.17909248000007</v>
      </c>
      <c r="I235" s="189">
        <f t="shared" si="27"/>
        <v>200.14327398400007</v>
      </c>
      <c r="J235" s="189"/>
    </row>
    <row r="236" spans="1:27" x14ac:dyDescent="0.25">
      <c r="A236" s="187">
        <v>41547</v>
      </c>
      <c r="B236" s="182">
        <v>580634</v>
      </c>
      <c r="C236" s="188">
        <f t="shared" si="24"/>
        <v>580.63400000000001</v>
      </c>
      <c r="D236" s="189">
        <f t="shared" si="25"/>
        <v>464.50720000000001</v>
      </c>
      <c r="E236" s="189">
        <f t="shared" si="25"/>
        <v>371.60576000000003</v>
      </c>
      <c r="F236" s="189">
        <f t="shared" si="27"/>
        <v>297.28460800000005</v>
      </c>
      <c r="G236" s="189">
        <f t="shared" si="27"/>
        <v>237.82768640000006</v>
      </c>
      <c r="H236" s="189">
        <f t="shared" si="27"/>
        <v>190.26214912000006</v>
      </c>
      <c r="I236" s="189">
        <f t="shared" si="27"/>
        <v>152.20971929600006</v>
      </c>
      <c r="J236" s="189"/>
    </row>
    <row r="237" spans="1:27" x14ac:dyDescent="0.25">
      <c r="A237" s="187">
        <v>41578</v>
      </c>
      <c r="B237" s="182">
        <v>637682</v>
      </c>
      <c r="C237" s="188">
        <f t="shared" si="24"/>
        <v>637.68200000000002</v>
      </c>
      <c r="D237" s="189">
        <f t="shared" si="25"/>
        <v>510.14560000000006</v>
      </c>
      <c r="E237" s="189">
        <f t="shared" si="25"/>
        <v>408.11648000000008</v>
      </c>
      <c r="F237" s="189">
        <f t="shared" si="27"/>
        <v>326.4931840000001</v>
      </c>
      <c r="G237" s="189">
        <f t="shared" si="27"/>
        <v>261.1945472000001</v>
      </c>
      <c r="H237" s="189">
        <f t="shared" si="27"/>
        <v>208.95563776000009</v>
      </c>
      <c r="I237" s="189">
        <f t="shared" si="27"/>
        <v>167.16451020800008</v>
      </c>
      <c r="J237" s="189"/>
    </row>
    <row r="238" spans="1:27" x14ac:dyDescent="0.25">
      <c r="A238" s="187">
        <v>41608</v>
      </c>
      <c r="B238" s="182">
        <v>656743</v>
      </c>
      <c r="C238" s="188">
        <f t="shared" si="24"/>
        <v>656.74300000000005</v>
      </c>
      <c r="D238" s="189">
        <f t="shared" si="25"/>
        <v>525.39440000000002</v>
      </c>
      <c r="E238" s="189">
        <f t="shared" si="25"/>
        <v>420.31552000000005</v>
      </c>
      <c r="F238" s="189">
        <f t="shared" si="27"/>
        <v>336.25241600000004</v>
      </c>
      <c r="G238" s="189">
        <f t="shared" si="27"/>
        <v>269.00193280000002</v>
      </c>
      <c r="H238" s="189">
        <f t="shared" si="27"/>
        <v>215.20154624000003</v>
      </c>
      <c r="I238" s="189">
        <f t="shared" si="27"/>
        <v>172.16123699200003</v>
      </c>
      <c r="J238" s="189"/>
    </row>
    <row r="239" spans="1:27" x14ac:dyDescent="0.25">
      <c r="A239" s="187">
        <v>41639</v>
      </c>
      <c r="B239" s="182">
        <v>738777</v>
      </c>
      <c r="C239" s="188">
        <f t="shared" si="24"/>
        <v>738.77700000000004</v>
      </c>
      <c r="D239" s="189">
        <f t="shared" si="25"/>
        <v>591.02160000000003</v>
      </c>
      <c r="E239" s="189">
        <f t="shared" si="25"/>
        <v>472.81728000000004</v>
      </c>
      <c r="F239" s="189">
        <f t="shared" si="27"/>
        <v>378.25382400000007</v>
      </c>
      <c r="G239" s="189">
        <f t="shared" si="27"/>
        <v>302.60305920000008</v>
      </c>
      <c r="H239" s="189">
        <f t="shared" si="27"/>
        <v>242.08244736000006</v>
      </c>
      <c r="I239" s="189">
        <f t="shared" si="27"/>
        <v>193.66595788800007</v>
      </c>
      <c r="J239" s="189"/>
    </row>
    <row r="240" spans="1:27" x14ac:dyDescent="0.25">
      <c r="A240" s="187">
        <v>41670</v>
      </c>
      <c r="B240" s="182">
        <v>530995</v>
      </c>
      <c r="C240" s="188">
        <f t="shared" si="24"/>
        <v>530.995</v>
      </c>
      <c r="D240" s="189">
        <f t="shared" si="25"/>
        <v>424.79600000000005</v>
      </c>
      <c r="E240" s="189">
        <f t="shared" si="25"/>
        <v>339.83680000000004</v>
      </c>
      <c r="F240" s="189">
        <f t="shared" si="27"/>
        <v>271.86944000000005</v>
      </c>
      <c r="G240" s="189">
        <f t="shared" si="27"/>
        <v>217.49555200000006</v>
      </c>
      <c r="H240" s="189">
        <f t="shared" si="27"/>
        <v>173.99644160000005</v>
      </c>
      <c r="I240" s="189">
        <f t="shared" si="27"/>
        <v>139.19715328000004</v>
      </c>
      <c r="J240" s="189"/>
    </row>
    <row r="241" spans="1:10" x14ac:dyDescent="0.25">
      <c r="A241" s="187">
        <v>41698</v>
      </c>
      <c r="B241" s="182">
        <v>623880</v>
      </c>
      <c r="C241" s="188">
        <f t="shared" si="24"/>
        <v>623.88</v>
      </c>
      <c r="D241" s="189">
        <f t="shared" si="25"/>
        <v>499.10400000000004</v>
      </c>
      <c r="E241" s="189">
        <f t="shared" si="25"/>
        <v>399.28320000000008</v>
      </c>
      <c r="F241" s="189">
        <f t="shared" si="27"/>
        <v>319.42656000000011</v>
      </c>
      <c r="G241" s="189">
        <f t="shared" si="27"/>
        <v>255.54124800000011</v>
      </c>
      <c r="H241" s="189">
        <f t="shared" si="27"/>
        <v>204.43299840000009</v>
      </c>
      <c r="I241" s="189">
        <f t="shared" si="27"/>
        <v>163.54639872000007</v>
      </c>
      <c r="J241" s="189"/>
    </row>
    <row r="242" spans="1:10" x14ac:dyDescent="0.25">
      <c r="A242" s="187">
        <v>41729</v>
      </c>
      <c r="B242" s="182">
        <v>790160</v>
      </c>
      <c r="C242" s="188">
        <f t="shared" si="24"/>
        <v>790.16</v>
      </c>
      <c r="D242" s="189">
        <f t="shared" si="25"/>
        <v>632.12800000000004</v>
      </c>
      <c r="E242" s="189">
        <f t="shared" si="25"/>
        <v>505.70240000000007</v>
      </c>
      <c r="F242" s="189">
        <f t="shared" si="27"/>
        <v>404.5619200000001</v>
      </c>
      <c r="G242" s="189">
        <f t="shared" si="27"/>
        <v>323.64953600000013</v>
      </c>
      <c r="H242" s="189">
        <f t="shared" si="27"/>
        <v>258.91962880000011</v>
      </c>
      <c r="I242" s="189">
        <f t="shared" si="27"/>
        <v>207.1357030400001</v>
      </c>
      <c r="J242" s="189"/>
    </row>
    <row r="243" spans="1:10" x14ac:dyDescent="0.25">
      <c r="A243" s="187">
        <v>41759</v>
      </c>
      <c r="B243" s="182">
        <v>725943</v>
      </c>
      <c r="C243" s="188">
        <f t="shared" si="24"/>
        <v>725.94299999999998</v>
      </c>
      <c r="D243" s="189">
        <f t="shared" si="25"/>
        <v>580.75440000000003</v>
      </c>
      <c r="E243" s="189">
        <f t="shared" si="25"/>
        <v>464.60352000000006</v>
      </c>
      <c r="F243" s="189">
        <f t="shared" si="27"/>
        <v>371.68281600000006</v>
      </c>
      <c r="G243" s="189">
        <f t="shared" si="27"/>
        <v>297.34625280000006</v>
      </c>
      <c r="H243" s="189">
        <f t="shared" si="27"/>
        <v>237.87700224000005</v>
      </c>
      <c r="I243" s="189">
        <f t="shared" si="27"/>
        <v>190.30160179200004</v>
      </c>
      <c r="J243" s="189"/>
    </row>
    <row r="244" spans="1:10" x14ac:dyDescent="0.25">
      <c r="A244" s="187">
        <v>41790</v>
      </c>
      <c r="B244" s="182">
        <v>826528</v>
      </c>
      <c r="C244" s="188">
        <f t="shared" si="24"/>
        <v>826.52800000000002</v>
      </c>
      <c r="D244" s="189">
        <f t="shared" si="25"/>
        <v>661.22240000000011</v>
      </c>
      <c r="E244" s="189">
        <f t="shared" si="25"/>
        <v>528.97792000000015</v>
      </c>
      <c r="F244" s="189">
        <f t="shared" si="27"/>
        <v>423.18233600000013</v>
      </c>
      <c r="G244" s="189">
        <f t="shared" si="27"/>
        <v>338.54586880000011</v>
      </c>
      <c r="H244" s="189">
        <f t="shared" si="27"/>
        <v>270.83669504000011</v>
      </c>
      <c r="I244" s="189">
        <f t="shared" si="27"/>
        <v>216.66935603200011</v>
      </c>
      <c r="J244" s="189"/>
    </row>
    <row r="245" spans="1:10" x14ac:dyDescent="0.25">
      <c r="A245" s="187">
        <v>41820</v>
      </c>
      <c r="B245" s="182">
        <v>730329</v>
      </c>
      <c r="C245" s="188">
        <f t="shared" si="24"/>
        <v>730.32899999999995</v>
      </c>
      <c r="D245" s="189">
        <f t="shared" si="25"/>
        <v>584.26319999999998</v>
      </c>
      <c r="E245" s="189">
        <f t="shared" si="25"/>
        <v>467.41056000000003</v>
      </c>
      <c r="F245" s="189">
        <f t="shared" si="27"/>
        <v>373.92844800000006</v>
      </c>
      <c r="G245" s="189">
        <f t="shared" si="27"/>
        <v>299.14275840000005</v>
      </c>
      <c r="H245" s="189">
        <f t="shared" si="27"/>
        <v>239.31420672000004</v>
      </c>
      <c r="I245" s="189">
        <f t="shared" si="27"/>
        <v>191.45136537600004</v>
      </c>
      <c r="J245" s="189"/>
    </row>
    <row r="246" spans="1:10" x14ac:dyDescent="0.25">
      <c r="A246" s="187">
        <v>41851</v>
      </c>
      <c r="B246" s="182">
        <v>758001</v>
      </c>
      <c r="C246" s="188">
        <f t="shared" si="24"/>
        <v>758.00099999999998</v>
      </c>
      <c r="D246" s="189">
        <f t="shared" si="25"/>
        <v>606.4008</v>
      </c>
      <c r="E246" s="189">
        <f t="shared" si="25"/>
        <v>485.12064000000004</v>
      </c>
      <c r="F246" s="189">
        <f t="shared" si="27"/>
        <v>388.09651200000008</v>
      </c>
      <c r="G246" s="189">
        <f t="shared" si="27"/>
        <v>310.47720960000009</v>
      </c>
      <c r="H246" s="189">
        <f t="shared" si="27"/>
        <v>248.38176768000008</v>
      </c>
      <c r="I246" s="189">
        <f t="shared" si="27"/>
        <v>198.70541414400009</v>
      </c>
      <c r="J246" s="189"/>
    </row>
    <row r="247" spans="1:10" x14ac:dyDescent="0.25">
      <c r="A247" s="187">
        <v>41882</v>
      </c>
      <c r="B247" s="182">
        <v>831028</v>
      </c>
      <c r="C247" s="188">
        <f t="shared" si="24"/>
        <v>831.02800000000002</v>
      </c>
      <c r="D247" s="189">
        <f t="shared" si="25"/>
        <v>664.82240000000002</v>
      </c>
      <c r="E247" s="189">
        <f t="shared" si="25"/>
        <v>531.85792000000004</v>
      </c>
      <c r="F247" s="189">
        <f t="shared" si="27"/>
        <v>425.48633600000005</v>
      </c>
      <c r="G247" s="189">
        <f t="shared" si="27"/>
        <v>340.38906880000008</v>
      </c>
      <c r="H247" s="189">
        <f t="shared" si="27"/>
        <v>272.31125504000005</v>
      </c>
      <c r="I247" s="189">
        <f t="shared" si="27"/>
        <v>217.84900403200004</v>
      </c>
      <c r="J247" s="189"/>
    </row>
    <row r="248" spans="1:10" x14ac:dyDescent="0.25">
      <c r="A248" s="187">
        <v>41912</v>
      </c>
      <c r="B248" s="182">
        <v>676427</v>
      </c>
      <c r="C248" s="188">
        <f t="shared" si="24"/>
        <v>676.42700000000002</v>
      </c>
      <c r="D248" s="189">
        <f t="shared" si="25"/>
        <v>541.14160000000004</v>
      </c>
      <c r="E248" s="189">
        <f t="shared" si="25"/>
        <v>432.91328000000004</v>
      </c>
      <c r="F248" s="189">
        <f t="shared" si="27"/>
        <v>346.33062400000006</v>
      </c>
      <c r="G248" s="189">
        <f t="shared" si="27"/>
        <v>277.06449920000006</v>
      </c>
      <c r="H248" s="189">
        <f t="shared" si="27"/>
        <v>221.65159936000006</v>
      </c>
      <c r="I248" s="189">
        <f t="shared" si="27"/>
        <v>177.32127948800007</v>
      </c>
      <c r="J248" s="189"/>
    </row>
    <row r="249" spans="1:10" x14ac:dyDescent="0.25">
      <c r="A249" s="187">
        <v>41943</v>
      </c>
      <c r="B249" s="182">
        <v>695630</v>
      </c>
      <c r="C249" s="188">
        <f t="shared" si="24"/>
        <v>695.63</v>
      </c>
      <c r="D249" s="189">
        <f t="shared" si="25"/>
        <v>556.50400000000002</v>
      </c>
      <c r="E249" s="189">
        <f t="shared" si="25"/>
        <v>445.20320000000004</v>
      </c>
      <c r="F249" s="189">
        <f t="shared" si="27"/>
        <v>356.16256000000004</v>
      </c>
      <c r="G249" s="189">
        <f t="shared" si="27"/>
        <v>284.93004800000006</v>
      </c>
      <c r="H249" s="189">
        <f t="shared" si="27"/>
        <v>227.94403840000007</v>
      </c>
      <c r="I249" s="189">
        <f t="shared" si="27"/>
        <v>182.35523072000007</v>
      </c>
      <c r="J249" s="189"/>
    </row>
    <row r="250" spans="1:10" x14ac:dyDescent="0.25">
      <c r="A250" s="187">
        <v>41973</v>
      </c>
      <c r="B250" s="182">
        <v>717135</v>
      </c>
      <c r="C250" s="188">
        <f t="shared" si="24"/>
        <v>717.13499999999999</v>
      </c>
      <c r="D250" s="189">
        <f t="shared" si="25"/>
        <v>573.70799999999997</v>
      </c>
      <c r="E250" s="189">
        <f t="shared" si="25"/>
        <v>458.96640000000002</v>
      </c>
      <c r="F250" s="189">
        <f t="shared" si="27"/>
        <v>367.17312000000004</v>
      </c>
      <c r="G250" s="189">
        <f t="shared" si="27"/>
        <v>293.73849600000005</v>
      </c>
      <c r="H250" s="189">
        <f t="shared" si="27"/>
        <v>234.99079680000006</v>
      </c>
      <c r="I250" s="189">
        <f t="shared" si="27"/>
        <v>187.99263744000007</v>
      </c>
      <c r="J250" s="189"/>
    </row>
    <row r="251" spans="1:10" x14ac:dyDescent="0.25">
      <c r="A251" s="187">
        <v>42004</v>
      </c>
      <c r="B251" s="182">
        <v>841764</v>
      </c>
      <c r="C251" s="188">
        <f t="shared" si="24"/>
        <v>841.76400000000001</v>
      </c>
      <c r="D251" s="189">
        <f t="shared" si="25"/>
        <v>673.41120000000001</v>
      </c>
      <c r="E251" s="189">
        <f t="shared" si="25"/>
        <v>538.72896000000003</v>
      </c>
      <c r="F251" s="189">
        <f t="shared" si="27"/>
        <v>430.98316800000003</v>
      </c>
      <c r="G251" s="189">
        <f t="shared" si="27"/>
        <v>344.78653440000005</v>
      </c>
      <c r="H251" s="189">
        <f t="shared" si="27"/>
        <v>275.82922752000007</v>
      </c>
      <c r="I251" s="189">
        <f t="shared" si="27"/>
        <v>220.66338201600007</v>
      </c>
      <c r="J251" s="189"/>
    </row>
    <row r="252" spans="1:10" x14ac:dyDescent="0.25">
      <c r="A252" s="187">
        <v>42035</v>
      </c>
      <c r="B252" s="182">
        <v>631509</v>
      </c>
      <c r="C252" s="188">
        <f t="shared" si="24"/>
        <v>631.50900000000001</v>
      </c>
      <c r="D252" s="189">
        <f t="shared" si="25"/>
        <v>505.20720000000006</v>
      </c>
      <c r="E252" s="189">
        <f t="shared" si="25"/>
        <v>404.16576000000009</v>
      </c>
      <c r="F252" s="189">
        <f t="shared" si="27"/>
        <v>323.33260800000011</v>
      </c>
      <c r="G252" s="189">
        <f t="shared" si="27"/>
        <v>258.6660864000001</v>
      </c>
      <c r="H252" s="189">
        <f t="shared" si="27"/>
        <v>206.93286912000008</v>
      </c>
      <c r="I252" s="189">
        <f t="shared" si="27"/>
        <v>165.54629529600007</v>
      </c>
      <c r="J252" s="189"/>
    </row>
    <row r="253" spans="1:10" x14ac:dyDescent="0.25">
      <c r="A253" s="187">
        <v>42063</v>
      </c>
      <c r="B253" s="182">
        <v>694690</v>
      </c>
      <c r="C253" s="188">
        <f t="shared" si="24"/>
        <v>694.69</v>
      </c>
      <c r="D253" s="189">
        <f t="shared" si="25"/>
        <v>555.75200000000007</v>
      </c>
      <c r="E253" s="189">
        <f t="shared" si="25"/>
        <v>444.60160000000008</v>
      </c>
      <c r="F253" s="189">
        <f t="shared" ref="F253:I272" si="28">E253*0.8</f>
        <v>355.68128000000007</v>
      </c>
      <c r="G253" s="189">
        <f t="shared" si="28"/>
        <v>284.54502400000007</v>
      </c>
      <c r="H253" s="189">
        <f t="shared" si="28"/>
        <v>227.63601920000008</v>
      </c>
      <c r="I253" s="189">
        <f t="shared" si="28"/>
        <v>182.10881536000008</v>
      </c>
      <c r="J253" s="189"/>
    </row>
    <row r="254" spans="1:10" x14ac:dyDescent="0.25">
      <c r="A254" s="187">
        <v>42094</v>
      </c>
      <c r="B254" s="182">
        <v>826456</v>
      </c>
      <c r="C254" s="188">
        <f t="shared" si="24"/>
        <v>826.45600000000002</v>
      </c>
      <c r="D254" s="189">
        <f t="shared" si="25"/>
        <v>661.16480000000001</v>
      </c>
      <c r="E254" s="189">
        <f t="shared" si="25"/>
        <v>528.93184000000008</v>
      </c>
      <c r="F254" s="189">
        <f t="shared" si="28"/>
        <v>423.1454720000001</v>
      </c>
      <c r="G254" s="189">
        <f t="shared" si="28"/>
        <v>338.51637760000011</v>
      </c>
      <c r="H254" s="189">
        <f t="shared" si="28"/>
        <v>270.81310208000008</v>
      </c>
      <c r="I254" s="189">
        <f t="shared" si="28"/>
        <v>216.65048166400007</v>
      </c>
      <c r="J254" s="189"/>
    </row>
    <row r="255" spans="1:10" x14ac:dyDescent="0.25">
      <c r="A255" s="187">
        <v>42124</v>
      </c>
      <c r="B255" s="182">
        <v>800092</v>
      </c>
      <c r="C255" s="188">
        <f t="shared" si="24"/>
        <v>800.09199999999998</v>
      </c>
      <c r="D255" s="189">
        <f t="shared" si="25"/>
        <v>640.07360000000006</v>
      </c>
      <c r="E255" s="189">
        <f t="shared" si="25"/>
        <v>512.05888000000004</v>
      </c>
      <c r="F255" s="189">
        <f t="shared" si="28"/>
        <v>409.64710400000007</v>
      </c>
      <c r="G255" s="189">
        <f t="shared" si="28"/>
        <v>327.71768320000007</v>
      </c>
      <c r="H255" s="189">
        <f t="shared" si="28"/>
        <v>262.17414656000005</v>
      </c>
      <c r="I255" s="189">
        <f t="shared" si="28"/>
        <v>209.73931724800005</v>
      </c>
      <c r="J255" s="189"/>
    </row>
    <row r="256" spans="1:10" x14ac:dyDescent="0.25">
      <c r="A256" s="187">
        <v>42155</v>
      </c>
      <c r="B256" s="182">
        <v>881742</v>
      </c>
      <c r="C256" s="188">
        <f t="shared" si="24"/>
        <v>881.74199999999996</v>
      </c>
      <c r="D256" s="189">
        <f t="shared" si="25"/>
        <v>705.39359999999999</v>
      </c>
      <c r="E256" s="189">
        <f t="shared" si="25"/>
        <v>564.31488000000002</v>
      </c>
      <c r="F256" s="189">
        <f t="shared" si="28"/>
        <v>451.45190400000001</v>
      </c>
      <c r="G256" s="189">
        <f t="shared" si="28"/>
        <v>361.16152320000003</v>
      </c>
      <c r="H256" s="189">
        <f t="shared" si="28"/>
        <v>288.92921856000004</v>
      </c>
      <c r="I256" s="189">
        <f t="shared" si="28"/>
        <v>231.14337484800004</v>
      </c>
      <c r="J256" s="189"/>
    </row>
    <row r="257" spans="1:10" x14ac:dyDescent="0.25">
      <c r="A257" s="187">
        <v>42185</v>
      </c>
      <c r="B257" s="182">
        <v>810991</v>
      </c>
      <c r="C257" s="188">
        <f t="shared" si="24"/>
        <v>810.99099999999999</v>
      </c>
      <c r="D257" s="189">
        <f t="shared" si="25"/>
        <v>648.79280000000006</v>
      </c>
      <c r="E257" s="189">
        <f t="shared" si="25"/>
        <v>519.03424000000007</v>
      </c>
      <c r="F257" s="189">
        <f t="shared" si="28"/>
        <v>415.22739200000007</v>
      </c>
      <c r="G257" s="189">
        <f t="shared" si="28"/>
        <v>332.18191360000009</v>
      </c>
      <c r="H257" s="189">
        <f t="shared" si="28"/>
        <v>265.7455308800001</v>
      </c>
      <c r="I257" s="189">
        <f t="shared" si="28"/>
        <v>212.5964247040001</v>
      </c>
      <c r="J257" s="189"/>
    </row>
    <row r="258" spans="1:10" x14ac:dyDescent="0.25">
      <c r="A258" s="187">
        <v>42216</v>
      </c>
      <c r="B258" s="182">
        <v>859650</v>
      </c>
      <c r="C258" s="188">
        <f t="shared" si="24"/>
        <v>859.65</v>
      </c>
      <c r="D258" s="189">
        <f t="shared" si="25"/>
        <v>687.72</v>
      </c>
      <c r="E258" s="189">
        <f t="shared" si="25"/>
        <v>550.17600000000004</v>
      </c>
      <c r="F258" s="189">
        <f t="shared" si="28"/>
        <v>440.14080000000007</v>
      </c>
      <c r="G258" s="189">
        <f t="shared" si="28"/>
        <v>352.11264000000006</v>
      </c>
      <c r="H258" s="189">
        <f t="shared" si="28"/>
        <v>281.69011200000006</v>
      </c>
      <c r="I258" s="189">
        <f t="shared" si="28"/>
        <v>225.35208960000006</v>
      </c>
      <c r="J258" s="189"/>
    </row>
    <row r="259" spans="1:10" x14ac:dyDescent="0.25">
      <c r="A259" s="187">
        <v>42247</v>
      </c>
      <c r="B259" s="182">
        <v>898625</v>
      </c>
      <c r="C259" s="188">
        <f t="shared" si="24"/>
        <v>898.625</v>
      </c>
      <c r="D259" s="189">
        <f t="shared" si="25"/>
        <v>718.90000000000009</v>
      </c>
      <c r="E259" s="189">
        <f t="shared" si="25"/>
        <v>575.12000000000012</v>
      </c>
      <c r="F259" s="189">
        <f t="shared" si="28"/>
        <v>460.09600000000012</v>
      </c>
      <c r="G259" s="189">
        <f t="shared" si="28"/>
        <v>368.07680000000011</v>
      </c>
      <c r="H259" s="189">
        <f t="shared" si="28"/>
        <v>294.4614400000001</v>
      </c>
      <c r="I259" s="189">
        <f t="shared" si="28"/>
        <v>235.56915200000009</v>
      </c>
      <c r="J259" s="189"/>
    </row>
    <row r="260" spans="1:10" x14ac:dyDescent="0.25">
      <c r="A260" s="187">
        <v>42277</v>
      </c>
      <c r="B260" s="182">
        <v>836381</v>
      </c>
      <c r="C260" s="188">
        <f t="shared" si="24"/>
        <v>836.38099999999997</v>
      </c>
      <c r="D260" s="189">
        <f t="shared" si="25"/>
        <v>669.10480000000007</v>
      </c>
      <c r="E260" s="189">
        <f t="shared" si="25"/>
        <v>535.28384000000005</v>
      </c>
      <c r="F260" s="189">
        <f t="shared" si="28"/>
        <v>428.22707200000008</v>
      </c>
      <c r="G260" s="189">
        <f t="shared" si="28"/>
        <v>342.58165760000009</v>
      </c>
      <c r="H260" s="189">
        <f t="shared" si="28"/>
        <v>274.06532608000009</v>
      </c>
      <c r="I260" s="189">
        <f t="shared" si="28"/>
        <v>219.25226086400008</v>
      </c>
      <c r="J260" s="189"/>
    </row>
    <row r="261" spans="1:10" x14ac:dyDescent="0.25">
      <c r="A261" s="187">
        <v>42308</v>
      </c>
      <c r="B261" s="182">
        <v>845248</v>
      </c>
      <c r="C261" s="188">
        <f t="shared" si="24"/>
        <v>845.24800000000005</v>
      </c>
      <c r="D261" s="189">
        <f t="shared" si="25"/>
        <v>676.19840000000011</v>
      </c>
      <c r="E261" s="189">
        <f t="shared" si="25"/>
        <v>540.95872000000008</v>
      </c>
      <c r="F261" s="189">
        <f t="shared" si="28"/>
        <v>432.76697600000011</v>
      </c>
      <c r="G261" s="189">
        <f t="shared" si="28"/>
        <v>346.2135808000001</v>
      </c>
      <c r="H261" s="189">
        <f t="shared" si="28"/>
        <v>276.97086464000012</v>
      </c>
      <c r="I261" s="189">
        <f t="shared" si="28"/>
        <v>221.5766917120001</v>
      </c>
      <c r="J261" s="189"/>
    </row>
    <row r="262" spans="1:10" x14ac:dyDescent="0.25">
      <c r="A262" s="187">
        <v>42338</v>
      </c>
      <c r="B262" s="182">
        <v>783709</v>
      </c>
      <c r="C262" s="188">
        <f t="shared" si="24"/>
        <v>783.70899999999995</v>
      </c>
      <c r="D262" s="189">
        <f t="shared" si="25"/>
        <v>626.96720000000005</v>
      </c>
      <c r="E262" s="189">
        <f t="shared" si="25"/>
        <v>501.57376000000005</v>
      </c>
      <c r="F262" s="189">
        <f t="shared" si="28"/>
        <v>401.25900800000005</v>
      </c>
      <c r="G262" s="189">
        <f t="shared" si="28"/>
        <v>321.00720640000009</v>
      </c>
      <c r="H262" s="189">
        <f t="shared" si="28"/>
        <v>256.8057651200001</v>
      </c>
      <c r="I262" s="189">
        <f t="shared" si="28"/>
        <v>205.4446120960001</v>
      </c>
      <c r="J262" s="189"/>
    </row>
    <row r="263" spans="1:10" x14ac:dyDescent="0.25">
      <c r="A263" s="187">
        <v>42369</v>
      </c>
      <c r="B263" s="182">
        <v>999918</v>
      </c>
      <c r="C263" s="188">
        <f t="shared" si="24"/>
        <v>999.91800000000001</v>
      </c>
      <c r="D263" s="189">
        <f t="shared" si="25"/>
        <v>799.9344000000001</v>
      </c>
      <c r="E263" s="189">
        <f t="shared" si="25"/>
        <v>639.94752000000017</v>
      </c>
      <c r="F263" s="189">
        <f t="shared" si="28"/>
        <v>511.95801600000016</v>
      </c>
      <c r="G263" s="189">
        <f t="shared" si="28"/>
        <v>409.56641280000014</v>
      </c>
      <c r="H263" s="189">
        <f t="shared" si="28"/>
        <v>327.65313024000011</v>
      </c>
      <c r="I263" s="189">
        <f t="shared" si="28"/>
        <v>262.12250419200012</v>
      </c>
      <c r="J263" s="189"/>
    </row>
    <row r="264" spans="1:10" x14ac:dyDescent="0.25">
      <c r="A264" s="187">
        <v>42400</v>
      </c>
      <c r="B264" s="182">
        <v>670345</v>
      </c>
      <c r="C264" s="188">
        <f t="shared" si="24"/>
        <v>670.34500000000003</v>
      </c>
      <c r="D264" s="189">
        <f t="shared" si="25"/>
        <v>536.27600000000007</v>
      </c>
      <c r="E264" s="189">
        <f t="shared" si="25"/>
        <v>429.02080000000007</v>
      </c>
      <c r="F264" s="189">
        <f t="shared" si="28"/>
        <v>343.2166400000001</v>
      </c>
      <c r="G264" s="189">
        <f t="shared" si="28"/>
        <v>274.5733120000001</v>
      </c>
      <c r="H264" s="189">
        <f t="shared" si="28"/>
        <v>219.6586496000001</v>
      </c>
      <c r="I264" s="189">
        <f t="shared" si="28"/>
        <v>175.72691968000009</v>
      </c>
      <c r="J264" s="189"/>
    </row>
    <row r="265" spans="1:10" x14ac:dyDescent="0.25">
      <c r="A265" s="187">
        <v>42429</v>
      </c>
      <c r="B265" s="182">
        <v>779547</v>
      </c>
      <c r="C265" s="188">
        <f t="shared" ref="C265:C276" si="29">B265/$D$71</f>
        <v>779.54700000000003</v>
      </c>
      <c r="D265" s="189">
        <f t="shared" ref="D265:E276" si="30">C265*0.8</f>
        <v>623.63760000000002</v>
      </c>
      <c r="E265" s="189">
        <f t="shared" si="30"/>
        <v>498.91008000000005</v>
      </c>
      <c r="F265" s="189">
        <f t="shared" si="28"/>
        <v>399.12806400000005</v>
      </c>
      <c r="G265" s="189">
        <f t="shared" si="28"/>
        <v>319.30245120000006</v>
      </c>
      <c r="H265" s="189">
        <f t="shared" si="28"/>
        <v>255.44196096000007</v>
      </c>
      <c r="I265" s="189">
        <f t="shared" si="28"/>
        <v>204.35356876800006</v>
      </c>
      <c r="J265" s="189"/>
    </row>
    <row r="266" spans="1:10" x14ac:dyDescent="0.25">
      <c r="A266" s="187">
        <v>42460</v>
      </c>
      <c r="B266" s="182">
        <v>918435</v>
      </c>
      <c r="C266" s="188">
        <f t="shared" si="29"/>
        <v>918.43499999999995</v>
      </c>
      <c r="D266" s="189">
        <f t="shared" si="30"/>
        <v>734.74800000000005</v>
      </c>
      <c r="E266" s="189">
        <f t="shared" si="30"/>
        <v>587.79840000000002</v>
      </c>
      <c r="F266" s="189">
        <f t="shared" si="28"/>
        <v>470.23872000000006</v>
      </c>
      <c r="G266" s="189">
        <f t="shared" si="28"/>
        <v>376.19097600000009</v>
      </c>
      <c r="H266" s="189">
        <f t="shared" si="28"/>
        <v>300.95278080000008</v>
      </c>
      <c r="I266" s="189">
        <f t="shared" si="28"/>
        <v>240.76222464000008</v>
      </c>
      <c r="J266" s="189"/>
    </row>
    <row r="267" spans="1:10" x14ac:dyDescent="0.25">
      <c r="A267" s="187">
        <v>42490</v>
      </c>
      <c r="B267" s="182">
        <v>887315</v>
      </c>
      <c r="C267" s="188">
        <f t="shared" si="29"/>
        <v>887.31500000000005</v>
      </c>
      <c r="D267" s="189">
        <f t="shared" si="30"/>
        <v>709.85200000000009</v>
      </c>
      <c r="E267" s="189">
        <f t="shared" si="30"/>
        <v>567.88160000000005</v>
      </c>
      <c r="F267" s="189">
        <f t="shared" si="28"/>
        <v>454.30528000000004</v>
      </c>
      <c r="G267" s="189">
        <f t="shared" si="28"/>
        <v>363.44422400000008</v>
      </c>
      <c r="H267" s="189">
        <f t="shared" si="28"/>
        <v>290.75537920000005</v>
      </c>
      <c r="I267" s="189">
        <f t="shared" si="28"/>
        <v>232.60430336000005</v>
      </c>
      <c r="J267" s="189"/>
    </row>
    <row r="268" spans="1:10" x14ac:dyDescent="0.25">
      <c r="A268" s="187">
        <v>42521</v>
      </c>
      <c r="B268" s="182">
        <v>899721</v>
      </c>
      <c r="C268" s="188">
        <f t="shared" si="29"/>
        <v>899.721</v>
      </c>
      <c r="D268" s="189">
        <f t="shared" si="30"/>
        <v>719.77680000000009</v>
      </c>
      <c r="E268" s="189">
        <f t="shared" si="30"/>
        <v>575.82144000000005</v>
      </c>
      <c r="F268" s="189">
        <f t="shared" si="28"/>
        <v>460.65715200000005</v>
      </c>
      <c r="G268" s="189">
        <f t="shared" si="28"/>
        <v>368.52572160000005</v>
      </c>
      <c r="H268" s="189">
        <f t="shared" si="28"/>
        <v>294.82057728000007</v>
      </c>
      <c r="I268" s="189">
        <f t="shared" si="28"/>
        <v>235.85646182400006</v>
      </c>
      <c r="J268" s="189"/>
    </row>
    <row r="269" spans="1:10" x14ac:dyDescent="0.25">
      <c r="A269" s="187">
        <v>42551</v>
      </c>
      <c r="B269" s="182">
        <v>902792</v>
      </c>
      <c r="C269" s="188">
        <f t="shared" si="29"/>
        <v>902.79200000000003</v>
      </c>
      <c r="D269" s="189">
        <f t="shared" si="30"/>
        <v>722.23360000000002</v>
      </c>
      <c r="E269" s="189">
        <f t="shared" si="30"/>
        <v>577.78688</v>
      </c>
      <c r="F269" s="189">
        <f t="shared" si="28"/>
        <v>462.22950400000002</v>
      </c>
      <c r="G269" s="189">
        <f t="shared" si="28"/>
        <v>369.78360320000002</v>
      </c>
      <c r="H269" s="189">
        <f t="shared" si="28"/>
        <v>295.82688256</v>
      </c>
      <c r="I269" s="189">
        <f t="shared" si="28"/>
        <v>236.66150604800001</v>
      </c>
      <c r="J269" s="189"/>
    </row>
    <row r="270" spans="1:10" x14ac:dyDescent="0.25">
      <c r="A270" s="187">
        <v>42582</v>
      </c>
      <c r="B270" s="182">
        <v>925097</v>
      </c>
      <c r="C270" s="188">
        <f t="shared" si="29"/>
        <v>925.09699999999998</v>
      </c>
      <c r="D270" s="189">
        <f t="shared" si="30"/>
        <v>740.07760000000007</v>
      </c>
      <c r="E270" s="189">
        <f t="shared" si="30"/>
        <v>592.06208000000004</v>
      </c>
      <c r="F270" s="189">
        <f t="shared" si="28"/>
        <v>473.64966400000003</v>
      </c>
      <c r="G270" s="189">
        <f t="shared" si="28"/>
        <v>378.91973120000006</v>
      </c>
      <c r="H270" s="189">
        <f t="shared" si="28"/>
        <v>303.13578496000008</v>
      </c>
      <c r="I270" s="189">
        <f t="shared" si="28"/>
        <v>242.50862796800007</v>
      </c>
      <c r="J270" s="189"/>
    </row>
    <row r="271" spans="1:10" x14ac:dyDescent="0.25">
      <c r="A271" s="187">
        <v>42613</v>
      </c>
      <c r="B271" s="182">
        <v>926567</v>
      </c>
      <c r="C271" s="188">
        <f t="shared" si="29"/>
        <v>926.56700000000001</v>
      </c>
      <c r="D271" s="189">
        <f t="shared" si="30"/>
        <v>741.25360000000001</v>
      </c>
      <c r="E271" s="189">
        <f t="shared" si="30"/>
        <v>593.00288</v>
      </c>
      <c r="F271" s="189">
        <f t="shared" si="28"/>
        <v>474.40230400000002</v>
      </c>
      <c r="G271" s="189">
        <f t="shared" si="28"/>
        <v>379.52184320000003</v>
      </c>
      <c r="H271" s="189">
        <f t="shared" si="28"/>
        <v>303.61747456000006</v>
      </c>
      <c r="I271" s="189">
        <f t="shared" si="28"/>
        <v>242.89397964800006</v>
      </c>
      <c r="J271" s="189"/>
    </row>
    <row r="272" spans="1:10" x14ac:dyDescent="0.25">
      <c r="A272" s="187">
        <v>42643</v>
      </c>
      <c r="B272" s="182">
        <v>873649</v>
      </c>
      <c r="C272" s="188">
        <f t="shared" si="29"/>
        <v>873.649</v>
      </c>
      <c r="D272" s="189">
        <f t="shared" si="30"/>
        <v>698.91920000000005</v>
      </c>
      <c r="E272" s="189">
        <f t="shared" si="30"/>
        <v>559.13536000000011</v>
      </c>
      <c r="F272" s="189">
        <f t="shared" si="28"/>
        <v>447.30828800000012</v>
      </c>
      <c r="G272" s="189">
        <f t="shared" si="28"/>
        <v>357.84663040000009</v>
      </c>
      <c r="H272" s="189">
        <f t="shared" si="28"/>
        <v>286.2773043200001</v>
      </c>
      <c r="I272" s="189">
        <f t="shared" si="28"/>
        <v>229.02184345600008</v>
      </c>
      <c r="J272" s="189"/>
    </row>
    <row r="273" spans="1:10" x14ac:dyDescent="0.25">
      <c r="A273" s="187">
        <v>42674</v>
      </c>
      <c r="B273" s="182">
        <v>859659</v>
      </c>
      <c r="C273" s="188">
        <f t="shared" si="29"/>
        <v>859.65899999999999</v>
      </c>
      <c r="D273" s="189">
        <f t="shared" si="30"/>
        <v>687.72720000000004</v>
      </c>
      <c r="E273" s="189">
        <f t="shared" si="30"/>
        <v>550.18176000000005</v>
      </c>
      <c r="F273" s="189">
        <f t="shared" ref="F273:I276" si="31">E273*0.8</f>
        <v>440.14540800000009</v>
      </c>
      <c r="G273" s="189">
        <f t="shared" si="31"/>
        <v>352.1163264000001</v>
      </c>
      <c r="H273" s="189">
        <f t="shared" si="31"/>
        <v>281.6930611200001</v>
      </c>
      <c r="I273" s="189">
        <f t="shared" si="31"/>
        <v>225.35444889600009</v>
      </c>
      <c r="J273" s="189"/>
    </row>
    <row r="274" spans="1:10" x14ac:dyDescent="0.25">
      <c r="A274" s="187">
        <v>42704</v>
      </c>
      <c r="B274" s="182">
        <v>863415</v>
      </c>
      <c r="C274" s="188">
        <f t="shared" si="29"/>
        <v>863.41499999999996</v>
      </c>
      <c r="D274" s="189">
        <f t="shared" si="30"/>
        <v>690.73199999999997</v>
      </c>
      <c r="E274" s="189">
        <f t="shared" si="30"/>
        <v>552.5856</v>
      </c>
      <c r="F274" s="189">
        <f t="shared" si="31"/>
        <v>442.06848000000002</v>
      </c>
      <c r="G274" s="189">
        <f t="shared" si="31"/>
        <v>353.65478400000006</v>
      </c>
      <c r="H274" s="189">
        <f t="shared" si="31"/>
        <v>282.92382720000006</v>
      </c>
      <c r="I274" s="189">
        <f t="shared" si="31"/>
        <v>226.33906176000005</v>
      </c>
      <c r="J274" s="189"/>
    </row>
    <row r="275" spans="1:10" x14ac:dyDescent="0.25">
      <c r="A275" s="187">
        <v>42735</v>
      </c>
      <c r="B275" s="182">
        <v>1080063</v>
      </c>
      <c r="C275" s="188">
        <f t="shared" si="29"/>
        <v>1080.0630000000001</v>
      </c>
      <c r="D275" s="189">
        <f t="shared" si="30"/>
        <v>864.05040000000008</v>
      </c>
      <c r="E275" s="189">
        <f t="shared" si="30"/>
        <v>691.24032000000011</v>
      </c>
      <c r="F275" s="189">
        <f t="shared" si="31"/>
        <v>552.99225600000011</v>
      </c>
      <c r="G275" s="189">
        <f t="shared" si="31"/>
        <v>442.39380480000011</v>
      </c>
      <c r="H275" s="189">
        <f t="shared" si="31"/>
        <v>353.91504384000012</v>
      </c>
      <c r="I275" s="189">
        <f t="shared" si="31"/>
        <v>283.13203507200012</v>
      </c>
      <c r="J275" s="189"/>
    </row>
    <row r="276" spans="1:10" x14ac:dyDescent="0.25">
      <c r="A276" s="187">
        <v>42766</v>
      </c>
      <c r="B276" s="182">
        <v>726293</v>
      </c>
      <c r="C276" s="188">
        <f t="shared" si="29"/>
        <v>726.29300000000001</v>
      </c>
      <c r="D276" s="189">
        <f t="shared" si="30"/>
        <v>581.03440000000001</v>
      </c>
      <c r="E276" s="189">
        <f t="shared" si="30"/>
        <v>464.82752000000005</v>
      </c>
      <c r="F276" s="189">
        <f t="shared" si="31"/>
        <v>371.86201600000004</v>
      </c>
      <c r="G276" s="189">
        <f t="shared" si="31"/>
        <v>297.48961280000003</v>
      </c>
      <c r="H276" s="189">
        <f t="shared" si="31"/>
        <v>237.99169024000003</v>
      </c>
      <c r="I276" s="189">
        <f t="shared" si="31"/>
        <v>190.39335219200004</v>
      </c>
      <c r="J276" s="189"/>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5</vt:i4>
      </vt:variant>
    </vt:vector>
  </HeadingPairs>
  <TitlesOfParts>
    <vt:vector size="14" baseType="lpstr">
      <vt:lpstr>COVER</vt:lpstr>
      <vt:lpstr>MASTER</vt:lpstr>
      <vt:lpstr>Asset Fin Tools</vt:lpstr>
      <vt:lpstr>Styles</vt:lpstr>
      <vt:lpstr>ExampleSheet</vt:lpstr>
      <vt:lpstr>ChartExamples</vt:lpstr>
      <vt:lpstr>AddInExamples</vt:lpstr>
      <vt:lpstr>VBA</vt:lpstr>
      <vt:lpstr>ChartTemplates</vt:lpstr>
      <vt:lpstr>rng_COVER_ContentsList</vt:lpstr>
      <vt:lpstr>rng_Cover_Copyright</vt:lpstr>
      <vt:lpstr>rng_VBA_HeaderContents</vt:lpstr>
      <vt:lpstr>tbl_derisking_lithium</vt:lpstr>
      <vt:lpstr>tbl_standardColours</vt:lpstr>
    </vt:vector>
  </TitlesOfParts>
  <Company>Virtualit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jfrith4</dc:creator>
  <cp:lastModifiedBy>Sharon</cp:lastModifiedBy>
  <cp:lastPrinted>2011-05-11T09:35:30Z</cp:lastPrinted>
  <dcterms:created xsi:type="dcterms:W3CDTF">2009-03-25T11:08:11Z</dcterms:created>
  <dcterms:modified xsi:type="dcterms:W3CDTF">2020-03-27T00:12:44Z</dcterms:modified>
</cp:coreProperties>
</file>