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Documents\"/>
    </mc:Choice>
  </mc:AlternateContent>
  <xr:revisionPtr revIDLastSave="0" documentId="13_ncr:1_{54708F68-89B9-4D02-95E7-A3F00BBB28AA}" xr6:coauthVersionLast="46" xr6:coauthVersionMax="46" xr10:uidLastSave="{00000000-0000-0000-0000-000000000000}"/>
  <bookViews>
    <workbookView xWindow="-110" yWindow="-110" windowWidth="19420" windowHeight="10420" xr2:uid="{99B924A8-B26C-43F3-A849-DBEA5E96AC58}"/>
  </bookViews>
  <sheets>
    <sheet name="Calculator" sheetId="2" r:id="rId1"/>
    <sheet name="Fertilizers" sheetId="3" r:id="rId2"/>
    <sheet name="Matrix Calculations" sheetId="5" r:id="rId3"/>
    <sheet name="PPM Convers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3" l="1"/>
  <c r="E9" i="3"/>
  <c r="E28" i="3"/>
  <c r="E17" i="3"/>
  <c r="E12" i="3"/>
  <c r="E22" i="3"/>
  <c r="E24" i="3"/>
  <c r="E23" i="3"/>
  <c r="E29" i="3"/>
  <c r="E19" i="3"/>
  <c r="E16" i="3"/>
  <c r="E7" i="3"/>
  <c r="E6" i="3"/>
  <c r="E26" i="3"/>
  <c r="E18" i="3"/>
  <c r="E14" i="3"/>
  <c r="E4" i="3"/>
  <c r="E3" i="3"/>
  <c r="E2" i="3"/>
  <c r="E11" i="3"/>
  <c r="E21" i="3"/>
  <c r="E27" i="3"/>
  <c r="E5" i="3"/>
  <c r="E25" i="3"/>
  <c r="E20" i="3"/>
  <c r="E10" i="3"/>
  <c r="E15" i="3"/>
  <c r="E8" i="3"/>
  <c r="F13" i="2"/>
  <c r="E13" i="2"/>
  <c r="D13" i="2"/>
  <c r="C13" i="2"/>
  <c r="N5" i="5" a="1"/>
  <c r="N5" i="5" s="1"/>
  <c r="M23" i="5" s="1" a="1"/>
  <c r="M23" i="5" s="1"/>
  <c r="H5" i="5" a="1"/>
  <c r="H5" i="5" s="1"/>
  <c r="K17" i="5" s="1" a="1"/>
  <c r="K17" i="5" s="1"/>
  <c r="C5" i="5" a="1"/>
  <c r="C5" i="5" s="1"/>
  <c r="E15" i="5" s="1" a="1"/>
  <c r="E15" i="5" s="1"/>
  <c r="E4" i="2"/>
  <c r="F4" i="2" s="1"/>
  <c r="G4" i="2" s="1"/>
  <c r="E3" i="2"/>
  <c r="F3" i="2" s="1"/>
  <c r="G3" i="2" s="1"/>
  <c r="B3" i="4"/>
  <c r="B4" i="4" s="1"/>
  <c r="B33" i="2" a="1"/>
  <c r="B33" i="2" s="1"/>
  <c r="B25" i="2" a="1"/>
  <c r="B25" i="2" s="1"/>
  <c r="B17" i="2" a="1"/>
  <c r="B17" i="2" s="1"/>
  <c r="B9" i="2" a="1"/>
  <c r="B9" i="2" s="1"/>
  <c r="K6" i="5" s="1" a="1"/>
  <c r="K6" i="5" s="1"/>
  <c r="E5" i="2"/>
  <c r="F5" i="2" s="1"/>
  <c r="G5" i="2" s="1"/>
  <c r="F2" i="2"/>
  <c r="G2" i="2" s="1"/>
  <c r="F21" i="2" l="1"/>
  <c r="F29" i="2"/>
  <c r="F37" i="2"/>
  <c r="C10" i="2"/>
  <c r="G13" i="2"/>
  <c r="C9" i="2"/>
  <c r="C11" i="2"/>
  <c r="D9" i="2"/>
  <c r="D11" i="2"/>
  <c r="E9" i="2"/>
  <c r="E11" i="2"/>
  <c r="F9" i="2"/>
  <c r="F11" i="2"/>
  <c r="C12" i="2"/>
  <c r="D10" i="2"/>
  <c r="D12" i="2"/>
  <c r="E12" i="2"/>
  <c r="E10" i="2"/>
  <c r="F10" i="2"/>
  <c r="F12" i="2"/>
  <c r="E6" i="5" a="1"/>
  <c r="E6" i="5" s="1"/>
  <c r="R6" i="5" a="1"/>
  <c r="R6" i="5" s="1"/>
  <c r="R18" i="5" a="1"/>
  <c r="R18" i="5" s="1"/>
  <c r="G21" i="5" a="1"/>
  <c r="G21" i="5" s="1"/>
  <c r="B19" i="5" a="1"/>
  <c r="B19" i="5" s="1"/>
  <c r="N6" i="5" l="1" a="1"/>
  <c r="N6" i="5" s="1"/>
  <c r="C6" i="5" a="1"/>
  <c r="C6" i="5" s="1"/>
  <c r="H6" i="5" a="1"/>
  <c r="H6" i="5" s="1"/>
  <c r="H12" i="5" l="1" a="1"/>
  <c r="H12" i="5" s="1"/>
  <c r="H17" i="5" s="1" a="1"/>
  <c r="H17" i="5" s="1"/>
  <c r="H21" i="5" s="1" a="1"/>
  <c r="H21" i="5" s="1"/>
  <c r="C11" i="5" a="1"/>
  <c r="C11" i="5" s="1"/>
  <c r="C15" i="5" s="1" a="1"/>
  <c r="C15" i="5" s="1"/>
  <c r="C19" i="5" s="1" a="1"/>
  <c r="C19" i="5" s="1"/>
  <c r="N12" i="5" a="1"/>
  <c r="N12" i="5" s="1"/>
  <c r="N18" i="5" s="1" a="1"/>
  <c r="N18" i="5" s="1"/>
  <c r="N23" i="5" s="1" a="1"/>
  <c r="N23" i="5" s="1"/>
  <c r="C24" i="2" l="1" a="1"/>
  <c r="E26" i="2" s="1"/>
  <c r="C32" i="2" a="1"/>
  <c r="C16" i="2" a="1"/>
  <c r="D27" i="2" l="1"/>
  <c r="E25" i="2"/>
  <c r="D26" i="2"/>
  <c r="D25" i="2"/>
  <c r="E28" i="2"/>
  <c r="E27" i="2"/>
  <c r="D28" i="2"/>
  <c r="C24" i="2"/>
  <c r="C29" i="2" s="1" a="1"/>
  <c r="C29" i="2" s="1"/>
  <c r="D20" i="2"/>
  <c r="D19" i="2"/>
  <c r="C32" i="2"/>
  <c r="C37" i="2" s="1" a="1"/>
  <c r="C37" i="2" s="1"/>
  <c r="E36" i="2"/>
  <c r="D36" i="2"/>
  <c r="F36" i="2"/>
  <c r="E34" i="2"/>
  <c r="D34" i="2"/>
  <c r="F35" i="2"/>
  <c r="D33" i="2"/>
  <c r="F33" i="2"/>
  <c r="E33" i="2"/>
  <c r="E35" i="2"/>
  <c r="F34" i="2"/>
  <c r="D35" i="2"/>
  <c r="C16" i="2"/>
  <c r="C21" i="2" s="1" a="1"/>
  <c r="C21" i="2" s="1"/>
  <c r="D18" i="2"/>
  <c r="D17" i="2"/>
  <c r="C28" i="2" l="1"/>
  <c r="G28" i="2" s="1"/>
  <c r="C26" i="2"/>
  <c r="G26" i="2" s="1"/>
  <c r="C25" i="2"/>
  <c r="G25" i="2" s="1"/>
  <c r="C27" i="2"/>
  <c r="G27" i="2" s="1"/>
  <c r="C34" i="2"/>
  <c r="G34" i="2" s="1"/>
  <c r="C33" i="2"/>
  <c r="G33" i="2" s="1"/>
  <c r="C36" i="2"/>
  <c r="G36" i="2" s="1"/>
  <c r="C19" i="2"/>
  <c r="G19" i="2" s="1"/>
  <c r="C20" i="2"/>
  <c r="G20" i="2" s="1"/>
  <c r="C35" i="2"/>
  <c r="G35" i="2" s="1"/>
  <c r="C17" i="2"/>
  <c r="G17" i="2" s="1"/>
  <c r="C18" i="2"/>
  <c r="G1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<sst xmlns="http://schemas.openxmlformats.org/spreadsheetml/2006/main" count="148" uniqueCount="94">
  <si>
    <t>Element</t>
  </si>
  <si>
    <t>Nitrogen</t>
  </si>
  <si>
    <t>Sulfur</t>
  </si>
  <si>
    <t>Current PPM</t>
  </si>
  <si>
    <t>Desired PPM</t>
  </si>
  <si>
    <t>Difference</t>
  </si>
  <si>
    <t>Iron</t>
  </si>
  <si>
    <t>Lower Bound PPM</t>
  </si>
  <si>
    <t>Upper Bound PPM</t>
  </si>
  <si>
    <t>Pounds to Apply/1000 ft^2</t>
  </si>
  <si>
    <t>Boron</t>
  </si>
  <si>
    <t>Ammonium Sulfate</t>
  </si>
  <si>
    <t>Ferrous Sulfate</t>
  </si>
  <si>
    <t>Gypsum</t>
  </si>
  <si>
    <t>Blood Meal</t>
  </si>
  <si>
    <t>Original NPK Matrix</t>
  </si>
  <si>
    <t>Inverse</t>
  </si>
  <si>
    <t>Solutions</t>
  </si>
  <si>
    <t>Pounds to be Used</t>
  </si>
  <si>
    <t>By Percent</t>
  </si>
  <si>
    <t>Pounds of…</t>
  </si>
  <si>
    <t>Fertilizer</t>
  </si>
  <si>
    <t>Pound Confirmation</t>
  </si>
  <si>
    <t>Proportion Matrix</t>
  </si>
  <si>
    <t>Three Elements/Fertilizers</t>
  </si>
  <si>
    <t>Two Elements/Fertilizers</t>
  </si>
  <si>
    <t>Four Elements/Fertilizers</t>
  </si>
  <si>
    <t>Total</t>
  </si>
  <si>
    <t>Alfalfa Meal</t>
  </si>
  <si>
    <t>Ironite</t>
  </si>
  <si>
    <t>Borax</t>
  </si>
  <si>
    <t>Square Feet in Acre</t>
  </si>
  <si>
    <t>PPM to Square Foot</t>
  </si>
  <si>
    <t>PPM to 1000 ft^2</t>
  </si>
  <si>
    <t>Pounds per Acre to PPM Ratio</t>
  </si>
  <si>
    <t>Fish Emulsion</t>
  </si>
  <si>
    <t>The Anderson's Innova</t>
  </si>
  <si>
    <t>ProPEAT 17-0-4 Carbon 90 Plus</t>
  </si>
  <si>
    <t>N-Ext GreenePunch</t>
  </si>
  <si>
    <t>Iron Plus</t>
  </si>
  <si>
    <t>Scotts Green Max</t>
  </si>
  <si>
    <t>Type</t>
  </si>
  <si>
    <t>Synthetic</t>
  </si>
  <si>
    <t>Organic</t>
  </si>
  <si>
    <t>Cost Per Pound</t>
  </si>
  <si>
    <t>Phosphorus</t>
  </si>
  <si>
    <t>Potassium</t>
  </si>
  <si>
    <t>Calcium</t>
  </si>
  <si>
    <t>Magnesium</t>
  </si>
  <si>
    <t>Sodium</t>
  </si>
  <si>
    <t>Manganese</t>
  </si>
  <si>
    <t>Zinc</t>
  </si>
  <si>
    <t>Copper</t>
  </si>
  <si>
    <t>Purely Organics Lawn Food</t>
  </si>
  <si>
    <t>Urea</t>
  </si>
  <si>
    <t>Yard Mastery Double Dark</t>
  </si>
  <si>
    <t>Yard Mastery Flagship</t>
  </si>
  <si>
    <t>Milorganite</t>
  </si>
  <si>
    <t>Carbon X DIY</t>
  </si>
  <si>
    <t>Simple Lawn Solutions Lawn Energizer</t>
  </si>
  <si>
    <t>Doc's Super Juice</t>
  </si>
  <si>
    <t>Dr. Iron</t>
  </si>
  <si>
    <t>N-Ext Greene Effect</t>
  </si>
  <si>
    <t>N-Ext MicroGreene</t>
  </si>
  <si>
    <t>Southern Ag Chelated Iron Liquid</t>
  </si>
  <si>
    <t>The Anderson's Soil Mastery</t>
  </si>
  <si>
    <t>Jonathon Green Organic Lawn Food</t>
  </si>
  <si>
    <t>Package Cost</t>
  </si>
  <si>
    <t>Kelp4Less Carbon Phix</t>
  </si>
  <si>
    <t>Per Application Cost:</t>
  </si>
  <si>
    <t>Total Upfront Cost:</t>
  </si>
  <si>
    <t>Package Weight</t>
  </si>
  <si>
    <t>1. Begin by selecting up to four elements to consider in cells A2:A5.</t>
  </si>
  <si>
    <t>2. Fill out cells B2:E5 according to soil test results.</t>
  </si>
  <si>
    <t>3. Select up to four fertilizers from the drop down in cells C8:F8.</t>
  </si>
  <si>
    <t xml:space="preserve">Objective: Determine amounts of differing fertilizers to apply to get element soil levels to ideal range. </t>
  </si>
  <si>
    <t>5. Choose one fertilizer per element considered.</t>
  </si>
  <si>
    <t>Fertilizer 1</t>
  </si>
  <si>
    <t>Fertilizer 2</t>
  </si>
  <si>
    <t>Fertilizer 3</t>
  </si>
  <si>
    <t>Fertilizer 4</t>
  </si>
  <si>
    <t xml:space="preserve">7. Using selections of elements and fertilizers, a system of equations is solved to return the amount of fertilizer to use to bring soil to desired levels. </t>
  </si>
  <si>
    <t>8. Two Elements/Fertilizers section considers only the first two fertilizers but shows the totals of each element applied in the right column.</t>
  </si>
  <si>
    <t>* The amount of element 1 calculated in cell G2 should match the sum of the applied fertilizers in cells G17, G25, G33.</t>
  </si>
  <si>
    <t xml:space="preserve">* Only two variables (elements) can be solved with a system of two equations (fertilizers), which is why only the first two elements will match desired levels. </t>
  </si>
  <si>
    <t>9. The same applies for the sections using three and four fertilizers/elements.</t>
  </si>
  <si>
    <t>Possible Errors:</t>
  </si>
  <si>
    <t>Ex. If one of the elements needed is iron but none of the fertilizers contain iron, this error will occur.</t>
  </si>
  <si>
    <t>Ex. If fertilizer 1 has an NPK of 10-0-2 and fertilizer 2 has an NPK of 19-0-4 while trying to meet N and K needs, a negative amount is likely to occur since higher amounts of fertilizer 2 would be needed to meet K demands with N from fertilizer 1 being "subtracted" to meet both element ranges.</t>
  </si>
  <si>
    <t>1. A section containing "#NUM!" results when a combination of fertilizers is unable to meet nutrient requirements or if one or more fertilizers are redundant.</t>
  </si>
  <si>
    <t xml:space="preserve">Ex. If fertilizer 1 has an NPK of 1-0-0, fertilizer 2 has an NPK of 0-1-0, and fertilizer 3 has an NPK of 1-1-0, then fertilizer 3 is redundant as it is a combination of the other two. </t>
  </si>
  <si>
    <t>2. The pounds to be applied is a negative number happens when two or more similar fertilizers are used but aren't exactly the same.</t>
  </si>
  <si>
    <t>4. Add any other fertilizers to the table in the Fertilizers tab.</t>
  </si>
  <si>
    <t>6. Aim to have fertilizer 1 specialize in first element, fertilizer 2 to second, and so on. Avoid fertilizers with very similar compositions.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</si>
</sst>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7" formatCode="_(* #,##0.000_);_(* \(#,##0.000\);_(* &quot;-&quot;??_);_(@_)"/>
    <numFmt numFmtId="177" formatCode="0.0E+00"/>
    <numFmt numFmtId="179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5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</cellStyleXfs>
  <cellXfs count="183">
    <xf numFmtId="0" fontId="0" fillId="0" borderId="0" xfId="0"/>
    <xf numFmtId="0" fontId="0" fillId="0" borderId="0" xfId="0" applyAlignment="1">
      <alignment wrapText="1"/>
    </xf>
    <xf numFmtId="43" fontId="0" fillId="0" borderId="0" xfId="0" applyNumberFormat="1"/>
    <xf numFmtId="10" fontId="0" fillId="0" borderId="0" xfId="3" applyNumberFormat="1" applyFont="1"/>
    <xf numFmtId="44" fontId="0" fillId="0" borderId="0" xfId="2" applyFont="1"/>
    <xf numFmtId="166" fontId="0" fillId="0" borderId="0" xfId="1" applyNumberFormat="1" applyFont="1"/>
    <xf numFmtId="0" fontId="0" fillId="0" borderId="0" xfId="0"/>
    <xf numFmtId="43" fontId="0" fillId="0" borderId="0" xfId="1" applyFont="1"/>
    <xf numFmtId="0" fontId="0" fillId="0" borderId="2" xfId="0" applyBorder="1"/>
    <xf numFmtId="167" fontId="0" fillId="0" borderId="3" xfId="1" applyNumberFormat="1" applyFont="1" applyBorder="1"/>
    <xf numFmtId="167" fontId="0" fillId="0" borderId="4" xfId="1" applyNumberFormat="1" applyFont="1" applyBorder="1"/>
    <xf numFmtId="0" fontId="0" fillId="0" borderId="5" xfId="0" applyBorder="1"/>
    <xf numFmtId="167" fontId="0" fillId="0" borderId="0" xfId="1" applyNumberFormat="1" applyFont="1" applyBorder="1"/>
    <xf numFmtId="167" fontId="0" fillId="0" borderId="6" xfId="1" applyNumberFormat="1" applyFont="1" applyBorder="1"/>
    <xf numFmtId="0" fontId="0" fillId="0" borderId="7" xfId="0" applyBorder="1"/>
    <xf numFmtId="167" fontId="0" fillId="0" borderId="9" xfId="1" applyNumberFormat="1" applyFont="1" applyBorder="1"/>
    <xf numFmtId="167" fontId="0" fillId="0" borderId="10" xfId="1" applyNumberFormat="1" applyFont="1" applyBorder="1"/>
    <xf numFmtId="167" fontId="0" fillId="0" borderId="11" xfId="1" applyNumberFormat="1" applyFont="1" applyBorder="1"/>
    <xf numFmtId="167" fontId="0" fillId="0" borderId="12" xfId="1" applyNumberFormat="1" applyFont="1" applyBorder="1"/>
    <xf numFmtId="167" fontId="0" fillId="0" borderId="13" xfId="1" applyNumberFormat="1" applyFont="1" applyBorder="1"/>
    <xf numFmtId="167" fontId="0" fillId="0" borderId="14" xfId="1" applyNumberFormat="1" applyFont="1" applyBorder="1"/>
    <xf numFmtId="167" fontId="0" fillId="0" borderId="17" xfId="1" applyNumberFormat="1" applyFont="1" applyBorder="1"/>
    <xf numFmtId="167" fontId="0" fillId="0" borderId="18" xfId="1" applyNumberFormat="1" applyFont="1" applyBorder="1"/>
    <xf numFmtId="167" fontId="0" fillId="0" borderId="19" xfId="1" applyNumberFormat="1" applyFont="1" applyBorder="1"/>
    <xf numFmtId="0" fontId="0" fillId="0" borderId="0" xfId="0" applyBorder="1"/>
    <xf numFmtId="0" fontId="0" fillId="0" borderId="23" xfId="0" applyBorder="1"/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43" fontId="0" fillId="0" borderId="15" xfId="1" applyFont="1" applyBorder="1"/>
    <xf numFmtId="43" fontId="0" fillId="0" borderId="20" xfId="1" applyFont="1" applyBorder="1"/>
    <xf numFmtId="0" fontId="0" fillId="0" borderId="0" xfId="0" applyAlignment="1">
      <alignment horizontal="left"/>
    </xf>
    <xf numFmtId="0" fontId="0" fillId="0" borderId="0" xfId="0" applyFill="1" applyBorder="1"/>
    <xf numFmtId="177" fontId="0" fillId="0" borderId="0" xfId="1" applyNumberFormat="1" applyFont="1"/>
    <xf numFmtId="0" fontId="3" fillId="0" borderId="0" xfId="0" applyFont="1" applyAlignment="1">
      <alignment wrapText="1"/>
    </xf>
    <xf numFmtId="44" fontId="0" fillId="0" borderId="0" xfId="2" applyFont="1" applyBorder="1"/>
    <xf numFmtId="44" fontId="0" fillId="0" borderId="0" xfId="2" applyFont="1" applyFill="1" applyBorder="1"/>
    <xf numFmtId="43" fontId="0" fillId="0" borderId="0" xfId="1" applyFont="1" applyAlignment="1">
      <alignment wrapText="1"/>
    </xf>
    <xf numFmtId="0" fontId="0" fillId="0" borderId="5" xfId="0" applyBorder="1" applyAlignment="1">
      <alignment wrapText="1"/>
    </xf>
    <xf numFmtId="43" fontId="0" fillId="0" borderId="15" xfId="1" applyFont="1" applyBorder="1" applyAlignment="1">
      <alignment wrapText="1"/>
    </xf>
    <xf numFmtId="167" fontId="0" fillId="0" borderId="0" xfId="1" applyNumberFormat="1" applyFont="1" applyBorder="1" applyAlignment="1">
      <alignment wrapText="1"/>
    </xf>
    <xf numFmtId="167" fontId="0" fillId="0" borderId="6" xfId="1" applyNumberFormat="1" applyFont="1" applyBorder="1" applyAlignment="1">
      <alignment wrapText="1"/>
    </xf>
    <xf numFmtId="43" fontId="0" fillId="0" borderId="16" xfId="1" applyFont="1" applyBorder="1" applyAlignment="1">
      <alignment wrapText="1"/>
    </xf>
    <xf numFmtId="0" fontId="0" fillId="0" borderId="7" xfId="0" applyBorder="1" applyAlignment="1">
      <alignment wrapText="1"/>
    </xf>
    <xf numFmtId="43" fontId="0" fillId="0" borderId="20" xfId="1" applyFont="1" applyBorder="1" applyAlignment="1">
      <alignment wrapText="1"/>
    </xf>
    <xf numFmtId="167" fontId="0" fillId="0" borderId="8" xfId="1" applyNumberFormat="1" applyFont="1" applyBorder="1" applyAlignment="1">
      <alignment wrapText="1"/>
    </xf>
    <xf numFmtId="167" fontId="0" fillId="0" borderId="9" xfId="1" applyNumberFormat="1" applyFont="1" applyBorder="1" applyAlignment="1">
      <alignment wrapText="1"/>
    </xf>
    <xf numFmtId="10" fontId="0" fillId="0" borderId="23" xfId="3" applyNumberFormat="1" applyFont="1" applyBorder="1"/>
    <xf numFmtId="10" fontId="0" fillId="0" borderId="43" xfId="3" applyNumberFormat="1" applyFont="1" applyBorder="1"/>
    <xf numFmtId="0" fontId="0" fillId="0" borderId="43" xfId="0" applyBorder="1"/>
    <xf numFmtId="44" fontId="1" fillId="4" borderId="6" xfId="6" applyNumberFormat="1" applyBorder="1" applyAlignment="1">
      <alignment horizontal="center"/>
    </xf>
    <xf numFmtId="43" fontId="1" fillId="4" borderId="6" xfId="6" applyNumberFormat="1" applyBorder="1"/>
    <xf numFmtId="0" fontId="1" fillId="3" borderId="13" xfId="5" applyBorder="1"/>
    <xf numFmtId="43" fontId="1" fillId="3" borderId="14" xfId="5" applyNumberFormat="1" applyBorder="1"/>
    <xf numFmtId="0" fontId="1" fillId="3" borderId="12" xfId="5" applyBorder="1"/>
    <xf numFmtId="43" fontId="1" fillId="3" borderId="0" xfId="5" applyNumberFormat="1" applyBorder="1"/>
    <xf numFmtId="44" fontId="1" fillId="10" borderId="6" xfId="12" applyNumberFormat="1" applyBorder="1" applyAlignment="1">
      <alignment horizontal="center"/>
    </xf>
    <xf numFmtId="43" fontId="1" fillId="10" borderId="6" xfId="12" applyNumberFormat="1" applyBorder="1"/>
    <xf numFmtId="0" fontId="1" fillId="9" borderId="13" xfId="11" applyBorder="1"/>
    <xf numFmtId="43" fontId="1" fillId="9" borderId="14" xfId="11" applyNumberFormat="1" applyBorder="1"/>
    <xf numFmtId="0" fontId="1" fillId="9" borderId="12" xfId="11" applyBorder="1"/>
    <xf numFmtId="43" fontId="1" fillId="9" borderId="0" xfId="11" applyNumberFormat="1" applyBorder="1"/>
    <xf numFmtId="43" fontId="1" fillId="12" borderId="6" xfId="14" applyNumberFormat="1" applyBorder="1"/>
    <xf numFmtId="0" fontId="1" fillId="11" borderId="13" xfId="13" applyBorder="1"/>
    <xf numFmtId="43" fontId="1" fillId="11" borderId="14" xfId="13" applyNumberFormat="1" applyBorder="1"/>
    <xf numFmtId="43" fontId="1" fillId="11" borderId="22" xfId="13" applyNumberFormat="1" applyBorder="1"/>
    <xf numFmtId="0" fontId="1" fillId="11" borderId="12" xfId="13" applyBorder="1"/>
    <xf numFmtId="43" fontId="1" fillId="11" borderId="0" xfId="13" applyNumberFormat="1" applyBorder="1"/>
    <xf numFmtId="43" fontId="1" fillId="11" borderId="21" xfId="13" applyNumberFormat="1" applyBorder="1"/>
    <xf numFmtId="0" fontId="5" fillId="9" borderId="13" xfId="11" applyFont="1" applyBorder="1"/>
    <xf numFmtId="167" fontId="5" fillId="9" borderId="14" xfId="11" applyNumberFormat="1" applyFont="1" applyBorder="1"/>
    <xf numFmtId="167" fontId="5" fillId="9" borderId="22" xfId="11" applyNumberFormat="1" applyFont="1" applyBorder="1"/>
    <xf numFmtId="167" fontId="5" fillId="10" borderId="34" xfId="12" applyNumberFormat="1" applyFont="1" applyBorder="1"/>
    <xf numFmtId="0" fontId="5" fillId="3" borderId="12" xfId="5" applyFont="1" applyBorder="1"/>
    <xf numFmtId="43" fontId="5" fillId="3" borderId="0" xfId="5" applyNumberFormat="1" applyFont="1" applyBorder="1"/>
    <xf numFmtId="43" fontId="5" fillId="3" borderId="21" xfId="5" applyNumberFormat="1" applyFont="1" applyBorder="1"/>
    <xf numFmtId="43" fontId="5" fillId="4" borderId="6" xfId="6" applyNumberFormat="1" applyFont="1" applyBorder="1"/>
    <xf numFmtId="0" fontId="5" fillId="3" borderId="13" xfId="5" applyFont="1" applyBorder="1"/>
    <xf numFmtId="167" fontId="5" fillId="3" borderId="14" xfId="5" applyNumberFormat="1" applyFont="1" applyBorder="1"/>
    <xf numFmtId="167" fontId="5" fillId="3" borderId="22" xfId="5" applyNumberFormat="1" applyFont="1" applyBorder="1"/>
    <xf numFmtId="167" fontId="5" fillId="4" borderId="34" xfId="6" applyNumberFormat="1" applyFont="1" applyBorder="1"/>
    <xf numFmtId="43" fontId="5" fillId="3" borderId="14" xfId="5" applyNumberFormat="1" applyFont="1" applyBorder="1"/>
    <xf numFmtId="43" fontId="5" fillId="3" borderId="22" xfId="5" applyNumberFormat="1" applyFont="1" applyBorder="1"/>
    <xf numFmtId="43" fontId="5" fillId="9" borderId="22" xfId="11" applyNumberFormat="1" applyFont="1" applyBorder="1"/>
    <xf numFmtId="43" fontId="5" fillId="9" borderId="21" xfId="11" applyNumberFormat="1" applyFont="1" applyBorder="1"/>
    <xf numFmtId="0" fontId="3" fillId="4" borderId="40" xfId="6" applyFont="1" applyBorder="1" applyAlignment="1">
      <alignment horizontal="center"/>
    </xf>
    <xf numFmtId="0" fontId="3" fillId="4" borderId="24" xfId="6" applyFont="1" applyBorder="1" applyAlignment="1">
      <alignment horizontal="center"/>
    </xf>
    <xf numFmtId="0" fontId="3" fillId="4" borderId="41" xfId="6" applyFont="1" applyBorder="1" applyAlignment="1">
      <alignment horizontal="center"/>
    </xf>
    <xf numFmtId="0" fontId="3" fillId="10" borderId="40" xfId="12" applyFont="1" applyBorder="1" applyAlignment="1">
      <alignment horizontal="center"/>
    </xf>
    <xf numFmtId="0" fontId="3" fillId="10" borderId="24" xfId="12" applyFont="1" applyBorder="1" applyAlignment="1">
      <alignment horizontal="center"/>
    </xf>
    <xf numFmtId="0" fontId="3" fillId="10" borderId="41" xfId="12" applyFont="1" applyBorder="1" applyAlignment="1">
      <alignment horizontal="center"/>
    </xf>
    <xf numFmtId="9" fontId="1" fillId="8" borderId="6" xfId="10" applyNumberFormat="1" applyBorder="1"/>
    <xf numFmtId="10" fontId="1" fillId="8" borderId="18" xfId="10" applyNumberFormat="1" applyBorder="1"/>
    <xf numFmtId="0" fontId="1" fillId="8" borderId="36" xfId="10" applyBorder="1"/>
    <xf numFmtId="0" fontId="1" fillId="8" borderId="2" xfId="10" applyBorder="1"/>
    <xf numFmtId="0" fontId="1" fillId="7" borderId="12" xfId="9" applyBorder="1"/>
    <xf numFmtId="9" fontId="1" fillId="7" borderId="0" xfId="9" applyNumberFormat="1" applyBorder="1"/>
    <xf numFmtId="0" fontId="1" fillId="7" borderId="13" xfId="9" applyBorder="1"/>
    <xf numFmtId="10" fontId="1" fillId="7" borderId="22" xfId="9" applyNumberFormat="1" applyBorder="1"/>
    <xf numFmtId="9" fontId="5" fillId="7" borderId="0" xfId="9" applyNumberFormat="1" applyFont="1" applyBorder="1"/>
    <xf numFmtId="10" fontId="5" fillId="7" borderId="14" xfId="9" applyNumberFormat="1" applyFont="1" applyBorder="1"/>
    <xf numFmtId="9" fontId="5" fillId="7" borderId="21" xfId="9" applyNumberFormat="1" applyFont="1" applyBorder="1"/>
    <xf numFmtId="0" fontId="1" fillId="5" borderId="0" xfId="7" applyBorder="1"/>
    <xf numFmtId="43" fontId="1" fillId="5" borderId="6" xfId="7" applyNumberFormat="1" applyBorder="1"/>
    <xf numFmtId="0" fontId="1" fillId="5" borderId="8" xfId="7" applyBorder="1"/>
    <xf numFmtId="167" fontId="1" fillId="5" borderId="9" xfId="7" applyNumberFormat="1" applyBorder="1"/>
    <xf numFmtId="0" fontId="2" fillId="2" borderId="44" xfId="4" applyBorder="1"/>
    <xf numFmtId="0" fontId="2" fillId="2" borderId="1" xfId="4" applyBorder="1"/>
    <xf numFmtId="0" fontId="2" fillId="2" borderId="45" xfId="4" applyBorder="1"/>
    <xf numFmtId="0" fontId="2" fillId="2" borderId="46" xfId="4" applyBorder="1"/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0" fillId="0" borderId="0" xfId="0" applyFill="1"/>
    <xf numFmtId="44" fontId="0" fillId="0" borderId="0" xfId="2" applyFont="1" applyFill="1"/>
    <xf numFmtId="44" fontId="3" fillId="0" borderId="0" xfId="2" applyFont="1" applyBorder="1"/>
    <xf numFmtId="44" fontId="6" fillId="7" borderId="14" xfId="2" applyFont="1" applyFill="1" applyBorder="1"/>
    <xf numFmtId="0" fontId="1" fillId="7" borderId="28" xfId="9" applyBorder="1"/>
    <xf numFmtId="44" fontId="1" fillId="8" borderId="47" xfId="10" applyNumberFormat="1" applyBorder="1"/>
    <xf numFmtId="167" fontId="5" fillId="4" borderId="47" xfId="6" applyNumberFormat="1" applyFont="1" applyBorder="1"/>
    <xf numFmtId="167" fontId="6" fillId="3" borderId="28" xfId="5" applyNumberFormat="1" applyFont="1" applyBorder="1" applyAlignment="1">
      <alignment horizontal="right"/>
    </xf>
    <xf numFmtId="167" fontId="6" fillId="3" borderId="23" xfId="5" applyNumberFormat="1" applyFont="1" applyBorder="1" applyAlignment="1">
      <alignment horizontal="right"/>
    </xf>
    <xf numFmtId="0" fontId="6" fillId="3" borderId="28" xfId="5" applyFont="1" applyBorder="1" applyAlignment="1">
      <alignment horizontal="right"/>
    </xf>
    <xf numFmtId="179" fontId="6" fillId="3" borderId="14" xfId="2" applyNumberFormat="1" applyFont="1" applyFill="1" applyBorder="1"/>
    <xf numFmtId="167" fontId="5" fillId="10" borderId="47" xfId="12" applyNumberFormat="1" applyFont="1" applyBorder="1"/>
    <xf numFmtId="0" fontId="1" fillId="9" borderId="28" xfId="11" applyBorder="1" applyAlignment="1">
      <alignment horizontal="right"/>
    </xf>
    <xf numFmtId="179" fontId="1" fillId="9" borderId="14" xfId="11" applyNumberFormat="1" applyBorder="1"/>
    <xf numFmtId="167" fontId="1" fillId="9" borderId="28" xfId="11" applyNumberFormat="1" applyBorder="1" applyAlignment="1">
      <alignment horizontal="right"/>
    </xf>
    <xf numFmtId="167" fontId="1" fillId="9" borderId="23" xfId="11" applyNumberFormat="1" applyBorder="1" applyAlignment="1">
      <alignment horizontal="right"/>
    </xf>
    <xf numFmtId="0" fontId="3" fillId="12" borderId="25" xfId="14" applyFont="1" applyBorder="1" applyAlignment="1">
      <alignment horizontal="center"/>
    </xf>
    <xf numFmtId="0" fontId="3" fillId="12" borderId="26" xfId="14" applyFont="1" applyBorder="1" applyAlignment="1">
      <alignment horizontal="center"/>
    </xf>
    <xf numFmtId="0" fontId="3" fillId="12" borderId="27" xfId="14" applyFont="1" applyBorder="1" applyAlignment="1">
      <alignment horizontal="center"/>
    </xf>
    <xf numFmtId="167" fontId="1" fillId="11" borderId="14" xfId="13" applyNumberFormat="1" applyBorder="1"/>
    <xf numFmtId="167" fontId="1" fillId="11" borderId="22" xfId="13" applyNumberFormat="1" applyBorder="1"/>
    <xf numFmtId="44" fontId="1" fillId="12" borderId="19" xfId="14" applyNumberFormat="1" applyBorder="1" applyAlignment="1">
      <alignment horizontal="center"/>
    </xf>
    <xf numFmtId="167" fontId="1" fillId="12" borderId="18" xfId="14" applyNumberFormat="1" applyBorder="1"/>
    <xf numFmtId="0" fontId="1" fillId="12" borderId="7" xfId="14" applyBorder="1" applyAlignment="1">
      <alignment horizontal="center" textRotation="90"/>
    </xf>
    <xf numFmtId="0" fontId="1" fillId="11" borderId="35" xfId="13" applyBorder="1" applyAlignment="1">
      <alignment horizontal="right"/>
    </xf>
    <xf numFmtId="179" fontId="1" fillId="11" borderId="8" xfId="13" applyNumberFormat="1" applyBorder="1"/>
    <xf numFmtId="167" fontId="1" fillId="11" borderId="35" xfId="13" applyNumberFormat="1" applyBorder="1" applyAlignment="1">
      <alignment horizontal="right"/>
    </xf>
    <xf numFmtId="167" fontId="1" fillId="11" borderId="8" xfId="13" applyNumberFormat="1" applyBorder="1" applyAlignment="1">
      <alignment horizontal="right"/>
    </xf>
    <xf numFmtId="167" fontId="1" fillId="12" borderId="49" xfId="14" applyNumberFormat="1" applyBorder="1"/>
    <xf numFmtId="0" fontId="3" fillId="8" borderId="32" xfId="10" applyFont="1" applyBorder="1" applyAlignment="1">
      <alignment horizontal="center" vertical="center" wrapText="1"/>
    </xf>
    <xf numFmtId="0" fontId="3" fillId="8" borderId="37" xfId="10" applyFont="1" applyBorder="1" applyAlignment="1">
      <alignment horizontal="center" vertical="center" wrapText="1"/>
    </xf>
    <xf numFmtId="0" fontId="3" fillId="6" borderId="31" xfId="8" applyFont="1" applyBorder="1" applyAlignment="1">
      <alignment horizontal="center" vertical="center" wrapText="1"/>
    </xf>
    <xf numFmtId="0" fontId="3" fillId="6" borderId="32" xfId="8" applyFont="1" applyBorder="1" applyAlignment="1">
      <alignment horizontal="center" vertical="center" wrapText="1"/>
    </xf>
    <xf numFmtId="0" fontId="3" fillId="6" borderId="33" xfId="8" applyFont="1" applyBorder="1" applyAlignment="1">
      <alignment horizontal="center" vertical="center" wrapText="1"/>
    </xf>
    <xf numFmtId="0" fontId="3" fillId="8" borderId="4" xfId="10" applyFont="1" applyBorder="1" applyAlignment="1">
      <alignment horizontal="center" vertical="center"/>
    </xf>
    <xf numFmtId="43" fontId="3" fillId="4" borderId="34" xfId="6" applyNumberFormat="1" applyFont="1" applyBorder="1" applyAlignment="1">
      <alignment horizontal="center"/>
    </xf>
    <xf numFmtId="43" fontId="3" fillId="10" borderId="34" xfId="12" applyNumberFormat="1" applyFont="1" applyBorder="1" applyAlignment="1">
      <alignment horizontal="center"/>
    </xf>
    <xf numFmtId="43" fontId="3" fillId="12" borderId="34" xfId="14" applyNumberFormat="1" applyFont="1" applyBorder="1" applyAlignment="1">
      <alignment horizontal="center"/>
    </xf>
    <xf numFmtId="0" fontId="7" fillId="8" borderId="5" xfId="10" applyFont="1" applyBorder="1" applyAlignment="1">
      <alignment horizontal="center" textRotation="90"/>
    </xf>
    <xf numFmtId="0" fontId="7" fillId="8" borderId="38" xfId="10" applyFont="1" applyBorder="1" applyAlignment="1">
      <alignment horizontal="center" textRotation="90"/>
    </xf>
    <xf numFmtId="0" fontId="7" fillId="8" borderId="38" xfId="10" applyFont="1" applyBorder="1" applyAlignment="1">
      <alignment horizontal="center" textRotation="90"/>
    </xf>
    <xf numFmtId="0" fontId="7" fillId="0" borderId="42" xfId="0" applyFont="1" applyBorder="1" applyAlignment="1">
      <alignment horizontal="center" textRotation="90"/>
    </xf>
    <xf numFmtId="0" fontId="7" fillId="4" borderId="5" xfId="6" applyFont="1" applyBorder="1" applyAlignment="1">
      <alignment horizontal="center" textRotation="90"/>
    </xf>
    <xf numFmtId="0" fontId="7" fillId="4" borderId="5" xfId="6" applyFont="1" applyBorder="1" applyAlignment="1">
      <alignment textRotation="90"/>
    </xf>
    <xf numFmtId="0" fontId="7" fillId="4" borderId="5" xfId="6" applyFont="1" applyBorder="1" applyAlignment="1">
      <alignment horizontal="center" textRotation="90"/>
    </xf>
    <xf numFmtId="0" fontId="7" fillId="4" borderId="38" xfId="6" applyFont="1" applyBorder="1" applyAlignment="1">
      <alignment horizontal="center" textRotation="90"/>
    </xf>
    <xf numFmtId="0" fontId="7" fillId="4" borderId="38" xfId="6" applyFont="1" applyBorder="1" applyAlignment="1">
      <alignment horizontal="center" textRotation="90"/>
    </xf>
    <xf numFmtId="0" fontId="7" fillId="10" borderId="5" xfId="12" applyFont="1" applyBorder="1"/>
    <xf numFmtId="0" fontId="7" fillId="10" borderId="5" xfId="12" applyFont="1" applyBorder="1" applyAlignment="1">
      <alignment textRotation="90"/>
    </xf>
    <xf numFmtId="0" fontId="7" fillId="10" borderId="5" xfId="12" applyFont="1" applyBorder="1" applyAlignment="1">
      <alignment horizontal="center" textRotation="90"/>
    </xf>
    <xf numFmtId="0" fontId="7" fillId="10" borderId="38" xfId="12" applyFont="1" applyBorder="1" applyAlignment="1">
      <alignment horizontal="center" textRotation="90"/>
    </xf>
    <xf numFmtId="0" fontId="7" fillId="10" borderId="38" xfId="12" applyFont="1" applyBorder="1" applyAlignment="1">
      <alignment horizontal="center" textRotation="90"/>
    </xf>
    <xf numFmtId="0" fontId="7" fillId="12" borderId="48" xfId="14" applyFont="1" applyBorder="1"/>
    <xf numFmtId="0" fontId="7" fillId="12" borderId="5" xfId="14" applyFont="1" applyBorder="1" applyAlignment="1">
      <alignment textRotation="90"/>
    </xf>
    <xf numFmtId="0" fontId="7" fillId="12" borderId="5" xfId="14" applyFont="1" applyBorder="1" applyAlignment="1">
      <alignment horizontal="center" textRotation="90"/>
    </xf>
    <xf numFmtId="0" fontId="7" fillId="12" borderId="38" xfId="14" applyFont="1" applyBorder="1" applyAlignment="1">
      <alignment horizontal="center" textRotation="90"/>
    </xf>
    <xf numFmtId="0" fontId="8" fillId="0" borderId="0" xfId="0" applyFont="1" applyAlignment="1">
      <alignment horizontal="center"/>
    </xf>
    <xf numFmtId="0" fontId="0" fillId="0" borderId="0" xfId="0" applyNumberFormat="1" applyAlignment="1"/>
    <xf numFmtId="0" fontId="1" fillId="8" borderId="30" xfId="10" applyNumberFormat="1" applyBorder="1" applyAlignment="1"/>
    <xf numFmtId="0" fontId="1" fillId="7" borderId="39" xfId="9" applyNumberFormat="1" applyBorder="1" applyAlignment="1">
      <alignment horizontal="left" vertical="top" wrapText="1"/>
    </xf>
    <xf numFmtId="0" fontId="1" fillId="7" borderId="39" xfId="9" applyNumberFormat="1" applyBorder="1" applyAlignment="1">
      <alignment horizontal="left" vertical="top" wrapText="1" indent="1"/>
    </xf>
    <xf numFmtId="0" fontId="1" fillId="7" borderId="39" xfId="9" applyNumberFormat="1" applyBorder="1" applyAlignment="1">
      <alignment vertical="top" wrapText="1"/>
    </xf>
    <xf numFmtId="0" fontId="1" fillId="7" borderId="50" xfId="9" applyNumberFormat="1" applyBorder="1" applyAlignment="1">
      <alignment horizontal="left" vertical="top" wrapText="1" indent="1"/>
    </xf>
    <xf numFmtId="0" fontId="1" fillId="7" borderId="39" xfId="9" applyNumberFormat="1" applyBorder="1" applyAlignment="1"/>
    <xf numFmtId="0" fontId="1" fillId="7" borderId="39" xfId="9" applyNumberFormat="1" applyBorder="1" applyAlignment="1">
      <alignment horizontal="left" vertical="top" wrapText="1"/>
    </xf>
    <xf numFmtId="0" fontId="1" fillId="7" borderId="39" xfId="9" applyNumberFormat="1" applyBorder="1" applyAlignment="1">
      <alignment horizontal="left"/>
    </xf>
    <xf numFmtId="0" fontId="1" fillId="7" borderId="50" xfId="9" applyNumberFormat="1" applyBorder="1" applyAlignment="1">
      <alignment horizontal="left" vertical="top" wrapText="1"/>
    </xf>
    <xf numFmtId="0" fontId="3" fillId="8" borderId="30" xfId="10" applyNumberFormat="1" applyFont="1" applyBorder="1" applyAlignment="1">
      <alignment horizontal="left" vertical="top" wrapText="1"/>
    </xf>
  </cellXfs>
  <cellStyles count="15">
    <cellStyle name="20% - Accent1" xfId="5" builtinId="30"/>
    <cellStyle name="20% - Accent2" xfId="7" builtinId="34"/>
    <cellStyle name="20% - Accent3" xfId="9" builtinId="38"/>
    <cellStyle name="20% - Accent4" xfId="11" builtinId="42"/>
    <cellStyle name="20% - Accent6" xfId="13" builtinId="50"/>
    <cellStyle name="40% - Accent1" xfId="6" builtinId="31"/>
    <cellStyle name="40% - Accent2" xfId="8" builtinId="35"/>
    <cellStyle name="40% - Accent3" xfId="10" builtinId="39"/>
    <cellStyle name="40% - Accent4" xfId="12" builtinId="43"/>
    <cellStyle name="40% - Accent6" xfId="14" builtinId="51"/>
    <cellStyle name="Comma" xfId="1" builtinId="3"/>
    <cellStyle name="Currency" xfId="2" builtinId="4"/>
    <cellStyle name="Input" xfId="4" builtinId="20"/>
    <cellStyle name="Normal" xfId="0" builtinId="0"/>
    <cellStyle name="Percent" xfId="3" builtinId="5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D02BA8-D852-4B24-AE32-7C4EC45BC99D}" name="fertilizers" displayName="fertilizers" ref="A1:Q29" totalsRowShown="0" headerRowDxfId="19">
  <autoFilter ref="A1:Q29" xr:uid="{C98C42E8-3ACE-491F-B61E-F40D66FB9EB5}"/>
  <sortState xmlns:xlrd2="http://schemas.microsoft.com/office/spreadsheetml/2017/richdata2" ref="A2:Q29">
    <sortCondition ref="A1:A29"/>
  </sortState>
  <tableColumns count="17">
    <tableColumn id="1" xr3:uid="{1966C1C0-0D63-4BAF-9EA1-77906A6C86FF}" name="Fertilizer" dataDxfId="21"/>
    <tableColumn id="2" xr3:uid="{50011B38-9FE3-4037-86B1-00205C337609}" name="Type" dataDxfId="20"/>
    <tableColumn id="16" xr3:uid="{164AC636-EC59-4DCB-8518-41AF36B6D26A}" name="Package Cost" dataDxfId="5" dataCellStyle="Currency"/>
    <tableColumn id="17" xr3:uid="{286A53B2-F75F-4FDB-8021-974DD78B4086}" name="Package Weight" dataDxfId="4" dataCellStyle="Currency"/>
    <tableColumn id="3" xr3:uid="{A18E2E9D-C70C-4358-BFAC-93545AC790AD}" name="Cost Per Pound" dataDxfId="18" dataCellStyle="Currency">
      <calculatedColumnFormula>fertilizers[[#This Row],[Package Cost]]/fertilizers[[#This Row],[Package Weight]]</calculatedColumnFormula>
    </tableColumn>
    <tableColumn id="4" xr3:uid="{A23EE555-3AE5-4BEC-83A3-53D36D7F8E72}" name="Nitrogen" dataDxfId="17" dataCellStyle="Percent"/>
    <tableColumn id="5" xr3:uid="{28F2339A-7726-4829-BE15-8660871802A7}" name="Phosphorus" dataDxfId="15" dataCellStyle="Percent"/>
    <tableColumn id="6" xr3:uid="{BDB97B9F-15BB-4112-829B-100CB167B66E}" name="Potassium" dataDxfId="14" dataCellStyle="Percent"/>
    <tableColumn id="7" xr3:uid="{D05706E7-CF56-4953-A7F3-D22F65C0F6A8}" name="Sulfur" dataDxfId="13" dataCellStyle="Percent"/>
    <tableColumn id="8" xr3:uid="{34D34079-DA64-405E-A80F-28B272D29E24}" name="Calcium" dataDxfId="12" dataCellStyle="Percent"/>
    <tableColumn id="9" xr3:uid="{27E18F6C-ED4E-4881-9170-6B6E038B2C82}" name="Magnesium" dataDxfId="11" dataCellStyle="Percent"/>
    <tableColumn id="10" xr3:uid="{D3F169BB-B4A0-4596-ACBF-233B070396CF}" name="Sodium" dataDxfId="16" dataCellStyle="Percent"/>
    <tableColumn id="11" xr3:uid="{61C0BA84-F4D1-497B-95E7-F40518342760}" name="Iron" dataDxfId="10" dataCellStyle="Percent"/>
    <tableColumn id="12" xr3:uid="{E366E64F-93E3-47CE-AFA3-E6881AECFAE9}" name="Manganese" dataDxfId="9" dataCellStyle="Percent"/>
    <tableColumn id="13" xr3:uid="{9EFB8C8A-806B-41B9-9238-B8B955072738}" name="Zinc" dataDxfId="8" dataCellStyle="Percent"/>
    <tableColumn id="14" xr3:uid="{11C02D2D-5E05-4D7E-94B5-B8586194551F}" name="Copper" dataDxfId="7" dataCellStyle="Percent"/>
    <tableColumn id="15" xr3:uid="{D93AAF6C-0B39-4AA1-B78F-FB44611F034B}" name="Boron" dataDxfId="6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71F1-BDB6-4ED8-B528-76C6AE5BB703}">
  <dimension ref="A1:I37"/>
  <sheetViews>
    <sheetView showGridLines="0" tabSelected="1" workbookViewId="0">
      <selection activeCell="K5" sqref="K5"/>
    </sheetView>
  </sheetViews>
  <sheetFormatPr defaultRowHeight="14.5" x14ac:dyDescent="0.35"/>
  <cols>
    <col min="1" max="1" width="8" style="6" bestFit="1" customWidth="1"/>
    <col min="2" max="2" width="22.453125" style="6" customWidth="1"/>
    <col min="3" max="6" width="12.7265625" style="6" customWidth="1"/>
    <col min="7" max="7" width="11.1796875" style="6" customWidth="1"/>
    <col min="8" max="8" width="3.08984375" style="6" customWidth="1"/>
    <col min="9" max="9" width="57.6328125" style="172" customWidth="1"/>
    <col min="10" max="16384" width="8.7265625" style="6"/>
  </cols>
  <sheetData>
    <row r="1" spans="1:9" s="37" customFormat="1" ht="43.5" x14ac:dyDescent="0.35">
      <c r="A1" s="146" t="s">
        <v>0</v>
      </c>
      <c r="B1" s="147" t="s">
        <v>3</v>
      </c>
      <c r="C1" s="147" t="s">
        <v>7</v>
      </c>
      <c r="D1" s="147" t="s">
        <v>8</v>
      </c>
      <c r="E1" s="147" t="s">
        <v>4</v>
      </c>
      <c r="F1" s="147" t="s">
        <v>5</v>
      </c>
      <c r="G1" s="148" t="s">
        <v>9</v>
      </c>
      <c r="I1" s="182" t="s">
        <v>75</v>
      </c>
    </row>
    <row r="2" spans="1:9" x14ac:dyDescent="0.35">
      <c r="A2" s="109" t="s">
        <v>1</v>
      </c>
      <c r="B2" s="110">
        <v>1.7</v>
      </c>
      <c r="C2" s="110">
        <v>7</v>
      </c>
      <c r="D2" s="110">
        <v>18</v>
      </c>
      <c r="E2" s="110">
        <v>25</v>
      </c>
      <c r="F2" s="105">
        <f>E2-B2</f>
        <v>23.3</v>
      </c>
      <c r="G2" s="106">
        <f>F2*'PPM Conversion'!$B$4</f>
        <v>1.0697887970615243</v>
      </c>
      <c r="H2" s="2"/>
      <c r="I2" s="178" t="s">
        <v>72</v>
      </c>
    </row>
    <row r="3" spans="1:9" x14ac:dyDescent="0.35">
      <c r="A3" s="109" t="s">
        <v>2</v>
      </c>
      <c r="B3" s="110">
        <v>3.84</v>
      </c>
      <c r="C3" s="110">
        <v>7</v>
      </c>
      <c r="D3" s="110">
        <v>16</v>
      </c>
      <c r="E3" s="110">
        <f>D3</f>
        <v>16</v>
      </c>
      <c r="F3" s="105">
        <f>E3-B3</f>
        <v>12.16</v>
      </c>
      <c r="G3" s="106">
        <f>F3*'PPM Conversion'!$B$4</f>
        <v>0.55831037649219462</v>
      </c>
      <c r="I3" s="178" t="s">
        <v>73</v>
      </c>
    </row>
    <row r="4" spans="1:9" x14ac:dyDescent="0.35">
      <c r="A4" s="109" t="s">
        <v>6</v>
      </c>
      <c r="B4" s="110">
        <v>4.05</v>
      </c>
      <c r="C4" s="110">
        <v>4</v>
      </c>
      <c r="D4" s="110">
        <v>11</v>
      </c>
      <c r="E4" s="110">
        <f>D4</f>
        <v>11</v>
      </c>
      <c r="F4" s="105">
        <f>E4-B4</f>
        <v>6.95</v>
      </c>
      <c r="G4" s="106">
        <f>F4*'PPM Conversion'!$B$4</f>
        <v>0.31910009182736454</v>
      </c>
      <c r="I4" s="178" t="s">
        <v>74</v>
      </c>
    </row>
    <row r="5" spans="1:9" ht="15" thickBot="1" x14ac:dyDescent="0.4">
      <c r="A5" s="111" t="s">
        <v>10</v>
      </c>
      <c r="B5" s="112">
        <v>0.17</v>
      </c>
      <c r="C5" s="112">
        <v>0.22</v>
      </c>
      <c r="D5" s="112">
        <v>0.66</v>
      </c>
      <c r="E5" s="112">
        <f>AVERAGE(C5:D5)</f>
        <v>0.44</v>
      </c>
      <c r="F5" s="107">
        <f>E5-B5</f>
        <v>0.27</v>
      </c>
      <c r="G5" s="108">
        <f>F5*'PPM Conversion'!$B$4</f>
        <v>1.2396694214876033E-2</v>
      </c>
      <c r="I5" s="179" t="s">
        <v>92</v>
      </c>
    </row>
    <row r="6" spans="1:9" x14ac:dyDescent="0.35">
      <c r="I6" s="180" t="s">
        <v>76</v>
      </c>
    </row>
    <row r="7" spans="1:9" ht="15" customHeight="1" thickBot="1" x14ac:dyDescent="0.4">
      <c r="A7" s="34"/>
      <c r="B7" s="34"/>
      <c r="C7" s="171" t="s">
        <v>77</v>
      </c>
      <c r="D7" s="171" t="s">
        <v>78</v>
      </c>
      <c r="E7" s="171" t="s">
        <v>79</v>
      </c>
      <c r="F7" s="171" t="s">
        <v>80</v>
      </c>
      <c r="I7" s="174" t="s">
        <v>93</v>
      </c>
    </row>
    <row r="8" spans="1:9" ht="29" customHeight="1" x14ac:dyDescent="0.35">
      <c r="A8" s="97"/>
      <c r="B8" s="96"/>
      <c r="C8" s="144" t="s">
        <v>55</v>
      </c>
      <c r="D8" s="144" t="s">
        <v>37</v>
      </c>
      <c r="E8" s="144" t="s">
        <v>29</v>
      </c>
      <c r="F8" s="145" t="s">
        <v>30</v>
      </c>
      <c r="G8" s="149" t="s">
        <v>27</v>
      </c>
      <c r="I8" s="174"/>
    </row>
    <row r="9" spans="1:9" x14ac:dyDescent="0.35">
      <c r="A9" s="153" t="s">
        <v>19</v>
      </c>
      <c r="B9" s="98" t="str" cm="1">
        <f t="array" ref="B9:B12">A2:A5</f>
        <v>Nitrogen</v>
      </c>
      <c r="C9" s="99">
        <f>INDEX(fertilizers[],MATCH(C$8,fertilizers[Fertilizer],0),MATCH($B9,fertilizers[#Headers],0))</f>
        <v>0.16</v>
      </c>
      <c r="D9" s="102">
        <f>INDEX(fertilizers[],MATCH(D$8,fertilizers[Fertilizer],0),MATCH($B9,fertilizers[#Headers],0))</f>
        <v>0.17</v>
      </c>
      <c r="E9" s="102">
        <f>INDEX(fertilizers[],MATCH(E$8,fertilizers[Fertilizer],0),MATCH($B9,fertilizers[#Headers],0))</f>
        <v>0.01</v>
      </c>
      <c r="F9" s="104">
        <f>INDEX(fertilizers[],MATCH(F$8,fertilizers[Fertilizer],0),MATCH($B9,fertilizers[#Headers],0))</f>
        <v>0</v>
      </c>
      <c r="G9" s="94"/>
      <c r="H9" s="7"/>
      <c r="I9" s="174" t="s">
        <v>81</v>
      </c>
    </row>
    <row r="10" spans="1:9" x14ac:dyDescent="0.35">
      <c r="A10" s="153"/>
      <c r="B10" s="98" t="str">
        <v>Sulfur</v>
      </c>
      <c r="C10" s="102">
        <f>INDEX(fertilizers[],MATCH(C$8,fertilizers[Fertilizer],0),MATCH($B10,fertilizers[#Headers],0))</f>
        <v>0</v>
      </c>
      <c r="D10" s="99">
        <f>INDEX(fertilizers[],MATCH(D$8,fertilizers[Fertilizer],0),MATCH($B10,fertilizers[#Headers],0))</f>
        <v>0.17</v>
      </c>
      <c r="E10" s="102">
        <f>INDEX(fertilizers[],MATCH(E$8,fertilizers[Fertilizer],0),MATCH($B10,fertilizers[#Headers],0))</f>
        <v>0.05</v>
      </c>
      <c r="F10" s="104">
        <f>INDEX(fertilizers[],MATCH(F$8,fertilizers[Fertilizer],0),MATCH($B10,fertilizers[#Headers],0))</f>
        <v>0</v>
      </c>
      <c r="G10" s="94"/>
      <c r="H10" s="7"/>
      <c r="I10" s="174"/>
    </row>
    <row r="11" spans="1:9" x14ac:dyDescent="0.35">
      <c r="A11" s="153"/>
      <c r="B11" s="98" t="str">
        <v>Iron</v>
      </c>
      <c r="C11" s="102">
        <f>INDEX(fertilizers[],MATCH(C$8,fertilizers[Fertilizer],0),MATCH($B11,fertilizers[#Headers],0))</f>
        <v>0.06</v>
      </c>
      <c r="D11" s="102">
        <f>INDEX(fertilizers[],MATCH(D$8,fertilizers[Fertilizer],0),MATCH($B11,fertilizers[#Headers],0))</f>
        <v>0</v>
      </c>
      <c r="E11" s="99">
        <f>INDEX(fertilizers[],MATCH(E$8,fertilizers[Fertilizer],0),MATCH($B11,fertilizers[#Headers],0))</f>
        <v>0.2</v>
      </c>
      <c r="F11" s="104">
        <f>INDEX(fertilizers[],MATCH(F$8,fertilizers[Fertilizer],0),MATCH($B11,fertilizers[#Headers],0))</f>
        <v>0</v>
      </c>
      <c r="G11" s="94"/>
      <c r="H11" s="7"/>
      <c r="I11" s="174"/>
    </row>
    <row r="12" spans="1:9" ht="14.5" customHeight="1" x14ac:dyDescent="0.35">
      <c r="A12" s="154"/>
      <c r="B12" s="100" t="str">
        <v>Boron</v>
      </c>
      <c r="C12" s="103">
        <f>INDEX(fertilizers[],MATCH(C$8,fertilizers[Fertilizer],0),MATCH($B12,fertilizers[#Headers],0))</f>
        <v>2.0000000000000001E-4</v>
      </c>
      <c r="D12" s="103">
        <f>INDEX(fertilizers[],MATCH(D$8,fertilizers[Fertilizer],0),MATCH($B12,fertilizers[#Headers],0))</f>
        <v>0</v>
      </c>
      <c r="E12" s="103">
        <f>INDEX(fertilizers[],MATCH(E$8,fertilizers[Fertilizer],0),MATCH($B12,fertilizers[#Headers],0))</f>
        <v>0</v>
      </c>
      <c r="F12" s="101">
        <f>INDEX(fertilizers[],MATCH(F$8,fertilizers[Fertilizer],0),MATCH($B12,fertilizers[#Headers],0))</f>
        <v>0.99</v>
      </c>
      <c r="G12" s="95"/>
      <c r="H12" s="7"/>
      <c r="I12" s="175" t="s">
        <v>83</v>
      </c>
    </row>
    <row r="13" spans="1:9" x14ac:dyDescent="0.35">
      <c r="A13" s="155"/>
      <c r="B13" s="119" t="s">
        <v>67</v>
      </c>
      <c r="C13" s="118">
        <f>VLOOKUP(C$8,fertilizers[],3,FALSE)</f>
        <v>58</v>
      </c>
      <c r="D13" s="118">
        <f>VLOOKUP(D$8,fertilizers[],3,FALSE)</f>
        <v>33</v>
      </c>
      <c r="E13" s="118">
        <f>VLOOKUP(E$8,fertilizers[],3,FALSE)</f>
        <v>19</v>
      </c>
      <c r="F13" s="118">
        <f>VLOOKUP(F$8,fertilizers[],3,FALSE)</f>
        <v>4.47</v>
      </c>
      <c r="G13" s="120">
        <f>SUM(C13:F13)</f>
        <v>114.47</v>
      </c>
      <c r="H13" s="7"/>
      <c r="I13" s="175"/>
    </row>
    <row r="14" spans="1:9" x14ac:dyDescent="0.35">
      <c r="A14" s="156"/>
      <c r="B14" s="25"/>
      <c r="C14" s="50"/>
      <c r="D14" s="50"/>
      <c r="E14" s="50"/>
      <c r="F14" s="50"/>
      <c r="G14" s="51"/>
      <c r="I14" s="174" t="s">
        <v>82</v>
      </c>
    </row>
    <row r="15" spans="1:9" ht="15" thickBot="1" x14ac:dyDescent="0.4">
      <c r="A15" s="157"/>
      <c r="B15" s="88" t="s">
        <v>25</v>
      </c>
      <c r="C15" s="89"/>
      <c r="D15" s="89"/>
      <c r="E15" s="89"/>
      <c r="F15" s="90"/>
      <c r="G15" s="53"/>
      <c r="I15" s="174"/>
    </row>
    <row r="16" spans="1:9" ht="15" thickTop="1" x14ac:dyDescent="0.35">
      <c r="A16" s="158"/>
      <c r="B16" s="55" t="s">
        <v>18</v>
      </c>
      <c r="C16" s="56" cm="1">
        <f t="array" ref="C16:D16">TRANSPOSE(_xlfn.ANCHORARRAY('Matrix Calculations'!C15))</f>
        <v>3.1967401285583104</v>
      </c>
      <c r="D16" s="56">
        <v>3.2841786852482033</v>
      </c>
      <c r="E16" s="84">
        <v>0</v>
      </c>
      <c r="F16" s="85">
        <v>0</v>
      </c>
      <c r="G16" s="150" t="s">
        <v>27</v>
      </c>
      <c r="I16" s="174"/>
    </row>
    <row r="17" spans="1:9" ht="14.5" customHeight="1" x14ac:dyDescent="0.35">
      <c r="A17" s="159" t="s">
        <v>20</v>
      </c>
      <c r="B17" s="57" t="str" cm="1">
        <f t="array" ref="B17:B20">$A$2:$A$5</f>
        <v>Nitrogen</v>
      </c>
      <c r="C17" s="58">
        <f>C9*C$16</f>
        <v>0.51147842056932968</v>
      </c>
      <c r="D17" s="58">
        <f>D9*D$16</f>
        <v>0.55831037649219462</v>
      </c>
      <c r="E17" s="77">
        <v>0</v>
      </c>
      <c r="F17" s="78">
        <v>0</v>
      </c>
      <c r="G17" s="54">
        <f>SUM(C17:F17)</f>
        <v>1.0697887970615243</v>
      </c>
      <c r="I17" s="175" t="s">
        <v>84</v>
      </c>
    </row>
    <row r="18" spans="1:9" x14ac:dyDescent="0.35">
      <c r="A18" s="159"/>
      <c r="B18" s="57" t="str">
        <v>Sulfur</v>
      </c>
      <c r="C18" s="58">
        <f t="shared" ref="C18" si="0">C10*C$16</f>
        <v>0</v>
      </c>
      <c r="D18" s="58">
        <f>D10*D$16</f>
        <v>0.55831037649219462</v>
      </c>
      <c r="E18" s="77">
        <v>0</v>
      </c>
      <c r="F18" s="78">
        <v>0</v>
      </c>
      <c r="G18" s="54">
        <f>SUM(C18:F18)</f>
        <v>0.55831037649219462</v>
      </c>
      <c r="I18" s="175"/>
    </row>
    <row r="19" spans="1:9" x14ac:dyDescent="0.35">
      <c r="A19" s="159"/>
      <c r="B19" s="76" t="str">
        <v>Iron</v>
      </c>
      <c r="C19" s="77">
        <f t="shared" ref="C19" si="1">C11*C$16</f>
        <v>0.1918044077134986</v>
      </c>
      <c r="D19" s="77">
        <f>D11*D$16</f>
        <v>0</v>
      </c>
      <c r="E19" s="77">
        <v>0</v>
      </c>
      <c r="F19" s="78">
        <v>0</v>
      </c>
      <c r="G19" s="79">
        <f>SUM(C19:F19)</f>
        <v>0.1918044077134986</v>
      </c>
      <c r="I19" s="175"/>
    </row>
    <row r="20" spans="1:9" ht="14.5" customHeight="1" x14ac:dyDescent="0.35">
      <c r="A20" s="160"/>
      <c r="B20" s="80" t="str">
        <v>Boron</v>
      </c>
      <c r="C20" s="81">
        <f t="shared" ref="C20" si="2">C12*C$16</f>
        <v>6.3934802571166205E-4</v>
      </c>
      <c r="D20" s="81">
        <f>D12*D$16</f>
        <v>0</v>
      </c>
      <c r="E20" s="81">
        <v>0</v>
      </c>
      <c r="F20" s="82">
        <v>0</v>
      </c>
      <c r="G20" s="83">
        <f>SUM(C20:F20)</f>
        <v>6.3934802571166205E-4</v>
      </c>
      <c r="I20" s="174" t="s">
        <v>85</v>
      </c>
    </row>
    <row r="21" spans="1:9" ht="15" thickBot="1" x14ac:dyDescent="0.4">
      <c r="A21" s="161"/>
      <c r="B21" s="124" t="s">
        <v>69</v>
      </c>
      <c r="C21" s="125" cm="1">
        <f t="array" ref="C21">SUM(VLOOKUP($C$8:$D$8,Fertilizers!$A$1:$E$29,5,FALSE)*_xlfn.ANCHORARRAY(C16))</f>
        <v>8.4553586968916719</v>
      </c>
      <c r="D21" s="122" t="s">
        <v>70</v>
      </c>
      <c r="E21" s="123"/>
      <c r="F21" s="125">
        <f>SUM($C$13:$D$13)</f>
        <v>91</v>
      </c>
      <c r="G21" s="121"/>
      <c r="I21" s="181"/>
    </row>
    <row r="22" spans="1:9" ht="14.5" customHeight="1" x14ac:dyDescent="0.35">
      <c r="A22" s="156"/>
      <c r="B22" s="25"/>
      <c r="C22" s="25"/>
      <c r="D22" s="25"/>
      <c r="E22" s="25"/>
      <c r="F22" s="25"/>
      <c r="G22" s="52"/>
      <c r="I22" s="173" t="s">
        <v>86</v>
      </c>
    </row>
    <row r="23" spans="1:9" ht="15" thickBot="1" x14ac:dyDescent="0.4">
      <c r="A23" s="162"/>
      <c r="B23" s="91" t="s">
        <v>24</v>
      </c>
      <c r="C23" s="92"/>
      <c r="D23" s="92"/>
      <c r="E23" s="92"/>
      <c r="F23" s="93"/>
      <c r="G23" s="59"/>
      <c r="I23" s="174" t="s">
        <v>89</v>
      </c>
    </row>
    <row r="24" spans="1:9" ht="15" thickTop="1" x14ac:dyDescent="0.35">
      <c r="A24" s="163"/>
      <c r="B24" s="61" t="s">
        <v>18</v>
      </c>
      <c r="C24" s="62" cm="1">
        <f t="array" ref="C24:E24">TRANSPOSE(_xlfn.ANCHORARRAY('Matrix Calculations'!H17))</f>
        <v>3.3447583659000153</v>
      </c>
      <c r="D24" s="62">
        <v>3.1100395824932572</v>
      </c>
      <c r="E24" s="62">
        <v>0.59207294936681831</v>
      </c>
      <c r="F24" s="86">
        <v>0</v>
      </c>
      <c r="G24" s="151" t="s">
        <v>27</v>
      </c>
      <c r="I24" s="174"/>
    </row>
    <row r="25" spans="1:9" x14ac:dyDescent="0.35">
      <c r="A25" s="164" t="s">
        <v>20</v>
      </c>
      <c r="B25" s="63" t="str" cm="1">
        <f t="array" ref="B25:B28">$A$2:$A$5</f>
        <v>Nitrogen</v>
      </c>
      <c r="C25" s="64">
        <f>C9*C$24</f>
        <v>0.5351613385440025</v>
      </c>
      <c r="D25" s="64">
        <f>D9*D$24</f>
        <v>0.52870672902385374</v>
      </c>
      <c r="E25" s="64">
        <f>E9*E$24</f>
        <v>5.9207294936681832E-3</v>
      </c>
      <c r="F25" s="87">
        <v>0</v>
      </c>
      <c r="G25" s="60">
        <f>SUM(C25:F25)</f>
        <v>1.0697887970615245</v>
      </c>
      <c r="I25" s="175" t="s">
        <v>87</v>
      </c>
    </row>
    <row r="26" spans="1:9" x14ac:dyDescent="0.35">
      <c r="A26" s="164"/>
      <c r="B26" s="63" t="str">
        <v>Sulfur</v>
      </c>
      <c r="C26" s="64">
        <f>C10*C$24</f>
        <v>0</v>
      </c>
      <c r="D26" s="64">
        <f>D10*D$24</f>
        <v>0.52870672902385374</v>
      </c>
      <c r="E26" s="64">
        <f>E10*E$24</f>
        <v>2.9603647468340918E-2</v>
      </c>
      <c r="F26" s="87">
        <v>0</v>
      </c>
      <c r="G26" s="60">
        <f>SUM(C26:F26)</f>
        <v>0.55831037649219462</v>
      </c>
      <c r="I26" s="175"/>
    </row>
    <row r="27" spans="1:9" x14ac:dyDescent="0.35">
      <c r="A27" s="164"/>
      <c r="B27" s="63" t="str">
        <v>Iron</v>
      </c>
      <c r="C27" s="64">
        <f>C11*C$24</f>
        <v>0.20068550195400092</v>
      </c>
      <c r="D27" s="64">
        <f>D11*D$24</f>
        <v>0</v>
      </c>
      <c r="E27" s="64">
        <f>E11*E$24</f>
        <v>0.11841458987336367</v>
      </c>
      <c r="F27" s="87">
        <v>0</v>
      </c>
      <c r="G27" s="60">
        <f>SUM(C27:F27)</f>
        <v>0.3191000918273646</v>
      </c>
      <c r="I27" s="175" t="s">
        <v>90</v>
      </c>
    </row>
    <row r="28" spans="1:9" x14ac:dyDescent="0.35">
      <c r="A28" s="165"/>
      <c r="B28" s="72" t="str">
        <v>Boron</v>
      </c>
      <c r="C28" s="73">
        <f>C12*C$24</f>
        <v>6.6895167318000305E-4</v>
      </c>
      <c r="D28" s="73">
        <f>D12*D$24</f>
        <v>0</v>
      </c>
      <c r="E28" s="73">
        <f>E12*E$24</f>
        <v>0</v>
      </c>
      <c r="F28" s="74">
        <v>0</v>
      </c>
      <c r="G28" s="75">
        <f>SUM(C28:F28)</f>
        <v>6.6895167318000305E-4</v>
      </c>
      <c r="I28" s="175"/>
    </row>
    <row r="29" spans="1:9" x14ac:dyDescent="0.35">
      <c r="A29" s="166"/>
      <c r="B29" s="127" t="s">
        <v>69</v>
      </c>
      <c r="C29" s="128" cm="1">
        <f t="array" ref="C29">SUM(VLOOKUP($C$8:$E$8,Fertilizers!$A$1:$E$29,5,FALSE)*_xlfn.ANCHORARRAY(C24))</f>
        <v>9.1662332119157561</v>
      </c>
      <c r="D29" s="129" t="s">
        <v>70</v>
      </c>
      <c r="E29" s="130"/>
      <c r="F29" s="128">
        <f>SUM($C$13:$E$13)</f>
        <v>110</v>
      </c>
      <c r="G29" s="126"/>
      <c r="I29" s="175"/>
    </row>
    <row r="30" spans="1:9" x14ac:dyDescent="0.35">
      <c r="A30" s="156"/>
      <c r="B30" s="25"/>
      <c r="C30" s="25"/>
      <c r="D30" s="25"/>
      <c r="E30" s="25"/>
      <c r="F30" s="25"/>
      <c r="G30" s="52"/>
      <c r="I30" s="176" t="s">
        <v>91</v>
      </c>
    </row>
    <row r="31" spans="1:9" ht="15" customHeight="1" thickBot="1" x14ac:dyDescent="0.4">
      <c r="A31" s="167"/>
      <c r="B31" s="131" t="s">
        <v>26</v>
      </c>
      <c r="C31" s="132"/>
      <c r="D31" s="132"/>
      <c r="E31" s="132"/>
      <c r="F31" s="133"/>
      <c r="G31" s="136"/>
      <c r="I31" s="176"/>
    </row>
    <row r="32" spans="1:9" ht="15" thickTop="1" x14ac:dyDescent="0.35">
      <c r="A32" s="168"/>
      <c r="B32" s="66" t="s">
        <v>18</v>
      </c>
      <c r="C32" s="67" cm="1">
        <f t="array" ref="C32:F32">TRANSPOSE(_xlfn.ANCHORARRAY('Matrix Calculations'!N18))</f>
        <v>3.3447583659000153</v>
      </c>
      <c r="D32" s="67">
        <v>3.1100395824932572</v>
      </c>
      <c r="E32" s="67">
        <v>0.59207294936681831</v>
      </c>
      <c r="F32" s="68">
        <v>1.1846204587571749E-2</v>
      </c>
      <c r="G32" s="152" t="s">
        <v>27</v>
      </c>
      <c r="I32" s="176"/>
    </row>
    <row r="33" spans="1:9" ht="14.5" customHeight="1" x14ac:dyDescent="0.35">
      <c r="A33" s="169" t="s">
        <v>20</v>
      </c>
      <c r="B33" s="69" t="str" cm="1">
        <f t="array" ref="B33:B36">$A$2:$A$5</f>
        <v>Nitrogen</v>
      </c>
      <c r="C33" s="70">
        <f>C9*C$32</f>
        <v>0.5351613385440025</v>
      </c>
      <c r="D33" s="70">
        <f>D9*D$32</f>
        <v>0.52870672902385374</v>
      </c>
      <c r="E33" s="70">
        <f>E9*E$32</f>
        <v>5.9207294936681832E-3</v>
      </c>
      <c r="F33" s="71">
        <f>F9*F$32</f>
        <v>0</v>
      </c>
      <c r="G33" s="65">
        <f>SUM(C33:F33)</f>
        <v>1.0697887970615245</v>
      </c>
      <c r="I33" s="175" t="s">
        <v>88</v>
      </c>
    </row>
    <row r="34" spans="1:9" ht="14.5" customHeight="1" x14ac:dyDescent="0.35">
      <c r="A34" s="169"/>
      <c r="B34" s="69" t="str">
        <v>Sulfur</v>
      </c>
      <c r="C34" s="70">
        <f>C10*C$32</f>
        <v>0</v>
      </c>
      <c r="D34" s="70">
        <f>D10*D$32</f>
        <v>0.52870672902385374</v>
      </c>
      <c r="E34" s="70">
        <f>E10*E$32</f>
        <v>2.9603647468340918E-2</v>
      </c>
      <c r="F34" s="71">
        <f>F10*F$32</f>
        <v>0</v>
      </c>
      <c r="G34" s="65">
        <f>SUM(C34:F34)</f>
        <v>0.55831037649219462</v>
      </c>
      <c r="I34" s="175"/>
    </row>
    <row r="35" spans="1:9" x14ac:dyDescent="0.35">
      <c r="A35" s="169"/>
      <c r="B35" s="69" t="str">
        <v>Iron</v>
      </c>
      <c r="C35" s="70">
        <f>C11*C$32</f>
        <v>0.20068550195400092</v>
      </c>
      <c r="D35" s="70">
        <f>D11*D$32</f>
        <v>0</v>
      </c>
      <c r="E35" s="70">
        <f>E11*E$32</f>
        <v>0.11841458987336367</v>
      </c>
      <c r="F35" s="71">
        <f>F11*F$32</f>
        <v>0</v>
      </c>
      <c r="G35" s="65">
        <f>SUM(C35:F35)</f>
        <v>0.3191000918273646</v>
      </c>
      <c r="I35" s="175"/>
    </row>
    <row r="36" spans="1:9" x14ac:dyDescent="0.35">
      <c r="A36" s="170"/>
      <c r="B36" s="66" t="str">
        <v>Boron</v>
      </c>
      <c r="C36" s="134">
        <f>C12*C$32</f>
        <v>6.6895167318000305E-4</v>
      </c>
      <c r="D36" s="134">
        <f>D12*D$32</f>
        <v>0</v>
      </c>
      <c r="E36" s="134">
        <f>E12*E$32</f>
        <v>0</v>
      </c>
      <c r="F36" s="135">
        <f>F12*F$32</f>
        <v>1.1727742541696031E-2</v>
      </c>
      <c r="G36" s="137">
        <f>SUM(C36:F36)</f>
        <v>1.2396694214876033E-2</v>
      </c>
      <c r="I36" s="175"/>
    </row>
    <row r="37" spans="1:9" ht="15" customHeight="1" thickBot="1" x14ac:dyDescent="0.4">
      <c r="A37" s="138"/>
      <c r="B37" s="139" t="s">
        <v>69</v>
      </c>
      <c r="C37" s="140" cm="1">
        <f t="array" ref="C37">SUM(VLOOKUP($C$8:$F$8,Fertilizers!$A$1:$E$29,5,FALSE)*_xlfn.ANCHORARRAY(C32))</f>
        <v>9.1794713455423675</v>
      </c>
      <c r="D37" s="141" t="s">
        <v>70</v>
      </c>
      <c r="E37" s="142"/>
      <c r="F37" s="140">
        <f>SUM($C$13:$F$13)</f>
        <v>114.47</v>
      </c>
      <c r="G37" s="143"/>
      <c r="I37" s="177"/>
    </row>
  </sheetData>
  <mergeCells count="21">
    <mergeCell ref="I33:I37"/>
    <mergeCell ref="I27:I29"/>
    <mergeCell ref="I30:I32"/>
    <mergeCell ref="D37:E37"/>
    <mergeCell ref="I7:I8"/>
    <mergeCell ref="I9:I11"/>
    <mergeCell ref="I12:I13"/>
    <mergeCell ref="I14:I16"/>
    <mergeCell ref="I17:I19"/>
    <mergeCell ref="I20:I21"/>
    <mergeCell ref="D21:E21"/>
    <mergeCell ref="D29:E29"/>
    <mergeCell ref="I23:I24"/>
    <mergeCell ref="I25:I26"/>
    <mergeCell ref="A9:A12"/>
    <mergeCell ref="A17:A20"/>
    <mergeCell ref="A25:A28"/>
    <mergeCell ref="A33:A36"/>
    <mergeCell ref="B15:F15"/>
    <mergeCell ref="B23:F23"/>
    <mergeCell ref="B31:F31"/>
  </mergeCells>
  <phoneticPr fontId="4" type="noConversion"/>
  <conditionalFormatting sqref="C16:F16 C24:F24 C32:F32">
    <cfRule type="cellIs" dxfId="3" priority="1" operator="lessThan">
      <formula>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2ED6D69-62E2-4A46-A3D0-6B90B4EB6CCE}">
          <x14:formula1>
            <xm:f>Fertilizers!$F$1:$Q$1</xm:f>
          </x14:formula1>
          <xm:sqref>A2:A5</xm:sqref>
        </x14:dataValidation>
        <x14:dataValidation type="list" allowBlank="1" showInputMessage="1" showErrorMessage="1" xr:uid="{E1873F2A-361E-4EC6-9B0D-E9C06D0C80EA}">
          <x14:formula1>
            <xm:f>Fertilizers!$A$2:$A$99</xm:f>
          </x14:formula1>
          <xm:sqref>C8:F8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643A-ED83-4D75-8BA3-15A2B17AB701}">
  <dimension ref="A1:Q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5" x14ac:dyDescent="0.35"/>
  <cols>
    <col min="1" max="1" width="39" bestFit="1" customWidth="1"/>
    <col min="2" max="2" width="8.36328125" style="6" bestFit="1" customWidth="1"/>
    <col min="3" max="3" width="14.08984375" style="4" bestFit="1" customWidth="1"/>
    <col min="4" max="4" width="14.08984375" style="4" customWidth="1"/>
    <col min="5" max="5" width="15.7265625" style="6" customWidth="1"/>
    <col min="6" max="6" width="10.08984375" customWidth="1"/>
    <col min="7" max="7" width="12.81640625" customWidth="1"/>
    <col min="8" max="8" width="11.54296875" customWidth="1"/>
    <col min="9" max="9" width="7.7265625" customWidth="1"/>
    <col min="10" max="10" width="9.36328125" customWidth="1"/>
    <col min="11" max="11" width="12.54296875" customWidth="1"/>
    <col min="12" max="12" width="9.08984375" hidden="1" customWidth="1"/>
    <col min="13" max="13" width="8.81640625" bestFit="1" customWidth="1"/>
    <col min="14" max="14" width="12.453125" customWidth="1"/>
    <col min="15" max="15" width="6.1796875" customWidth="1"/>
    <col min="16" max="16" width="8.90625" customWidth="1"/>
    <col min="17" max="17" width="7.90625" customWidth="1"/>
  </cols>
  <sheetData>
    <row r="1" spans="1:17" x14ac:dyDescent="0.35">
      <c r="A1" s="113" t="s">
        <v>21</v>
      </c>
      <c r="B1" s="113" t="s">
        <v>41</v>
      </c>
      <c r="C1" s="117" t="s">
        <v>67</v>
      </c>
      <c r="D1" s="117" t="s">
        <v>71</v>
      </c>
      <c r="E1" s="113" t="s">
        <v>44</v>
      </c>
      <c r="F1" s="114" t="s">
        <v>1</v>
      </c>
      <c r="G1" s="114" t="s">
        <v>45</v>
      </c>
      <c r="H1" s="114" t="s">
        <v>46</v>
      </c>
      <c r="I1" s="114" t="s">
        <v>2</v>
      </c>
      <c r="J1" s="114" t="s">
        <v>47</v>
      </c>
      <c r="K1" s="114" t="s">
        <v>48</v>
      </c>
      <c r="L1" s="114" t="s">
        <v>49</v>
      </c>
      <c r="M1" s="114" t="s">
        <v>6</v>
      </c>
      <c r="N1" s="114" t="s">
        <v>50</v>
      </c>
      <c r="O1" s="114" t="s">
        <v>51</v>
      </c>
      <c r="P1" s="114" t="s">
        <v>52</v>
      </c>
      <c r="Q1" s="114" t="s">
        <v>10</v>
      </c>
    </row>
    <row r="2" spans="1:17" x14ac:dyDescent="0.35">
      <c r="A2" s="35" t="s">
        <v>28</v>
      </c>
      <c r="B2" s="35" t="s">
        <v>43</v>
      </c>
      <c r="C2" s="39">
        <v>20</v>
      </c>
      <c r="D2" s="39">
        <v>40</v>
      </c>
      <c r="E2" s="116">
        <f>fertilizers[[#This Row],[Package Cost]]/fertilizers[[#This Row],[Package Weight]]</f>
        <v>0.5</v>
      </c>
      <c r="F2" s="3">
        <v>2.5000000000000001E-2</v>
      </c>
      <c r="G2" s="3">
        <v>5.0000000000000001E-4</v>
      </c>
      <c r="H2" s="3">
        <v>2.5000000000000001E-2</v>
      </c>
      <c r="I2" s="3">
        <v>2.5000000000000001E-3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x14ac:dyDescent="0.35">
      <c r="A3" s="24" t="s">
        <v>11</v>
      </c>
      <c r="B3" s="24" t="s">
        <v>42</v>
      </c>
      <c r="C3" s="38">
        <v>15</v>
      </c>
      <c r="D3" s="38">
        <v>40</v>
      </c>
      <c r="E3" s="116">
        <f>fertilizers[[#This Row],[Package Cost]]/fertilizers[[#This Row],[Package Weight]]</f>
        <v>0.375</v>
      </c>
      <c r="F3" s="3">
        <v>0.21</v>
      </c>
      <c r="G3" s="3">
        <v>0</v>
      </c>
      <c r="H3" s="3">
        <v>0</v>
      </c>
      <c r="I3" s="3">
        <v>0.24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 x14ac:dyDescent="0.35">
      <c r="A4" s="35" t="s">
        <v>14</v>
      </c>
      <c r="B4" s="35" t="s">
        <v>43</v>
      </c>
      <c r="C4" s="39">
        <v>7.48</v>
      </c>
      <c r="D4" s="39">
        <v>3</v>
      </c>
      <c r="E4" s="116">
        <f>fertilizers[[#This Row],[Package Cost]]/fertilizers[[#This Row],[Package Weight]]</f>
        <v>2.4933333333333336</v>
      </c>
      <c r="F4" s="3">
        <v>0.13250000000000001</v>
      </c>
      <c r="G4" s="3">
        <v>0.01</v>
      </c>
      <c r="H4" s="3">
        <v>5.9999999999999995E-4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35">
      <c r="A5" s="35" t="s">
        <v>30</v>
      </c>
      <c r="B5" s="35" t="s">
        <v>43</v>
      </c>
      <c r="C5" s="39">
        <v>4.47</v>
      </c>
      <c r="D5" s="39">
        <v>4</v>
      </c>
      <c r="E5" s="116">
        <f>fertilizers[[#This Row],[Package Cost]]/fertilizers[[#This Row],[Package Weight]]</f>
        <v>1.1174999999999999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0.99</v>
      </c>
    </row>
    <row r="6" spans="1:17" x14ac:dyDescent="0.35">
      <c r="A6" s="35" t="s">
        <v>58</v>
      </c>
      <c r="B6" s="35" t="s">
        <v>43</v>
      </c>
      <c r="C6" s="39">
        <v>60</v>
      </c>
      <c r="D6" s="39">
        <v>45</v>
      </c>
      <c r="E6" s="116">
        <f>fertilizers[[#This Row],[Package Cost]]/fertilizers[[#This Row],[Package Weight]]</f>
        <v>1.3333333333333333</v>
      </c>
      <c r="F6" s="3">
        <v>0.24</v>
      </c>
      <c r="G6" s="3">
        <v>0</v>
      </c>
      <c r="H6" s="3">
        <v>0.04</v>
      </c>
      <c r="I6" s="3">
        <v>0.14000000000000001</v>
      </c>
      <c r="J6" s="3">
        <v>0</v>
      </c>
      <c r="K6" s="3">
        <v>0</v>
      </c>
      <c r="L6" s="3"/>
      <c r="M6" s="3">
        <v>0.02</v>
      </c>
      <c r="N6" s="3">
        <v>0</v>
      </c>
      <c r="O6" s="3">
        <v>0</v>
      </c>
      <c r="P6" s="3">
        <v>0</v>
      </c>
      <c r="Q6" s="3">
        <v>0</v>
      </c>
    </row>
    <row r="7" spans="1:17" x14ac:dyDescent="0.35">
      <c r="A7" s="35" t="s">
        <v>60</v>
      </c>
      <c r="B7" s="35" t="s">
        <v>42</v>
      </c>
      <c r="C7" s="39">
        <v>80</v>
      </c>
      <c r="D7" s="39">
        <v>13.6</v>
      </c>
      <c r="E7" s="116">
        <f>fertilizers[[#This Row],[Package Cost]]/fertilizers[[#This Row],[Package Weight]]</f>
        <v>5.882352941176471</v>
      </c>
      <c r="F7" s="3">
        <v>0.14000000000000001</v>
      </c>
      <c r="G7" s="3">
        <v>0.02</v>
      </c>
      <c r="H7" s="3">
        <v>0.04</v>
      </c>
      <c r="I7" s="3">
        <v>3.7199999999999997E-2</v>
      </c>
      <c r="J7" s="3">
        <v>0</v>
      </c>
      <c r="K7" s="3">
        <v>0.01</v>
      </c>
      <c r="L7" s="3"/>
      <c r="M7" s="3">
        <v>2.5000000000000001E-2</v>
      </c>
      <c r="N7" s="3">
        <v>1.4999999999999999E-2</v>
      </c>
      <c r="O7" s="3">
        <v>2E-3</v>
      </c>
      <c r="P7" s="3">
        <v>1E-3</v>
      </c>
      <c r="Q7" s="3">
        <v>0</v>
      </c>
    </row>
    <row r="8" spans="1:17" x14ac:dyDescent="0.35">
      <c r="A8" s="115" t="s">
        <v>61</v>
      </c>
      <c r="B8" s="115" t="s">
        <v>43</v>
      </c>
      <c r="C8" s="116">
        <v>20</v>
      </c>
      <c r="D8" s="116">
        <v>7</v>
      </c>
      <c r="E8" s="116">
        <f>fertilizers[[#This Row],[Package Cost]]/fertilizers[[#This Row],[Package Weight]]</f>
        <v>2.8571428571428572</v>
      </c>
      <c r="F8" s="3">
        <v>0</v>
      </c>
      <c r="G8" s="3">
        <v>0</v>
      </c>
      <c r="H8" s="3">
        <v>0</v>
      </c>
      <c r="I8" s="3">
        <v>0.55000000000000004</v>
      </c>
      <c r="J8" s="3">
        <v>0</v>
      </c>
      <c r="K8" s="3">
        <v>0</v>
      </c>
      <c r="L8" s="3">
        <v>0</v>
      </c>
      <c r="M8" s="3">
        <v>0.22</v>
      </c>
      <c r="N8" s="3">
        <v>0</v>
      </c>
      <c r="O8" s="3">
        <v>0</v>
      </c>
      <c r="P8" s="3">
        <v>0</v>
      </c>
      <c r="Q8" s="3">
        <v>0</v>
      </c>
    </row>
    <row r="9" spans="1:17" x14ac:dyDescent="0.35">
      <c r="A9" s="24" t="s">
        <v>12</v>
      </c>
      <c r="B9" s="24" t="s">
        <v>42</v>
      </c>
      <c r="C9" s="38">
        <v>7</v>
      </c>
      <c r="D9" s="38">
        <v>4</v>
      </c>
      <c r="E9" s="116">
        <f>fertilizers[[#This Row],[Package Cost]]/fertilizers[[#This Row],[Package Weight]]</f>
        <v>1.75</v>
      </c>
      <c r="F9" s="3">
        <v>0</v>
      </c>
      <c r="G9" s="3">
        <v>0</v>
      </c>
      <c r="H9" s="3">
        <v>0</v>
      </c>
      <c r="I9" s="3">
        <v>0.11</v>
      </c>
      <c r="J9" s="3">
        <v>0</v>
      </c>
      <c r="K9" s="3">
        <v>0</v>
      </c>
      <c r="L9" s="3">
        <v>0</v>
      </c>
      <c r="M9" s="3">
        <v>0.2</v>
      </c>
      <c r="N9" s="3">
        <v>0</v>
      </c>
      <c r="O9" s="3">
        <v>0</v>
      </c>
      <c r="P9" s="3">
        <v>0</v>
      </c>
      <c r="Q9" s="3">
        <v>0</v>
      </c>
    </row>
    <row r="10" spans="1:17" x14ac:dyDescent="0.35">
      <c r="A10" s="24" t="s">
        <v>35</v>
      </c>
      <c r="B10" s="35" t="s">
        <v>43</v>
      </c>
      <c r="C10" s="39">
        <v>20</v>
      </c>
      <c r="D10" s="39">
        <v>8.33</v>
      </c>
      <c r="E10" s="116">
        <f>fertilizers[[#This Row],[Package Cost]]/fertilizers[[#This Row],[Package Weight]]</f>
        <v>2.4009603841536613</v>
      </c>
      <c r="F10" s="3">
        <v>0.05</v>
      </c>
      <c r="G10" s="3">
        <v>0.02</v>
      </c>
      <c r="H10" s="3">
        <v>0.02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35">
      <c r="A11" s="24" t="s">
        <v>13</v>
      </c>
      <c r="B11" s="24" t="s">
        <v>43</v>
      </c>
      <c r="C11" s="38">
        <v>14</v>
      </c>
      <c r="D11" s="38">
        <v>25</v>
      </c>
      <c r="E11" s="116">
        <f>fertilizers[[#This Row],[Package Cost]]/fertilizers[[#This Row],[Package Weight]]</f>
        <v>0.56000000000000005</v>
      </c>
      <c r="F11" s="3">
        <v>0</v>
      </c>
      <c r="G11" s="3">
        <v>0</v>
      </c>
      <c r="H11" s="3">
        <v>0</v>
      </c>
      <c r="I11" s="3">
        <v>0.18</v>
      </c>
      <c r="J11" s="3">
        <v>0.22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 x14ac:dyDescent="0.35">
      <c r="A12" s="35" t="s">
        <v>39</v>
      </c>
      <c r="B12" s="35" t="s">
        <v>42</v>
      </c>
      <c r="C12" s="39">
        <v>44.95</v>
      </c>
      <c r="D12" s="39">
        <v>8.33</v>
      </c>
      <c r="E12" s="116">
        <f>fertilizers[[#This Row],[Package Cost]]/fertilizers[[#This Row],[Package Weight]]</f>
        <v>5.3961584633853548</v>
      </c>
      <c r="F12" s="3">
        <v>0.15</v>
      </c>
      <c r="G12" s="3">
        <v>0</v>
      </c>
      <c r="H12" s="3">
        <v>0</v>
      </c>
      <c r="I12" s="3">
        <v>0.04</v>
      </c>
      <c r="J12" s="3">
        <v>0</v>
      </c>
      <c r="K12" s="3">
        <v>0</v>
      </c>
      <c r="L12" s="3">
        <v>0</v>
      </c>
      <c r="M12" s="3">
        <v>0.06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35">
      <c r="A13" s="35" t="s">
        <v>29</v>
      </c>
      <c r="B13" s="35" t="s">
        <v>42</v>
      </c>
      <c r="C13" s="39">
        <v>19</v>
      </c>
      <c r="D13" s="39">
        <v>15</v>
      </c>
      <c r="E13" s="116">
        <f>fertilizers[[#This Row],[Package Cost]]/fertilizers[[#This Row],[Package Weight]]</f>
        <v>1.2666666666666666</v>
      </c>
      <c r="F13" s="3">
        <v>0.01</v>
      </c>
      <c r="G13" s="3">
        <v>0</v>
      </c>
      <c r="H13" s="3">
        <v>0.01</v>
      </c>
      <c r="I13" s="3">
        <v>0.05</v>
      </c>
      <c r="J13" s="3">
        <v>0.08</v>
      </c>
      <c r="K13" s="3">
        <v>0</v>
      </c>
      <c r="L13" s="3">
        <v>0</v>
      </c>
      <c r="M13" s="3">
        <v>0.2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35">
      <c r="A14" s="115" t="s">
        <v>66</v>
      </c>
      <c r="B14" s="115" t="s">
        <v>43</v>
      </c>
      <c r="C14" s="116">
        <v>30</v>
      </c>
      <c r="D14" s="116">
        <v>17</v>
      </c>
      <c r="E14" s="116">
        <f>fertilizers[[#This Row],[Package Cost]]/fertilizers[[#This Row],[Package Weight]]</f>
        <v>1.7647058823529411</v>
      </c>
      <c r="F14" s="3">
        <v>0.1</v>
      </c>
      <c r="G14" s="3">
        <v>0</v>
      </c>
      <c r="H14" s="3">
        <v>0.01</v>
      </c>
      <c r="I14" s="3">
        <v>0.01</v>
      </c>
      <c r="J14" s="3">
        <v>0.01</v>
      </c>
      <c r="K14" s="3">
        <v>0</v>
      </c>
      <c r="L14" s="3">
        <v>0</v>
      </c>
      <c r="M14" s="3">
        <v>1E-3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35">
      <c r="A15" s="115" t="s">
        <v>68</v>
      </c>
      <c r="B15" s="115" t="s">
        <v>42</v>
      </c>
      <c r="C15" s="116">
        <v>65</v>
      </c>
      <c r="D15" s="116">
        <v>35</v>
      </c>
      <c r="E15" s="116">
        <f>fertilizers[[#This Row],[Package Cost]]/fertilizers[[#This Row],[Package Weight]]</f>
        <v>1.8571428571428572</v>
      </c>
      <c r="F15" s="3">
        <v>0.2</v>
      </c>
      <c r="G15" s="3">
        <v>0</v>
      </c>
      <c r="H15" s="3">
        <v>0.12</v>
      </c>
      <c r="I15" s="3">
        <v>0.14000000000000001</v>
      </c>
      <c r="J15" s="3">
        <v>0</v>
      </c>
      <c r="K15" s="3">
        <v>0</v>
      </c>
      <c r="L15" s="3">
        <v>0</v>
      </c>
      <c r="M15" s="3">
        <v>0.06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35">
      <c r="A16" s="35" t="s">
        <v>57</v>
      </c>
      <c r="B16" s="35" t="s">
        <v>43</v>
      </c>
      <c r="C16" s="39">
        <v>23</v>
      </c>
      <c r="D16" s="39">
        <v>50</v>
      </c>
      <c r="E16" s="116">
        <f>fertilizers[[#This Row],[Package Cost]]/fertilizers[[#This Row],[Package Weight]]</f>
        <v>0.46</v>
      </c>
      <c r="F16" s="3">
        <v>0.06</v>
      </c>
      <c r="G16" s="3">
        <v>0.04</v>
      </c>
      <c r="H16" s="3">
        <v>0</v>
      </c>
      <c r="I16" s="3">
        <v>0</v>
      </c>
      <c r="J16" s="3">
        <v>1.2E-2</v>
      </c>
      <c r="K16" s="3">
        <v>0</v>
      </c>
      <c r="L16" s="3">
        <v>0</v>
      </c>
      <c r="M16" s="3">
        <v>2.5000000000000001E-2</v>
      </c>
      <c r="N16" s="3">
        <v>0</v>
      </c>
      <c r="O16" s="3">
        <v>0</v>
      </c>
      <c r="P16" s="3">
        <v>0</v>
      </c>
      <c r="Q16" s="3">
        <v>0</v>
      </c>
    </row>
    <row r="17" spans="1:17" x14ac:dyDescent="0.35">
      <c r="A17" s="115" t="s">
        <v>62</v>
      </c>
      <c r="B17" s="115" t="s">
        <v>42</v>
      </c>
      <c r="C17" s="116">
        <v>24.25</v>
      </c>
      <c r="D17" s="116">
        <v>8.33</v>
      </c>
      <c r="E17" s="116">
        <f>fertilizers[[#This Row],[Package Cost]]/fertilizers[[#This Row],[Package Weight]]</f>
        <v>2.9111644657863147</v>
      </c>
      <c r="F17" s="3">
        <v>0.01</v>
      </c>
      <c r="G17" s="3">
        <v>0</v>
      </c>
      <c r="H17" s="3">
        <v>0</v>
      </c>
      <c r="I17" s="3">
        <v>0.03</v>
      </c>
      <c r="J17" s="3">
        <v>0</v>
      </c>
      <c r="K17" s="3">
        <v>0</v>
      </c>
      <c r="L17" s="3">
        <v>0</v>
      </c>
      <c r="M17" s="3">
        <v>0.06</v>
      </c>
      <c r="N17" s="3">
        <v>0</v>
      </c>
      <c r="O17" s="3">
        <v>0</v>
      </c>
      <c r="P17" s="3">
        <v>0</v>
      </c>
      <c r="Q17" s="3">
        <v>0</v>
      </c>
    </row>
    <row r="18" spans="1:17" x14ac:dyDescent="0.35">
      <c r="A18" s="35" t="s">
        <v>38</v>
      </c>
      <c r="B18" s="35" t="s">
        <v>42</v>
      </c>
      <c r="C18" s="39">
        <v>27</v>
      </c>
      <c r="D18" s="39">
        <v>8.33</v>
      </c>
      <c r="E18" s="116">
        <f>fertilizers[[#This Row],[Package Cost]]/fertilizers[[#This Row],[Package Weight]]</f>
        <v>3.2412965186074429</v>
      </c>
      <c r="F18" s="3">
        <v>0.18</v>
      </c>
      <c r="G18" s="3">
        <v>0</v>
      </c>
      <c r="H18" s="3">
        <v>0.01</v>
      </c>
      <c r="I18" s="3">
        <v>0.01</v>
      </c>
      <c r="J18" s="3">
        <v>0</v>
      </c>
      <c r="K18" s="3">
        <v>0</v>
      </c>
      <c r="L18" s="3">
        <v>0</v>
      </c>
      <c r="M18" s="3">
        <v>1.4999999999999999E-2</v>
      </c>
      <c r="N18" s="3">
        <v>0</v>
      </c>
      <c r="O18" s="3">
        <v>0</v>
      </c>
      <c r="P18" s="3">
        <v>0</v>
      </c>
      <c r="Q18" s="3">
        <v>0</v>
      </c>
    </row>
    <row r="19" spans="1:17" x14ac:dyDescent="0.35">
      <c r="A19" s="115" t="s">
        <v>63</v>
      </c>
      <c r="B19" s="115" t="s">
        <v>42</v>
      </c>
      <c r="C19" s="116">
        <v>29.25</v>
      </c>
      <c r="D19" s="116">
        <v>8.33</v>
      </c>
      <c r="E19" s="116">
        <f>fertilizers[[#This Row],[Package Cost]]/fertilizers[[#This Row],[Package Weight]]</f>
        <v>3.51140456182473</v>
      </c>
      <c r="F19" s="3">
        <v>0</v>
      </c>
      <c r="G19" s="3">
        <v>0</v>
      </c>
      <c r="H19" s="3">
        <v>0.02</v>
      </c>
      <c r="I19" s="3">
        <v>0.03</v>
      </c>
      <c r="J19" s="3">
        <v>0</v>
      </c>
      <c r="K19" s="3">
        <v>5.0000000000000001E-3</v>
      </c>
      <c r="L19" s="3"/>
      <c r="M19" s="3">
        <v>0.03</v>
      </c>
      <c r="N19" s="3">
        <v>2.5000000000000001E-3</v>
      </c>
      <c r="O19" s="3">
        <v>1.5E-3</v>
      </c>
      <c r="P19" s="3">
        <v>5.0000000000000001E-4</v>
      </c>
      <c r="Q19" s="3">
        <v>0</v>
      </c>
    </row>
    <row r="20" spans="1:17" x14ac:dyDescent="0.35">
      <c r="A20" s="35" t="s">
        <v>37</v>
      </c>
      <c r="B20" s="35" t="s">
        <v>42</v>
      </c>
      <c r="C20" s="39">
        <v>33</v>
      </c>
      <c r="D20" s="39">
        <v>25</v>
      </c>
      <c r="E20" s="116">
        <f>fertilizers[[#This Row],[Package Cost]]/fertilizers[[#This Row],[Package Weight]]</f>
        <v>1.32</v>
      </c>
      <c r="F20" s="3">
        <v>0.17</v>
      </c>
      <c r="G20" s="3">
        <v>0</v>
      </c>
      <c r="H20" s="3">
        <v>0.04</v>
      </c>
      <c r="I20" s="3">
        <v>0.17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 x14ac:dyDescent="0.35">
      <c r="A21" s="35" t="s">
        <v>53</v>
      </c>
      <c r="B21" s="35" t="s">
        <v>43</v>
      </c>
      <c r="C21" s="39">
        <v>23</v>
      </c>
      <c r="D21" s="39">
        <v>25</v>
      </c>
      <c r="E21" s="116">
        <f>fertilizers[[#This Row],[Package Cost]]/fertilizers[[#This Row],[Package Weight]]</f>
        <v>0.92</v>
      </c>
      <c r="F21" s="3">
        <v>0.1</v>
      </c>
      <c r="G21" s="3">
        <v>0</v>
      </c>
      <c r="H21" s="3">
        <v>0.02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 x14ac:dyDescent="0.35">
      <c r="A22" s="35" t="s">
        <v>40</v>
      </c>
      <c r="B22" s="35" t="s">
        <v>42</v>
      </c>
      <c r="C22" s="39">
        <v>47</v>
      </c>
      <c r="D22" s="39">
        <v>33.299999999999997</v>
      </c>
      <c r="E22" s="116">
        <f>fertilizers[[#This Row],[Package Cost]]/fertilizers[[#This Row],[Package Weight]]</f>
        <v>1.4114114114114116</v>
      </c>
      <c r="F22" s="3">
        <v>0.27</v>
      </c>
      <c r="G22" s="3">
        <v>0</v>
      </c>
      <c r="H22" s="3">
        <v>0.02</v>
      </c>
      <c r="I22" s="3">
        <v>0.1</v>
      </c>
      <c r="J22" s="3">
        <v>0</v>
      </c>
      <c r="K22" s="3">
        <v>0</v>
      </c>
      <c r="L22" s="3">
        <v>0</v>
      </c>
      <c r="M22" s="3">
        <v>0.05</v>
      </c>
      <c r="N22" s="3">
        <v>0</v>
      </c>
      <c r="O22" s="3">
        <v>0</v>
      </c>
      <c r="P22" s="3">
        <v>0</v>
      </c>
      <c r="Q22" s="3">
        <v>0</v>
      </c>
    </row>
    <row r="23" spans="1:17" x14ac:dyDescent="0.35">
      <c r="A23" s="35" t="s">
        <v>59</v>
      </c>
      <c r="B23" s="35" t="s">
        <v>42</v>
      </c>
      <c r="C23" s="39">
        <v>22.77</v>
      </c>
      <c r="D23" s="39">
        <v>3.1</v>
      </c>
      <c r="E23" s="116">
        <f>fertilizers[[#This Row],[Package Cost]]/fertilizers[[#This Row],[Package Weight]]</f>
        <v>7.3451612903225802</v>
      </c>
      <c r="F23" s="3">
        <v>0.06</v>
      </c>
      <c r="G23" s="3">
        <v>0</v>
      </c>
      <c r="H23" s="3">
        <v>0</v>
      </c>
      <c r="I23" s="3">
        <v>2.75E-2</v>
      </c>
      <c r="J23" s="3">
        <v>0</v>
      </c>
      <c r="K23" s="3">
        <v>2.5000000000000001E-3</v>
      </c>
      <c r="L23" s="3">
        <v>0</v>
      </c>
      <c r="M23" s="3">
        <v>0.05</v>
      </c>
      <c r="N23" s="3">
        <v>2.1999999999999999E-2</v>
      </c>
      <c r="O23" s="3">
        <v>0</v>
      </c>
      <c r="P23" s="3">
        <v>0</v>
      </c>
      <c r="Q23" s="3">
        <v>0</v>
      </c>
    </row>
    <row r="24" spans="1:17" x14ac:dyDescent="0.35">
      <c r="A24" s="115" t="s">
        <v>64</v>
      </c>
      <c r="B24" s="115" t="s">
        <v>42</v>
      </c>
      <c r="C24" s="116">
        <v>40</v>
      </c>
      <c r="D24" s="116">
        <v>8.33</v>
      </c>
      <c r="E24" s="116">
        <f>fertilizers[[#This Row],[Package Cost]]/fertilizers[[#This Row],[Package Weight]]</f>
        <v>4.8019207683073226</v>
      </c>
      <c r="F24" s="3">
        <v>0</v>
      </c>
      <c r="G24" s="3">
        <v>0</v>
      </c>
      <c r="H24" s="3">
        <v>0</v>
      </c>
      <c r="I24" s="3">
        <v>3.4000000000000002E-2</v>
      </c>
      <c r="J24" s="3">
        <v>0</v>
      </c>
      <c r="K24" s="3">
        <v>0</v>
      </c>
      <c r="L24" s="3">
        <v>0</v>
      </c>
      <c r="M24" s="3">
        <v>0.05</v>
      </c>
      <c r="N24" s="3">
        <v>0</v>
      </c>
      <c r="O24" s="3">
        <v>0</v>
      </c>
      <c r="P24" s="3">
        <v>0</v>
      </c>
      <c r="Q24" s="3">
        <v>0</v>
      </c>
    </row>
    <row r="25" spans="1:17" x14ac:dyDescent="0.35">
      <c r="A25" s="35" t="s">
        <v>36</v>
      </c>
      <c r="B25" s="35" t="s">
        <v>43</v>
      </c>
      <c r="C25" s="39">
        <v>48</v>
      </c>
      <c r="D25" s="39">
        <v>40</v>
      </c>
      <c r="E25" s="116">
        <f>fertilizers[[#This Row],[Package Cost]]/fertilizers[[#This Row],[Package Weight]]</f>
        <v>1.2</v>
      </c>
      <c r="F25" s="3">
        <v>7.0000000000000007E-2</v>
      </c>
      <c r="G25" s="3">
        <v>0.01</v>
      </c>
      <c r="H25" s="3">
        <v>0.02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 x14ac:dyDescent="0.35">
      <c r="A26" s="115" t="s">
        <v>65</v>
      </c>
      <c r="B26" s="115" t="s">
        <v>42</v>
      </c>
      <c r="C26" s="116">
        <v>70</v>
      </c>
      <c r="D26" s="116">
        <v>45</v>
      </c>
      <c r="E26" s="116">
        <f>fertilizers[[#This Row],[Package Cost]]/fertilizers[[#This Row],[Package Weight]]</f>
        <v>1.5555555555555556</v>
      </c>
      <c r="F26" s="3">
        <v>0.05</v>
      </c>
      <c r="G26" s="3">
        <v>0</v>
      </c>
      <c r="H26" s="3">
        <v>0</v>
      </c>
      <c r="I26" s="3">
        <v>4.2999999999999997E-2</v>
      </c>
      <c r="J26" s="3">
        <v>0.05</v>
      </c>
      <c r="K26" s="3">
        <v>0</v>
      </c>
      <c r="L26" s="3"/>
      <c r="M26" s="3">
        <v>0.02</v>
      </c>
      <c r="N26" s="3">
        <v>0</v>
      </c>
      <c r="O26" s="3">
        <v>0</v>
      </c>
      <c r="P26" s="3">
        <v>0</v>
      </c>
      <c r="Q26" s="3">
        <v>0</v>
      </c>
    </row>
    <row r="27" spans="1:17" x14ac:dyDescent="0.35">
      <c r="A27" s="35" t="s">
        <v>54</v>
      </c>
      <c r="B27" s="35" t="s">
        <v>42</v>
      </c>
      <c r="C27" s="39">
        <v>20</v>
      </c>
      <c r="D27" s="39">
        <v>20</v>
      </c>
      <c r="E27" s="116">
        <f>fertilizers[[#This Row],[Package Cost]]/fertilizers[[#This Row],[Package Weight]]</f>
        <v>1</v>
      </c>
      <c r="F27" s="3">
        <v>0.46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 x14ac:dyDescent="0.35">
      <c r="A28" s="24" t="s">
        <v>55</v>
      </c>
      <c r="B28" s="35" t="s">
        <v>42</v>
      </c>
      <c r="C28" s="39">
        <v>58</v>
      </c>
      <c r="D28" s="39">
        <v>45</v>
      </c>
      <c r="E28" s="116">
        <f>fertilizers[[#This Row],[Package Cost]]/fertilizers[[#This Row],[Package Weight]]</f>
        <v>1.288888888888889</v>
      </c>
      <c r="F28" s="3">
        <v>0.16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0.06</v>
      </c>
      <c r="N28" s="3">
        <v>5.9999999999999995E-4</v>
      </c>
      <c r="O28" s="3">
        <v>5.0000000000000001E-4</v>
      </c>
      <c r="P28" s="3">
        <v>5.0000000000000001E-4</v>
      </c>
      <c r="Q28" s="3">
        <v>2.0000000000000001E-4</v>
      </c>
    </row>
    <row r="29" spans="1:17" x14ac:dyDescent="0.35">
      <c r="A29" s="35" t="s">
        <v>56</v>
      </c>
      <c r="B29" s="35" t="s">
        <v>42</v>
      </c>
      <c r="C29" s="39">
        <v>58</v>
      </c>
      <c r="D29" s="39">
        <v>45</v>
      </c>
      <c r="E29" s="116">
        <f>fertilizers[[#This Row],[Package Cost]]/fertilizers[[#This Row],[Package Weight]]</f>
        <v>1.288888888888889</v>
      </c>
      <c r="F29" s="3">
        <v>0.24</v>
      </c>
      <c r="G29" s="3">
        <v>0</v>
      </c>
      <c r="H29" s="3">
        <v>0.06</v>
      </c>
      <c r="I29" s="3">
        <v>0</v>
      </c>
      <c r="J29" s="3">
        <v>0</v>
      </c>
      <c r="K29" s="3">
        <v>0</v>
      </c>
      <c r="L29" s="3">
        <v>0</v>
      </c>
      <c r="M29" s="3">
        <v>0.03</v>
      </c>
      <c r="N29" s="3">
        <v>5.9999999999999995E-4</v>
      </c>
      <c r="O29" s="3">
        <v>5.0000000000000001E-4</v>
      </c>
      <c r="P29" s="3">
        <v>5.0000000000000001E-4</v>
      </c>
      <c r="Q29" s="3">
        <v>2.0000000000000001E-4</v>
      </c>
    </row>
    <row r="30" spans="1:17" x14ac:dyDescent="0.35">
      <c r="G30" s="6"/>
      <c r="H30" s="6"/>
      <c r="I30" s="6"/>
      <c r="J30" s="6"/>
      <c r="K30" s="6"/>
      <c r="M30" s="6"/>
      <c r="N30" s="6"/>
      <c r="O30" s="6"/>
      <c r="P30" s="6"/>
      <c r="Q30" s="6"/>
    </row>
    <row r="31" spans="1:17" x14ac:dyDescent="0.35">
      <c r="G31" s="6"/>
      <c r="H31" s="6"/>
      <c r="I31" s="6"/>
      <c r="J31" s="6"/>
      <c r="K31" s="6"/>
      <c r="M31" s="6"/>
      <c r="N31" s="6"/>
      <c r="O31" s="6"/>
      <c r="P31" s="6"/>
      <c r="Q31" s="6"/>
    </row>
    <row r="32" spans="1:17" x14ac:dyDescent="0.35">
      <c r="G32" s="6"/>
      <c r="H32" s="6"/>
      <c r="I32" s="6"/>
      <c r="J32" s="6"/>
      <c r="K32" s="6"/>
      <c r="M32" s="6"/>
      <c r="N32" s="6"/>
      <c r="O32" s="6"/>
      <c r="P32" s="6"/>
      <c r="Q32" s="6"/>
    </row>
    <row r="33" spans="7:17" x14ac:dyDescent="0.35">
      <c r="G33" s="6"/>
      <c r="H33" s="6"/>
      <c r="I33" s="6"/>
      <c r="J33" s="6"/>
      <c r="K33" s="6"/>
      <c r="M33" s="6"/>
      <c r="N33" s="6"/>
      <c r="O33" s="6"/>
      <c r="P33" s="6"/>
      <c r="Q33" s="6"/>
    </row>
    <row r="34" spans="7:17" x14ac:dyDescent="0.35">
      <c r="G34" s="6"/>
      <c r="H34" s="6"/>
      <c r="I34" s="6"/>
      <c r="J34" s="6"/>
      <c r="K34" s="6"/>
      <c r="M34" s="6"/>
      <c r="N34" s="6"/>
      <c r="O34" s="6"/>
      <c r="P34" s="6"/>
      <c r="Q34" s="6"/>
    </row>
    <row r="35" spans="7:17" x14ac:dyDescent="0.35">
      <c r="G35" s="6"/>
      <c r="H35" s="6"/>
      <c r="I35" s="6"/>
      <c r="J35" s="6"/>
      <c r="K35" s="6"/>
      <c r="M35" s="6"/>
      <c r="N35" s="6"/>
      <c r="O35" s="6"/>
      <c r="P35" s="6"/>
      <c r="Q35" s="6"/>
    </row>
    <row r="36" spans="7:17" x14ac:dyDescent="0.35">
      <c r="G36" s="6"/>
      <c r="H36" s="6"/>
      <c r="I36" s="6"/>
      <c r="J36" s="6"/>
      <c r="K36" s="6"/>
      <c r="M36" s="6"/>
      <c r="N36" s="6"/>
      <c r="O36" s="6"/>
      <c r="P36" s="6"/>
      <c r="Q36" s="6"/>
    </row>
    <row r="37" spans="7:17" x14ac:dyDescent="0.35">
      <c r="G37" s="6"/>
      <c r="H37" s="6"/>
      <c r="I37" s="6"/>
      <c r="J37" s="6"/>
      <c r="K37" s="6"/>
      <c r="M37" s="6"/>
      <c r="N37" s="6"/>
      <c r="O37" s="6"/>
      <c r="P37" s="6"/>
      <c r="Q37" s="6"/>
    </row>
    <row r="38" spans="7:17" x14ac:dyDescent="0.35">
      <c r="G38" s="6"/>
      <c r="H38" s="6"/>
      <c r="I38" s="6"/>
      <c r="J38" s="6"/>
      <c r="K38" s="6"/>
      <c r="M38" s="6"/>
      <c r="N38" s="6"/>
      <c r="O38" s="6"/>
      <c r="P38" s="6"/>
      <c r="Q38" s="6"/>
    </row>
    <row r="39" spans="7:17" x14ac:dyDescent="0.35">
      <c r="G39" s="6"/>
      <c r="H39" s="6"/>
      <c r="I39" s="6"/>
      <c r="J39" s="6"/>
      <c r="K39" s="6"/>
      <c r="M39" s="6"/>
      <c r="N39" s="6"/>
      <c r="O39" s="6"/>
      <c r="P39" s="6"/>
      <c r="Q39" s="6"/>
    </row>
    <row r="40" spans="7:17" x14ac:dyDescent="0.35">
      <c r="G40" s="6"/>
      <c r="H40" s="6"/>
      <c r="I40" s="6"/>
      <c r="J40" s="6"/>
      <c r="K40" s="6"/>
      <c r="M40" s="6"/>
      <c r="N40" s="6"/>
      <c r="O40" s="6"/>
      <c r="P40" s="6"/>
      <c r="Q40" s="6"/>
    </row>
    <row r="41" spans="7:17" x14ac:dyDescent="0.35">
      <c r="G41" s="6"/>
      <c r="H41" s="6"/>
      <c r="I41" s="6"/>
      <c r="J41" s="6"/>
      <c r="K41" s="6"/>
      <c r="M41" s="6"/>
      <c r="N41" s="6"/>
      <c r="O41" s="6"/>
      <c r="P41" s="6"/>
      <c r="Q41" s="6"/>
    </row>
    <row r="42" spans="7:17" x14ac:dyDescent="0.35">
      <c r="G42" s="6"/>
      <c r="H42" s="6"/>
      <c r="I42" s="6"/>
      <c r="J42" s="6"/>
      <c r="K42" s="6"/>
      <c r="M42" s="6"/>
      <c r="N42" s="6"/>
      <c r="O42" s="6"/>
      <c r="P42" s="6"/>
      <c r="Q42" s="6"/>
    </row>
    <row r="43" spans="7:17" x14ac:dyDescent="0.35">
      <c r="G43" s="6"/>
      <c r="H43" s="6"/>
      <c r="I43" s="6"/>
      <c r="J43" s="6"/>
      <c r="K43" s="6"/>
      <c r="M43" s="6"/>
      <c r="N43" s="6"/>
      <c r="O43" s="6"/>
      <c r="P43" s="6"/>
      <c r="Q43" s="6"/>
    </row>
    <row r="44" spans="7:17" x14ac:dyDescent="0.35">
      <c r="G44" s="6"/>
      <c r="H44" s="6"/>
      <c r="I44" s="6"/>
      <c r="J44" s="6"/>
      <c r="K44" s="6"/>
      <c r="M44" s="6"/>
      <c r="N44" s="6"/>
      <c r="O44" s="6"/>
      <c r="P44" s="6"/>
      <c r="Q44" s="6"/>
    </row>
    <row r="45" spans="7:17" x14ac:dyDescent="0.35">
      <c r="G45" s="6"/>
      <c r="H45" s="6"/>
      <c r="I45" s="6"/>
      <c r="J45" s="6"/>
      <c r="K45" s="6"/>
      <c r="M45" s="6"/>
      <c r="N45" s="6"/>
      <c r="O45" s="6"/>
      <c r="P45" s="6"/>
      <c r="Q45" s="6"/>
    </row>
    <row r="46" spans="7:17" x14ac:dyDescent="0.35">
      <c r="G46" s="6"/>
      <c r="H46" s="6"/>
      <c r="I46" s="6"/>
      <c r="J46" s="6"/>
      <c r="K46" s="6"/>
      <c r="M46" s="6"/>
      <c r="N46" s="6"/>
      <c r="O46" s="6"/>
      <c r="P46" s="6"/>
      <c r="Q46" s="6"/>
    </row>
    <row r="47" spans="7:17" x14ac:dyDescent="0.35">
      <c r="G47" s="6"/>
      <c r="H47" s="6"/>
      <c r="I47" s="6"/>
      <c r="J47" s="6"/>
      <c r="K47" s="6"/>
      <c r="M47" s="6"/>
      <c r="N47" s="6"/>
      <c r="O47" s="6"/>
      <c r="P47" s="6"/>
      <c r="Q47" s="6"/>
    </row>
    <row r="48" spans="7:17" x14ac:dyDescent="0.35">
      <c r="G48" s="6"/>
      <c r="H48" s="6"/>
      <c r="I48" s="6"/>
      <c r="J48" s="6"/>
      <c r="K48" s="6"/>
      <c r="M48" s="6"/>
      <c r="N48" s="6"/>
      <c r="O48" s="6"/>
      <c r="P48" s="6"/>
      <c r="Q48" s="6"/>
    </row>
    <row r="49" spans="7:17" x14ac:dyDescent="0.35">
      <c r="G49" s="6"/>
      <c r="H49" s="6"/>
      <c r="I49" s="6"/>
      <c r="J49" s="6"/>
      <c r="K49" s="6"/>
      <c r="M49" s="6"/>
      <c r="N49" s="6"/>
      <c r="O49" s="6"/>
      <c r="P49" s="6"/>
      <c r="Q49" s="6"/>
    </row>
    <row r="50" spans="7:17" x14ac:dyDescent="0.35">
      <c r="G50" s="6"/>
      <c r="H50" s="6"/>
      <c r="I50" s="6"/>
      <c r="J50" s="6"/>
      <c r="K50" s="6"/>
      <c r="M50" s="6"/>
      <c r="N50" s="6"/>
      <c r="O50" s="6"/>
      <c r="P50" s="6"/>
      <c r="Q50" s="6"/>
    </row>
    <row r="51" spans="7:17" x14ac:dyDescent="0.35">
      <c r="G51" s="6"/>
      <c r="H51" s="6"/>
      <c r="I51" s="6"/>
      <c r="J51" s="6"/>
      <c r="K51" s="6"/>
      <c r="M51" s="6"/>
      <c r="N51" s="6"/>
      <c r="O51" s="6"/>
      <c r="P51" s="6"/>
      <c r="Q51" s="6"/>
    </row>
    <row r="52" spans="7:17" x14ac:dyDescent="0.35">
      <c r="G52" s="6"/>
      <c r="H52" s="6"/>
      <c r="I52" s="6"/>
      <c r="J52" s="6"/>
      <c r="K52" s="6"/>
      <c r="M52" s="6"/>
      <c r="N52" s="6"/>
      <c r="O52" s="6"/>
      <c r="P52" s="6"/>
      <c r="Q52" s="6"/>
    </row>
    <row r="53" spans="7:17" x14ac:dyDescent="0.35">
      <c r="G53" s="6"/>
      <c r="H53" s="6"/>
      <c r="I53" s="6"/>
      <c r="J53" s="6"/>
      <c r="K53" s="6"/>
      <c r="M53" s="6"/>
      <c r="N53" s="6"/>
      <c r="O53" s="6"/>
      <c r="P53" s="6"/>
      <c r="Q53" s="6"/>
    </row>
    <row r="54" spans="7:17" x14ac:dyDescent="0.35">
      <c r="G54" s="6"/>
      <c r="H54" s="6"/>
      <c r="I54" s="6"/>
      <c r="J54" s="6"/>
      <c r="K54" s="6"/>
      <c r="M54" s="6"/>
      <c r="N54" s="6"/>
      <c r="O54" s="6"/>
      <c r="P54" s="6"/>
      <c r="Q54" s="6"/>
    </row>
    <row r="55" spans="7:17" x14ac:dyDescent="0.35">
      <c r="G55" s="6"/>
      <c r="H55" s="6"/>
      <c r="I55" s="6"/>
      <c r="J55" s="6"/>
      <c r="K55" s="6"/>
      <c r="M55" s="6"/>
      <c r="N55" s="6"/>
      <c r="O55" s="6"/>
      <c r="P55" s="6"/>
      <c r="Q55" s="6"/>
    </row>
    <row r="56" spans="7:17" x14ac:dyDescent="0.35">
      <c r="G56" s="6"/>
      <c r="H56" s="6"/>
      <c r="I56" s="6"/>
      <c r="J56" s="6"/>
      <c r="K56" s="6"/>
      <c r="M56" s="6"/>
      <c r="N56" s="6"/>
      <c r="O56" s="6"/>
      <c r="P56" s="6"/>
      <c r="Q56" s="6"/>
    </row>
    <row r="57" spans="7:17" x14ac:dyDescent="0.35">
      <c r="G57" s="6"/>
      <c r="H57" s="6"/>
      <c r="I57" s="6"/>
      <c r="J57" s="6"/>
      <c r="K57" s="6"/>
      <c r="M57" s="6"/>
      <c r="N57" s="6"/>
      <c r="O57" s="6"/>
      <c r="P57" s="6"/>
      <c r="Q57" s="6"/>
    </row>
    <row r="58" spans="7:17" x14ac:dyDescent="0.35">
      <c r="G58" s="6"/>
      <c r="H58" s="6"/>
      <c r="I58" s="6"/>
      <c r="J58" s="6"/>
      <c r="K58" s="6"/>
      <c r="M58" s="6"/>
      <c r="N58" s="6"/>
      <c r="O58" s="6"/>
      <c r="P58" s="6"/>
      <c r="Q58" s="6"/>
    </row>
    <row r="59" spans="7:17" x14ac:dyDescent="0.35">
      <c r="G59" s="6"/>
      <c r="H59" s="6"/>
      <c r="I59" s="6"/>
      <c r="J59" s="6"/>
      <c r="K59" s="6"/>
      <c r="M59" s="6"/>
      <c r="N59" s="6"/>
      <c r="O59" s="6"/>
      <c r="P59" s="6"/>
      <c r="Q59" s="6"/>
    </row>
    <row r="60" spans="7:17" x14ac:dyDescent="0.35">
      <c r="G60" s="6"/>
      <c r="H60" s="6"/>
      <c r="I60" s="6"/>
      <c r="J60" s="6"/>
      <c r="K60" s="6"/>
      <c r="M60" s="6"/>
      <c r="N60" s="6"/>
      <c r="O60" s="6"/>
      <c r="P60" s="6"/>
      <c r="Q60" s="6"/>
    </row>
    <row r="61" spans="7:17" x14ac:dyDescent="0.35">
      <c r="G61" s="6"/>
      <c r="H61" s="6"/>
      <c r="I61" s="6"/>
      <c r="J61" s="6"/>
      <c r="K61" s="6"/>
      <c r="M61" s="6"/>
      <c r="N61" s="6"/>
      <c r="O61" s="6"/>
      <c r="P61" s="6"/>
      <c r="Q61" s="6"/>
    </row>
    <row r="62" spans="7:17" x14ac:dyDescent="0.35">
      <c r="G62" s="6"/>
      <c r="H62" s="6"/>
      <c r="I62" s="6"/>
      <c r="J62" s="6"/>
      <c r="K62" s="6"/>
      <c r="M62" s="6"/>
      <c r="N62" s="6"/>
      <c r="O62" s="6"/>
      <c r="P62" s="6"/>
      <c r="Q62" s="6"/>
    </row>
    <row r="63" spans="7:17" x14ac:dyDescent="0.35">
      <c r="G63" s="6"/>
      <c r="H63" s="6"/>
      <c r="I63" s="6"/>
      <c r="J63" s="6"/>
      <c r="K63" s="6"/>
      <c r="M63" s="6"/>
      <c r="N63" s="6"/>
      <c r="O63" s="6"/>
      <c r="P63" s="6"/>
      <c r="Q63" s="6"/>
    </row>
    <row r="64" spans="7:17" x14ac:dyDescent="0.35">
      <c r="G64" s="6"/>
      <c r="H64" s="6"/>
      <c r="I64" s="6"/>
      <c r="J64" s="6"/>
      <c r="K64" s="6"/>
      <c r="M64" s="6"/>
      <c r="N64" s="6"/>
      <c r="O64" s="6"/>
      <c r="P64" s="6"/>
      <c r="Q64" s="6"/>
    </row>
    <row r="65" spans="7:17" x14ac:dyDescent="0.35">
      <c r="G65" s="6"/>
      <c r="H65" s="6"/>
      <c r="I65" s="6"/>
      <c r="J65" s="6"/>
      <c r="K65" s="6"/>
      <c r="M65" s="6"/>
      <c r="N65" s="6"/>
      <c r="O65" s="6"/>
      <c r="P65" s="6"/>
      <c r="Q65" s="6"/>
    </row>
    <row r="66" spans="7:17" x14ac:dyDescent="0.35">
      <c r="G66" s="6"/>
      <c r="H66" s="6"/>
      <c r="I66" s="6"/>
      <c r="J66" s="6"/>
      <c r="K66" s="6"/>
      <c r="M66" s="6"/>
      <c r="N66" s="6"/>
      <c r="O66" s="6"/>
      <c r="P66" s="6"/>
      <c r="Q66" s="6"/>
    </row>
    <row r="67" spans="7:17" x14ac:dyDescent="0.35">
      <c r="G67" s="6"/>
      <c r="H67" s="6"/>
      <c r="I67" s="6"/>
      <c r="J67" s="6"/>
      <c r="K67" s="6"/>
      <c r="M67" s="6"/>
      <c r="N67" s="6"/>
      <c r="O67" s="6"/>
      <c r="P67" s="6"/>
      <c r="Q67" s="6"/>
    </row>
    <row r="68" spans="7:17" x14ac:dyDescent="0.35">
      <c r="G68" s="6"/>
      <c r="H68" s="6"/>
      <c r="I68" s="6"/>
      <c r="J68" s="6"/>
      <c r="K68" s="6"/>
      <c r="M68" s="6"/>
      <c r="N68" s="6"/>
      <c r="O68" s="6"/>
      <c r="P68" s="6"/>
      <c r="Q68" s="6"/>
    </row>
    <row r="69" spans="7:17" x14ac:dyDescent="0.35">
      <c r="G69" s="6"/>
      <c r="H69" s="6"/>
      <c r="I69" s="6"/>
      <c r="J69" s="6"/>
      <c r="K69" s="6"/>
      <c r="M69" s="6"/>
      <c r="N69" s="6"/>
      <c r="O69" s="6"/>
      <c r="P69" s="6"/>
      <c r="Q69" s="6"/>
    </row>
    <row r="70" spans="7:17" x14ac:dyDescent="0.35">
      <c r="G70" s="6"/>
      <c r="H70" s="6"/>
      <c r="I70" s="6"/>
      <c r="J70" s="6"/>
      <c r="K70" s="6"/>
      <c r="M70" s="6"/>
      <c r="N70" s="6"/>
      <c r="O70" s="6"/>
      <c r="P70" s="6"/>
      <c r="Q70" s="6"/>
    </row>
    <row r="71" spans="7:17" x14ac:dyDescent="0.35">
      <c r="G71" s="6"/>
      <c r="H71" s="6"/>
      <c r="I71" s="6"/>
      <c r="J71" s="6"/>
      <c r="K71" s="6"/>
      <c r="M71" s="6"/>
      <c r="N71" s="6"/>
      <c r="O71" s="6"/>
      <c r="P71" s="6"/>
      <c r="Q71" s="6"/>
    </row>
    <row r="72" spans="7:17" x14ac:dyDescent="0.35">
      <c r="G72" s="6"/>
      <c r="H72" s="6"/>
      <c r="I72" s="6"/>
      <c r="J72" s="6"/>
      <c r="K72" s="6"/>
      <c r="M72" s="6"/>
      <c r="N72" s="6"/>
      <c r="O72" s="6"/>
      <c r="P72" s="6"/>
      <c r="Q72" s="6"/>
    </row>
    <row r="73" spans="7:17" x14ac:dyDescent="0.35">
      <c r="G73" s="6"/>
      <c r="H73" s="6"/>
      <c r="I73" s="6"/>
      <c r="J73" s="6"/>
      <c r="K73" s="6"/>
      <c r="M73" s="6"/>
      <c r="N73" s="6"/>
      <c r="O73" s="6"/>
      <c r="P73" s="6"/>
      <c r="Q73" s="6"/>
    </row>
    <row r="74" spans="7:17" x14ac:dyDescent="0.35">
      <c r="G74" s="6"/>
      <c r="H74" s="6"/>
      <c r="I74" s="6"/>
      <c r="J74" s="6"/>
      <c r="K74" s="6"/>
      <c r="M74" s="6"/>
      <c r="N74" s="6"/>
      <c r="O74" s="6"/>
      <c r="P74" s="6"/>
      <c r="Q74" s="6"/>
    </row>
    <row r="75" spans="7:17" x14ac:dyDescent="0.35">
      <c r="G75" s="6"/>
      <c r="H75" s="6"/>
      <c r="I75" s="6"/>
      <c r="J75" s="6"/>
      <c r="K75" s="6"/>
      <c r="M75" s="6"/>
      <c r="N75" s="6"/>
      <c r="O75" s="6"/>
      <c r="P75" s="6"/>
      <c r="Q75" s="6"/>
    </row>
    <row r="76" spans="7:17" x14ac:dyDescent="0.35">
      <c r="G76" s="6"/>
      <c r="H76" s="6"/>
      <c r="I76" s="6"/>
      <c r="J76" s="6"/>
      <c r="K76" s="6"/>
      <c r="M76" s="6"/>
      <c r="N76" s="6"/>
      <c r="O76" s="6"/>
      <c r="P76" s="6"/>
      <c r="Q76" s="6"/>
    </row>
    <row r="77" spans="7:17" x14ac:dyDescent="0.35">
      <c r="G77" s="6"/>
      <c r="H77" s="6"/>
      <c r="I77" s="6"/>
      <c r="J77" s="6"/>
      <c r="K77" s="6"/>
      <c r="M77" s="6"/>
      <c r="N77" s="6"/>
      <c r="O77" s="6"/>
      <c r="P77" s="6"/>
      <c r="Q77" s="6"/>
    </row>
    <row r="78" spans="7:17" x14ac:dyDescent="0.35">
      <c r="G78" s="6"/>
      <c r="H78" s="6"/>
      <c r="I78" s="6"/>
      <c r="J78" s="6"/>
      <c r="K78" s="6"/>
      <c r="M78" s="6"/>
      <c r="N78" s="6"/>
      <c r="O78" s="6"/>
      <c r="P78" s="6"/>
      <c r="Q78" s="6"/>
    </row>
    <row r="79" spans="7:17" x14ac:dyDescent="0.35">
      <c r="G79" s="6"/>
      <c r="H79" s="6"/>
      <c r="I79" s="6"/>
      <c r="J79" s="6"/>
      <c r="K79" s="6"/>
      <c r="M79" s="6"/>
      <c r="N79" s="6"/>
      <c r="O79" s="6"/>
      <c r="P79" s="6"/>
      <c r="Q79" s="6"/>
    </row>
    <row r="80" spans="7:17" x14ac:dyDescent="0.35">
      <c r="G80" s="6"/>
      <c r="H80" s="6"/>
      <c r="I80" s="6"/>
      <c r="J80" s="6"/>
      <c r="K80" s="6"/>
      <c r="M80" s="6"/>
      <c r="N80" s="6"/>
      <c r="O80" s="6"/>
      <c r="P80" s="6"/>
      <c r="Q80" s="6"/>
    </row>
    <row r="81" spans="7:17" x14ac:dyDescent="0.35">
      <c r="G81" s="6"/>
      <c r="H81" s="6"/>
      <c r="I81" s="6"/>
      <c r="J81" s="6"/>
      <c r="K81" s="6"/>
      <c r="M81" s="6"/>
      <c r="N81" s="6"/>
      <c r="O81" s="6"/>
      <c r="P81" s="6"/>
      <c r="Q81" s="6"/>
    </row>
    <row r="82" spans="7:17" x14ac:dyDescent="0.35">
      <c r="G82" s="6"/>
      <c r="H82" s="6"/>
      <c r="I82" s="6"/>
      <c r="J82" s="6"/>
      <c r="K82" s="6"/>
      <c r="M82" s="6"/>
      <c r="N82" s="6"/>
      <c r="O82" s="6"/>
      <c r="P82" s="6"/>
      <c r="Q82" s="6"/>
    </row>
    <row r="83" spans="7:17" x14ac:dyDescent="0.35">
      <c r="G83" s="6"/>
      <c r="H83" s="6"/>
      <c r="I83" s="6"/>
      <c r="J83" s="6"/>
      <c r="K83" s="6"/>
      <c r="M83" s="6"/>
      <c r="N83" s="6"/>
      <c r="O83" s="6"/>
      <c r="P83" s="6"/>
      <c r="Q83" s="6"/>
    </row>
    <row r="84" spans="7:17" x14ac:dyDescent="0.35">
      <c r="G84" s="6"/>
      <c r="H84" s="6"/>
      <c r="I84" s="6"/>
      <c r="J84" s="6"/>
      <c r="K84" s="6"/>
      <c r="M84" s="6"/>
      <c r="N84" s="6"/>
      <c r="O84" s="6"/>
      <c r="P84" s="6"/>
      <c r="Q84" s="6"/>
    </row>
    <row r="85" spans="7:17" x14ac:dyDescent="0.35">
      <c r="G85" s="6"/>
      <c r="H85" s="6"/>
      <c r="I85" s="6"/>
      <c r="J85" s="6"/>
      <c r="K85" s="6"/>
      <c r="M85" s="6"/>
      <c r="N85" s="6"/>
      <c r="O85" s="6"/>
      <c r="P85" s="6"/>
      <c r="Q85" s="6"/>
    </row>
    <row r="86" spans="7:17" x14ac:dyDescent="0.35">
      <c r="G86" s="6"/>
      <c r="H86" s="6"/>
      <c r="I86" s="6"/>
      <c r="J86" s="6"/>
      <c r="K86" s="6"/>
      <c r="M86" s="6"/>
      <c r="N86" s="6"/>
      <c r="O86" s="6"/>
      <c r="P86" s="6"/>
      <c r="Q86" s="6"/>
    </row>
    <row r="87" spans="7:17" x14ac:dyDescent="0.35">
      <c r="G87" s="6"/>
      <c r="H87" s="6"/>
      <c r="I87" s="6"/>
      <c r="J87" s="6"/>
      <c r="K87" s="6"/>
      <c r="M87" s="6"/>
      <c r="N87" s="6"/>
      <c r="O87" s="6"/>
      <c r="P87" s="6"/>
      <c r="Q87" s="6"/>
    </row>
    <row r="88" spans="7:17" x14ac:dyDescent="0.35">
      <c r="G88" s="6"/>
      <c r="H88" s="6"/>
      <c r="I88" s="6"/>
      <c r="J88" s="6"/>
      <c r="K88" s="6"/>
      <c r="M88" s="6"/>
      <c r="N88" s="6"/>
      <c r="O88" s="6"/>
      <c r="P88" s="6"/>
      <c r="Q88" s="6"/>
    </row>
    <row r="89" spans="7:17" x14ac:dyDescent="0.35">
      <c r="G89" s="6"/>
      <c r="H89" s="6"/>
      <c r="I89" s="6"/>
      <c r="J89" s="6"/>
      <c r="K89" s="6"/>
      <c r="M89" s="6"/>
      <c r="N89" s="6"/>
      <c r="O89" s="6"/>
      <c r="P89" s="6"/>
      <c r="Q89" s="6"/>
    </row>
    <row r="90" spans="7:17" x14ac:dyDescent="0.35">
      <c r="G90" s="6"/>
      <c r="H90" s="6"/>
      <c r="I90" s="6"/>
      <c r="J90" s="6"/>
      <c r="K90" s="6"/>
      <c r="M90" s="6"/>
      <c r="N90" s="6"/>
      <c r="O90" s="6"/>
      <c r="P90" s="6"/>
      <c r="Q90" s="6"/>
    </row>
    <row r="91" spans="7:17" x14ac:dyDescent="0.35">
      <c r="G91" s="6"/>
      <c r="H91" s="6"/>
      <c r="I91" s="6"/>
      <c r="J91" s="6"/>
      <c r="K91" s="6"/>
      <c r="M91" s="6"/>
      <c r="N91" s="6"/>
      <c r="O91" s="6"/>
      <c r="P91" s="6"/>
      <c r="Q91" s="6"/>
    </row>
    <row r="92" spans="7:17" x14ac:dyDescent="0.35">
      <c r="G92" s="6"/>
      <c r="H92" s="6"/>
      <c r="I92" s="6"/>
      <c r="J92" s="6"/>
      <c r="K92" s="6"/>
      <c r="M92" s="6"/>
      <c r="N92" s="6"/>
      <c r="O92" s="6"/>
      <c r="P92" s="6"/>
      <c r="Q92" s="6"/>
    </row>
    <row r="93" spans="7:17" x14ac:dyDescent="0.35">
      <c r="G93" s="6"/>
      <c r="H93" s="6"/>
      <c r="I93" s="6"/>
      <c r="J93" s="6"/>
      <c r="K93" s="6"/>
      <c r="M93" s="6"/>
      <c r="N93" s="6"/>
      <c r="O93" s="6"/>
      <c r="P93" s="6"/>
      <c r="Q93" s="6"/>
    </row>
    <row r="94" spans="7:17" x14ac:dyDescent="0.35">
      <c r="G94" s="6"/>
      <c r="H94" s="6"/>
      <c r="I94" s="6"/>
      <c r="J94" s="6"/>
      <c r="K94" s="6"/>
      <c r="M94" s="6"/>
      <c r="N94" s="6"/>
      <c r="O94" s="6"/>
      <c r="P94" s="6"/>
      <c r="Q94" s="6"/>
    </row>
    <row r="95" spans="7:17" x14ac:dyDescent="0.35">
      <c r="G95" s="6"/>
      <c r="H95" s="6"/>
      <c r="I95" s="6"/>
      <c r="J95" s="6"/>
      <c r="K95" s="6"/>
      <c r="M95" s="6"/>
      <c r="N95" s="6"/>
      <c r="O95" s="6"/>
      <c r="P95" s="6"/>
      <c r="Q95" s="6"/>
    </row>
    <row r="96" spans="7:17" x14ac:dyDescent="0.35">
      <c r="G96" s="6"/>
      <c r="H96" s="6"/>
      <c r="I96" s="6"/>
      <c r="J96" s="6"/>
      <c r="K96" s="6"/>
      <c r="M96" s="6"/>
      <c r="N96" s="6"/>
      <c r="O96" s="6"/>
      <c r="P96" s="6"/>
      <c r="Q96" s="6"/>
    </row>
    <row r="97" spans="7:17" x14ac:dyDescent="0.35">
      <c r="G97" s="6"/>
      <c r="H97" s="6"/>
      <c r="I97" s="6"/>
      <c r="J97" s="6"/>
      <c r="K97" s="6"/>
      <c r="M97" s="6"/>
      <c r="N97" s="6"/>
      <c r="O97" s="6"/>
      <c r="P97" s="6"/>
      <c r="Q97" s="6"/>
    </row>
    <row r="98" spans="7:17" x14ac:dyDescent="0.35">
      <c r="G98" s="6"/>
      <c r="H98" s="6"/>
      <c r="I98" s="6"/>
      <c r="J98" s="6"/>
      <c r="K98" s="6"/>
      <c r="M98" s="6"/>
      <c r="N98" s="6"/>
      <c r="O98" s="6"/>
      <c r="P98" s="6"/>
      <c r="Q98" s="6"/>
    </row>
    <row r="99" spans="7:17" x14ac:dyDescent="0.35">
      <c r="G99" s="6"/>
      <c r="H99" s="6"/>
      <c r="I99" s="6"/>
      <c r="J99" s="6"/>
      <c r="K99" s="6"/>
      <c r="M99" s="6"/>
      <c r="N99" s="6"/>
      <c r="O99" s="6"/>
      <c r="P99" s="6"/>
      <c r="Q99" s="6"/>
    </row>
  </sheetData>
  <conditionalFormatting sqref="E2:E29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9">
    <cfRule type="colorScale" priority="55">
      <colorScale>
        <cfvo type="min"/>
        <cfvo type="max"/>
        <color rgb="FFFCFCFF"/>
        <color rgb="FF63BE7B"/>
      </colorScale>
    </cfRule>
  </conditionalFormatting>
  <conditionalFormatting sqref="L2:L19">
    <cfRule type="colorScale" priority="57">
      <colorScale>
        <cfvo type="min"/>
        <cfvo type="max"/>
        <color rgb="FFFCFCFF"/>
        <color rgb="FF63BE7B"/>
      </colorScale>
    </cfRule>
  </conditionalFormatting>
  <conditionalFormatting sqref="F5:F99">
    <cfRule type="colorScale" priority="59">
      <colorScale>
        <cfvo type="min"/>
        <cfvo type="max"/>
        <color rgb="FFFCFCFF"/>
        <color rgb="FF63BE7B"/>
      </colorScale>
    </cfRule>
  </conditionalFormatting>
  <conditionalFormatting sqref="F2:F99">
    <cfRule type="colorScale" priority="61">
      <colorScale>
        <cfvo type="min"/>
        <cfvo type="max"/>
        <color rgb="FFFCFCFF"/>
        <color rgb="FF63BE7B"/>
      </colorScale>
    </cfRule>
  </conditionalFormatting>
  <conditionalFormatting sqref="G2:G19">
    <cfRule type="colorScale" priority="63">
      <colorScale>
        <cfvo type="min"/>
        <cfvo type="max"/>
        <color rgb="FFFCFCFF"/>
        <color rgb="FF63BE7B"/>
      </colorScale>
    </cfRule>
  </conditionalFormatting>
  <conditionalFormatting sqref="G5:G99">
    <cfRule type="colorScale" priority="65">
      <colorScale>
        <cfvo type="min"/>
        <cfvo type="max"/>
        <color rgb="FFFCFCFF"/>
        <color rgb="FF63BE7B"/>
      </colorScale>
    </cfRule>
  </conditionalFormatting>
  <conditionalFormatting sqref="G2:G99">
    <cfRule type="colorScale" priority="67">
      <colorScale>
        <cfvo type="min"/>
        <cfvo type="max"/>
        <color rgb="FFFCFCFF"/>
        <color rgb="FF63BE7B"/>
      </colorScale>
    </cfRule>
  </conditionalFormatting>
  <conditionalFormatting sqref="H2:H19">
    <cfRule type="colorScale" priority="69">
      <colorScale>
        <cfvo type="min"/>
        <cfvo type="max"/>
        <color rgb="FFFCFCFF"/>
        <color rgb="FF63BE7B"/>
      </colorScale>
    </cfRule>
  </conditionalFormatting>
  <conditionalFormatting sqref="H5:H99">
    <cfRule type="colorScale" priority="71">
      <colorScale>
        <cfvo type="min"/>
        <cfvo type="max"/>
        <color rgb="FFFCFCFF"/>
        <color rgb="FF63BE7B"/>
      </colorScale>
    </cfRule>
  </conditionalFormatting>
  <conditionalFormatting sqref="H2:H99">
    <cfRule type="colorScale" priority="73">
      <colorScale>
        <cfvo type="min"/>
        <cfvo type="max"/>
        <color rgb="FFFCFCFF"/>
        <color rgb="FF63BE7B"/>
      </colorScale>
    </cfRule>
  </conditionalFormatting>
  <conditionalFormatting sqref="I2:I19">
    <cfRule type="colorScale" priority="75">
      <colorScale>
        <cfvo type="min"/>
        <cfvo type="max"/>
        <color rgb="FFFCFCFF"/>
        <color rgb="FF63BE7B"/>
      </colorScale>
    </cfRule>
  </conditionalFormatting>
  <conditionalFormatting sqref="I5:I99">
    <cfRule type="colorScale" priority="77">
      <colorScale>
        <cfvo type="min"/>
        <cfvo type="max"/>
        <color rgb="FFFCFCFF"/>
        <color rgb="FF63BE7B"/>
      </colorScale>
    </cfRule>
  </conditionalFormatting>
  <conditionalFormatting sqref="I2:I99">
    <cfRule type="colorScale" priority="79">
      <colorScale>
        <cfvo type="min"/>
        <cfvo type="max"/>
        <color rgb="FFFCFCFF"/>
        <color rgb="FF63BE7B"/>
      </colorScale>
    </cfRule>
  </conditionalFormatting>
  <conditionalFormatting sqref="J2:J19">
    <cfRule type="colorScale" priority="81">
      <colorScale>
        <cfvo type="min"/>
        <cfvo type="max"/>
        <color rgb="FFFCFCFF"/>
        <color rgb="FF63BE7B"/>
      </colorScale>
    </cfRule>
  </conditionalFormatting>
  <conditionalFormatting sqref="J5:J99">
    <cfRule type="colorScale" priority="83">
      <colorScale>
        <cfvo type="min"/>
        <cfvo type="max"/>
        <color rgb="FFFCFCFF"/>
        <color rgb="FF63BE7B"/>
      </colorScale>
    </cfRule>
  </conditionalFormatting>
  <conditionalFormatting sqref="J2:J99">
    <cfRule type="colorScale" priority="85">
      <colorScale>
        <cfvo type="min"/>
        <cfvo type="max"/>
        <color rgb="FFFCFCFF"/>
        <color rgb="FF63BE7B"/>
      </colorScale>
    </cfRule>
  </conditionalFormatting>
  <conditionalFormatting sqref="K2:K19">
    <cfRule type="colorScale" priority="87">
      <colorScale>
        <cfvo type="min"/>
        <cfvo type="max"/>
        <color rgb="FFFCFCFF"/>
        <color rgb="FF63BE7B"/>
      </colorScale>
    </cfRule>
  </conditionalFormatting>
  <conditionalFormatting sqref="K5:K99">
    <cfRule type="colorScale" priority="89">
      <colorScale>
        <cfvo type="min"/>
        <cfvo type="max"/>
        <color rgb="FFFCFCFF"/>
        <color rgb="FF63BE7B"/>
      </colorScale>
    </cfRule>
  </conditionalFormatting>
  <conditionalFormatting sqref="K2:K99">
    <cfRule type="colorScale" priority="91">
      <colorScale>
        <cfvo type="min"/>
        <cfvo type="max"/>
        <color rgb="FFFCFCFF"/>
        <color rgb="FF63BE7B"/>
      </colorScale>
    </cfRule>
  </conditionalFormatting>
  <conditionalFormatting sqref="M2:M19">
    <cfRule type="colorScale" priority="93">
      <colorScale>
        <cfvo type="min"/>
        <cfvo type="max"/>
        <color rgb="FFFCFCFF"/>
        <color rgb="FF63BE7B"/>
      </colorScale>
    </cfRule>
  </conditionalFormatting>
  <conditionalFormatting sqref="M5:M99">
    <cfRule type="colorScale" priority="95">
      <colorScale>
        <cfvo type="min"/>
        <cfvo type="max"/>
        <color rgb="FFFCFCFF"/>
        <color rgb="FF63BE7B"/>
      </colorScale>
    </cfRule>
  </conditionalFormatting>
  <conditionalFormatting sqref="M2:M99">
    <cfRule type="colorScale" priority="97">
      <colorScale>
        <cfvo type="min"/>
        <cfvo type="max"/>
        <color rgb="FFFCFCFF"/>
        <color rgb="FF63BE7B"/>
      </colorScale>
    </cfRule>
  </conditionalFormatting>
  <conditionalFormatting sqref="N2:N19">
    <cfRule type="colorScale" priority="99">
      <colorScale>
        <cfvo type="min"/>
        <cfvo type="max"/>
        <color rgb="FFFCFCFF"/>
        <color rgb="FF63BE7B"/>
      </colorScale>
    </cfRule>
  </conditionalFormatting>
  <conditionalFormatting sqref="N5:N99">
    <cfRule type="colorScale" priority="101">
      <colorScale>
        <cfvo type="min"/>
        <cfvo type="max"/>
        <color rgb="FFFCFCFF"/>
        <color rgb="FF63BE7B"/>
      </colorScale>
    </cfRule>
  </conditionalFormatting>
  <conditionalFormatting sqref="N2:N99">
    <cfRule type="colorScale" priority="103">
      <colorScale>
        <cfvo type="min"/>
        <cfvo type="max"/>
        <color rgb="FFFCFCFF"/>
        <color rgb="FF63BE7B"/>
      </colorScale>
    </cfRule>
  </conditionalFormatting>
  <conditionalFormatting sqref="O2:O19">
    <cfRule type="colorScale" priority="105">
      <colorScale>
        <cfvo type="min"/>
        <cfvo type="max"/>
        <color rgb="FFFCFCFF"/>
        <color rgb="FF63BE7B"/>
      </colorScale>
    </cfRule>
  </conditionalFormatting>
  <conditionalFormatting sqref="O5:O99">
    <cfRule type="colorScale" priority="107">
      <colorScale>
        <cfvo type="min"/>
        <cfvo type="max"/>
        <color rgb="FFFCFCFF"/>
        <color rgb="FF63BE7B"/>
      </colorScale>
    </cfRule>
  </conditionalFormatting>
  <conditionalFormatting sqref="O2:O99">
    <cfRule type="colorScale" priority="109">
      <colorScale>
        <cfvo type="min"/>
        <cfvo type="max"/>
        <color rgb="FFFCFCFF"/>
        <color rgb="FF63BE7B"/>
      </colorScale>
    </cfRule>
  </conditionalFormatting>
  <conditionalFormatting sqref="P2:P19">
    <cfRule type="colorScale" priority="111">
      <colorScale>
        <cfvo type="min"/>
        <cfvo type="max"/>
        <color rgb="FFFCFCFF"/>
        <color rgb="FF63BE7B"/>
      </colorScale>
    </cfRule>
  </conditionalFormatting>
  <conditionalFormatting sqref="P5:P99">
    <cfRule type="colorScale" priority="113">
      <colorScale>
        <cfvo type="min"/>
        <cfvo type="max"/>
        <color rgb="FFFCFCFF"/>
        <color rgb="FF63BE7B"/>
      </colorScale>
    </cfRule>
  </conditionalFormatting>
  <conditionalFormatting sqref="P2:P99">
    <cfRule type="colorScale" priority="115">
      <colorScale>
        <cfvo type="min"/>
        <cfvo type="max"/>
        <color rgb="FFFCFCFF"/>
        <color rgb="FF63BE7B"/>
      </colorScale>
    </cfRule>
  </conditionalFormatting>
  <conditionalFormatting sqref="Q2:Q19">
    <cfRule type="colorScale" priority="117">
      <colorScale>
        <cfvo type="min"/>
        <cfvo type="max"/>
        <color rgb="FFFCFCFF"/>
        <color rgb="FF63BE7B"/>
      </colorScale>
    </cfRule>
  </conditionalFormatting>
  <conditionalFormatting sqref="Q5:Q99">
    <cfRule type="colorScale" priority="119">
      <colorScale>
        <cfvo type="min"/>
        <cfvo type="max"/>
        <color rgb="FFFCFCFF"/>
        <color rgb="FF63BE7B"/>
      </colorScale>
    </cfRule>
  </conditionalFormatting>
  <conditionalFormatting sqref="Q2:Q99">
    <cfRule type="colorScale" priority="12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8DC8-98C3-4B6C-97FD-87A66F2FF691}">
  <dimension ref="B3:R26"/>
  <sheetViews>
    <sheetView showGridLines="0" workbookViewId="0">
      <selection activeCell="C6" sqref="C6"/>
    </sheetView>
  </sheetViews>
  <sheetFormatPr defaultColWidth="17.26953125" defaultRowHeight="14.5" x14ac:dyDescent="0.35"/>
  <cols>
    <col min="6" max="6" width="11.6328125" customWidth="1"/>
    <col min="12" max="12" width="3.1796875" customWidth="1"/>
  </cols>
  <sheetData>
    <row r="3" spans="2:18" ht="15" thickBot="1" x14ac:dyDescent="0.4">
      <c r="B3" s="29" t="s">
        <v>25</v>
      </c>
      <c r="C3" s="30"/>
      <c r="D3" s="31"/>
      <c r="E3" s="6"/>
      <c r="F3" s="6"/>
      <c r="G3" s="29" t="s">
        <v>24</v>
      </c>
      <c r="H3" s="30"/>
      <c r="I3" s="30"/>
      <c r="J3" s="31"/>
      <c r="K3" s="6"/>
      <c r="L3" s="6"/>
      <c r="M3" s="26" t="s">
        <v>26</v>
      </c>
      <c r="N3" s="27"/>
      <c r="O3" s="27"/>
      <c r="P3" s="27"/>
      <c r="Q3" s="28"/>
      <c r="R3" s="6"/>
    </row>
    <row r="4" spans="2:18" ht="15" thickTop="1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2:18" s="1" customFormat="1" ht="40.5" customHeight="1" thickBot="1" x14ac:dyDescent="0.4">
      <c r="C5" s="1" t="str" cm="1">
        <f t="array" ref="C5:D5">Calculator!C8:D8</f>
        <v>Yard Mastery Double Dark</v>
      </c>
      <c r="D5" s="1" t="str">
        <v>ProPEAT 17-0-4 Carbon 90 Plus</v>
      </c>
      <c r="H5" s="1" t="str" cm="1">
        <f t="array" ref="H5:J5">Calculator!$C$8:$E$8</f>
        <v>Yard Mastery Double Dark</v>
      </c>
      <c r="I5" s="1" t="str">
        <v>ProPEAT 17-0-4 Carbon 90 Plus</v>
      </c>
      <c r="J5" s="1" t="str">
        <v>Ironite</v>
      </c>
      <c r="N5" s="1" t="str" cm="1">
        <f t="array" ref="N5:Q5">Calculator!C8:F8</f>
        <v>Yard Mastery Double Dark</v>
      </c>
      <c r="O5" s="1" t="str">
        <v>ProPEAT 17-0-4 Carbon 90 Plus</v>
      </c>
      <c r="P5" s="1" t="str">
        <v>Ironite</v>
      </c>
      <c r="Q5" s="1" t="str">
        <v>Borax</v>
      </c>
    </row>
    <row r="6" spans="2:18" x14ac:dyDescent="0.35">
      <c r="B6" s="8" t="s">
        <v>23</v>
      </c>
      <c r="C6" s="21" cm="1">
        <f t="array" ref="C6:D7">Calculator!$C$9:$D$10</f>
        <v>0.16</v>
      </c>
      <c r="D6" s="10">
        <v>0.17</v>
      </c>
      <c r="E6" s="6" t="str" cm="1">
        <f t="array" ref="E6:E7">Calculator!B9:B10</f>
        <v>Nitrogen</v>
      </c>
      <c r="F6" s="6"/>
      <c r="G6" s="8" t="s">
        <v>23</v>
      </c>
      <c r="H6" s="21" cm="1">
        <f t="array" ref="H6:J8">Calculator!$C$9:$E$11</f>
        <v>0.16</v>
      </c>
      <c r="I6" s="9">
        <v>0.17</v>
      </c>
      <c r="J6" s="10">
        <v>0.01</v>
      </c>
      <c r="K6" s="6" t="str" cm="1">
        <f t="array" ref="K6:K8">Calculator!$B$9:$B$11</f>
        <v>Nitrogen</v>
      </c>
      <c r="L6" s="6"/>
      <c r="M6" s="8" t="s">
        <v>15</v>
      </c>
      <c r="N6" s="21" cm="1">
        <f t="array" ref="N6:Q9">Calculator!C9:F12</f>
        <v>0.16</v>
      </c>
      <c r="O6" s="9">
        <v>0.17</v>
      </c>
      <c r="P6" s="9">
        <v>0.01</v>
      </c>
      <c r="Q6" s="10">
        <v>0</v>
      </c>
      <c r="R6" s="6" t="str" cm="1">
        <f t="array" ref="R6:R9">_xlfn.ANCHORARRAY(Calculator!B9)</f>
        <v>Nitrogen</v>
      </c>
    </row>
    <row r="7" spans="2:18" x14ac:dyDescent="0.35">
      <c r="B7" s="11"/>
      <c r="C7" s="19">
        <v>0</v>
      </c>
      <c r="D7" s="22">
        <v>0.17</v>
      </c>
      <c r="E7" s="6" t="str">
        <v>Sulfur</v>
      </c>
      <c r="F7" s="6"/>
      <c r="G7" s="11"/>
      <c r="H7" s="18">
        <v>0</v>
      </c>
      <c r="I7" s="12">
        <v>0.17</v>
      </c>
      <c r="J7" s="13">
        <v>0.05</v>
      </c>
      <c r="K7" s="6" t="str">
        <v>Sulfur</v>
      </c>
      <c r="L7" s="6"/>
      <c r="M7" s="11"/>
      <c r="N7" s="18">
        <v>0</v>
      </c>
      <c r="O7" s="12">
        <v>0.17</v>
      </c>
      <c r="P7" s="12">
        <v>0.05</v>
      </c>
      <c r="Q7" s="13">
        <v>0</v>
      </c>
      <c r="R7" s="6" t="str">
        <v>Sulfur</v>
      </c>
    </row>
    <row r="8" spans="2:18" x14ac:dyDescent="0.35">
      <c r="B8" s="11"/>
      <c r="C8" s="12"/>
      <c r="D8" s="13"/>
      <c r="E8" s="6"/>
      <c r="F8" s="6"/>
      <c r="G8" s="11"/>
      <c r="H8" s="19">
        <v>0.06</v>
      </c>
      <c r="I8" s="20">
        <v>0</v>
      </c>
      <c r="J8" s="22">
        <v>0.2</v>
      </c>
      <c r="K8" s="6" t="str">
        <v>Iron</v>
      </c>
      <c r="L8" s="6"/>
      <c r="M8" s="11"/>
      <c r="N8" s="18">
        <v>0.06</v>
      </c>
      <c r="O8" s="12">
        <v>0</v>
      </c>
      <c r="P8" s="12">
        <v>0.2</v>
      </c>
      <c r="Q8" s="13">
        <v>0</v>
      </c>
      <c r="R8" s="6" t="str">
        <v>Iron</v>
      </c>
    </row>
    <row r="9" spans="2:18" x14ac:dyDescent="0.35">
      <c r="B9" s="11"/>
      <c r="C9" s="12"/>
      <c r="D9" s="13"/>
      <c r="E9" s="6"/>
      <c r="F9" s="6"/>
      <c r="G9" s="11"/>
      <c r="H9" s="12"/>
      <c r="I9" s="12"/>
      <c r="J9" s="13"/>
      <c r="K9" s="6"/>
      <c r="L9" s="6"/>
      <c r="M9" s="11"/>
      <c r="N9" s="19">
        <v>2.0000000000000001E-4</v>
      </c>
      <c r="O9" s="20">
        <v>0</v>
      </c>
      <c r="P9" s="20">
        <v>0</v>
      </c>
      <c r="Q9" s="22">
        <v>0.99</v>
      </c>
      <c r="R9" s="6" t="str">
        <v>Boron</v>
      </c>
    </row>
    <row r="10" spans="2:18" x14ac:dyDescent="0.35">
      <c r="B10" s="11"/>
      <c r="C10" s="12"/>
      <c r="D10" s="13"/>
      <c r="E10" s="6"/>
      <c r="F10" s="6"/>
      <c r="G10" s="11"/>
      <c r="H10" s="12"/>
      <c r="I10" s="12"/>
      <c r="J10" s="13"/>
      <c r="K10" s="6"/>
      <c r="L10" s="6"/>
      <c r="M10" s="11"/>
      <c r="N10" s="12"/>
      <c r="O10" s="12"/>
      <c r="P10" s="12"/>
      <c r="Q10" s="13"/>
      <c r="R10" s="6"/>
    </row>
    <row r="11" spans="2:18" x14ac:dyDescent="0.35">
      <c r="B11" s="11" t="s">
        <v>16</v>
      </c>
      <c r="C11" s="16" cm="1">
        <f t="array" ref="C11:D12">MINVERSE(_xlfn.ANCHORARRAY(C6))</f>
        <v>6.25</v>
      </c>
      <c r="D11" s="23">
        <v>-6.25</v>
      </c>
      <c r="E11" s="6"/>
      <c r="F11" s="6"/>
      <c r="G11" s="11"/>
      <c r="H11" s="12"/>
      <c r="I11" s="12"/>
      <c r="J11" s="13"/>
      <c r="K11" s="6"/>
      <c r="L11" s="6"/>
      <c r="M11" s="11"/>
      <c r="N11" s="12"/>
      <c r="O11" s="12"/>
      <c r="P11" s="12"/>
      <c r="Q11" s="13"/>
      <c r="R11" s="6"/>
    </row>
    <row r="12" spans="2:18" x14ac:dyDescent="0.35">
      <c r="B12" s="11"/>
      <c r="C12" s="19">
        <v>0</v>
      </c>
      <c r="D12" s="22">
        <v>5.8823529411764701</v>
      </c>
      <c r="E12" s="6"/>
      <c r="F12" s="6"/>
      <c r="G12" s="11" t="s">
        <v>16</v>
      </c>
      <c r="H12" s="16" cm="1">
        <f t="array" ref="H12:J14">MINVERSE((_xlfn.ANCHORARRAY(H6)))</f>
        <v>5.8139534883720936</v>
      </c>
      <c r="I12" s="17">
        <v>-5.8139534883720936</v>
      </c>
      <c r="J12" s="23">
        <v>1.1627906976744184</v>
      </c>
      <c r="K12" s="6"/>
      <c r="L12" s="6"/>
      <c r="M12" s="11" t="s">
        <v>16</v>
      </c>
      <c r="N12" s="16" cm="1">
        <f t="array" ref="N12:Q15">MINVERSE((_xlfn.ANCHORARRAY(N6)))</f>
        <v>5.8139534883720936</v>
      </c>
      <c r="O12" s="17">
        <v>-5.8139534883720936</v>
      </c>
      <c r="P12" s="17">
        <v>1.1627906976744184</v>
      </c>
      <c r="Q12" s="23">
        <v>0</v>
      </c>
      <c r="R12" s="6"/>
    </row>
    <row r="13" spans="2:18" x14ac:dyDescent="0.35">
      <c r="B13" s="11"/>
      <c r="C13" s="12"/>
      <c r="D13" s="13"/>
      <c r="E13" s="6"/>
      <c r="F13" s="6"/>
      <c r="G13" s="11"/>
      <c r="H13" s="18">
        <v>0.51299589603283158</v>
      </c>
      <c r="I13" s="12">
        <v>5.369357045143639</v>
      </c>
      <c r="J13" s="13">
        <v>-1.3679890560875509</v>
      </c>
      <c r="K13" s="6"/>
      <c r="L13" s="6"/>
      <c r="M13" s="11"/>
      <c r="N13" s="18">
        <v>0.51299589603283158</v>
      </c>
      <c r="O13" s="12">
        <v>5.369357045143639</v>
      </c>
      <c r="P13" s="12">
        <v>-1.3679890560875509</v>
      </c>
      <c r="Q13" s="13">
        <v>0</v>
      </c>
      <c r="R13" s="6"/>
    </row>
    <row r="14" spans="2:18" x14ac:dyDescent="0.35">
      <c r="B14" s="11"/>
      <c r="C14" s="12"/>
      <c r="D14" s="13"/>
      <c r="E14" s="6"/>
      <c r="F14" s="6"/>
      <c r="G14" s="11"/>
      <c r="H14" s="19">
        <v>-1.7441860465116277</v>
      </c>
      <c r="I14" s="20">
        <v>1.7441860465116277</v>
      </c>
      <c r="J14" s="22">
        <v>4.6511627906976738</v>
      </c>
      <c r="K14" s="6"/>
      <c r="L14" s="6"/>
      <c r="M14" s="11"/>
      <c r="N14" s="18">
        <v>-1.7441860465116277</v>
      </c>
      <c r="O14" s="12">
        <v>1.7441860465116277</v>
      </c>
      <c r="P14" s="12">
        <v>4.6511627906976738</v>
      </c>
      <c r="Q14" s="13">
        <v>0</v>
      </c>
      <c r="R14" s="6"/>
    </row>
    <row r="15" spans="2:18" x14ac:dyDescent="0.35">
      <c r="B15" s="11" t="s">
        <v>17</v>
      </c>
      <c r="C15" s="32" cm="1">
        <f t="array" ref="C15:C16">MMULT(_xlfn.ANCHORARRAY(C11),Calculator!$G$2:$G$3)</f>
        <v>3.1967401285583104</v>
      </c>
      <c r="D15" s="13"/>
      <c r="E15" s="6" t="str" cm="1">
        <f t="array" ref="E15:E16">TRANSPOSE(C5:D5)</f>
        <v>Yard Mastery Double Dark</v>
      </c>
      <c r="F15" s="6"/>
      <c r="G15" s="11"/>
      <c r="H15" s="12"/>
      <c r="I15" s="12"/>
      <c r="J15" s="13"/>
      <c r="K15" s="6"/>
      <c r="L15" s="6"/>
      <c r="M15" s="11"/>
      <c r="N15" s="19">
        <v>-1.1745360582569885E-3</v>
      </c>
      <c r="O15" s="20">
        <v>1.1745360582569885E-3</v>
      </c>
      <c r="P15" s="20">
        <v>-2.3490721165139768E-4</v>
      </c>
      <c r="Q15" s="22">
        <v>1.0101010101010102</v>
      </c>
      <c r="R15" s="6"/>
    </row>
    <row r="16" spans="2:18" ht="15" thickBot="1" x14ac:dyDescent="0.4">
      <c r="B16" s="14"/>
      <c r="C16" s="33">
        <v>3.2841786852482033</v>
      </c>
      <c r="D16" s="15"/>
      <c r="E16" s="6" t="str">
        <v>ProPEAT 17-0-4 Carbon 90 Plus</v>
      </c>
      <c r="F16" s="6"/>
      <c r="G16" s="11"/>
      <c r="H16" s="12"/>
      <c r="I16" s="6"/>
      <c r="J16" s="13"/>
      <c r="K16" s="6"/>
      <c r="L16" s="6"/>
      <c r="M16" s="11"/>
      <c r="N16" s="12"/>
      <c r="O16" s="12"/>
      <c r="P16" s="12"/>
      <c r="Q16" s="13"/>
      <c r="R16" s="6"/>
    </row>
    <row r="17" spans="2:18" s="1" customFormat="1" x14ac:dyDescent="0.35">
      <c r="C17" s="40"/>
      <c r="G17" s="41" t="s">
        <v>17</v>
      </c>
      <c r="H17" s="42" cm="1">
        <f t="array" ref="H17:H19">MMULT(_xlfn.ANCHORARRAY(H12),Calculator!$G$2:$G$4)</f>
        <v>3.3447583659000153</v>
      </c>
      <c r="I17" s="43"/>
      <c r="J17" s="44"/>
      <c r="K17" s="1" t="str" cm="1">
        <f t="array" ref="K17:K19">TRANSPOSE(_xlfn.ANCHORARRAY(H5))</f>
        <v>Yard Mastery Double Dark</v>
      </c>
      <c r="M17" s="41"/>
      <c r="N17" s="43"/>
      <c r="O17" s="43"/>
      <c r="P17" s="43"/>
      <c r="Q17" s="44"/>
    </row>
    <row r="18" spans="2:18" s="1" customFormat="1" ht="29" x14ac:dyDescent="0.35">
      <c r="C18" s="40" t="s">
        <v>22</v>
      </c>
      <c r="G18" s="41"/>
      <c r="H18" s="45">
        <v>3.1100395824932572</v>
      </c>
      <c r="I18" s="43"/>
      <c r="J18" s="44"/>
      <c r="K18" s="1" t="str">
        <v>ProPEAT 17-0-4 Carbon 90 Plus</v>
      </c>
      <c r="M18" s="41" t="s">
        <v>17</v>
      </c>
      <c r="N18" s="42" cm="1">
        <f t="array" ref="N18:N21">MMULT(_xlfn.ANCHORARRAY(N12),Calculator!$G$2:$G$5)</f>
        <v>3.3447583659000153</v>
      </c>
      <c r="O18" s="43"/>
      <c r="P18" s="43"/>
      <c r="Q18" s="44"/>
      <c r="R18" s="1" t="str" cm="1">
        <f t="array" ref="R18:R21">TRANSPOSE(_xlfn.ANCHORARRAY(N5))</f>
        <v>Yard Mastery Double Dark</v>
      </c>
    </row>
    <row r="19" spans="2:18" s="1" customFormat="1" ht="31.5" customHeight="1" thickBot="1" x14ac:dyDescent="0.4">
      <c r="B19" s="1" t="str" cm="1">
        <f t="array" ref="B19:B20">TRANSPOSE(C5:D5)</f>
        <v>Yard Mastery Double Dark</v>
      </c>
      <c r="C19" s="40" cm="1">
        <f t="array" ref="C19:C20">MMULT(_xlfn.ANCHORARRAY(C6),_xlfn.ANCHORARRAY(C15))</f>
        <v>1.0697887970615243</v>
      </c>
      <c r="G19" s="46"/>
      <c r="H19" s="47">
        <v>0.59207294936681831</v>
      </c>
      <c r="I19" s="48"/>
      <c r="J19" s="49"/>
      <c r="K19" s="1" t="str">
        <v>Ironite</v>
      </c>
      <c r="M19" s="41"/>
      <c r="N19" s="45">
        <v>3.1100395824932572</v>
      </c>
      <c r="O19" s="43"/>
      <c r="P19" s="43"/>
      <c r="Q19" s="44"/>
      <c r="R19" s="1" t="str">
        <v>ProPEAT 17-0-4 Carbon 90 Plus</v>
      </c>
    </row>
    <row r="20" spans="2:18" s="1" customFormat="1" ht="31.5" customHeight="1" x14ac:dyDescent="0.35">
      <c r="B20" s="1" t="str">
        <v>ProPEAT 17-0-4 Carbon 90 Plus</v>
      </c>
      <c r="C20" s="40">
        <v>0.55831037649219462</v>
      </c>
      <c r="H20" s="40"/>
      <c r="M20" s="41"/>
      <c r="N20" s="45">
        <v>0.59207294936681831</v>
      </c>
      <c r="O20" s="43"/>
      <c r="P20" s="43"/>
      <c r="Q20" s="44"/>
      <c r="R20" s="1" t="str">
        <v>Ironite</v>
      </c>
    </row>
    <row r="21" spans="2:18" s="1" customFormat="1" ht="31.5" customHeight="1" thickBot="1" x14ac:dyDescent="0.4">
      <c r="G21" s="1" t="str" cm="1">
        <f t="array" ref="G21:G23">TRANSPOSE(H5:J5)</f>
        <v>Yard Mastery Double Dark</v>
      </c>
      <c r="H21" s="40" cm="1">
        <f t="array" ref="H21:H23">MMULT((_xlfn.ANCHORARRAY(H6)),_xlfn.ANCHORARRAY(H17))</f>
        <v>1.0697887970615245</v>
      </c>
      <c r="I21" s="40"/>
      <c r="M21" s="46"/>
      <c r="N21" s="47">
        <v>1.1846204587571749E-2</v>
      </c>
      <c r="O21" s="48"/>
      <c r="P21" s="48"/>
      <c r="Q21" s="49"/>
      <c r="R21" s="1" t="str">
        <v>Borax</v>
      </c>
    </row>
    <row r="22" spans="2:18" s="1" customFormat="1" ht="31.5" customHeight="1" x14ac:dyDescent="0.35">
      <c r="G22" s="1" t="str">
        <v>ProPEAT 17-0-4 Carbon 90 Plus</v>
      </c>
      <c r="H22" s="40">
        <v>0.55831037649219462</v>
      </c>
      <c r="I22" s="40"/>
      <c r="N22" s="40"/>
    </row>
    <row r="23" spans="2:18" s="1" customFormat="1" ht="31.5" customHeight="1" x14ac:dyDescent="0.35">
      <c r="G23" s="1" t="str">
        <v>Ironite</v>
      </c>
      <c r="H23" s="40">
        <v>0.3191000918273646</v>
      </c>
      <c r="I23" s="40"/>
      <c r="M23" s="1" t="str" cm="1">
        <f t="array" ref="M23:M26">TRANSPOSE(N5:Q5)</f>
        <v>Yard Mastery Double Dark</v>
      </c>
      <c r="N23" s="40" cm="1">
        <f t="array" ref="N23:N26">MMULT(TRANSPOSE(_xlfn.ANCHORARRAY(N6)),_xlfn.ANCHORARRAY(N18))</f>
        <v>0.57068808474692911</v>
      </c>
    </row>
    <row r="24" spans="2:18" s="1" customFormat="1" x14ac:dyDescent="0.35">
      <c r="M24" s="1" t="str">
        <v>ProPEAT 17-0-4 Carbon 90 Plus</v>
      </c>
      <c r="N24" s="40">
        <v>1.0973156512268565</v>
      </c>
    </row>
    <row r="25" spans="2:18" s="1" customFormat="1" x14ac:dyDescent="0.35">
      <c r="M25" s="1" t="str">
        <v>Ironite</v>
      </c>
      <c r="N25" s="40">
        <v>0.30736415265702671</v>
      </c>
    </row>
    <row r="26" spans="2:18" x14ac:dyDescent="0.3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 t="str">
        <v>Borax</v>
      </c>
      <c r="N26" s="7">
        <v>1.1727742541696031E-2</v>
      </c>
      <c r="O26" s="6"/>
      <c r="P26" s="6"/>
      <c r="Q26" s="6"/>
      <c r="R26" s="6"/>
    </row>
  </sheetData>
  <mergeCells count="3">
    <mergeCell ref="M3:Q3"/>
    <mergeCell ref="G3:J3"/>
    <mergeCell ref="B3:D3"/>
  </mergeCells>
  <conditionalFormatting sqref="C15:C16">
    <cfRule type="cellIs" dxfId="2" priority="3" operator="lessThan">
      <formula>0</formula>
    </cfRule>
  </conditionalFormatting>
  <conditionalFormatting sqref="N18:N21">
    <cfRule type="cellIs" dxfId="1" priority="2" operator="lessThan">
      <formula>0</formula>
    </cfRule>
  </conditionalFormatting>
  <conditionalFormatting sqref="H17:H19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2F1D-FE0A-4F9D-8157-F8D46BE040CB}">
  <dimension ref="A1:C4"/>
  <sheetViews>
    <sheetView workbookViewId="0">
      <selection activeCell="B4" sqref="B4"/>
    </sheetView>
  </sheetViews>
  <sheetFormatPr defaultRowHeight="14.5" x14ac:dyDescent="0.35"/>
  <cols>
    <col min="1" max="1" width="25.90625" bestFit="1" customWidth="1"/>
    <col min="2" max="2" width="11.81640625" bestFit="1" customWidth="1"/>
  </cols>
  <sheetData>
    <row r="1" spans="1:3" x14ac:dyDescent="0.35">
      <c r="A1" t="s">
        <v>31</v>
      </c>
      <c r="B1" s="5">
        <v>43560</v>
      </c>
    </row>
    <row r="2" spans="1:3" x14ac:dyDescent="0.35">
      <c r="A2" t="s">
        <v>34</v>
      </c>
      <c r="B2">
        <v>2</v>
      </c>
    </row>
    <row r="3" spans="1:3" x14ac:dyDescent="0.35">
      <c r="A3" t="s">
        <v>32</v>
      </c>
      <c r="B3" s="36">
        <f>B2/B1</f>
        <v>4.5913682277318639E-5</v>
      </c>
    </row>
    <row r="4" spans="1:3" x14ac:dyDescent="0.35">
      <c r="A4" t="s">
        <v>33</v>
      </c>
      <c r="B4" s="7">
        <f>B3*1000</f>
        <v>4.5913682277318638E-2</v>
      </c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Calculator</vt:lpstr>
      <vt:lpstr>Fertilizers</vt:lpstr>
      <vt:lpstr>Matrix Calculations</vt:lpstr>
      <vt:lpstr>PPM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Harrington</dc:creator>
  <cp:lastModifiedBy>Shaun Harrington</cp:lastModifiedBy>
  <dcterms:created xsi:type="dcterms:W3CDTF">2021-04-18T03:31:22Z</dcterms:created>
  <dcterms:modified xsi:type="dcterms:W3CDTF">2021-04-20T04:41:00Z</dcterms:modified>
</cp:coreProperties>
</file>